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9"/>
  <workbookPr/>
  <mc:AlternateContent xmlns:mc="http://schemas.openxmlformats.org/markup-compatibility/2006">
    <mc:Choice Requires="x15">
      <x15ac:absPath xmlns:x15ac="http://schemas.microsoft.com/office/spreadsheetml/2010/11/ac" url="C:\Users\hadong\Downloads\table-sentence\"/>
    </mc:Choice>
  </mc:AlternateContent>
  <xr:revisionPtr revIDLastSave="0" documentId="8_{7B2328A6-05F8-4303-817A-FB553900F38B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11" i="1" l="1"/>
  <c r="A2810" i="1"/>
  <c r="A2807" i="1"/>
  <c r="A2806" i="1"/>
  <c r="A2805" i="1"/>
  <c r="A2804" i="1"/>
  <c r="A2803" i="1"/>
  <c r="A2801" i="1"/>
  <c r="A2800" i="1"/>
  <c r="A2799" i="1"/>
  <c r="A2798" i="1"/>
  <c r="A2797" i="1"/>
  <c r="A2796" i="1"/>
  <c r="A2795" i="1"/>
  <c r="A2794" i="1"/>
  <c r="A2793" i="1"/>
  <c r="A2792" i="1"/>
  <c r="A2788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2" i="1"/>
  <c r="A2771" i="1"/>
  <c r="A2770" i="1"/>
  <c r="A2769" i="1"/>
  <c r="A2768" i="1"/>
  <c r="A2767" i="1"/>
  <c r="A2766" i="1"/>
  <c r="A2765" i="1"/>
  <c r="A2761" i="1"/>
  <c r="A2760" i="1"/>
  <c r="A2759" i="1"/>
  <c r="A2758" i="1"/>
  <c r="A2757" i="1"/>
  <c r="A2756" i="1"/>
  <c r="A2755" i="1"/>
  <c r="A2754" i="1"/>
  <c r="A2753" i="1"/>
  <c r="A2751" i="1"/>
  <c r="A2750" i="1"/>
  <c r="A2749" i="1"/>
  <c r="A2748" i="1"/>
  <c r="A2747" i="1"/>
  <c r="A2746" i="1"/>
  <c r="A2745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5" i="1"/>
  <c r="A2704" i="1"/>
  <c r="A2703" i="1"/>
  <c r="A2699" i="1"/>
  <c r="A2698" i="1"/>
  <c r="A2697" i="1"/>
  <c r="A2696" i="1"/>
  <c r="A2692" i="1"/>
  <c r="A2691" i="1"/>
  <c r="A2690" i="1"/>
  <c r="A2688" i="1"/>
  <c r="A2687" i="1"/>
  <c r="A2686" i="1"/>
  <c r="A2684" i="1"/>
  <c r="A2683" i="1"/>
  <c r="A2682" i="1"/>
  <c r="A2681" i="1"/>
  <c r="A2680" i="1"/>
  <c r="A2679" i="1"/>
  <c r="A2677" i="1"/>
  <c r="A2676" i="1"/>
  <c r="A2675" i="1"/>
  <c r="A2674" i="1"/>
  <c r="A2673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4" i="1"/>
  <c r="A2652" i="1"/>
  <c r="A2651" i="1"/>
  <c r="A2650" i="1"/>
  <c r="A2649" i="1"/>
  <c r="A2648" i="1"/>
  <c r="A2647" i="1"/>
  <c r="A2645" i="1"/>
  <c r="A2644" i="1"/>
  <c r="A2643" i="1"/>
  <c r="A2641" i="1"/>
  <c r="A2640" i="1"/>
  <c r="A2639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1" i="1"/>
  <c r="A2580" i="1"/>
  <c r="A2579" i="1"/>
  <c r="A2573" i="1"/>
  <c r="A2571" i="1"/>
  <c r="A2567" i="1"/>
  <c r="A2566" i="1"/>
  <c r="A2564" i="1"/>
  <c r="A2563" i="1"/>
  <c r="A2562" i="1"/>
  <c r="A2561" i="1"/>
  <c r="A2560" i="1"/>
  <c r="A2559" i="1"/>
  <c r="A2557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25" i="1"/>
  <c r="A2524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8" i="1"/>
  <c r="A2507" i="1"/>
  <c r="A2506" i="1"/>
  <c r="A2504" i="1"/>
  <c r="A2503" i="1"/>
  <c r="A2501" i="1"/>
  <c r="A2500" i="1"/>
  <c r="A2498" i="1"/>
  <c r="A2497" i="1"/>
  <c r="A2496" i="1"/>
  <c r="A2495" i="1"/>
  <c r="A2490" i="1"/>
  <c r="A2489" i="1"/>
  <c r="A2487" i="1"/>
  <c r="A2486" i="1"/>
  <c r="A2485" i="1"/>
  <c r="A2484" i="1"/>
  <c r="A2483" i="1"/>
  <c r="A2482" i="1"/>
  <c r="A2481" i="1"/>
  <c r="A2480" i="1"/>
  <c r="A2479" i="1"/>
  <c r="A2477" i="1"/>
  <c r="A2476" i="1"/>
  <c r="A2475" i="1"/>
  <c r="A2472" i="1"/>
  <c r="A2470" i="1"/>
  <c r="A2469" i="1"/>
  <c r="A2468" i="1"/>
  <c r="A2467" i="1"/>
  <c r="A2466" i="1"/>
  <c r="A2464" i="1"/>
  <c r="A2463" i="1"/>
  <c r="A2461" i="1"/>
  <c r="A2460" i="1"/>
  <c r="A2459" i="1"/>
  <c r="A2458" i="1"/>
  <c r="A2456" i="1"/>
  <c r="A2454" i="1"/>
  <c r="A2453" i="1"/>
  <c r="A2452" i="1"/>
  <c r="A2451" i="1"/>
  <c r="A2450" i="1"/>
  <c r="A2449" i="1"/>
  <c r="A2448" i="1"/>
  <c r="A2447" i="1"/>
  <c r="A2444" i="1"/>
  <c r="A2443" i="1"/>
  <c r="A2442" i="1"/>
  <c r="A2441" i="1"/>
  <c r="A2440" i="1"/>
  <c r="A2437" i="1"/>
  <c r="A2436" i="1"/>
  <c r="A2435" i="1"/>
  <c r="A2430" i="1"/>
  <c r="A2429" i="1"/>
  <c r="A2428" i="1"/>
  <c r="A2427" i="1"/>
  <c r="A2426" i="1"/>
  <c r="A2425" i="1"/>
  <c r="A2424" i="1"/>
  <c r="A2423" i="1"/>
  <c r="A2422" i="1"/>
  <c r="A2421" i="1"/>
  <c r="A2419" i="1"/>
  <c r="A2418" i="1"/>
  <c r="A2417" i="1"/>
  <c r="A2416" i="1"/>
  <c r="A2415" i="1"/>
  <c r="A2414" i="1"/>
  <c r="A2413" i="1"/>
  <c r="A2412" i="1"/>
  <c r="A2411" i="1"/>
  <c r="A2409" i="1"/>
  <c r="A2408" i="1"/>
  <c r="A2407" i="1"/>
  <c r="A2406" i="1"/>
  <c r="A2405" i="1"/>
  <c r="A2404" i="1"/>
  <c r="A2403" i="1"/>
  <c r="A2402" i="1"/>
  <c r="A2400" i="1"/>
  <c r="A2399" i="1"/>
  <c r="A2398" i="1"/>
  <c r="A2397" i="1"/>
  <c r="A2394" i="1"/>
  <c r="A2393" i="1"/>
  <c r="A2392" i="1"/>
  <c r="A2391" i="1"/>
  <c r="A2390" i="1"/>
  <c r="A2389" i="1"/>
  <c r="A2388" i="1"/>
  <c r="A2386" i="1"/>
  <c r="A2385" i="1"/>
  <c r="A2384" i="1"/>
  <c r="A2383" i="1"/>
  <c r="A2382" i="1"/>
  <c r="A2379" i="1"/>
  <c r="A2378" i="1"/>
  <c r="A2377" i="1"/>
  <c r="A2376" i="1"/>
  <c r="A2370" i="1"/>
  <c r="A2368" i="1"/>
  <c r="A2364" i="1"/>
  <c r="A2363" i="1"/>
  <c r="A2361" i="1"/>
  <c r="A2360" i="1"/>
  <c r="A2357" i="1"/>
  <c r="A2356" i="1"/>
  <c r="A2355" i="1"/>
  <c r="A2354" i="1"/>
  <c r="A2353" i="1"/>
  <c r="A2352" i="1"/>
  <c r="A2351" i="1"/>
  <c r="A2350" i="1"/>
  <c r="A2347" i="1"/>
  <c r="A2346" i="1"/>
  <c r="A2344" i="1"/>
  <c r="A2343" i="1"/>
  <c r="A2342" i="1"/>
  <c r="A2341" i="1"/>
  <c r="A2340" i="1"/>
  <c r="A2339" i="1"/>
  <c r="A2338" i="1"/>
  <c r="A2337" i="1"/>
  <c r="A2334" i="1"/>
  <c r="A2333" i="1"/>
  <c r="A2332" i="1"/>
  <c r="A2330" i="1"/>
  <c r="A2329" i="1"/>
  <c r="A2328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3" i="1"/>
  <c r="A2312" i="1"/>
  <c r="A2311" i="1"/>
  <c r="A2309" i="1"/>
  <c r="A2308" i="1"/>
  <c r="A2307" i="1"/>
  <c r="A2306" i="1"/>
  <c r="A2305" i="1"/>
  <c r="A2304" i="1"/>
  <c r="A2303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4" i="1"/>
  <c r="A2240" i="1"/>
  <c r="A2239" i="1"/>
  <c r="A2238" i="1"/>
  <c r="A2237" i="1"/>
  <c r="A2236" i="1"/>
  <c r="A2235" i="1"/>
  <c r="A2234" i="1"/>
  <c r="A2233" i="1"/>
  <c r="A2229" i="1"/>
  <c r="A2226" i="1"/>
  <c r="A2225" i="1"/>
  <c r="A2224" i="1"/>
  <c r="A2221" i="1"/>
  <c r="A2220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0" i="1"/>
  <c r="A2199" i="1"/>
  <c r="A2198" i="1"/>
  <c r="A2196" i="1"/>
  <c r="A2194" i="1"/>
  <c r="A2193" i="1"/>
  <c r="A2192" i="1"/>
  <c r="A2191" i="1"/>
  <c r="A2190" i="1"/>
  <c r="A2189" i="1"/>
  <c r="A2188" i="1"/>
  <c r="A2187" i="1"/>
  <c r="A2186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3" i="1"/>
  <c r="A2161" i="1"/>
  <c r="A2160" i="1"/>
  <c r="A2159" i="1"/>
  <c r="A2158" i="1"/>
  <c r="A2157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28" i="1"/>
  <c r="A2127" i="1"/>
  <c r="A2126" i="1"/>
  <c r="A2125" i="1"/>
  <c r="A2124" i="1"/>
  <c r="A2123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7" i="1"/>
  <c r="A2096" i="1"/>
  <c r="A2095" i="1"/>
  <c r="A2094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6" i="1"/>
  <c r="A2064" i="1"/>
  <c r="A2063" i="1"/>
  <c r="A2062" i="1"/>
  <c r="A2060" i="1"/>
  <c r="A2057" i="1"/>
  <c r="A2056" i="1"/>
  <c r="A2055" i="1"/>
  <c r="A2051" i="1"/>
  <c r="A2050" i="1"/>
  <c r="A2049" i="1"/>
  <c r="A2048" i="1"/>
  <c r="A2047" i="1"/>
  <c r="A2046" i="1"/>
  <c r="A2045" i="1"/>
  <c r="A2043" i="1"/>
  <c r="A2042" i="1"/>
  <c r="A2041" i="1"/>
  <c r="A2040" i="1"/>
  <c r="A2039" i="1"/>
  <c r="A2035" i="1"/>
  <c r="A2032" i="1"/>
  <c r="A2031" i="1"/>
  <c r="A2029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08" i="1"/>
  <c r="A2006" i="1"/>
  <c r="A2005" i="1"/>
  <c r="A2003" i="1"/>
  <c r="A2002" i="1"/>
  <c r="A2001" i="1"/>
  <c r="A2000" i="1"/>
  <c r="A1999" i="1"/>
  <c r="A1998" i="1"/>
  <c r="A1997" i="1"/>
  <c r="A1993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6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6" i="1"/>
  <c r="A1905" i="1"/>
  <c r="A1904" i="1"/>
  <c r="A1903" i="1"/>
  <c r="A1902" i="1"/>
  <c r="A1900" i="1"/>
  <c r="A1899" i="1"/>
  <c r="A1898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77" i="1"/>
  <c r="A1876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4" i="1"/>
  <c r="A1843" i="1"/>
  <c r="A1842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6" i="1"/>
  <c r="A1824" i="1"/>
  <c r="A1823" i="1"/>
  <c r="A1822" i="1"/>
  <c r="A1821" i="1"/>
  <c r="A1820" i="1"/>
  <c r="A1819" i="1"/>
  <c r="A1818" i="1"/>
  <c r="A1817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6" i="1"/>
  <c r="A1773" i="1"/>
  <c r="A1771" i="1"/>
  <c r="A1770" i="1"/>
  <c r="A1769" i="1"/>
  <c r="A1767" i="1"/>
  <c r="A1766" i="1"/>
  <c r="A1762" i="1"/>
  <c r="A1761" i="1"/>
  <c r="A1755" i="1"/>
  <c r="A1753" i="1"/>
  <c r="A1752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1" i="1"/>
  <c r="A1730" i="1"/>
  <c r="A1729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7" i="1"/>
  <c r="A1696" i="1"/>
  <c r="A1695" i="1"/>
  <c r="A1694" i="1"/>
  <c r="A1693" i="1"/>
  <c r="A1691" i="1"/>
  <c r="A1690" i="1"/>
  <c r="A1688" i="1"/>
  <c r="A1687" i="1"/>
  <c r="A1685" i="1"/>
  <c r="A1682" i="1"/>
  <c r="A1681" i="1"/>
  <c r="A1680" i="1"/>
  <c r="A1679" i="1"/>
  <c r="A1678" i="1"/>
  <c r="A1677" i="1"/>
  <c r="A1676" i="1"/>
  <c r="A1675" i="1"/>
  <c r="A1674" i="1"/>
  <c r="A1673" i="1"/>
  <c r="A1672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3" i="1"/>
  <c r="A1652" i="1"/>
  <c r="A1651" i="1"/>
  <c r="A1650" i="1"/>
  <c r="A1649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1" i="1"/>
  <c r="A1630" i="1"/>
  <c r="A1629" i="1"/>
  <c r="A1628" i="1"/>
  <c r="A1627" i="1"/>
  <c r="A1626" i="1"/>
  <c r="A1625" i="1"/>
  <c r="A1624" i="1"/>
  <c r="A1623" i="1"/>
  <c r="A1622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3" i="1"/>
  <c r="A1582" i="1"/>
  <c r="A1581" i="1"/>
  <c r="A1580" i="1"/>
  <c r="A1579" i="1"/>
  <c r="A1578" i="1"/>
  <c r="A1577" i="1"/>
  <c r="A1575" i="1"/>
  <c r="A1573" i="1"/>
  <c r="A1572" i="1"/>
  <c r="A1571" i="1"/>
  <c r="A1570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3" i="1"/>
  <c r="A1552" i="1"/>
  <c r="A1551" i="1"/>
  <c r="A1550" i="1"/>
  <c r="A1549" i="1"/>
  <c r="A1548" i="1"/>
  <c r="A1547" i="1"/>
  <c r="A1545" i="1"/>
  <c r="A1544" i="1"/>
  <c r="A1543" i="1"/>
  <c r="A1542" i="1"/>
  <c r="A1541" i="1"/>
  <c r="A1540" i="1"/>
  <c r="A1539" i="1"/>
  <c r="A1538" i="1"/>
  <c r="A1537" i="1"/>
  <c r="A1536" i="1"/>
  <c r="A1527" i="1"/>
  <c r="A1526" i="1"/>
  <c r="A1525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2" i="1"/>
  <c r="A1501" i="1"/>
  <c r="A1500" i="1"/>
  <c r="A1499" i="1"/>
  <c r="A1498" i="1"/>
  <c r="A1497" i="1"/>
  <c r="A1496" i="1"/>
  <c r="A1495" i="1"/>
  <c r="A1492" i="1"/>
  <c r="A1491" i="1"/>
  <c r="A1490" i="1"/>
  <c r="A1489" i="1"/>
  <c r="A1488" i="1"/>
  <c r="A1485" i="1"/>
  <c r="A1482" i="1"/>
  <c r="A1481" i="1"/>
  <c r="A1480" i="1"/>
  <c r="A1479" i="1"/>
  <c r="A1478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0" i="1"/>
  <c r="A1457" i="1"/>
  <c r="A1455" i="1"/>
  <c r="A1454" i="1"/>
  <c r="A1453" i="1"/>
  <c r="A1452" i="1"/>
  <c r="A1451" i="1"/>
  <c r="A1449" i="1"/>
  <c r="A1447" i="1"/>
  <c r="A1445" i="1"/>
  <c r="A1444" i="1"/>
  <c r="A1442" i="1"/>
  <c r="A1436" i="1"/>
  <c r="A1434" i="1"/>
  <c r="A1432" i="1"/>
  <c r="A1430" i="1"/>
  <c r="A1429" i="1"/>
  <c r="A1427" i="1"/>
  <c r="A1426" i="1"/>
  <c r="A1424" i="1"/>
  <c r="A1423" i="1"/>
  <c r="A1422" i="1"/>
  <c r="A1421" i="1"/>
  <c r="A1420" i="1"/>
  <c r="A1419" i="1"/>
  <c r="A1418" i="1"/>
  <c r="A1417" i="1"/>
  <c r="A1416" i="1"/>
  <c r="A1415" i="1"/>
  <c r="A1413" i="1"/>
  <c r="A1412" i="1"/>
  <c r="A1410" i="1"/>
  <c r="A1409" i="1"/>
  <c r="A1408" i="1"/>
  <c r="A1406" i="1"/>
  <c r="A1405" i="1"/>
  <c r="A1404" i="1"/>
  <c r="A1403" i="1"/>
  <c r="A1401" i="1"/>
  <c r="A1400" i="1"/>
  <c r="A1399" i="1"/>
  <c r="A1398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5" i="1"/>
  <c r="A1374" i="1"/>
  <c r="A1372" i="1"/>
  <c r="A1371" i="1"/>
  <c r="A1370" i="1"/>
  <c r="A1369" i="1"/>
  <c r="A1367" i="1"/>
  <c r="A1366" i="1"/>
  <c r="A1364" i="1"/>
  <c r="A1363" i="1"/>
  <c r="A1362" i="1"/>
  <c r="A1361" i="1"/>
  <c r="A1360" i="1"/>
  <c r="A1358" i="1"/>
  <c r="A1357" i="1"/>
  <c r="A1356" i="1"/>
  <c r="A1354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3" i="1"/>
  <c r="A1332" i="1"/>
  <c r="A1331" i="1"/>
  <c r="A1330" i="1"/>
  <c r="A1329" i="1"/>
  <c r="A1328" i="1"/>
  <c r="A1327" i="1"/>
  <c r="A1326" i="1"/>
  <c r="A1321" i="1"/>
  <c r="A1318" i="1"/>
  <c r="A1317" i="1"/>
  <c r="A1314" i="1"/>
  <c r="A1313" i="1"/>
  <c r="A1312" i="1"/>
  <c r="A1311" i="1"/>
  <c r="A1310" i="1"/>
  <c r="A1309" i="1"/>
  <c r="A1308" i="1"/>
  <c r="A1307" i="1"/>
  <c r="A1306" i="1"/>
  <c r="A1304" i="1"/>
  <c r="A1303" i="1"/>
  <c r="A1302" i="1"/>
  <c r="A1299" i="1"/>
  <c r="A1298" i="1"/>
  <c r="A1297" i="1"/>
  <c r="A1296" i="1"/>
  <c r="A1295" i="1"/>
  <c r="A1294" i="1"/>
  <c r="A1293" i="1"/>
  <c r="A1292" i="1"/>
  <c r="A1291" i="1"/>
  <c r="A1290" i="1"/>
  <c r="A1287" i="1"/>
  <c r="A1286" i="1"/>
  <c r="A1285" i="1"/>
  <c r="A1284" i="1"/>
  <c r="A1279" i="1"/>
  <c r="A1278" i="1"/>
  <c r="A1277" i="1"/>
  <c r="A1276" i="1"/>
  <c r="A1275" i="1"/>
  <c r="A1274" i="1"/>
  <c r="A1273" i="1"/>
  <c r="A1272" i="1"/>
  <c r="A1270" i="1"/>
  <c r="A1269" i="1"/>
  <c r="A1268" i="1"/>
  <c r="A1267" i="1"/>
  <c r="A1266" i="1"/>
  <c r="A1265" i="1"/>
  <c r="A1264" i="1"/>
  <c r="A1263" i="1"/>
  <c r="A1262" i="1"/>
  <c r="A1260" i="1"/>
  <c r="A1259" i="1"/>
  <c r="A1258" i="1"/>
  <c r="A1257" i="1"/>
  <c r="A1254" i="1"/>
  <c r="A1253" i="1"/>
  <c r="A1252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6" i="1"/>
  <c r="A1235" i="1"/>
  <c r="A1233" i="1"/>
  <c r="A1229" i="1"/>
  <c r="A1228" i="1"/>
  <c r="A1227" i="1"/>
  <c r="A1226" i="1"/>
  <c r="A1225" i="1"/>
  <c r="A1224" i="1"/>
  <c r="A1223" i="1"/>
  <c r="A1222" i="1"/>
  <c r="A1221" i="1"/>
  <c r="A1220" i="1"/>
  <c r="A1219" i="1"/>
  <c r="A1217" i="1"/>
  <c r="A1216" i="1"/>
  <c r="A1215" i="1"/>
  <c r="A1214" i="1"/>
  <c r="A1213" i="1"/>
  <c r="A1212" i="1"/>
  <c r="A1211" i="1"/>
  <c r="A1197" i="1"/>
  <c r="A1195" i="1"/>
  <c r="A1194" i="1"/>
  <c r="A1193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69" i="1"/>
  <c r="A1168" i="1"/>
  <c r="A1167" i="1"/>
  <c r="A1166" i="1"/>
  <c r="A1164" i="1"/>
  <c r="A1163" i="1"/>
  <c r="A1162" i="1"/>
  <c r="A1161" i="1"/>
  <c r="A1160" i="1"/>
  <c r="A1159" i="1"/>
  <c r="A1158" i="1"/>
  <c r="A1156" i="1"/>
  <c r="A1155" i="1"/>
  <c r="A1154" i="1"/>
  <c r="A1153" i="1"/>
  <c r="A1152" i="1"/>
  <c r="A1151" i="1"/>
  <c r="A1143" i="1"/>
  <c r="A1142" i="1"/>
  <c r="A1140" i="1"/>
  <c r="A1139" i="1"/>
  <c r="A1137" i="1"/>
  <c r="A1136" i="1"/>
  <c r="A1135" i="1"/>
  <c r="A1134" i="1"/>
  <c r="A1133" i="1"/>
  <c r="A1132" i="1"/>
  <c r="A1131" i="1"/>
  <c r="A1130" i="1"/>
  <c r="A1129" i="1"/>
  <c r="A1128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2" i="1"/>
  <c r="A1101" i="1"/>
  <c r="A1099" i="1"/>
  <c r="A1098" i="1"/>
  <c r="A1097" i="1"/>
  <c r="A1095" i="1"/>
  <c r="A1094" i="1"/>
  <c r="A1093" i="1"/>
  <c r="A1092" i="1"/>
  <c r="A1091" i="1"/>
  <c r="A1090" i="1"/>
  <c r="A1089" i="1"/>
  <c r="A1087" i="1"/>
  <c r="A1086" i="1"/>
  <c r="A1085" i="1"/>
  <c r="A1084" i="1"/>
  <c r="A1083" i="1"/>
  <c r="A1082" i="1"/>
  <c r="A1081" i="1"/>
  <c r="A1080" i="1"/>
  <c r="A1079" i="1"/>
  <c r="A1074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6" i="1"/>
  <c r="A1051" i="1"/>
  <c r="A1050" i="1"/>
  <c r="A1049" i="1"/>
  <c r="A1048" i="1"/>
  <c r="A1047" i="1"/>
  <c r="A1046" i="1"/>
  <c r="A1045" i="1"/>
  <c r="A1044" i="1"/>
  <c r="A1040" i="1"/>
  <c r="A1039" i="1"/>
  <c r="A1038" i="1"/>
  <c r="A1037" i="1"/>
  <c r="A1035" i="1"/>
  <c r="A1034" i="1"/>
  <c r="A1033" i="1"/>
  <c r="A1032" i="1"/>
  <c r="A1031" i="1"/>
  <c r="A1030" i="1"/>
  <c r="A1029" i="1"/>
  <c r="A1028" i="1"/>
  <c r="A1023" i="1"/>
  <c r="A1020" i="1"/>
  <c r="A1019" i="1"/>
  <c r="A1018" i="1"/>
  <c r="A1017" i="1"/>
  <c r="A1016" i="1"/>
  <c r="A1015" i="1"/>
  <c r="A1014" i="1"/>
  <c r="A1013" i="1"/>
  <c r="A1012" i="1"/>
  <c r="A1010" i="1"/>
  <c r="A1009" i="1"/>
  <c r="A1008" i="1"/>
  <c r="A1007" i="1"/>
  <c r="A1006" i="1"/>
  <c r="A1005" i="1"/>
  <c r="A1004" i="1"/>
  <c r="A1003" i="1"/>
  <c r="A1002" i="1"/>
  <c r="A1001" i="1"/>
  <c r="A998" i="1"/>
  <c r="A997" i="1"/>
  <c r="A996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0" i="1"/>
  <c r="A976" i="1"/>
  <c r="A975" i="1"/>
  <c r="A974" i="1"/>
  <c r="A973" i="1"/>
  <c r="A972" i="1"/>
  <c r="A971" i="1"/>
  <c r="A968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49" i="1"/>
  <c r="A948" i="1"/>
  <c r="A947" i="1"/>
  <c r="A946" i="1"/>
  <c r="A945" i="1"/>
  <c r="A944" i="1"/>
  <c r="A943" i="1"/>
  <c r="A941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5" i="1"/>
  <c r="A922" i="1"/>
  <c r="A921" i="1"/>
  <c r="A920" i="1"/>
  <c r="A919" i="1"/>
  <c r="A917" i="1"/>
  <c r="A916" i="1"/>
  <c r="A915" i="1"/>
  <c r="A914" i="1"/>
  <c r="A913" i="1"/>
  <c r="A912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67" i="1"/>
  <c r="A865" i="1"/>
  <c r="A864" i="1"/>
  <c r="A863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0" i="1"/>
  <c r="A829" i="1"/>
  <c r="A828" i="1"/>
  <c r="A827" i="1"/>
  <c r="A826" i="1"/>
  <c r="A825" i="1"/>
  <c r="A824" i="1"/>
  <c r="A823" i="1"/>
  <c r="A821" i="1"/>
  <c r="A820" i="1"/>
  <c r="A819" i="1"/>
  <c r="A818" i="1"/>
  <c r="A817" i="1"/>
  <c r="A814" i="1"/>
  <c r="A813" i="1"/>
  <c r="A812" i="1"/>
  <c r="A811" i="1"/>
  <c r="A810" i="1"/>
  <c r="A809" i="1"/>
  <c r="A808" i="1"/>
  <c r="A806" i="1"/>
  <c r="A805" i="1"/>
  <c r="A803" i="1"/>
  <c r="A802" i="1"/>
  <c r="A801" i="1"/>
  <c r="A800" i="1"/>
  <c r="A793" i="1"/>
  <c r="A792" i="1"/>
  <c r="A791" i="1"/>
  <c r="A790" i="1"/>
  <c r="A788" i="1"/>
  <c r="A787" i="1"/>
  <c r="A786" i="1"/>
  <c r="A785" i="1"/>
  <c r="A784" i="1"/>
  <c r="A783" i="1"/>
  <c r="A782" i="1"/>
  <c r="A778" i="1"/>
  <c r="A777" i="1"/>
  <c r="A774" i="1"/>
  <c r="A773" i="1"/>
  <c r="A772" i="1"/>
  <c r="A770" i="1"/>
  <c r="A769" i="1"/>
  <c r="A768" i="1"/>
  <c r="A767" i="1"/>
  <c r="A766" i="1"/>
  <c r="A765" i="1"/>
  <c r="A764" i="1"/>
  <c r="A763" i="1"/>
  <c r="A762" i="1"/>
  <c r="A761" i="1"/>
  <c r="A760" i="1"/>
  <c r="A757" i="1"/>
  <c r="A753" i="1"/>
  <c r="A752" i="1"/>
  <c r="A751" i="1"/>
  <c r="A750" i="1"/>
  <c r="A748" i="1"/>
  <c r="A747" i="1"/>
  <c r="A746" i="1"/>
  <c r="A745" i="1"/>
  <c r="A744" i="1"/>
  <c r="A743" i="1"/>
  <c r="A742" i="1"/>
  <c r="A741" i="1"/>
  <c r="A739" i="1"/>
  <c r="A737" i="1"/>
  <c r="A735" i="1"/>
  <c r="A734" i="1"/>
  <c r="A733" i="1"/>
  <c r="A731" i="1"/>
  <c r="A730" i="1"/>
  <c r="A729" i="1"/>
  <c r="A728" i="1"/>
  <c r="A727" i="1"/>
  <c r="A726" i="1"/>
  <c r="A725" i="1"/>
  <c r="A724" i="1"/>
  <c r="A722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5" i="1"/>
  <c r="A704" i="1"/>
  <c r="A703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0" i="1"/>
  <c r="A678" i="1"/>
  <c r="A677" i="1"/>
  <c r="A676" i="1"/>
  <c r="A675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59" i="1"/>
  <c r="A657" i="1"/>
  <c r="A655" i="1"/>
  <c r="A654" i="1"/>
  <c r="A653" i="1"/>
  <c r="A652" i="1"/>
  <c r="A651" i="1"/>
  <c r="A650" i="1"/>
  <c r="A649" i="1"/>
  <c r="A648" i="1"/>
  <c r="A646" i="1"/>
  <c r="A645" i="1"/>
  <c r="A643" i="1"/>
  <c r="A642" i="1"/>
  <c r="A641" i="1"/>
  <c r="A639" i="1"/>
  <c r="A635" i="1"/>
  <c r="A634" i="1"/>
  <c r="A633" i="1"/>
  <c r="A632" i="1"/>
  <c r="A631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1" i="1"/>
  <c r="A600" i="1"/>
  <c r="A599" i="1"/>
  <c r="A597" i="1"/>
  <c r="A596" i="1"/>
  <c r="A594" i="1"/>
  <c r="A593" i="1"/>
  <c r="A592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2" i="1"/>
  <c r="A551" i="1"/>
  <c r="A549" i="1"/>
  <c r="A548" i="1"/>
  <c r="A547" i="1"/>
  <c r="A545" i="1"/>
  <c r="A544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29" i="1"/>
  <c r="A528" i="1"/>
  <c r="A527" i="1"/>
  <c r="A526" i="1"/>
  <c r="A525" i="1"/>
  <c r="A523" i="1"/>
  <c r="A522" i="1"/>
  <c r="A519" i="1"/>
  <c r="A515" i="1"/>
  <c r="A513" i="1"/>
  <c r="A510" i="1"/>
  <c r="A509" i="1"/>
  <c r="A506" i="1"/>
  <c r="A504" i="1"/>
  <c r="A503" i="1"/>
  <c r="A502" i="1"/>
  <c r="A501" i="1"/>
  <c r="A500" i="1"/>
  <c r="A499" i="1"/>
  <c r="A498" i="1"/>
  <c r="A497" i="1"/>
  <c r="A496" i="1"/>
  <c r="A494" i="1"/>
  <c r="A493" i="1"/>
  <c r="A492" i="1"/>
  <c r="A491" i="1"/>
  <c r="A490" i="1"/>
  <c r="A489" i="1"/>
  <c r="A488" i="1"/>
  <c r="A487" i="1"/>
  <c r="A486" i="1"/>
  <c r="A485" i="1"/>
  <c r="A484" i="1"/>
  <c r="A481" i="1"/>
  <c r="A480" i="1"/>
  <c r="A479" i="1"/>
  <c r="A478" i="1"/>
  <c r="A475" i="1"/>
  <c r="A474" i="1"/>
  <c r="A472" i="1"/>
  <c r="A471" i="1"/>
  <c r="A470" i="1"/>
  <c r="A469" i="1"/>
  <c r="A467" i="1"/>
  <c r="A466" i="1"/>
  <c r="A465" i="1"/>
  <c r="A463" i="1"/>
  <c r="A462" i="1"/>
  <c r="A461" i="1"/>
  <c r="A458" i="1"/>
  <c r="A457" i="1"/>
  <c r="A456" i="1"/>
  <c r="A455" i="1"/>
  <c r="A453" i="1"/>
  <c r="A452" i="1"/>
  <c r="A451" i="1"/>
  <c r="A450" i="1"/>
  <c r="A449" i="1"/>
  <c r="A448" i="1"/>
  <c r="A446" i="1"/>
  <c r="A445" i="1"/>
  <c r="A442" i="1"/>
  <c r="A441" i="1"/>
  <c r="A440" i="1"/>
  <c r="A439" i="1"/>
  <c r="A438" i="1"/>
  <c r="A437" i="1"/>
  <c r="A436" i="1"/>
  <c r="A435" i="1"/>
  <c r="A434" i="1"/>
  <c r="A433" i="1"/>
  <c r="A432" i="1"/>
  <c r="A428" i="1"/>
  <c r="A427" i="1"/>
  <c r="A426" i="1"/>
  <c r="A425" i="1"/>
  <c r="A424" i="1"/>
  <c r="A423" i="1"/>
  <c r="A422" i="1"/>
  <c r="A421" i="1"/>
  <c r="A420" i="1"/>
  <c r="A418" i="1"/>
  <c r="A417" i="1"/>
  <c r="A416" i="1"/>
  <c r="A415" i="1"/>
  <c r="A414" i="1"/>
  <c r="A413" i="1"/>
  <c r="A412" i="1"/>
  <c r="A410" i="1"/>
  <c r="A409" i="1"/>
  <c r="A408" i="1"/>
  <c r="A407" i="1"/>
  <c r="A405" i="1"/>
  <c r="A404" i="1"/>
  <c r="A403" i="1"/>
  <c r="A402" i="1"/>
  <c r="A401" i="1"/>
  <c r="A400" i="1"/>
  <c r="A399" i="1"/>
  <c r="A398" i="1"/>
  <c r="A397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0" i="1"/>
  <c r="A377" i="1"/>
  <c r="A376" i="1"/>
  <c r="A373" i="1"/>
  <c r="A372" i="1"/>
  <c r="A371" i="1"/>
  <c r="A370" i="1"/>
  <c r="A368" i="1"/>
  <c r="A367" i="1"/>
  <c r="A365" i="1"/>
  <c r="A364" i="1"/>
  <c r="A363" i="1"/>
  <c r="A362" i="1"/>
  <c r="A361" i="1"/>
  <c r="A360" i="1"/>
  <c r="A359" i="1"/>
  <c r="A358" i="1"/>
  <c r="A357" i="1"/>
  <c r="A356" i="1"/>
  <c r="A352" i="1"/>
  <c r="A351" i="1"/>
  <c r="A350" i="1"/>
  <c r="A349" i="1"/>
  <c r="A348" i="1"/>
  <c r="A347" i="1"/>
  <c r="A346" i="1"/>
  <c r="A345" i="1"/>
  <c r="A342" i="1"/>
  <c r="A341" i="1"/>
  <c r="A340" i="1"/>
  <c r="A339" i="1"/>
  <c r="A338" i="1"/>
  <c r="A337" i="1"/>
  <c r="A336" i="1"/>
  <c r="A332" i="1"/>
  <c r="A331" i="1"/>
  <c r="A330" i="1"/>
  <c r="A329" i="1"/>
  <c r="A328" i="1"/>
  <c r="A327" i="1"/>
  <c r="A326" i="1"/>
  <c r="A323" i="1"/>
  <c r="A322" i="1"/>
  <c r="A321" i="1"/>
  <c r="A318" i="1"/>
  <c r="A317" i="1"/>
  <c r="A316" i="1"/>
  <c r="A315" i="1"/>
  <c r="A314" i="1"/>
  <c r="A313" i="1"/>
  <c r="A312" i="1"/>
  <c r="A310" i="1"/>
  <c r="A309" i="1"/>
  <c r="A308" i="1"/>
  <c r="A307" i="1"/>
  <c r="A305" i="1"/>
  <c r="A304" i="1"/>
  <c r="A303" i="1"/>
  <c r="A302" i="1"/>
  <c r="A301" i="1"/>
  <c r="A300" i="1"/>
  <c r="A299" i="1"/>
  <c r="A298" i="1"/>
  <c r="A297" i="1"/>
  <c r="A294" i="1"/>
  <c r="A293" i="1"/>
  <c r="A292" i="1"/>
  <c r="A291" i="1"/>
  <c r="A290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2" i="1"/>
  <c r="A271" i="1"/>
  <c r="A269" i="1"/>
  <c r="A268" i="1"/>
  <c r="A267" i="1"/>
  <c r="A266" i="1"/>
  <c r="A265" i="1"/>
  <c r="A264" i="1"/>
  <c r="A263" i="1"/>
  <c r="A262" i="1"/>
  <c r="A261" i="1"/>
  <c r="A259" i="1"/>
  <c r="A258" i="1"/>
  <c r="A257" i="1"/>
  <c r="A256" i="1"/>
  <c r="A255" i="1"/>
  <c r="A254" i="1"/>
  <c r="A251" i="1"/>
  <c r="A250" i="1"/>
  <c r="A249" i="1"/>
  <c r="A248" i="1"/>
  <c r="A247" i="1"/>
  <c r="A244" i="1"/>
  <c r="A242" i="1"/>
  <c r="A241" i="1"/>
  <c r="A239" i="1"/>
  <c r="A238" i="1"/>
  <c r="A237" i="1"/>
  <c r="A236" i="1"/>
  <c r="A235" i="1"/>
  <c r="A234" i="1"/>
  <c r="A233" i="1"/>
  <c r="A227" i="1"/>
  <c r="A226" i="1"/>
  <c r="A225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5" i="1"/>
  <c r="A204" i="1"/>
  <c r="A203" i="1"/>
  <c r="A202" i="1"/>
  <c r="A201" i="1"/>
  <c r="A200" i="1"/>
  <c r="A199" i="1"/>
  <c r="A198" i="1"/>
  <c r="A197" i="1"/>
  <c r="A191" i="1"/>
  <c r="A190" i="1"/>
  <c r="A189" i="1"/>
  <c r="A188" i="1"/>
  <c r="A186" i="1"/>
  <c r="A185" i="1"/>
  <c r="A184" i="1"/>
  <c r="A183" i="1"/>
  <c r="A182" i="1"/>
  <c r="A180" i="1"/>
  <c r="A179" i="1"/>
  <c r="A178" i="1"/>
  <c r="A177" i="1"/>
  <c r="A175" i="1"/>
  <c r="A174" i="1"/>
  <c r="A171" i="1"/>
  <c r="A170" i="1"/>
  <c r="A169" i="1"/>
  <c r="A168" i="1"/>
  <c r="A167" i="1"/>
  <c r="A165" i="1"/>
  <c r="A164" i="1"/>
  <c r="A163" i="1"/>
  <c r="A161" i="1"/>
  <c r="A159" i="1"/>
  <c r="A158" i="1"/>
  <c r="A157" i="1"/>
  <c r="A155" i="1"/>
  <c r="A154" i="1"/>
  <c r="A152" i="1"/>
  <c r="A151" i="1"/>
  <c r="A150" i="1"/>
  <c r="A149" i="1"/>
  <c r="A148" i="1"/>
  <c r="A147" i="1"/>
  <c r="A146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1" i="1"/>
  <c r="A40" i="1"/>
  <c r="A39" i="1"/>
  <c r="A38" i="1"/>
  <c r="A37" i="1"/>
  <c r="A36" i="1"/>
  <c r="A35" i="1"/>
  <c r="A34" i="1"/>
  <c r="A33" i="1"/>
  <c r="A31" i="1"/>
  <c r="A30" i="1"/>
  <c r="A28" i="1"/>
  <c r="A24" i="1"/>
  <c r="A23" i="1"/>
  <c r="A22" i="1"/>
  <c r="A21" i="1"/>
  <c r="A17" i="1"/>
  <c r="A16" i="1"/>
  <c r="A15" i="1"/>
  <c r="A14" i="1"/>
  <c r="A13" i="1"/>
  <c r="A12" i="1"/>
  <c r="A11" i="1"/>
  <c r="A10" i="1"/>
  <c r="A9" i="1"/>
  <c r="A8" i="1"/>
  <c r="A7" i="1"/>
  <c r="A5" i="1"/>
  <c r="A4" i="1"/>
  <c r="A3" i="1"/>
  <c r="A2" i="1"/>
</calcChain>
</file>

<file path=xl/sharedStrings.xml><?xml version="1.0" encoding="utf-8"?>
<sst xmlns="http://schemas.openxmlformats.org/spreadsheetml/2006/main" count="9101" uniqueCount="1403">
  <si>
    <t>Local .xlsx Path</t>
  </si>
  <si>
    <t>Table Id</t>
  </si>
  <si>
    <t>Table Id in Page</t>
  </si>
  <si>
    <t>URL</t>
  </si>
  <si>
    <t>Domain</t>
  </si>
  <si>
    <t>Table 1</t>
  </si>
  <si>
    <t>https://www150.statcan.gc.ca/n1/pub/62f0014m/62f0014m2020014-eng.htm</t>
  </si>
  <si>
    <t>Agriculture and food</t>
  </si>
  <si>
    <t>https://www150.statcan.gc.ca/n1/pub/82-003-x/2020004/article/00001-eng.htm</t>
  </si>
  <si>
    <t>https://www150.statcan.gc.ca/n1/pub/21-004-x/2019001/article/00002-eng.htm</t>
  </si>
  <si>
    <t>Table 2</t>
  </si>
  <si>
    <t>4.xlsx(--)</t>
  </si>
  <si>
    <t>https://www150.statcan.gc.ca/n1/pub/16-508-x/16-508-x2019004-eng.htm</t>
  </si>
  <si>
    <t>https://www150.statcan.gc.ca/n1/pub/82-003-x/2019007/article/00003-eng.htm</t>
  </si>
  <si>
    <t>Table 3</t>
  </si>
  <si>
    <t>Table 4</t>
  </si>
  <si>
    <t>https://www150.statcan.gc.ca/n1/pub/96-325-x/2019001/article/00003-eng.htm</t>
  </si>
  <si>
    <t>https://www150.statcan.gc.ca/n1/pub/21-004-x/2019001/article/00001-eng.htm</t>
  </si>
  <si>
    <t>https://www150.statcan.gc.ca/n1/pub/96-325-x/2019001/article/00001-eng.htm</t>
  </si>
  <si>
    <t>https://www150.statcan.gc.ca/n1/pub/82-003-x/2019001/article/00002-eng.htm</t>
  </si>
  <si>
    <t>16.xlsx(--)</t>
  </si>
  <si>
    <t>17.xlsx(--)</t>
  </si>
  <si>
    <t>Table 5</t>
  </si>
  <si>
    <t>18.xlsx(--)</t>
  </si>
  <si>
    <t>Table 6</t>
  </si>
  <si>
    <t>https://www150.statcan.gc.ca/n1/pub/96-325-x/2017001/article/54925-eng.htm</t>
  </si>
  <si>
    <t>https://www150.statcan.gc.ca/n1/pub/21-004-x/2018001/article/00001-eng.htm</t>
  </si>
  <si>
    <t>https://www150.statcan.gc.ca/n1/pub/82-003-x/2018005/article/54965-eng.htm</t>
  </si>
  <si>
    <t>23.xlsx(--)</t>
  </si>
  <si>
    <t>24.xlsx(--)</t>
  </si>
  <si>
    <t>25.xlsx(--)</t>
  </si>
  <si>
    <t>27.xlsx(--)</t>
  </si>
  <si>
    <t>https://www150.statcan.gc.ca/n1/pub/96-325-x/2017001/article/54924-eng.htm</t>
  </si>
  <si>
    <t>30.xlsx(--)</t>
  </si>
  <si>
    <t>https://www150.statcan.gc.ca/n1/pub/82-003-x/2018001/article/54901-eng.htm</t>
  </si>
  <si>
    <t>https://www150.statcan.gc.ca/n1/pub/96-325-x/2017001/article/54873-eng.htm</t>
  </si>
  <si>
    <t>40.xlsx(--)</t>
  </si>
  <si>
    <t>41.xlsx(--)</t>
  </si>
  <si>
    <t>https://www150.statcan.gc.ca/n1/pub/96-325-x/2017001/article/54874-eng.htm</t>
  </si>
  <si>
    <t>42.xlsx(--)</t>
  </si>
  <si>
    <t>43.xlsx(--)</t>
  </si>
  <si>
    <t>44.xlsx(--)</t>
  </si>
  <si>
    <t>https://www150.statcan.gc.ca/n1/pub/82-003-x/2017009/article/54856-eng.htm</t>
  </si>
  <si>
    <t>https://www150.statcan.gc.ca/n1/pub/89-657-x/89-657-x2017003-eng.htm</t>
  </si>
  <si>
    <t>Table 8</t>
  </si>
  <si>
    <t>Table 9</t>
  </si>
  <si>
    <t>Table 10</t>
  </si>
  <si>
    <t>Table 11</t>
  </si>
  <si>
    <t>Table 12</t>
  </si>
  <si>
    <t>Table 13</t>
  </si>
  <si>
    <t>Table 14</t>
  </si>
  <si>
    <t>Table 15</t>
  </si>
  <si>
    <t>Table 16</t>
  </si>
  <si>
    <t>Table 17</t>
  </si>
  <si>
    <t>Table 18</t>
  </si>
  <si>
    <t>Table 19</t>
  </si>
  <si>
    <t>Table 20</t>
  </si>
  <si>
    <t>Table 21</t>
  </si>
  <si>
    <t>https://www150.statcan.gc.ca/n1/pub/89-657-x/89-657-x2017004-eng.htm</t>
  </si>
  <si>
    <t>https://www150.statcan.gc.ca/n1/pub/89-657-x/89-657-x2017005-eng.htm</t>
  </si>
  <si>
    <t>Table 7</t>
  </si>
  <si>
    <t>https://www150.statcan.gc.ca/n1/pub/89-657-x/89-657-x2017006-eng.htm</t>
  </si>
  <si>
    <t>Table 12a</t>
  </si>
  <si>
    <t>Table 12b</t>
  </si>
  <si>
    <t>https://www150.statcan.gc.ca/n1/pub/75-006-x/2017001/article/14774-eng.htm</t>
  </si>
  <si>
    <t>https://www150.statcan.gc.ca/n1/pub/82-003-x/2016005/article/14612-eng.htm</t>
  </si>
  <si>
    <t>https://www150.statcan.gc.ca/n1/pub/16-002-x/2015002/article/14133-eng.htm</t>
  </si>
  <si>
    <t>117.xlsx(--)</t>
  </si>
  <si>
    <t>https://www150.statcan.gc.ca/n1/pub/13-604-m/13-604-m2016081-eng.htm</t>
  </si>
  <si>
    <t>Business and consumer services and culture</t>
  </si>
  <si>
    <t>https://www150.statcan.gc.ca/n1/pub/45-28-0001/2020001/article/00090-eng.htm</t>
  </si>
  <si>
    <t>Business performance and ownership</t>
  </si>
  <si>
    <t>https://www150.statcan.gc.ca/n1/pub/11f0019m/11f0019m2020019-eng.htm</t>
  </si>
  <si>
    <t>130.xlsx(--)</t>
  </si>
  <si>
    <t>https://www150.statcan.gc.ca/n1/pub/11f0019m/11f0019m2020013-eng.htm</t>
  </si>
  <si>
    <t>https://www150.statcan.gc.ca/n1/pub/11-633-x/11-633-x2020003-eng.htm</t>
  </si>
  <si>
    <t>https://www150.statcan.gc.ca/n1/pub/11-626-x/11-626-x2020014-eng.htm</t>
  </si>
  <si>
    <t>https://www150.statcan.gc.ca/n1/pub/11f0019m/11f0019m2020010-eng.htm</t>
  </si>
  <si>
    <t>143.xlsx(--)</t>
  </si>
  <si>
    <t>https://www150.statcan.gc.ca/n1/pub/11f0019m/11f0019m2020009-eng.htm</t>
  </si>
  <si>
    <t>https://www150.statcan.gc.ca/n1/pub/11f0019m/11f0019m2020008-eng.htm</t>
  </si>
  <si>
    <t>151.xlsx(--)</t>
  </si>
  <si>
    <t>154.xlsx(--)</t>
  </si>
  <si>
    <t>https://www150.statcan.gc.ca/n1/pub/11f0019m/11f0019m2020006-eng.htm</t>
  </si>
  <si>
    <t>158.xlsx(--)</t>
  </si>
  <si>
    <t>160.xlsx(--)</t>
  </si>
  <si>
    <t>https://www150.statcan.gc.ca/n1/pub/11f0019m/11f0019m2020007-eng.htm</t>
  </si>
  <si>
    <t>164.xlsx(--)</t>
  </si>
  <si>
    <t>https://www150.statcan.gc.ca/n1/pub/11f0019m/11f0019m2020005-eng.htm</t>
  </si>
  <si>
    <t>170.xlsx(--)</t>
  </si>
  <si>
    <t>171.xlsx(--)</t>
  </si>
  <si>
    <t>https://www150.statcan.gc.ca/n1/pub/11f0019m/11f0019m2020001-eng.htm</t>
  </si>
  <si>
    <t>174.xlsx(--)</t>
  </si>
  <si>
    <t>https://www150.statcan.gc.ca/n1/pub/11f0019m/11f0019m2020002-eng.htm</t>
  </si>
  <si>
    <t>179.xlsx(--)</t>
  </si>
  <si>
    <t>https://www150.statcan.gc.ca/n1/pub/13-605-x/2019001/article/00012-eng.htm</t>
  </si>
  <si>
    <t>185.xlsx(--)</t>
  </si>
  <si>
    <t>https://www150.statcan.gc.ca/n1/pub/18-001-x/18-001-x2019002-eng.htm</t>
  </si>
  <si>
    <t>190.xlsx(--)</t>
  </si>
  <si>
    <t>191.xlsx(--)</t>
  </si>
  <si>
    <t>192.xlsx(--)</t>
  </si>
  <si>
    <t>193.xlsx(--)</t>
  </si>
  <si>
    <t>194.xlsx(--)</t>
  </si>
  <si>
    <t>204.xlsx(--)</t>
  </si>
  <si>
    <t>https://www150.statcan.gc.ca/n1/pub/11-626-x/11-626-x2019012-eng.htm</t>
  </si>
  <si>
    <t>https://www150.statcan.gc.ca/n1/pub/11f0019m/11f0019m2019014-eng.htm</t>
  </si>
  <si>
    <t>Table 13-1</t>
  </si>
  <si>
    <t>Table 13-2</t>
  </si>
  <si>
    <t>Table 14-1</t>
  </si>
  <si>
    <t>Table 14-2</t>
  </si>
  <si>
    <t>219.xlsx(--)</t>
  </si>
  <si>
    <t>220.xlsx(--)</t>
  </si>
  <si>
    <t>221.xlsx(--)</t>
  </si>
  <si>
    <t>222.xlsx(--)</t>
  </si>
  <si>
    <t>https://www150.statcan.gc.ca/n1/pub/82-003-x/2016004/article/14490-eng.htm</t>
  </si>
  <si>
    <t>Health</t>
  </si>
  <si>
    <t>226.xlsx(--)</t>
  </si>
  <si>
    <t>227.xlsx(--)</t>
  </si>
  <si>
    <t>228.xlsx(--)</t>
  </si>
  <si>
    <t>https://www150.statcan.gc.ca/n1/pub/89-657-x/89-657-x2019006-eng.htm</t>
  </si>
  <si>
    <t>Languages</t>
  </si>
  <si>
    <t>229.xlsx(--)</t>
  </si>
  <si>
    <t>230.xlsx(--)</t>
  </si>
  <si>
    <t>https://www150.statcan.gc.ca/n1/pub/11-626-x/11-626-x2017074-eng.htm</t>
  </si>
  <si>
    <t>Manufacturing</t>
  </si>
  <si>
    <t>https://www150.statcan.gc.ca/n1/pub/75-006-x/2016001/article/14643-eng.htm</t>
  </si>
  <si>
    <t>Labour</t>
  </si>
  <si>
    <t>https://www150.statcan.gc.ca/n1/pub/82-003-x/2020008/article/00002-eng.htm</t>
  </si>
  <si>
    <t>238.xlsx(--)</t>
  </si>
  <si>
    <t>https://www150.statcan.gc.ca/n1/pub/11f0019m/11f0019m2016385-eng.htm</t>
  </si>
  <si>
    <t>241.xlsx(--)</t>
  </si>
  <si>
    <t>243.xlsx(--)</t>
  </si>
  <si>
    <t>244.xlsx(--)</t>
  </si>
  <si>
    <t>https://www150.statcan.gc.ca/n1/pub/75-006-x/2019001/article/00001-eng.htm</t>
  </si>
  <si>
    <t>Immigration and ethnocultural diversity</t>
  </si>
  <si>
    <t>250.xlsx(--)</t>
  </si>
  <si>
    <t>https://www150.statcan.gc.ca/n1/pub/89-657-x/89-657-x2019004-eng.htm</t>
  </si>
  <si>
    <t>251.xlsx(--)</t>
  </si>
  <si>
    <t>https://www150.statcan.gc.ca/n1/pub/91-209-x/2016001/article/14650-eng.htm</t>
  </si>
  <si>
    <t>Population and demography</t>
  </si>
  <si>
    <t>https://www150.statcan.gc.ca/pub/82-003-x/2019006/article/00002-eng.htm</t>
  </si>
  <si>
    <t>258.xlsx(--)</t>
  </si>
  <si>
    <t>https://www150.statcan.gc.ca/n1/pub/11f0019m/11f0019m2018402-eng.htm</t>
  </si>
  <si>
    <t>https://www150.statcan.gc.ca/n1/pub/82-003-x/2016009/article/14652-eng.htm</t>
  </si>
  <si>
    <t>https://www150.statcan.gc.ca/n1/pub/11-626-x/11-626-x2020017-eng.htm</t>
  </si>
  <si>
    <t>Society and community</t>
  </si>
  <si>
    <t>https://www150.statcan.gc.ca/n1/pub/82-003-x/2015010/article/14228-eng.htm</t>
  </si>
  <si>
    <t>Statistical methods</t>
  </si>
  <si>
    <t>268.xlsx(--)</t>
  </si>
  <si>
    <t>https://www150.statcan.gc.ca/n1/pub/85-002-x/2015001/article/14146-eng.htm</t>
  </si>
  <si>
    <t>Crime and justice</t>
  </si>
  <si>
    <t>271.xlsx(--)</t>
  </si>
  <si>
    <t>https://www150.statcan.gc.ca/n1/pub/75-006-x/2017001/article/54898-eng.htm</t>
  </si>
  <si>
    <t>https://www150.statcan.gc.ca/n1/pub/11f0019m/11f0019m2017392-eng.htm</t>
  </si>
  <si>
    <t>Education, training and learning</t>
  </si>
  <si>
    <t>286.xlsx(--)</t>
  </si>
  <si>
    <t>https://www150.statcan.gc.ca/n1/pub/75-006-x/2018001/article/54978-eng.htm</t>
  </si>
  <si>
    <t>287.xlsx(--)</t>
  </si>
  <si>
    <t>https://www150.statcan.gc.ca/n1/pub/11-626-x/11-626-x2019015-eng.htm</t>
  </si>
  <si>
    <t>https://www150.statcan.gc.ca/n1/pub/82-003-x/2017012/article/54892-eng.htm</t>
  </si>
  <si>
    <t>Indigenous peoples</t>
  </si>
  <si>
    <t>293.xlsx(--)</t>
  </si>
  <si>
    <t>294.xlsx(--)</t>
  </si>
  <si>
    <t>https://www150.statcan.gc.ca/n1/pub/82-003-x/2021001/article/00001-eng.htm</t>
  </si>
  <si>
    <t>Children and youth</t>
  </si>
  <si>
    <t>https://www150.statcan.gc.ca/n1/pub/82-003-x/2015002/article/14139-eng.htm</t>
  </si>
  <si>
    <t>https://www150.statcan.gc.ca/n1/pub/82-003-x/2015010/article/14222-eng.htm</t>
  </si>
  <si>
    <t>304.xlsx(--)</t>
  </si>
  <si>
    <t>https://www150.statcan.gc.ca/n1/pub/75-004-m/75-004-m2020002-eng.htm</t>
  </si>
  <si>
    <t>309.xlsx(--)</t>
  </si>
  <si>
    <t>https://www150.statcan.gc.ca/n1/pub/82-003-x/2016012/article/14687-eng.htm</t>
  </si>
  <si>
    <t>317.xlsx(--)</t>
  </si>
  <si>
    <t>https://www150.statcan.gc.ca/n1/pub/75-006-x/2015001/article/14167-eng.htm</t>
  </si>
  <si>
    <t>Income, pensions, spending and wealth</t>
  </si>
  <si>
    <t>318.xlsx(--)</t>
  </si>
  <si>
    <t>https://www150.statcan.gc.ca/n1/pub/89-648-x/89-648-x2020003-eng.htm</t>
  </si>
  <si>
    <t>322.xlsx(--)</t>
  </si>
  <si>
    <t>323.xlsx(--)</t>
  </si>
  <si>
    <t>https://www150.statcan.gc.ca/n1/pub/91-209-x/2018001/article/54958-eng.htm</t>
  </si>
  <si>
    <t>https://www150.statcan.gc.ca/n1/pub/82-003-x/2019004/article/00001-eng.htm</t>
  </si>
  <si>
    <t>331.xlsx(--)</t>
  </si>
  <si>
    <t>332.xlsx(--)</t>
  </si>
  <si>
    <t>333.xlsx(--)</t>
  </si>
  <si>
    <t>https://www150.statcan.gc.ca/n1/pub/89-653-x/89-653-x2019004-eng.htm</t>
  </si>
  <si>
    <t>https://www150.statcan.gc.ca/n1/pub/89-503-x/2015001/article/14785-eng.htm</t>
  </si>
  <si>
    <t>341.xlsx(--)</t>
  </si>
  <si>
    <t>342.xlsx(--)</t>
  </si>
  <si>
    <t>https://www150.statcan.gc.ca/n1/pub/82-624-x/2015001/article/14218-eng.htm</t>
  </si>
  <si>
    <t>351.xlsx(--)</t>
  </si>
  <si>
    <t>352.xlsx(--)</t>
  </si>
  <si>
    <t>https://www150.statcan.gc.ca/n1/pub/82-003-x/2019003/article/00001-eng.htm</t>
  </si>
  <si>
    <t>353.xlsx(--)</t>
  </si>
  <si>
    <t>https://www150.statcan.gc.ca/n1/pub/85-002-x/2018001/article/54912-eng.htm</t>
  </si>
  <si>
    <t>https://www150.statcan.gc.ca/n1/pub/82-003-x/2019012/article/00001-eng.htm</t>
  </si>
  <si>
    <t>364.xlsx(--)</t>
  </si>
  <si>
    <t>https://www150.statcan.gc.ca/n1/pub/82-003-x/2018009/article/00001-eng.htm</t>
  </si>
  <si>
    <t>367.xlsx(--)</t>
  </si>
  <si>
    <t>https://www150.statcan.gc.ca/n1/pub/11f0019m/11f0019m2018410-eng.htm</t>
  </si>
  <si>
    <t>372.xlsx(--)</t>
  </si>
  <si>
    <t>373.xlsx(--)</t>
  </si>
  <si>
    <t>376.xlsx(--)</t>
  </si>
  <si>
    <t>Table 8-1</t>
  </si>
  <si>
    <t>377.xlsx(--)</t>
  </si>
  <si>
    <t>Table 8-2</t>
  </si>
  <si>
    <t>https://www150.statcan.gc.ca/n1/pub/11-633-x/11-633-x2016003-eng.htm</t>
  </si>
  <si>
    <t>379.xlsx(--)</t>
  </si>
  <si>
    <t>https://www150.statcan.gc.ca/n1/pub/89-654-x/89-654-x2015001-eng.htm</t>
  </si>
  <si>
    <t>https://www150.statcan.gc.ca/n1/pub/13-605-x/2018001/article/54964-eng.htm</t>
  </si>
  <si>
    <t>Retail and wholesale</t>
  </si>
  <si>
    <t>394.xlsx(--)</t>
  </si>
  <si>
    <t>https://www150.statcan.gc.ca/n1/pub/82-003-x/2015003/article/14143-eng.htm</t>
  </si>
  <si>
    <t>https://www150.statcan.gc.ca/n1/pub/75-006-x/2016001/article/14630-eng.htm</t>
  </si>
  <si>
    <t>https://www150.statcan.gc.ca/n1/pub/82-003-x/2018004/article/54950-eng.htm</t>
  </si>
  <si>
    <t>https://www150.statcan.gc.ca/n1/pub/82-003-x/2017002/article/14773-eng.htm</t>
  </si>
  <si>
    <t>404.xlsx(--)</t>
  </si>
  <si>
    <t>https://www150.statcan.gc.ca/n1/pub/11f0019m/11f0019m2019025-eng.htm</t>
  </si>
  <si>
    <t>409.xlsx(--)</t>
  </si>
  <si>
    <t>https://www150.statcan.gc.ca/n1/pub/13-604-m/13-604-m2020002-eng.htm</t>
  </si>
  <si>
    <t>Economic accounts</t>
  </si>
  <si>
    <t>https://www150.statcan.gc.ca/n1/pub/89-653-x/89-653-x2018002-eng.htm</t>
  </si>
  <si>
    <t>https://www150.statcan.gc.ca/n1/pub/82-625-x/2019001/article/00005-eng.htm</t>
  </si>
  <si>
    <t>417.xlsx(--)</t>
  </si>
  <si>
    <t>https://www150.statcan.gc.ca/n1/pub/75-006-x/2016001/article/14692-eng.htm</t>
  </si>
  <si>
    <t>https://www150.statcan.gc.ca/n1/pub/89-28-0001/2018001/article/00013-eng.htm</t>
  </si>
  <si>
    <t>https://www150.statcan.gc.ca/n1/pub/89-657-x/89-657-x2016002-eng.htm</t>
  </si>
  <si>
    <t>427.xlsx(--)</t>
  </si>
  <si>
    <t>428.xlsx(--)</t>
  </si>
  <si>
    <t>429.xlsx(--)</t>
  </si>
  <si>
    <t>441.xlsx(--)</t>
  </si>
  <si>
    <t>https://www150.statcan.gc.ca/n1/pub/89-657-x/89-657-x2019005-eng.htm</t>
  </si>
  <si>
    <t>442.xlsx(--)</t>
  </si>
  <si>
    <t>https://www150.statcan.gc.ca/n1/pub/13-605-x/2019001/article/00003-eng.htm</t>
  </si>
  <si>
    <t>445.xlsx(--)</t>
  </si>
  <si>
    <t>https://www150.statcan.gc.ca/n1/pub/11-626-x/11-626-x2019005-eng.htm</t>
  </si>
  <si>
    <t>https://www150.statcan.gc.ca/n1/pub/85-603-x/85-603-x2019002-eng.htm</t>
  </si>
  <si>
    <t>452.xlsx(--)</t>
  </si>
  <si>
    <t>457.xlsx(--)</t>
  </si>
  <si>
    <t>458.xlsx(--)</t>
  </si>
  <si>
    <t>https://www150.statcan.gc.ca/n1/pub/11f0019m/11f0019m2017391-eng.htm</t>
  </si>
  <si>
    <t>462.xlsx(--)</t>
  </si>
  <si>
    <t>https://www150.statcan.gc.ca/n1/pub/82-003-x/2016009/article/14654-eng.htm</t>
  </si>
  <si>
    <t>https://www150.statcan.gc.ca/n1/pub/82-003-x/2015008/article/14216-eng.htm</t>
  </si>
  <si>
    <t>466.xlsx(--)</t>
  </si>
  <si>
    <t>471.xlsx(--)</t>
  </si>
  <si>
    <t>https://www150.statcan.gc.ca/n1/pub/75-006-x/2017001/article/54854-eng.htm</t>
  </si>
  <si>
    <t>474.xlsx(--)</t>
  </si>
  <si>
    <t>475.xlsx(--)</t>
  </si>
  <si>
    <t>https://www150.statcan.gc.ca/n1/pub/82-003-x/2015004/article/14158-eng.htm</t>
  </si>
  <si>
    <t>480.xlsx(--)</t>
  </si>
  <si>
    <t>481.xlsx(--)</t>
  </si>
  <si>
    <t>https://www150.statcan.gc.ca/n1/pub/82-003-x/2015011/article/14243-eng.htm</t>
  </si>
  <si>
    <t>https://www150.statcan.gc.ca/n1/pub/11-626-x/11-626-x2015051-eng.htm</t>
  </si>
  <si>
    <t>https://www150.statcan.gc.ca/n1/pub/82-003-x/2018005/article/54966-eng.htm</t>
  </si>
  <si>
    <t>https://www150.statcan.gc.ca/n1/pub/82-003-x/2019001/article/00001-eng.htm</t>
  </si>
  <si>
    <t>https://www150.statcan.gc.ca/n1/pub/11-626-x/11-626-x2019003-eng.htm</t>
  </si>
  <si>
    <t>493.xlsx(--)</t>
  </si>
  <si>
    <t>https://www150.statcan.gc.ca/n1/pub/11-626-x/11-626-x2019009-eng.htm</t>
  </si>
  <si>
    <t>https://www150.statcan.gc.ca/n1/pub/18-001-x/18-001-x2019001-eng.htm</t>
  </si>
  <si>
    <t>https://www150.statcan.gc.ca/n1/pub/91-209-x/2018001/article/54956-eng.htm</t>
  </si>
  <si>
    <t>503.xlsx(--)</t>
  </si>
  <si>
    <t>https://www150.statcan.gc.ca/n1/pub/82-003-x/2019008/article/00002-eng.htm</t>
  </si>
  <si>
    <t>505.xlsx(--)</t>
  </si>
  <si>
    <t>506.xlsx(--)</t>
  </si>
  <si>
    <t>Table A</t>
  </si>
  <si>
    <t>https://www150.statcan.gc.ca/n1/pub/82-003-x/2016008/article/14647-eng.htm</t>
  </si>
  <si>
    <t>Table B</t>
  </si>
  <si>
    <t>509.xlsx(--)</t>
  </si>
  <si>
    <t>510.xlsx(--)</t>
  </si>
  <si>
    <t>https://www150.statcan.gc.ca/n1/pub/75-006-x/2020001/article/00008-eng.htm</t>
  </si>
  <si>
    <t>512.xlsx(--)</t>
  </si>
  <si>
    <t>514.xlsx(--)</t>
  </si>
  <si>
    <t>https://www150.statcan.gc.ca/n1/pub/85-002-x/2018001/article/54977-eng.htm</t>
  </si>
  <si>
    <t>515.xlsx(--)</t>
  </si>
  <si>
    <t>516.xlsx(--)</t>
  </si>
  <si>
    <t>518.xlsx(--)</t>
  </si>
  <si>
    <t>519.xlsx(--)</t>
  </si>
  <si>
    <t>https://www150.statcan.gc.ca/n1/pub/82-003-x/2018007/article/00002-eng.htm</t>
  </si>
  <si>
    <t>522.xlsx(--)</t>
  </si>
  <si>
    <t>https://www150.statcan.gc.ca/n1/pub/82-003-x/2017011/article/54885-eng.htm</t>
  </si>
  <si>
    <t>528.xlsx(--)</t>
  </si>
  <si>
    <t>https://www150.statcan.gc.ca/n1/pub/89-652-x/89-652-x2015001-eng.htm</t>
  </si>
  <si>
    <t>Table A.1</t>
  </si>
  <si>
    <t>Table A.2</t>
  </si>
  <si>
    <t>https://www150.statcan.gc.ca/n1/pub/11-626-x/11-626-x2019016-eng.htm</t>
  </si>
  <si>
    <t>541.xlsx(--)</t>
  </si>
  <si>
    <t>https://www150.statcan.gc.ca/n1/pub/82-003-x/2019011/article/00002-eng.htm</t>
  </si>
  <si>
    <t>544.xlsx(--)</t>
  </si>
  <si>
    <t>https://www150.statcan.gc.ca/n1/pub/16-002-x/2016001/article/14570-eng.htm</t>
  </si>
  <si>
    <t>Environment</t>
  </si>
  <si>
    <t>548.xlsx(--)</t>
  </si>
  <si>
    <t>https://www150.statcan.gc.ca/n1/pub/11f0019m/11f0019m2019009-eng.htm</t>
  </si>
  <si>
    <t>551.xlsx(--)</t>
  </si>
  <si>
    <t>https://www150.statcan.gc.ca/n1/pub/82-003-x/2017009/article/54855-eng.htm</t>
  </si>
  <si>
    <t>552.xlsx(--)</t>
  </si>
  <si>
    <t>553.xlsx(--)</t>
  </si>
  <si>
    <t>https://www150.statcan.gc.ca/n1/pub/82-003-x/2017001/article/14696-eng.htm</t>
  </si>
  <si>
    <t>https://www150.statcan.gc.ca/n1/pub/13-605-x/2020001/article/00008-eng.htm</t>
  </si>
  <si>
    <t>https://www150.statcan.gc.ca/n1/pub/82-003-x/2018011/article/00003-eng.htm</t>
  </si>
  <si>
    <t>https://www150.statcan.gc.ca/n1/pub/75-006-x/2020001/article/00007-eng.htm</t>
  </si>
  <si>
    <t>https://www150.statcan.gc.ca/n1/pub/11f0019m/11f0019m2016375-eng.htm</t>
  </si>
  <si>
    <t>Table 23</t>
  </si>
  <si>
    <t>Table 24</t>
  </si>
  <si>
    <t>Table 25</t>
  </si>
  <si>
    <t>Table 26</t>
  </si>
  <si>
    <t>589.xlsx(--)</t>
  </si>
  <si>
    <t>Table 27</t>
  </si>
  <si>
    <t>Table 28</t>
  </si>
  <si>
    <t>Table 31</t>
  </si>
  <si>
    <t>Table 32</t>
  </si>
  <si>
    <t>593.xlsx(--)</t>
  </si>
  <si>
    <t>Table 33</t>
  </si>
  <si>
    <t>https://www150.statcan.gc.ca/n1/pub/71-222-x/71-222-x2019003-eng.htm</t>
  </si>
  <si>
    <t>596.xlsx(--)</t>
  </si>
  <si>
    <t>https://www150.statcan.gc.ca/n1/pub/82-003-x/2020011/article/00001-eng.htm</t>
  </si>
  <si>
    <t>https://www150.statcan.gc.ca/n1/pub/75-004-m/75-004-m2019001-eng.htm</t>
  </si>
  <si>
    <t>https://www150.statcan.gc.ca/n1/pub/85-002-x/2017001/article/14832-eng.htm</t>
  </si>
  <si>
    <t>600.xlsx(--)</t>
  </si>
  <si>
    <t>https://www150.statcan.gc.ca/n1/pub/75-006-x/2018001/article/54969-eng.htm</t>
  </si>
  <si>
    <t>https://www150.statcan.gc.ca/n1/pub/89-28-0001/2018001/article/00016-eng.htm</t>
  </si>
  <si>
    <t>Digital economy and society</t>
  </si>
  <si>
    <t>https://www150.statcan.gc.ca/n1/pub/75-006-x/2017001/article/14824-eng.htm</t>
  </si>
  <si>
    <t>https://www150.statcan.gc.ca/n1/pub/89-654-x/89-654-x2018002-eng.htm</t>
  </si>
  <si>
    <t>https://www150.statcan.gc.ca/n1/pub/11-633-x/11-633-x2017006-eng.htm</t>
  </si>
  <si>
    <t>628.xlsx(--)</t>
  </si>
  <si>
    <t>https://www150.statcan.gc.ca/n1/pub/82-003-x/2015012/article/14295-eng.htm</t>
  </si>
  <si>
    <t>https://www150.statcan.gc.ca/n1/pub/82-003-x/2016007/article/14646-eng.htm</t>
  </si>
  <si>
    <t>634.xlsx(--)</t>
  </si>
  <si>
    <t>635.xlsx(--)</t>
  </si>
  <si>
    <t>636.xlsx(--)</t>
  </si>
  <si>
    <t>https://www150.statcan.gc.ca/n1/pub/75-006-x/2019001/article/00015-eng.htm</t>
  </si>
  <si>
    <t>638.xlsx(--)</t>
  </si>
  <si>
    <t>https://www150.statcan.gc.ca/n1/pub/75f0002m/75f0002m2019011-eng.htm</t>
  </si>
  <si>
    <t>Housing</t>
  </si>
  <si>
    <t>https://www150.statcan.gc.ca/n1/pub/11-626-x/11-626-x2015049-eng.htm</t>
  </si>
  <si>
    <t>642.xlsx(--)</t>
  </si>
  <si>
    <t>645.xlsx(--)</t>
  </si>
  <si>
    <t>https://www150.statcan.gc.ca/n1/pub/82-003-x/2016003/article/14339-eng.htm</t>
  </si>
  <si>
    <t>https://www150.statcan.gc.ca/n1/pub/16-002-x/2015001/article/14132-eng.htm</t>
  </si>
  <si>
    <t>Transportation</t>
  </si>
  <si>
    <t>https://www150.statcan.gc.ca/n1/pub/89-653-x/89-653-x2017013-eng.htm</t>
  </si>
  <si>
    <t>654.xlsx(--)</t>
  </si>
  <si>
    <t>https://www150.statcan.gc.ca/n1/pub/75-006-x/2016001/article/14678-eng.htm</t>
  </si>
  <si>
    <t>656.xlsx(--)</t>
  </si>
  <si>
    <t>658.xlsx(--)</t>
  </si>
  <si>
    <t>https://www150.statcan.gc.ca/n1/pub/89-657-x/89-657-x2019011-eng.htm</t>
  </si>
  <si>
    <t>659.xlsx(--)</t>
  </si>
  <si>
    <t>https://www150.statcan.gc.ca/n1/pub/85-002-x/2019001/article/00005-eng.htm</t>
  </si>
  <si>
    <t>https://www150.statcan.gc.ca/n1/pub/11f0019m/11f0019m2017395-eng.htm</t>
  </si>
  <si>
    <t>https://www150.statcan.gc.ca/n1/pub/75-006-x/2015001/article/14155-eng.htm</t>
  </si>
  <si>
    <t>672.xlsx(--)</t>
  </si>
  <si>
    <t>https://www150.statcan.gc.ca/n1/pub/89-657-x/89-657-x2019009-eng.htm</t>
  </si>
  <si>
    <t>https://www150.statcan.gc.ca/n1/pub/75f0002m/75f0002m2020002-eng.htm</t>
  </si>
  <si>
    <t>677.xlsx(--)</t>
  </si>
  <si>
    <t>https://www150.statcan.gc.ca/n1/pub/11f0019m/11f0019m2016381-eng.htm</t>
  </si>
  <si>
    <t>679.xlsx(--)</t>
  </si>
  <si>
    <t>680.xlsx(--)</t>
  </si>
  <si>
    <t>https://www150.statcan.gc.ca/n1/pub/75-006-x/2019001/article/00018-eng.htm</t>
  </si>
  <si>
    <t>https://www150.statcan.gc.ca/n1/pub/89-652-x/89-652-x2016005-eng.htm</t>
  </si>
  <si>
    <t>https://www150.statcan.gc.ca/n1/pub/75f0002m/75f0002m2019003-eng.htm</t>
  </si>
  <si>
    <t>https://www150.statcan.gc.ca/n1/pub/89-648-x/89-648-x2020002-eng.htm</t>
  </si>
  <si>
    <t>Table 2a</t>
  </si>
  <si>
    <t>Table 2b</t>
  </si>
  <si>
    <t>700.xlsx(--)</t>
  </si>
  <si>
    <t>https://www150.statcan.gc.ca/n1/pub/82-003-x/2018012/article/00001-eng.htm</t>
  </si>
  <si>
    <t>704.xlsx(--)</t>
  </si>
  <si>
    <t>https://www150.statcan.gc.ca/n1/pub/82-003-x/2020003/article/00002-eng.htm</t>
  </si>
  <si>
    <t>https://www150.statcan.gc.ca/n1/pub/89-657-x/89-657-x2017002-eng.htm</t>
  </si>
  <si>
    <t>https://www150.statcan.gc.ca/n1/pub/75-006-x/2018001/article/54976-eng.htm</t>
  </si>
  <si>
    <t>https://www150.statcan.gc.ca/n1/pub/89-503-x/2015001/article/14217-eng.htm</t>
  </si>
  <si>
    <t>https://www150.statcan.gc.ca/n1/pub/18-001-x/18-001-x2017002-eng.htm</t>
  </si>
  <si>
    <t>https://www150.statcan.gc.ca/n1/pub/82-003-x/2015003/article/14144-eng.htm</t>
  </si>
  <si>
    <t>718.xlsx(--)</t>
  </si>
  <si>
    <t>https://www150.statcan.gc.ca/n1/pub/89-657-x/89-657-x2019015-eng.htm</t>
  </si>
  <si>
    <t>719.xlsx(--)</t>
  </si>
  <si>
    <t>https://www150.statcan.gc.ca/n1/pub/82-624-x/2015001/article/14213-eng.htm</t>
  </si>
  <si>
    <t>721.xlsx(--)</t>
  </si>
  <si>
    <t>https://www150.statcan.gc.ca/pub/82-003-x/2019006/article/00001-eng.htm</t>
  </si>
  <si>
    <t>https://www150.statcan.gc.ca/n1/pub/82-003-x/2015005/article/14169-eng.htm</t>
  </si>
  <si>
    <t>https://www150.statcan.gc.ca/n1/pub/11f0019m/11f0019m2019024-eng.htm</t>
  </si>
  <si>
    <t>730.xlsx(--)</t>
  </si>
  <si>
    <t>https://www150.statcan.gc.ca/n1/pub/82-003-x/2017004/article/14789-eng.htm</t>
  </si>
  <si>
    <t>734.xlsx(--)</t>
  </si>
  <si>
    <t>https://www150.statcan.gc.ca/n1/pub/82-003-x/2020006/article/00001-eng.htm</t>
  </si>
  <si>
    <t>736.xlsx(--)</t>
  </si>
  <si>
    <t>https://www150.statcan.gc.ca/n1/pub/85-002-x/2020001/article/00003-eng.htm</t>
  </si>
  <si>
    <t>738.xlsx(--)</t>
  </si>
  <si>
    <t>https://www150.statcan.gc.ca/n1/pub/89-503-x/2015001/article/14315-eng.htm</t>
  </si>
  <si>
    <t>747.xlsx(--)</t>
  </si>
  <si>
    <t>752.xlsx(--)</t>
  </si>
  <si>
    <t>753.xlsx(--)</t>
  </si>
  <si>
    <t>754.xlsx(--)</t>
  </si>
  <si>
    <t>756.xlsx(--)</t>
  </si>
  <si>
    <t>757.xlsx(--)</t>
  </si>
  <si>
    <t>Table 22</t>
  </si>
  <si>
    <t>769.xlsx(--)</t>
  </si>
  <si>
    <t>773.xlsx(--)</t>
  </si>
  <si>
    <t>774.xlsx(--)</t>
  </si>
  <si>
    <t>Table 29</t>
  </si>
  <si>
    <t>Table 30</t>
  </si>
  <si>
    <t>777.xlsx(--)</t>
  </si>
  <si>
    <t>778.xlsx(--)</t>
  </si>
  <si>
    <t>779.xlsx(--)</t>
  </si>
  <si>
    <t>Table 34</t>
  </si>
  <si>
    <t>https://www150.statcan.gc.ca/n1/pub/82-003-x/2018010/article/00002-eng.htm</t>
  </si>
  <si>
    <t>https://www150.statcan.gc.ca/n1/pub/89-503-x/2015001/article/14152-eng.htm</t>
  </si>
  <si>
    <t>787.xlsx(--)</t>
  </si>
  <si>
    <t>792.xlsx(--)</t>
  </si>
  <si>
    <t>Table 4.3</t>
  </si>
  <si>
    <t>https://www150.statcan.gc.ca/n1/pub/89-648-x/89-648-x2020004-eng.htm</t>
  </si>
  <si>
    <t>793.xlsx(--)</t>
  </si>
  <si>
    <t>Table 4.4</t>
  </si>
  <si>
    <t>794.xlsx(--)</t>
  </si>
  <si>
    <t>Table 4.5</t>
  </si>
  <si>
    <t>795.xlsx(--)</t>
  </si>
  <si>
    <t>Table 4.6</t>
  </si>
  <si>
    <t>796.xlsx(--)</t>
  </si>
  <si>
    <t>Table 4.7</t>
  </si>
  <si>
    <t>797.xlsx(--)</t>
  </si>
  <si>
    <t>Table 4.8</t>
  </si>
  <si>
    <t>https://www150.statcan.gc.ca/n1/pub/11f0019m/11f0019m2019020-eng.htm</t>
  </si>
  <si>
    <t>https://www150.statcan.gc.ca/n1/pub/75-004-m/75-004-m2019003-eng.htm</t>
  </si>
  <si>
    <t>https://www150.statcan.gc.ca/n1/pub/82-003-x/2015007/article/14205-eng.htm</t>
  </si>
  <si>
    <t>802.xlsx(--)</t>
  </si>
  <si>
    <t>https://www150.statcan.gc.ca/n1/pub/82-003-x/2018006/article/54971-eng.htm</t>
  </si>
  <si>
    <t>https://www150.statcan.gc.ca/n1/pub/11-626-x/11-626-x2016055-eng.htm</t>
  </si>
  <si>
    <t>805.xlsx(--)</t>
  </si>
  <si>
    <t>https://www150.statcan.gc.ca/n1/pub/82-003-x/2015006/article/14195-eng.htm</t>
  </si>
  <si>
    <t>https://www150.statcan.gc.ca/n1/pub/13-605-x/2018001/article/54969-eng.htm</t>
  </si>
  <si>
    <t>813.xlsx(--)</t>
  </si>
  <si>
    <t>https://www150.statcan.gc.ca/n1/pub/82-003-x/2015007/article/14204-eng.htm</t>
  </si>
  <si>
    <t>814.xlsx(--)</t>
  </si>
  <si>
    <t>https://www150.statcan.gc.ca/n1/pub/11f0019m/11f0019m2017398-eng.htm</t>
  </si>
  <si>
    <t>820.xlsx(--)</t>
  </si>
  <si>
    <t>https://www150.statcan.gc.ca/n1/pub/51-004-x/51-004-x2019009-eng.htm</t>
  </si>
  <si>
    <t>https://www150.statcan.gc.ca/n1/pub/89-653-x/89-653-x2015007-eng.htm</t>
  </si>
  <si>
    <t>https://www150.statcan.gc.ca/n1/pub/75-006-x/2015001/article/14247-eng.htm</t>
  </si>
  <si>
    <t>829.xlsx(--)</t>
  </si>
  <si>
    <t>https://www150.statcan.gc.ca/n1/pub/85-002-x/2020001/article/00007-eng.htm</t>
  </si>
  <si>
    <t>https://www150.statcan.gc.ca/n1/pub/82-003-x/2017006/article/14827-eng.htm</t>
  </si>
  <si>
    <t>https://www150.statcan.gc.ca/n1/pub/11f0019m/11f0019m2017393-eng.htm</t>
  </si>
  <si>
    <t>https://www150.statcan.gc.ca/n1/pub/81-595-m/81-595-m2020002-eng.htm</t>
  </si>
  <si>
    <t>853.xlsx(--)</t>
  </si>
  <si>
    <t>https://www150.statcan.gc.ca/n1/pub/89-657-x/89-657-x2019007-eng.htm</t>
  </si>
  <si>
    <t>854.xlsx(--)</t>
  </si>
  <si>
    <t>855.xlsx(--)</t>
  </si>
  <si>
    <t>856.xlsx(--)</t>
  </si>
  <si>
    <t>857.xlsx(--)</t>
  </si>
  <si>
    <t>858.xlsx(--)</t>
  </si>
  <si>
    <t>859.xlsx(--)</t>
  </si>
  <si>
    <t>860.xlsx(--)</t>
  </si>
  <si>
    <t>https://www150.statcan.gc.ca/n1/pub/85-002-x/2018001/article/54915-eng.htm</t>
  </si>
  <si>
    <t>864.xlsx(--)</t>
  </si>
  <si>
    <t>https://www150.statcan.gc.ca/n1/pub/11f0019m/11f0019m2018407-eng.htm</t>
  </si>
  <si>
    <t>866.xlsx(--)</t>
  </si>
  <si>
    <t>867.xlsx(--)</t>
  </si>
  <si>
    <t>868.xlsx(--)</t>
  </si>
  <si>
    <t>Table A.3</t>
  </si>
  <si>
    <t>https://www150.statcan.gc.ca/n1/pub/82-003-x/2019002/article/00002-eng.htm</t>
  </si>
  <si>
    <t>https://www150.statcan.gc.ca/n1/pub/11-633-x/11-633-x2020001-eng.htm</t>
  </si>
  <si>
    <t>Table 1-2</t>
  </si>
  <si>
    <t>https://www150.statcan.gc.ca/n1/pub/11f0019m/11f0019m2020017-eng.htm</t>
  </si>
  <si>
    <t>Table 2-2</t>
  </si>
  <si>
    <t>Table 3-2</t>
  </si>
  <si>
    <t>Table 4-2</t>
  </si>
  <si>
    <t>Table 5-2</t>
  </si>
  <si>
    <t>Table 6-2</t>
  </si>
  <si>
    <t>Table 7-2</t>
  </si>
  <si>
    <t>https://www150.statcan.gc.ca/n1/pub/11f0027m/11f0027m2015096-eng.htm</t>
  </si>
  <si>
    <t>https://www150.statcan.gc.ca/n1/pub/13-605-x/2019001/article/00013-eng.htm</t>
  </si>
  <si>
    <t>https://www150.statcan.gc.ca/n1/pub/75-006-x/2016001/article/14669-eng.htm</t>
  </si>
  <si>
    <t>https://www150.statcan.gc.ca/n1/pub/89-653-x/89-653-x2016009-eng.htm</t>
  </si>
  <si>
    <t>https://www150.statcan.gc.ca/n1/pub/11-622-m/11-622-m2015031-eng.htm</t>
  </si>
  <si>
    <t>https://www150.statcan.gc.ca/n1/pub/11f0019m/11f0019m2018409-eng.htm</t>
  </si>
  <si>
    <t>909.xlsx(--)</t>
  </si>
  <si>
    <t>https://www150.statcan.gc.ca/n1/pub/85-002-x/2019001/article/00017-eng.htm</t>
  </si>
  <si>
    <t>916.xlsx(--)</t>
  </si>
  <si>
    <t>921.xlsx(--)</t>
  </si>
  <si>
    <t>922.xlsx(--)</t>
  </si>
  <si>
    <t>924.xlsx(--)</t>
  </si>
  <si>
    <t>925.xlsx(--)</t>
  </si>
  <si>
    <t>https://www150.statcan.gc.ca/n1/pub/85-002-x/2015001/article/14201-eng.htm</t>
  </si>
  <si>
    <t>https://www150.statcan.gc.ca/n1/pub/82-624-x/2016001/article/14308-eng.htm</t>
  </si>
  <si>
    <t>938.xlsx(--)</t>
  </si>
  <si>
    <t>https://www150.statcan.gc.ca/n1/pub/82-003-x/2018011/article/00002-eng.htm</t>
  </si>
  <si>
    <t>940.xlsx(--)</t>
  </si>
  <si>
    <t>https://www150.statcan.gc.ca/n1/pub/75-006-x/2019001/article/00017-eng.htm</t>
  </si>
  <si>
    <t>https://www150.statcan.gc.ca/n1/pub/89-654-x/89-654-x2015005-eng.htm</t>
  </si>
  <si>
    <t>948.xlsx(--)</t>
  </si>
  <si>
    <t>https://www150.statcan.gc.ca/n1/pub/13-604-m/13-604-m2020001-eng.htm</t>
  </si>
  <si>
    <t>https://www150.statcan.gc.ca/n1/pub/11f0019m/11f0019m2020014-eng.htm</t>
  </si>
  <si>
    <t>https://www150.statcan.gc.ca/n1/pub/85-002-x/2020001/article/00016-eng.htm</t>
  </si>
  <si>
    <t>https://www150.statcan.gc.ca/n1/pub/11-626-x/11-626-x2016066-eng.htm</t>
  </si>
  <si>
    <t>964.xlsx(--)</t>
  </si>
  <si>
    <t>https://www150.statcan.gc.ca/n1/pub/82-003-x/2020001/article/00002-eng.htm</t>
  </si>
  <si>
    <t>965.xlsx(--)</t>
  </si>
  <si>
    <t>967.xlsx(--)</t>
  </si>
  <si>
    <t>968.xlsx(--)</t>
  </si>
  <si>
    <t>https://www150.statcan.gc.ca/n1/pub/13-605-x/2019001/article/00009-eng.htm</t>
  </si>
  <si>
    <t>975.xlsx(--)</t>
  </si>
  <si>
    <t>https://www150.statcan.gc.ca/n1/pub/11f0019m/11f0019m2017390-eng.htm</t>
  </si>
  <si>
    <t>976.xlsx(--)</t>
  </si>
  <si>
    <t>977.xlsx(--)</t>
  </si>
  <si>
    <t>979.xlsx(--)</t>
  </si>
  <si>
    <t>980.xlsx(--)</t>
  </si>
  <si>
    <t>https://www150.statcan.gc.ca/n1/pub/75-006-x/2018001/article/54982-eng.htm</t>
  </si>
  <si>
    <t>Table 4a</t>
  </si>
  <si>
    <t>Table 4b</t>
  </si>
  <si>
    <t>Table 5a</t>
  </si>
  <si>
    <t>Table 5b</t>
  </si>
  <si>
    <t>https://www150.statcan.gc.ca/n1/pub/75-006-x/2020001/article/00002-eng.htm</t>
  </si>
  <si>
    <t>https://www150.statcan.gc.ca/n1/pub/85-002-x/2019001/article/00002-eng.htm</t>
  </si>
  <si>
    <t>https://www150.statcan.gc.ca/n1/pub/11f0019m/11f0019m2017394-eng.htm</t>
  </si>
  <si>
    <t>993.xlsx(--)</t>
  </si>
  <si>
    <t>Table 4-1</t>
  </si>
  <si>
    <t>997.xlsx(--)</t>
  </si>
  <si>
    <t>998.xlsx(--)</t>
  </si>
  <si>
    <t>https://www150.statcan.gc.ca/n1/pub/82-003-x/2018003/article/54920-eng.htm</t>
  </si>
  <si>
    <t>Table 1.1</t>
  </si>
  <si>
    <t>https://www150.statcan.gc.ca/n1/pub/89-657-x/89-657-x2020001-eng.htm</t>
  </si>
  <si>
    <t>Table 1.2</t>
  </si>
  <si>
    <t>Table 1.3</t>
  </si>
  <si>
    <t>Table 2.1</t>
  </si>
  <si>
    <t>Table 2.2</t>
  </si>
  <si>
    <t>Table 3.1</t>
  </si>
  <si>
    <t>Table 3.2</t>
  </si>
  <si>
    <t>Table 4.1</t>
  </si>
  <si>
    <t>Table 4.2</t>
  </si>
  <si>
    <t>1009.xlsx(--)</t>
  </si>
  <si>
    <t>Table 6.1</t>
  </si>
  <si>
    <t>Table 6.2</t>
  </si>
  <si>
    <t>https://www150.statcan.gc.ca/n1/pub/85-002-x/2019001/article/00015-eng.htm</t>
  </si>
  <si>
    <t>1019.xlsx(--)</t>
  </si>
  <si>
    <t>https://www150.statcan.gc.ca/n1/pub/82-003-x/2020002/article/00001-eng.htm</t>
  </si>
  <si>
    <t>1020.xlsx(--)</t>
  </si>
  <si>
    <t>1022.xlsx(--)</t>
  </si>
  <si>
    <t>https://www150.statcan.gc.ca/n1/pub/75-006-x/2018001/article/54968-eng.htm</t>
  </si>
  <si>
    <t>1023.xlsx(--)</t>
  </si>
  <si>
    <t>https://www150.statcan.gc.ca/n1/pub/82-003-x/2018012/article/00002-eng.htm</t>
  </si>
  <si>
    <t>1024.xlsx(--)</t>
  </si>
  <si>
    <t>1025.xlsx(--)</t>
  </si>
  <si>
    <t>https://www150.statcan.gc.ca/n1/pub/11f0019m/11f0019m2016378-eng.htm</t>
  </si>
  <si>
    <t>https://www150.statcan.gc.ca/n1/pub/85-002-x/2015001/article/14163-eng.htm</t>
  </si>
  <si>
    <t>https://www150.statcan.gc.ca/n1/pub/75-006-x/2017001/article/54869-eng.htm</t>
  </si>
  <si>
    <t>1034.xlsx(--)</t>
  </si>
  <si>
    <t>https://www150.statcan.gc.ca/n1/pub/11-626-x/11-626-x2019002-eng.htm</t>
  </si>
  <si>
    <t>https://www150.statcan.gc.ca/n1/pub/11f0019m/11f0019m2018401-eng.htm</t>
  </si>
  <si>
    <t>1039.xlsx(--)</t>
  </si>
  <si>
    <t>https://www150.statcan.gc.ca/n1/pub/82-003-x/2020002/article/00002-eng.htm</t>
  </si>
  <si>
    <t>1040.xlsx(--)</t>
  </si>
  <si>
    <t>1041.xlsx(--)</t>
  </si>
  <si>
    <t>https://www150.statcan.gc.ca/n1/pub/11-626-x/11-626-x2017069-eng.htm</t>
  </si>
  <si>
    <t>https://www150.statcan.gc.ca/n1/pub/85-002-x/2020001/article/00009-eng.htm</t>
  </si>
  <si>
    <t>1050.xlsx(--)</t>
  </si>
  <si>
    <t>1051.xlsx(--)</t>
  </si>
  <si>
    <t>1052.xlsx(--)</t>
  </si>
  <si>
    <t>1053.xlsx(--)</t>
  </si>
  <si>
    <t>1055.xlsx(--)</t>
  </si>
  <si>
    <t>https://www150.statcan.gc.ca/n1/pub/85-002-x/2015001/article/14207-eng.htm</t>
  </si>
  <si>
    <t>https://www150.statcan.gc.ca/n1/pub/75f0002m/75f0002m2018001-eng.htm</t>
  </si>
  <si>
    <t>1068.xlsx(--)</t>
  </si>
  <si>
    <t>https://www150.statcan.gc.ca/n1/pub/82-003-x/2017008/article/54852-eng.htm</t>
  </si>
  <si>
    <t>1069.xlsx(--)</t>
  </si>
  <si>
    <t>1070.xlsx(--)</t>
  </si>
  <si>
    <t>1071.xlsx(--)</t>
  </si>
  <si>
    <t>1073.xlsx(--)</t>
  </si>
  <si>
    <t>https://www150.statcan.gc.ca/n1/pub/82-003-x/2018010/article/00001-eng.htm</t>
  </si>
  <si>
    <t>1074.xlsx(--)</t>
  </si>
  <si>
    <t>1075.xlsx(--)</t>
  </si>
  <si>
    <t>1076.xlsx(--)</t>
  </si>
  <si>
    <t>https://www150.statcan.gc.ca/n1/pub/18-001-x/18-001-x2018001-eng.htm</t>
  </si>
  <si>
    <t>https://www150.statcan.gc.ca/n1/pub/75-006-x/2018001/article/54917-eng.htm</t>
  </si>
  <si>
    <t>1086.xlsx(--)</t>
  </si>
  <si>
    <t>https://www150.statcan.gc.ca/n1/pub/75-006-x/2016001/article/14651-eng.htm</t>
  </si>
  <si>
    <t>https://www150.statcan.gc.ca/n1/pub/75-006-x/2018001/article/54980-eng.htm</t>
  </si>
  <si>
    <t>1094.xlsx(--)</t>
  </si>
  <si>
    <t>https://www150.statcan.gc.ca/n1/pub/11-633-x/11-633-x2018014-eng.htm</t>
  </si>
  <si>
    <t>1098.xlsx(--)</t>
  </si>
  <si>
    <t>1101.xlsx(--)</t>
  </si>
  <si>
    <t>Table 3.2-5</t>
  </si>
  <si>
    <t>https://www150.statcan.gc.ca/n1/pub/89-648-x/89-648-x2016001-eng.htm</t>
  </si>
  <si>
    <t>Table 3.4-1</t>
  </si>
  <si>
    <t>Table 3.4-2</t>
  </si>
  <si>
    <t>Table 3.4-3</t>
  </si>
  <si>
    <t>https://www150.statcan.gc.ca/n1/pub/82-003-x/2018001/article/54902-eng.htm</t>
  </si>
  <si>
    <t>https://www150.statcan.gc.ca/n1/pub/11-626-x/11-626-x2020008-eng.htm</t>
  </si>
  <si>
    <t>https://www150.statcan.gc.ca/n1/pub/11-633-x/11-633-x2018016-eng.htm</t>
  </si>
  <si>
    <t>Table A.4</t>
  </si>
  <si>
    <t>Table A.5</t>
  </si>
  <si>
    <t>Table A.6</t>
  </si>
  <si>
    <t>Table A.7</t>
  </si>
  <si>
    <t>Table A.8</t>
  </si>
  <si>
    <t>https://www150.statcan.gc.ca/n1/pub/85-002-x/2015001/article/14233-eng.htm</t>
  </si>
  <si>
    <t>1125.xlsx(--)</t>
  </si>
  <si>
    <t>https://www150.statcan.gc.ca/n1/pub/75-006-x/2019001/article/00009-eng.htm</t>
  </si>
  <si>
    <t>1136.xlsx(--)</t>
  </si>
  <si>
    <t>https://www150.statcan.gc.ca/n1/pub/11-633-x/11-633-x2017009-eng.htm</t>
  </si>
  <si>
    <t>1139.xlsx(--)</t>
  </si>
  <si>
    <t>1142.xlsx(--)</t>
  </si>
  <si>
    <t>https://www150.statcan.gc.ca/n1/pub/75-006-x/2019001/article/00012-eng.htm</t>
  </si>
  <si>
    <t>1143.xlsx(--)</t>
  </si>
  <si>
    <t>1144.xlsx(--)</t>
  </si>
  <si>
    <t>1145.xlsx(--)</t>
  </si>
  <si>
    <t>1146.xlsx(--)</t>
  </si>
  <si>
    <t>1147.xlsx(--)</t>
  </si>
  <si>
    <t>1148.xlsx(--)</t>
  </si>
  <si>
    <t>https://www150.statcan.gc.ca/n1/pub/89-652-x/89-652-x2015002-eng.htm</t>
  </si>
  <si>
    <t>1155.xlsx(--)</t>
  </si>
  <si>
    <t>1163.xlsx(--)</t>
  </si>
  <si>
    <t>https://www150.statcan.gc.ca/n1/pub/11f0019m/11f0019m2019022-eng.htm</t>
  </si>
  <si>
    <t>1168.xlsx(--)</t>
  </si>
  <si>
    <t>https://www150.statcan.gc.ca/n1/pub/82-003-x/2015007/article/14206-eng.htm</t>
  </si>
  <si>
    <t>https://www150.statcan.gc.ca/n1/pub/85-002-x/2019001/article/00010-eng.htm</t>
  </si>
  <si>
    <t>https://www150.statcan.gc.ca/n1/pub/75-006-x/2020001/article/00003-eng.htm</t>
  </si>
  <si>
    <t>https://www150.statcan.gc.ca/n1/pub/13-605-x/2015011/article/14298-eng.htm</t>
  </si>
  <si>
    <t>1190.xlsx(--)</t>
  </si>
  <si>
    <t>https://www150.statcan.gc.ca/n1/pub/89-503-x/2015001/article/54930-eng.htm</t>
  </si>
  <si>
    <t>1194.xlsx(--)</t>
  </si>
  <si>
    <t>https://www150.statcan.gc.ca/n1/pub/91-551-x/91-551-x2017001-eng.htm</t>
  </si>
  <si>
    <t>1196.xlsx(--)</t>
  </si>
  <si>
    <t>1197.xlsx(--)</t>
  </si>
  <si>
    <t>1198.xlsx(--)</t>
  </si>
  <si>
    <t>1199.xlsx(--)</t>
  </si>
  <si>
    <t>1200.xlsx(--)</t>
  </si>
  <si>
    <t>1201.xlsx(--)</t>
  </si>
  <si>
    <t>1202.xlsx(--)</t>
  </si>
  <si>
    <t>1203.xlsx(--)</t>
  </si>
  <si>
    <t>1204.xlsx(--)</t>
  </si>
  <si>
    <t>1205.xlsx(--)</t>
  </si>
  <si>
    <t>1206.xlsx(--)</t>
  </si>
  <si>
    <t>1207.xlsx(--)</t>
  </si>
  <si>
    <t>1208.xlsx(--)</t>
  </si>
  <si>
    <t>https://www150.statcan.gc.ca/n1/pub/82-003-x/2016010/article/14665-eng.htm</t>
  </si>
  <si>
    <t>https://www150.statcan.gc.ca/n1/pub/13-605-x/2018001/article/54949-eng.htm</t>
  </si>
  <si>
    <t>https://www150.statcan.gc.ca/n1/pub/82-003-x/2017008/article/54853-eng.htm</t>
  </si>
  <si>
    <t>1216.xlsx(--)</t>
  </si>
  <si>
    <t>https://www150.statcan.gc.ca/n1/pub/82-003-x/2018002/article/54908-eng.htm</t>
  </si>
  <si>
    <t>https://www150.statcan.gc.ca/n1/pub/11f0019m/11f0019m2020018-eng.htm</t>
  </si>
  <si>
    <t>https://www150.statcan.gc.ca/n1/pub/85-002-x/2017001/article/14777-eng.htm</t>
  </si>
  <si>
    <t>https://www150.statcan.gc.ca/n1/pub/11-633-x/11-633-x2020004-eng.htm</t>
  </si>
  <si>
    <t>Science and technology</t>
  </si>
  <si>
    <t>1228.xlsx(--)</t>
  </si>
  <si>
    <t>https://www150.statcan.gc.ca/n1/pub/82-003-x/2016002/article/14311-eng.htm</t>
  </si>
  <si>
    <t>1229.xlsx(--)</t>
  </si>
  <si>
    <t>1230.xlsx(--)</t>
  </si>
  <si>
    <t>https://www150.statcan.gc.ca/n1/pub/62f0014m/62f0014m2020001-eng.htm</t>
  </si>
  <si>
    <t>Prices and price indexes</t>
  </si>
  <si>
    <t>1232.xlsx(--)</t>
  </si>
  <si>
    <t>https://www150.statcan.gc.ca/n1/pub/85-002-x/2020001/article/00002-eng.htm</t>
  </si>
  <si>
    <t>1235.xlsx(--)</t>
  </si>
  <si>
    <t>https://www150.statcan.gc.ca/n1/pub/11f0019m/11f0019m2015366-eng.htm</t>
  </si>
  <si>
    <t>Table 1a</t>
  </si>
  <si>
    <t>https://www150.statcan.gc.ca/n1/pub/85-002-x/2017001/article/54842-eng.htm</t>
  </si>
  <si>
    <t>Table 1b</t>
  </si>
  <si>
    <t>1248.xlsx(--)</t>
  </si>
  <si>
    <t>1249.xlsx(--)</t>
  </si>
  <si>
    <t>Table 9a</t>
  </si>
  <si>
    <t>Table 9b</t>
  </si>
  <si>
    <t>1253.xlsx(--)</t>
  </si>
  <si>
    <t>Table 10a</t>
  </si>
  <si>
    <t>1254.xlsx(--)</t>
  </si>
  <si>
    <t>Table 10b</t>
  </si>
  <si>
    <t>https://www150.statcan.gc.ca/n1/pub/82-003-x/2020010/article/00001-eng.htm</t>
  </si>
  <si>
    <t>https://www150.statcan.gc.ca/n1/pub/75-006-x/2016001/article/14464-eng.htm</t>
  </si>
  <si>
    <t>1259.xlsx(--)</t>
  </si>
  <si>
    <t>https://www150.statcan.gc.ca/n1/pub/13-605-x/2015001/article/14141-eng.htm</t>
  </si>
  <si>
    <t>https://www150.statcan.gc.ca/n1/pub/11f0019m/11f0019m2017396-eng.htm</t>
  </si>
  <si>
    <t>https://www150.statcan.gc.ca/n1/pub/75f0002m/75f0002m2019008-eng.htm</t>
  </si>
  <si>
    <t>https://www150.statcan.gc.ca/n1/pub/11f0019m/11f0019m2016386-eng.htm</t>
  </si>
  <si>
    <t>International trade</t>
  </si>
  <si>
    <t>1269.xlsx(--)</t>
  </si>
  <si>
    <t>https://www150.statcan.gc.ca/n1/pub/82-625-x/2019001/article/00011-eng.htm</t>
  </si>
  <si>
    <t>1278.xlsx(--)</t>
  </si>
  <si>
    <t>https://www150.statcan.gc.ca/n1/pub/85-002-x/2020001/article/00014-eng.htm</t>
  </si>
  <si>
    <t>1279.xlsx(--)</t>
  </si>
  <si>
    <t>1280.xlsx(--)</t>
  </si>
  <si>
    <t>1281.xlsx(--)</t>
  </si>
  <si>
    <t>https://www150.statcan.gc.ca/n1/pub/62f0014m/62f0014m2020006-eng.htm</t>
  </si>
  <si>
    <t>https://www150.statcan.gc.ca/n1/pub/82-003-x/2018004/article/54951-eng.htm</t>
  </si>
  <si>
    <t>1286.xlsx(--)</t>
  </si>
  <si>
    <t>1287.xlsx(--)</t>
  </si>
  <si>
    <t>https://www150.statcan.gc.ca/n1/pub/11-626-x/11-626-x2020016-eng.htm</t>
  </si>
  <si>
    <t>https://www150.statcan.gc.ca/n1/pub/89-652-x/89-652-x2015003-eng.htm</t>
  </si>
  <si>
    <t>https://www150.statcan.gc.ca/n1/pub/11-633-x/11-633-x2016004-eng.htm</t>
  </si>
  <si>
    <t>1298.xlsx(--)</t>
  </si>
  <si>
    <t>1299.xlsx(--)</t>
  </si>
  <si>
    <t>https://www150.statcan.gc.ca/n1/pub/75-006-x/2017001/article/54877-eng.htm</t>
  </si>
  <si>
    <t>https://www150.statcan.gc.ca/n1/pub/11-633-x/11-633-x2018013-eng.htm</t>
  </si>
  <si>
    <t>1303.xlsx(--)</t>
  </si>
  <si>
    <t>https://www150.statcan.gc.ca/n1/pub/82-003-x/2019007/article/00001-eng.htm</t>
  </si>
  <si>
    <t>https://www150.statcan.gc.ca/n1/pub/75-006-x/2019001/article/00010-eng.htm</t>
  </si>
  <si>
    <t>Families, households and marital status</t>
  </si>
  <si>
    <t>https://www150.statcan.gc.ca/n1/pub/85-002-x/2019001/article/00011-eng.htm</t>
  </si>
  <si>
    <t>https://www150.statcan.gc.ca/n1/pub/82-003-x/2016001/article/14306-eng.htm</t>
  </si>
  <si>
    <t>1313.xlsx(--)</t>
  </si>
  <si>
    <t>1314.xlsx(--)</t>
  </si>
  <si>
    <t>https://www150.statcan.gc.ca/n1/pub/75-006-x/2018001/article/54981-eng.htm</t>
  </si>
  <si>
    <t>1317.xlsx(--)</t>
  </si>
  <si>
    <t>1318.xlsx(--)</t>
  </si>
  <si>
    <t>https://www150.statcan.gc.ca/n1/pub/13-605-x/2018001/article/54961-eng.htm</t>
  </si>
  <si>
    <t>1320.xlsx(--)</t>
  </si>
  <si>
    <t>1321.xlsx(--)</t>
  </si>
  <si>
    <t>1322.xlsx(--)</t>
  </si>
  <si>
    <t>1323.xlsx(--)</t>
  </si>
  <si>
    <t>https://www150.statcan.gc.ca/n1/pub/45-20-0002/452000022019001-eng.htm</t>
  </si>
  <si>
    <t>https://www150.statcan.gc.ca/n1/pub/11f0019m/11f0019m2018405-eng.htm</t>
  </si>
  <si>
    <t>https://www150.statcan.gc.ca/n1/pub/75-006-x/2016001/article/14547-eng.htm</t>
  </si>
  <si>
    <t>1332.xlsx(--)</t>
  </si>
  <si>
    <t>1333.xlsx(--)</t>
  </si>
  <si>
    <t>https://www150.statcan.gc.ca/n1/pub/85-002-x/2020001/article/00010-eng.htm</t>
  </si>
  <si>
    <t>https://www150.statcan.gc.ca/n1/pub/85-002-x/2019001/article/00012-eng.htm</t>
  </si>
  <si>
    <t>1350.xlsx(--)</t>
  </si>
  <si>
    <t>1351.xlsx(--)</t>
  </si>
  <si>
    <t>1353.xlsx(--)</t>
  </si>
  <si>
    <t>1357.xlsx(--)</t>
  </si>
  <si>
    <t>https://www150.statcan.gc.ca/n1/pub/89-652-x/89-652-x2015006-eng.htm</t>
  </si>
  <si>
    <t>1363.xlsx(--)</t>
  </si>
  <si>
    <t>https://www150.statcan.gc.ca/n1/pub/11f0019m/11f0019m2020003-eng.htm</t>
  </si>
  <si>
    <t>1366.xlsx(--)</t>
  </si>
  <si>
    <t>1371.xlsx(--)</t>
  </si>
  <si>
    <t>1374.xlsx(--)</t>
  </si>
  <si>
    <t>https://www150.statcan.gc.ca/n1/pub/75-006-x/2017001/article/14787-eng.htm</t>
  </si>
  <si>
    <t>https://www150.statcan.gc.ca/n1/pub/82-003-x/2016001/article/14307-eng.htm</t>
  </si>
  <si>
    <t>https://www150.statcan.gc.ca/n1/pub/15-206-x/15-206-x2015039-eng.htm</t>
  </si>
  <si>
    <t>https://www150.statcan.gc.ca/n1/pub/85-002-x/2020001/article/00011-eng.htm</t>
  </si>
  <si>
    <t>1395.xlsx(--)</t>
  </si>
  <si>
    <t>1400.xlsx(--)</t>
  </si>
  <si>
    <t>https://www150.statcan.gc.ca/n1/pub/82-003-x/2016008/article/14648-eng.htm</t>
  </si>
  <si>
    <t>1405.xlsx(--)</t>
  </si>
  <si>
    <t>https://www150.statcan.gc.ca/n1/pub/82-003-x/2016011/article/14671-eng.htm</t>
  </si>
  <si>
    <t>1409.xlsx(--)</t>
  </si>
  <si>
    <t>https://www150.statcan.gc.ca/n1/pub/85-002-x/2017001/article/14700-eng.htm</t>
  </si>
  <si>
    <t>1412.xlsx(--)</t>
  </si>
  <si>
    <t>https://www150.statcan.gc.ca/n1/pub/13-605-x/2017001/article/54867-eng.htm</t>
  </si>
  <si>
    <t>https://www150.statcan.gc.ca/n1/pub/11f0019m/11f0019m2019011-eng.htm</t>
  </si>
  <si>
    <t>1423.xlsx(--)</t>
  </si>
  <si>
    <t>1426.xlsx(--)</t>
  </si>
  <si>
    <t>https://www150.statcan.gc.ca/n1/pub/81-599-x/81-599-x2020001-eng.htm</t>
  </si>
  <si>
    <t>1429.xlsx(--)</t>
  </si>
  <si>
    <t>https://www150.statcan.gc.ca/n1/pub/11f0019m/11f0019m2019010-eng.htm</t>
  </si>
  <si>
    <t>1431.xlsx(--)</t>
  </si>
  <si>
    <t>1433.xlsx(--)</t>
  </si>
  <si>
    <t>1435.xlsx(--)</t>
  </si>
  <si>
    <t>1436.xlsx(--)</t>
  </si>
  <si>
    <t>1437.xlsx(--)</t>
  </si>
  <si>
    <t>1438.xlsx(--)</t>
  </si>
  <si>
    <t>1439.xlsx(--)</t>
  </si>
  <si>
    <t>1441.xlsx(--)</t>
  </si>
  <si>
    <t>https://www150.statcan.gc.ca/n1/pub/11f0019m/11f0019m2015372-eng.htm</t>
  </si>
  <si>
    <t>https://www150.statcan.gc.ca/n1/pub/82-003-x/2017001/article/14697-eng.htm</t>
  </si>
  <si>
    <t>1444.xlsx(--)</t>
  </si>
  <si>
    <t>1446.xlsx(--)</t>
  </si>
  <si>
    <t>1448.xlsx(--)</t>
  </si>
  <si>
    <t>Table 3a</t>
  </si>
  <si>
    <t>https://www150.statcan.gc.ca/n1/pub/11-626-x/11-626-x2020015-eng.htm</t>
  </si>
  <si>
    <t>1454.xlsx(--)</t>
  </si>
  <si>
    <t>https://www150.statcan.gc.ca/n1/pub/85-002-x/2017001/article/54889-eng.htm</t>
  </si>
  <si>
    <t>1456.xlsx(--)</t>
  </si>
  <si>
    <t>1457.xlsx(--)</t>
  </si>
  <si>
    <t>1459.xlsx(--)</t>
  </si>
  <si>
    <t>https://www150.statcan.gc.ca/n1/pub/82-003-x/2019012/article/00003-eng.htm</t>
  </si>
  <si>
    <t>https://www150.statcan.gc.ca/n1/pub/75-006-x/2016001/article/14655-eng.htm</t>
  </si>
  <si>
    <t>https://www150.statcan.gc.ca/n1/pub/89-657-x/89-657-x2020003-eng.htm</t>
  </si>
  <si>
    <t>https://www150.statcan.gc.ca/n1/pub/11-626-x/11-626-x2020001-eng.htm</t>
  </si>
  <si>
    <t>https://www150.statcan.gc.ca/n1/pub/75-006-x/2015001/article/14202-eng.htm</t>
  </si>
  <si>
    <t>1475.xlsx(--)</t>
  </si>
  <si>
    <t>https://www150.statcan.gc.ca/n1/pub/11-626-x/11-626-x2015044-eng.htm</t>
  </si>
  <si>
    <t>https://www150.statcan.gc.ca/n1/pub/11f0019m/11f0019m2019012-eng.htm</t>
  </si>
  <si>
    <t>https://www150.statcan.gc.ca/n1/pub/85-002-x/2020001/article/00012-eng.htm</t>
  </si>
  <si>
    <t>1481.xlsx(--)</t>
  </si>
  <si>
    <t>1482.xlsx(--)</t>
  </si>
  <si>
    <t>1484.xlsx(--)</t>
  </si>
  <si>
    <t>1485.xlsx(--)</t>
  </si>
  <si>
    <t>https://www150.statcan.gc.ca/n1/pub/85-002-x/2017001/article/14689-eng.htm</t>
  </si>
  <si>
    <t>https://www150.statcan.gc.ca/n1/pub/82-003-x/2020004/article/00003-eng.htm</t>
  </si>
  <si>
    <t>https://www150.statcan.gc.ca/n1/pub/85-002-x/2015001/article/14191-eng.htm</t>
  </si>
  <si>
    <t>1491.xlsx(--)</t>
  </si>
  <si>
    <t>1492.xlsx(--)</t>
  </si>
  <si>
    <t>https://www150.statcan.gc.ca/n1/pub/85-002-x/2015001/article/14224-eng.htm</t>
  </si>
  <si>
    <t>https://www150.statcan.gc.ca/n1/pub/11-633-x/11-633-x2019002-eng.htm</t>
  </si>
  <si>
    <t>1501.xlsx(--)</t>
  </si>
  <si>
    <t>https://www150.statcan.gc.ca/n1/pub/82-003-x/2020004/article/00002-eng.htm</t>
  </si>
  <si>
    <t>https://www150.statcan.gc.ca/n1/pub/85-002-x/2017001/article/14842-eng.htm</t>
  </si>
  <si>
    <t>https://www150.statcan.gc.ca/n1/pub/13-605-x/2016002/article/14685-eng.htm</t>
  </si>
  <si>
    <t>https://www150.statcan.gc.ca/n1/pub/75-006-x/2020001/article/00005-eng.htm</t>
  </si>
  <si>
    <t>https://www150.statcan.gc.ca/n1/pub/82-003-x/2020009/article/00001-eng.htm</t>
  </si>
  <si>
    <t>1522.xlsx(--)</t>
  </si>
  <si>
    <t>1526.xlsx(--)</t>
  </si>
  <si>
    <t>https://www150.statcan.gc.ca/n1/pub/11f0019m/11f0019m2016377-eng.htm</t>
  </si>
  <si>
    <t>1527.xlsx(--)</t>
  </si>
  <si>
    <t>1528.xlsx(--)</t>
  </si>
  <si>
    <t>1529.xlsx(--)</t>
  </si>
  <si>
    <t>1530.xlsx(--)</t>
  </si>
  <si>
    <t>1531.xlsx(--)</t>
  </si>
  <si>
    <t>1532.xlsx(--)</t>
  </si>
  <si>
    <t>1533.xlsx(--)</t>
  </si>
  <si>
    <t>https://www150.statcan.gc.ca/n1/pub/82-003-x/2017007/article/14843-eng.htm</t>
  </si>
  <si>
    <t>https://www150.statcan.gc.ca/n1/pub/13-605-x/2017001/article/54883-eng.htm</t>
  </si>
  <si>
    <t>https://www150.statcan.gc.ca/n1/pub/75-006-x/2018001/article/54975-eng.htm</t>
  </si>
  <si>
    <t>1544.xlsx(--)</t>
  </si>
  <si>
    <t>https://www150.statcan.gc.ca/n1/pub/75-006-x/2015001/article/14299-eng.htm</t>
  </si>
  <si>
    <t>https://www150.statcan.gc.ca/n1/pub/82-003-x/2017004/article/14788-eng.htm</t>
  </si>
  <si>
    <t>https://www150.statcan.gc.ca/n1/pub/75-006-x/2015001/article/14175-eng.htm</t>
  </si>
  <si>
    <t>1552.xlsx(--)</t>
  </si>
  <si>
    <t>https://www150.statcan.gc.ca/n1/pub/11f0019m/11f0019m2019013-eng.htm</t>
  </si>
  <si>
    <t>https://www150.statcan.gc.ca/n1/pub/89-652-x/89-652-x2016001-eng.htm</t>
  </si>
  <si>
    <t>https://www150.statcan.gc.ca/n1/pub/82-003-x/2015012/article/14294-eng.htm</t>
  </si>
  <si>
    <t>https://www150.statcan.gc.ca/n1/pub/11-633-x/11-633-x2018012-eng.htm</t>
  </si>
  <si>
    <t>Table 5-1</t>
  </si>
  <si>
    <t>1567.xlsx(--)</t>
  </si>
  <si>
    <t>https://www150.statcan.gc.ca/n1/pub/89-503-x/2015001/article/14695-eng.htm</t>
  </si>
  <si>
    <t>1572.xlsx(--)</t>
  </si>
  <si>
    <t>1574.xlsx(--)</t>
  </si>
  <si>
    <t>1582.xlsx(--)</t>
  </si>
  <si>
    <t>1583.xlsx(--)</t>
  </si>
  <si>
    <t>https://www150.statcan.gc.ca/n1/pub/71-222-x/71-222-x2018002-eng.htm</t>
  </si>
  <si>
    <t>https://www150.statcan.gc.ca/n1/pub/11f0019m/11f0019m2015370-eng.htm</t>
  </si>
  <si>
    <t>https://www150.statcan.gc.ca/n1/pub/11-626-x/11-626-x2020021-eng.htm</t>
  </si>
  <si>
    <t>https://www150.statcan.gc.ca/n1/pub/81-595-m/81-595-m2020001-eng.htm</t>
  </si>
  <si>
    <t>https://www150.statcan.gc.ca/n1/pub/71-588-x/71-588-x2017001-eng.htm</t>
  </si>
  <si>
    <t>1605.xlsx(--)</t>
  </si>
  <si>
    <t>https://www150.statcan.gc.ca/n1/pub/82-003-x/2018011/article/00001-eng.htm</t>
  </si>
  <si>
    <t>https://www150.statcan.gc.ca/n1/pub/82-003-x/2020010/article/00002-eng.htm</t>
  </si>
  <si>
    <t>https://www150.statcan.gc.ca/n1/pub/82-003-x/2019007/article/00002-eng.htm</t>
  </si>
  <si>
    <t>https://www150.statcan.gc.ca/n1/pub/89-503-x/2015001/article/14316-eng.htm</t>
  </si>
  <si>
    <t>Seniors and aging</t>
  </si>
  <si>
    <t>1619.xlsx(--)</t>
  </si>
  <si>
    <t>1630.xlsx(--)</t>
  </si>
  <si>
    <t>https://www150.statcan.gc.ca/n1/pub/89-652-x/89-652-x2017001-eng.htm</t>
  </si>
  <si>
    <t>https://www150.statcan.gc.ca/n1/pub/85-002-x/2016001/article/14633-eng.htm</t>
  </si>
  <si>
    <t>https://www150.statcan.gc.ca/n1/pub/85-002-x/2018001/article/54979-eng.htm</t>
  </si>
  <si>
    <t>1646.xlsx(--)</t>
  </si>
  <si>
    <t>https://www150.statcan.gc.ca/n1/pub/11f0019m/11f0019m2019016-eng.htm</t>
  </si>
  <si>
    <t>https://www150.statcan.gc.ca/n1/pub/82-003-x/2015001/article/14130-eng.htm</t>
  </si>
  <si>
    <t>1652.xlsx(--)</t>
  </si>
  <si>
    <t>https://www150.statcan.gc.ca/n1/pub/75-006-x/2020001/article/00001-eng.htm</t>
  </si>
  <si>
    <t>https://www150.statcan.gc.ca/n1/pub/75-006-x/2019001/article/00016-eng.htm</t>
  </si>
  <si>
    <t>https://www150.statcan.gc.ca/n1/pub/85-002-x/2018001/article/54980-eng.htm</t>
  </si>
  <si>
    <t>Table 3b</t>
  </si>
  <si>
    <t>1669.xlsx(--)</t>
  </si>
  <si>
    <t>https://www150.statcan.gc.ca/n1/pub/75-006-x/2019001/article/00014-eng.htm</t>
  </si>
  <si>
    <t>https://www150.statcan.gc.ca/n1/pub/51-004-x/51-004-x2020005-eng.htm</t>
  </si>
  <si>
    <t>https://www150.statcan.gc.ca/n1/pub/11f0019m/11f0019m2015367-eng.htm</t>
  </si>
  <si>
    <t>https://www150.statcan.gc.ca/n1/pub/89-503-x/2015001/article/14694-eng.htm</t>
  </si>
  <si>
    <t>1681.xlsx(--)</t>
  </si>
  <si>
    <t>1682.xlsx(--)</t>
  </si>
  <si>
    <t>1684.xlsx(--)</t>
  </si>
  <si>
    <t>1687.xlsx(--)</t>
  </si>
  <si>
    <t>1690.xlsx(--)</t>
  </si>
  <si>
    <t>https://www150.statcan.gc.ca/n1/pub/11f0019m/11f0019m2015371-eng.htm</t>
  </si>
  <si>
    <t>1696.xlsx(--)</t>
  </si>
  <si>
    <t>Table 1-1</t>
  </si>
  <si>
    <t>https://www150.statcan.gc.ca/n1/pub/11-626-x/11-626-x2017076-eng.htm</t>
  </si>
  <si>
    <t>Table 2-1</t>
  </si>
  <si>
    <t>https://www150.statcan.gc.ca/n1/pub/75-006-x/2015001/article/14134-eng.htm</t>
  </si>
  <si>
    <t>https://www150.statcan.gc.ca/n1/pub/85-002-x/2015001/article/14164-eng.htm</t>
  </si>
  <si>
    <t>https://www150.statcan.gc.ca/n1/pub/89-653-x/89-653-x2015006-eng.htm</t>
  </si>
  <si>
    <t>https://www150.statcan.gc.ca/n1/pub/75f0002m/75f0002m2019010-eng.htm</t>
  </si>
  <si>
    <t>1726.xlsx(--)</t>
  </si>
  <si>
    <t>https://www150.statcan.gc.ca/n1/pub/75-006-x/2018001/article/54974-eng.htm</t>
  </si>
  <si>
    <t>1730.xlsx(--)</t>
  </si>
  <si>
    <t>https://www150.statcan.gc.ca/n1/pub/11-626-x/11-626-x2020023-eng.htm</t>
  </si>
  <si>
    <t>https://www150.statcan.gc.ca/n1/pub/82-003-x/2019005/article/00001-eng.htm</t>
  </si>
  <si>
    <t>https://www150.statcan.gc.ca/n1/pub/11f0019m/11f0019m2018408-eng.htm</t>
  </si>
  <si>
    <t>Table 3-1</t>
  </si>
  <si>
    <t>https://www150.statcan.gc.ca/n1/pub/11-621-m/11-621-m2017104-eng.htm</t>
  </si>
  <si>
    <t>https://www150.statcan.gc.ca/n1/pub/75-006-x/2019001/article/00002-eng.htm</t>
  </si>
  <si>
    <t>1748.xlsx(--)</t>
  </si>
  <si>
    <t>https://www150.statcan.gc.ca/n1/pub/89-657-x/89-657-x2019010-eng.htm</t>
  </si>
  <si>
    <t>1749.xlsx(--)</t>
  </si>
  <si>
    <t>Table 1.4</t>
  </si>
  <si>
    <t>1752.xlsx(--)</t>
  </si>
  <si>
    <t>Table 1.5</t>
  </si>
  <si>
    <t>Table 1.6</t>
  </si>
  <si>
    <t>1754.xlsx(--)</t>
  </si>
  <si>
    <t>Table 1.7</t>
  </si>
  <si>
    <t>1755.xlsx(--)</t>
  </si>
  <si>
    <t>Table 1.8</t>
  </si>
  <si>
    <t>1756.xlsx(--)</t>
  </si>
  <si>
    <t>Table 1.9</t>
  </si>
  <si>
    <t>1757.xlsx(--)</t>
  </si>
  <si>
    <t>Table 1.11</t>
  </si>
  <si>
    <t>1758.xlsx(--)</t>
  </si>
  <si>
    <t>Table 1.12</t>
  </si>
  <si>
    <t>Table 1.13</t>
  </si>
  <si>
    <t>Table 1.14</t>
  </si>
  <si>
    <t>1761.xlsx(--)</t>
  </si>
  <si>
    <t>Table 1.15</t>
  </si>
  <si>
    <t>1762.xlsx(--)</t>
  </si>
  <si>
    <t>1763.xlsx(--)</t>
  </si>
  <si>
    <t>Table 2.3</t>
  </si>
  <si>
    <t>Table 2.4</t>
  </si>
  <si>
    <t>1766.xlsx(--)</t>
  </si>
  <si>
    <t>Table 2.5</t>
  </si>
  <si>
    <t>Table 2.6</t>
  </si>
  <si>
    <t>Table 2.7</t>
  </si>
  <si>
    <t>Table 2.9</t>
  </si>
  <si>
    <t>1770.xlsx(--)</t>
  </si>
  <si>
    <t>Table 2.11</t>
  </si>
  <si>
    <t>1772.xlsx(--)</t>
  </si>
  <si>
    <t>1773.xlsx(--)</t>
  </si>
  <si>
    <t>1775.xlsx(--)</t>
  </si>
  <si>
    <t>https://www150.statcan.gc.ca/n1/pub/46-28-0001/2019001/article/00002-eng.htm</t>
  </si>
  <si>
    <t>Construction</t>
  </si>
  <si>
    <t>https://www150.statcan.gc.ca/n1/pub/13-605-x/2020001/article/00005-eng.htm</t>
  </si>
  <si>
    <t>https://www150.statcan.gc.ca/n1/pub/85-002-x/2017001/article/54866-eng.htm</t>
  </si>
  <si>
    <t>https://www150.statcan.gc.ca/n1/pub/85-002-x/2016001/article/14631-eng.htm</t>
  </si>
  <si>
    <t>https://www150.statcan.gc.ca/n1/pub/13-605-x/2018001/article/54965-eng.htm</t>
  </si>
  <si>
    <t>1793.xlsx(--)</t>
  </si>
  <si>
    <t>https://www150.statcan.gc.ca/n1/pub/85-002-x/2016001/article/14668-eng.htm</t>
  </si>
  <si>
    <t>1794.xlsx(--)</t>
  </si>
  <si>
    <t>https://www150.statcan.gc.ca/n1/pub/75-004-m/75-004-m2016001-eng.htm</t>
  </si>
  <si>
    <t>https://www150.statcan.gc.ca/n1/pub/82-003-x/2018009/article/00002-eng.htm</t>
  </si>
  <si>
    <t>1811.xlsx(--)</t>
  </si>
  <si>
    <t>1812.xlsx(--)</t>
  </si>
  <si>
    <t>1813.xlsx(--)</t>
  </si>
  <si>
    <t>https://www150.statcan.gc.ca/n1/pub/11f0019m/11f0019m2019018-eng.htm</t>
  </si>
  <si>
    <t>1814.xlsx(--)</t>
  </si>
  <si>
    <t>https://www150.statcan.gc.ca/n1/pub/75-006-x/2018001/article/54947-eng.htm</t>
  </si>
  <si>
    <t>https://www150.statcan.gc.ca/n1/pub/75f0002m/75f0002m2016001-eng.htm</t>
  </si>
  <si>
    <t>https://www150.statcan.gc.ca/n1/pub/89-657-x/89-657-x2019018-eng.htm</t>
  </si>
  <si>
    <t>1823.xlsx(--)</t>
  </si>
  <si>
    <t>1825.xlsx(--)</t>
  </si>
  <si>
    <t>https://www150.statcan.gc.ca/n1/pub/82-003-x/2019002/article/00001-eng.htm</t>
  </si>
  <si>
    <t>https://www150.statcan.gc.ca/n1/pub/11-626-x/11-626-x2018082-eng.htm</t>
  </si>
  <si>
    <t>https://www150.statcan.gc.ca/n1/pub/11f0019m/11f0019m2016374-eng.htm</t>
  </si>
  <si>
    <t>Table 00:00:00</t>
  </si>
  <si>
    <t>1839.xlsx(--)</t>
  </si>
  <si>
    <t>1843.xlsx(--)</t>
  </si>
  <si>
    <t>https://www150.statcan.gc.ca/n1/pub/85-002-x/2020001/article/00015-eng.htm</t>
  </si>
  <si>
    <t>https://www150.statcan.gc.ca/n1/pub/75-006-x/2017001/article/14826-eng.htm</t>
  </si>
  <si>
    <t>https://www150.statcan.gc.ca/n1/pub/11-626-x/11-626-x2019001-eng.htm</t>
  </si>
  <si>
    <t>https://www150.statcan.gc.ca/n1/pub/82-003-x/2020005/article/00002-eng.htm</t>
  </si>
  <si>
    <t>https://www150.statcan.gc.ca/n1/pub/89-653-x/89-653-x2018004-eng.htm</t>
  </si>
  <si>
    <t>https://www150.statcan.gc.ca/n1/pub/11-626-x/11-626-x2015047-eng.htm</t>
  </si>
  <si>
    <t>https://www150.statcan.gc.ca/n1/pub/91-209-x/2018001/article/54957-eng.htm</t>
  </si>
  <si>
    <t>https://www150.statcan.gc.ca/n1/pub/82-003-x/2019011/article/00001-eng.htm</t>
  </si>
  <si>
    <t>1873.xlsx(--)</t>
  </si>
  <si>
    <t>https://www150.statcan.gc.ca/n1/pub/82-003-x/2019010/article/00001-eng.htm</t>
  </si>
  <si>
    <t>1876.xlsx(--)</t>
  </si>
  <si>
    <t>1877.xlsx(--)</t>
  </si>
  <si>
    <t>Table None</t>
  </si>
  <si>
    <t>https://www150.statcan.gc.ca/n1/pub/11-621-m/11-621-m2015097-eng.htm</t>
  </si>
  <si>
    <t>1878.xlsx(--)</t>
  </si>
  <si>
    <t>https://www150.statcan.gc.ca/n1/pub/13-605-x/2016001/article/14627-eng.htm</t>
  </si>
  <si>
    <t>https://www150.statcan.gc.ca/n1/pub/11-633-x/11-633-x2020002-eng.htm</t>
  </si>
  <si>
    <t>https://www150.statcan.gc.ca/n1/pub/11-633-x/11-633-x2019004-eng.htm</t>
  </si>
  <si>
    <t>https://www150.statcan.gc.ca/n1/pub/89-503-x/2015001/article/14313-eng.htm</t>
  </si>
  <si>
    <t>1894.xlsx(--)</t>
  </si>
  <si>
    <t>1895.xlsx(--)</t>
  </si>
  <si>
    <t>1899.xlsx(--)</t>
  </si>
  <si>
    <t>Table A1</t>
  </si>
  <si>
    <t>https://www150.statcan.gc.ca/n1/pub/11-626-x/11-626-x2016057-eng.htm</t>
  </si>
  <si>
    <t>https://www150.statcan.gc.ca/n1/pub/75f0002m/75f0002m2019012-eng.htm</t>
  </si>
  <si>
    <t>1905.xlsx(--)</t>
  </si>
  <si>
    <t>https://www150.statcan.gc.ca/n1/pub/85-002-x/2016001/article/14656-eng.htm</t>
  </si>
  <si>
    <t>https://www150.statcan.gc.ca/n1/pub/85-002-x/2019001/article/00013-eng.htm</t>
  </si>
  <si>
    <t>https://www150.statcan.gc.ca/n1/pub/11f0019m/11f0019m2016379-eng.htm</t>
  </si>
  <si>
    <t>1932.xlsx(--)</t>
  </si>
  <si>
    <t>https://www150.statcan.gc.ca/n1/pub/89-653-x/89-653-x2016011-eng.htm</t>
  </si>
  <si>
    <t>1933.xlsx(--)</t>
  </si>
  <si>
    <t>https://www150.statcan.gc.ca/n1/pub/45-28-0001/2020001/article/00069-eng.htm</t>
  </si>
  <si>
    <t>https://www150.statcan.gc.ca/n1/pub/82-003-x/2020001/article/00001-eng.htm</t>
  </si>
  <si>
    <t>1935.xlsx(--)</t>
  </si>
  <si>
    <t>https://www150.statcan.gc.ca/n1/pub/89-653-x/89-653-x2019002-eng.htm</t>
  </si>
  <si>
    <t>https://www150.statcan.gc.ca/n1/pub/85-002-x/2019001/article/00016-eng.htm</t>
  </si>
  <si>
    <t>1948.xlsx(--)</t>
  </si>
  <si>
    <t>https://www150.statcan.gc.ca/n1/pub/85-002-x/2015001/article/14198-eng.htm</t>
  </si>
  <si>
    <t>1949.xlsx(--)</t>
  </si>
  <si>
    <t>https://www150.statcan.gc.ca/n1/pub/85-002-x/2017001/article/54879-eng.htm</t>
  </si>
  <si>
    <t>https://www150.statcan.gc.ca/n1/pub/85-002-x/2018001/article/54974-eng.htm</t>
  </si>
  <si>
    <t>https://www150.statcan.gc.ca/n1/pub/11f0019m/11f0019m2015368-eng.htm</t>
  </si>
  <si>
    <t>https://www150.statcan.gc.ca/n1/pub/11f0019m/11f0019m2016387-eng.htm</t>
  </si>
  <si>
    <t>https://www150.statcan.gc.ca/n1/pub/75-004-m/75-004-m2015002-eng.htm</t>
  </si>
  <si>
    <t>Table 3A</t>
  </si>
  <si>
    <t>https://www150.statcan.gc.ca/n1/pub/99-011-x/99-011-x2019002-eng.htm</t>
  </si>
  <si>
    <t>Table 3B</t>
  </si>
  <si>
    <t>Table 4A</t>
  </si>
  <si>
    <t>Table 4B</t>
  </si>
  <si>
    <t>https://www150.statcan.gc.ca/n1/pub/89-657-x/89-657-x2019014-eng.htm</t>
  </si>
  <si>
    <t>1988.xlsx(--)</t>
  </si>
  <si>
    <t>1989.xlsx(--)</t>
  </si>
  <si>
    <t>https://www150.statcan.gc.ca/n1/pub/82-003-x/2016007/article/14645-eng.htm</t>
  </si>
  <si>
    <t>1990.xlsx(--)</t>
  </si>
  <si>
    <t>1992.xlsx(--)</t>
  </si>
  <si>
    <t>1993.xlsx(--)</t>
  </si>
  <si>
    <t>https://www150.statcan.gc.ca/n1/pub/85-002-x/2016001/article/14642-eng.htm</t>
  </si>
  <si>
    <t>1994.xlsx(--)</t>
  </si>
  <si>
    <t>2002.xlsx(--)</t>
  </si>
  <si>
    <t>Table 8b</t>
  </si>
  <si>
    <t>2005.xlsx(--)</t>
  </si>
  <si>
    <t>https://www150.statcan.gc.ca/n1/pub/89-657-x/89-657-x2019016-eng.htm</t>
  </si>
  <si>
    <t>2007.xlsx(--)</t>
  </si>
  <si>
    <t>https://www150.statcan.gc.ca/n1/pub/85-002-x/2015001/article/14234-eng.htm</t>
  </si>
  <si>
    <t>2008.xlsx(--)</t>
  </si>
  <si>
    <t>https://www150.statcan.gc.ca/n1/pub/82-003-x/2020003/article/00001-eng.htm</t>
  </si>
  <si>
    <t>https://www150.statcan.gc.ca/n1/pub/75-006-x/2017001/article/14798-eng.htm</t>
  </si>
  <si>
    <t>2026.xlsx(--)</t>
  </si>
  <si>
    <t>2028.xlsx(--)</t>
  </si>
  <si>
    <t>https://www150.statcan.gc.ca/n1/pub/11-626-x/11-626-x2020025-eng.htm</t>
  </si>
  <si>
    <t>https://www150.statcan.gc.ca/n1/pub/11f0019m/11f0019m2017389-eng.htm</t>
  </si>
  <si>
    <t>2031.xlsx(--)</t>
  </si>
  <si>
    <t>2032.xlsx(--)</t>
  </si>
  <si>
    <t>2034.xlsx(--)</t>
  </si>
  <si>
    <t>2035.xlsx(--)</t>
  </si>
  <si>
    <t>https://www150.statcan.gc.ca/n1/pub/11f0019m/11f0019m2016373-eng.htm</t>
  </si>
  <si>
    <t>2036.xlsx(--)</t>
  </si>
  <si>
    <t>https://www150.statcan.gc.ca/n1/pub/11f0019m/11f0019m2020012-eng.htm</t>
  </si>
  <si>
    <t>2042.xlsx(--)</t>
  </si>
  <si>
    <t>https://www150.statcan.gc.ca/n1/pub/75f0002m/75f0002m2020003-eng.htm</t>
  </si>
  <si>
    <t>2050.xlsx(--)</t>
  </si>
  <si>
    <t>2051.xlsx(--)</t>
  </si>
  <si>
    <t>2052.xlsx(--)</t>
  </si>
  <si>
    <t>https://www150.statcan.gc.ca/n1/pub/11f0019m/11f0019m2019023-eng.htm</t>
  </si>
  <si>
    <t>2056.xlsx(--)</t>
  </si>
  <si>
    <t>2057.xlsx(--)</t>
  </si>
  <si>
    <t>https://www150.statcan.gc.ca/n1/pub/11f0019m/11f0019m2019008-eng.htm</t>
  </si>
  <si>
    <t>2059.xlsx(--)</t>
  </si>
  <si>
    <t>https://www150.statcan.gc.ca/n1/pub/11f0019m/11f0019m2017400-eng.htm</t>
  </si>
  <si>
    <t>2063.xlsx(--)</t>
  </si>
  <si>
    <t>2065.xlsx(--)</t>
  </si>
  <si>
    <t>Table Appendix</t>
  </si>
  <si>
    <t>https://www150.statcan.gc.ca/n1/pub/85-002-x/2019001/article/00001-eng.htm</t>
  </si>
  <si>
    <t>2066.xlsx(--)</t>
  </si>
  <si>
    <t>https://www150.statcan.gc.ca/n1/pub/11f0019m/11f0019m2019021-eng.htm</t>
  </si>
  <si>
    <t>https://www150.statcan.gc.ca/n1/pub/11f0019m/11f0019m2018404-eng.htm</t>
  </si>
  <si>
    <t>https://www150.statcan.gc.ca/n1/pub/82-003-x/2020012/article/00002-eng.htm</t>
  </si>
  <si>
    <t>https://www150.statcan.gc.ca/n1/pub/13-605-x/2018001/article/54968-eng.htm</t>
  </si>
  <si>
    <t>https://www150.statcan.gc.ca/n1/pub/89-503-x/2015001/article/14235-eng.htm</t>
  </si>
  <si>
    <t>2091.xlsx(--)</t>
  </si>
  <si>
    <t>2096.xlsx(--)</t>
  </si>
  <si>
    <t>https://www150.statcan.gc.ca/n1/pub/11f0019m/11f0019m2019015-eng.htm</t>
  </si>
  <si>
    <t>https://www150.statcan.gc.ca/n1/pub/82-625-x/2020001/article/00004-eng.htm</t>
  </si>
  <si>
    <t>https://www150.statcan.gc.ca/n1/pub/82-003-x/2017012/article/54891-eng.htm</t>
  </si>
  <si>
    <t>https://www150.statcan.gc.ca/n1/pub/85-002-x/2016001/article/14323-eng.htm</t>
  </si>
  <si>
    <t>https://www150.statcan.gc.ca/n1/pub/85-002-x/2020001/article/00013-eng.htm</t>
  </si>
  <si>
    <t>https://www150.statcan.gc.ca/n1/pub/11-626-x/11-626-x2018079-eng.htm</t>
  </si>
  <si>
    <t>2120.xlsx(--)</t>
  </si>
  <si>
    <t>https://www150.statcan.gc.ca/n1/pub/75-006-x/2017001/article/54878-eng.htm</t>
  </si>
  <si>
    <t>https://www150.statcan.gc.ca/n1/pub/82-003-x/2019003/article/00002-eng.htm</t>
  </si>
  <si>
    <t>2127.xlsx(--)</t>
  </si>
  <si>
    <t>https://www150.statcan.gc.ca/n1/pub/82-003-x/2015004/article/14157-eng.htm</t>
  </si>
  <si>
    <t>2128.xlsx(--)</t>
  </si>
  <si>
    <t>https://www150.statcan.gc.ca/n1/pub/82-003-x/2019005/article/00002-eng.htm</t>
  </si>
  <si>
    <t>https://www150.statcan.gc.ca/n1/pub/11-633-x/11-633-x2021001-eng.htm</t>
  </si>
  <si>
    <t>https://www150.statcan.gc.ca/n1/pub/82-003-x/2019004/article/00002-eng.htm</t>
  </si>
  <si>
    <t>https://www150.statcan.gc.ca/n1/pub/75-006-x/2015001/article/14194-eng.htm</t>
  </si>
  <si>
    <t>https://www150.statcan.gc.ca/n1/pub/82-003-x/2017010/article/54876-eng.htm</t>
  </si>
  <si>
    <t>2153.xlsx(--)</t>
  </si>
  <si>
    <t>2154.xlsx(--)</t>
  </si>
  <si>
    <t>https://www150.statcan.gc.ca/n1/pub/11f0027m/11f0027m2015099-eng.htm</t>
  </si>
  <si>
    <t>https://www150.statcan.gc.ca/n1/pub/89-657-x/89-657-x2020002-eng.htm</t>
  </si>
  <si>
    <t>2160.xlsx(--)</t>
  </si>
  <si>
    <t>https://www150.statcan.gc.ca/n1/pub/75-006-x/2016001/article/14639-eng.htm</t>
  </si>
  <si>
    <t>https://www150.statcan.gc.ca/n1/pub/11-626-x/11-626-x2016064-eng.htm</t>
  </si>
  <si>
    <t>2162.xlsx(--)</t>
  </si>
  <si>
    <t>https://www150.statcan.gc.ca/n1/pub/75f0002m/75f0002m2019007-eng.htm</t>
  </si>
  <si>
    <t>https://www150.statcan.gc.ca/n1/pub/89-653-x/89-653-x2019005-eng.htm</t>
  </si>
  <si>
    <t>https://www150.statcan.gc.ca/n1/pub/99-011-x/99-011-x2019001-eng.htm</t>
  </si>
  <si>
    <t>https://www150.statcan.gc.ca/n1/pub/75-006-x/2015001/article/14221-eng.htm</t>
  </si>
  <si>
    <t>https://www150.statcan.gc.ca/n1/pub/11-626-x/11-626-x2015054-eng.htm</t>
  </si>
  <si>
    <t>2182.xlsx(--)</t>
  </si>
  <si>
    <t>https://www150.statcan.gc.ca/n1/pub/89-653-x/89-653-x2019003-eng.htm</t>
  </si>
  <si>
    <t>2183.xlsx(--)</t>
  </si>
  <si>
    <t>https://www150.statcan.gc.ca/n1/pub/82-003-x/2018008/article/00001-eng.htm</t>
  </si>
  <si>
    <t>https://www150.statcan.gc.ca/n1/pub/11f0019m/11f0019m2015365-eng.htm</t>
  </si>
  <si>
    <t>https://www150.statcan.gc.ca/n1/pub/82-003-x/2015010/article/14227-eng.htm</t>
  </si>
  <si>
    <t>2193.xlsx(--)</t>
  </si>
  <si>
    <t>2195.xlsx(--)</t>
  </si>
  <si>
    <t>https://www150.statcan.gc.ca/n1/pub/85-002-x/2018001/article/54914-eng.htm</t>
  </si>
  <si>
    <t>https://www150.statcan.gc.ca/n1/pub/82-003-x/2015011/article/14242-eng.htm</t>
  </si>
  <si>
    <t>2199.xlsx(--)</t>
  </si>
  <si>
    <t>https://www150.statcan.gc.ca/n1/pub/11f0019m/11f0019m2018406-eng.htm</t>
  </si>
  <si>
    <t>https://www150.statcan.gc.ca/n1/pub/85-002-x/2018001/article/54972-eng.htm</t>
  </si>
  <si>
    <t>2216.xlsx(--)</t>
  </si>
  <si>
    <t>https://www150.statcan.gc.ca/n1/pub/11f0019m/11f0019m2020016-eng.htm</t>
  </si>
  <si>
    <t>2217.xlsx(--)</t>
  </si>
  <si>
    <t>2220.xlsx(--)</t>
  </si>
  <si>
    <t>2221.xlsx(--)</t>
  </si>
  <si>
    <t>https://www150.statcan.gc.ca/n1/pub/85-002-x/2018001/article/54910-eng.htm</t>
  </si>
  <si>
    <t>2225.xlsx(--)</t>
  </si>
  <si>
    <t>2226.xlsx(--)</t>
  </si>
  <si>
    <t>2228.xlsx(--)</t>
  </si>
  <si>
    <t>2229.xlsx(--)</t>
  </si>
  <si>
    <t>2230.xlsx(--)</t>
  </si>
  <si>
    <t>https://www150.statcan.gc.ca/n1/pub/11-626-x/11-626-x2020010-eng.htm</t>
  </si>
  <si>
    <t>https://www150.statcan.gc.ca/n1/pub/75-006-x/2019001/article/00013-eng.htm</t>
  </si>
  <si>
    <t>https://www150.statcan.gc.ca/n1/pub/82-003-x/2016001/article/14305-eng.htm</t>
  </si>
  <si>
    <t>2239.xlsx(--)</t>
  </si>
  <si>
    <t>2240.xlsx(--)</t>
  </si>
  <si>
    <t>https://www150.statcan.gc.ca/n1/pub/82-003-x/2018012/article/00003-eng.htm</t>
  </si>
  <si>
    <t>2241.xlsx(--)</t>
  </si>
  <si>
    <t>https://www150.statcan.gc.ca/n1/pub/85-002-x/2016001/article/14303-eng.htm</t>
  </si>
  <si>
    <t>2242.xlsx(--)</t>
  </si>
  <si>
    <t>2243.xlsx(--)</t>
  </si>
  <si>
    <t>2244.xlsx(--)</t>
  </si>
  <si>
    <t>2245.xlsx(--)</t>
  </si>
  <si>
    <t>2246.xlsx(--)</t>
  </si>
  <si>
    <t>2247.xlsx(--)</t>
  </si>
  <si>
    <t>2248.xlsx(--)</t>
  </si>
  <si>
    <t>2249.xlsx(--)</t>
  </si>
  <si>
    <t>2250.xlsx(--)</t>
  </si>
  <si>
    <t>2251.xlsx(--)</t>
  </si>
  <si>
    <t>2252.xlsx(--)</t>
  </si>
  <si>
    <t>2253.xlsx(--)</t>
  </si>
  <si>
    <t>2254.xlsx(--)</t>
  </si>
  <si>
    <t>2255.xlsx(--)</t>
  </si>
  <si>
    <t>Table 2.8</t>
  </si>
  <si>
    <t>2256.xlsx(--)</t>
  </si>
  <si>
    <t>2257.xlsx(--)</t>
  </si>
  <si>
    <t>2258.xlsx(--)</t>
  </si>
  <si>
    <t>Table 3.3</t>
  </si>
  <si>
    <t>2259.xlsx(--)</t>
  </si>
  <si>
    <t>Table 3.4</t>
  </si>
  <si>
    <t>2260.xlsx(--)</t>
  </si>
  <si>
    <t>Table 3.5</t>
  </si>
  <si>
    <t>2261.xlsx(--)</t>
  </si>
  <si>
    <t>Table 3.7</t>
  </si>
  <si>
    <t>2262.xlsx(--)</t>
  </si>
  <si>
    <t>Table 3.8</t>
  </si>
  <si>
    <t>2263.xlsx(--)</t>
  </si>
  <si>
    <t>Table 3.9</t>
  </si>
  <si>
    <t>2264.xlsx(--)</t>
  </si>
  <si>
    <t>2265.xlsx(--)</t>
  </si>
  <si>
    <t>2266.xlsx(--)</t>
  </si>
  <si>
    <t>2267.xlsx(--)</t>
  </si>
  <si>
    <t>2268.xlsx(--)</t>
  </si>
  <si>
    <t>2269.xlsx(--)</t>
  </si>
  <si>
    <t>2270.xlsx(--)</t>
  </si>
  <si>
    <t>2271.xlsx(--)</t>
  </si>
  <si>
    <t>Table 4.9</t>
  </si>
  <si>
    <t>2272.xlsx(--)</t>
  </si>
  <si>
    <t>Table 5.1</t>
  </si>
  <si>
    <t>2273.xlsx(--)</t>
  </si>
  <si>
    <t>Table 5.2</t>
  </si>
  <si>
    <t>2274.xlsx(--)</t>
  </si>
  <si>
    <t>Table 5.3</t>
  </si>
  <si>
    <t>2275.xlsx(--)</t>
  </si>
  <si>
    <t>Table 5.4</t>
  </si>
  <si>
    <t>2276.xlsx(--)</t>
  </si>
  <si>
    <t>Table 5.5</t>
  </si>
  <si>
    <t>2277.xlsx(--)</t>
  </si>
  <si>
    <t>Table 5.6</t>
  </si>
  <si>
    <t>2278.xlsx(--)</t>
  </si>
  <si>
    <t>Table 5.7</t>
  </si>
  <si>
    <t>2279.xlsx(--)</t>
  </si>
  <si>
    <t>Table 5.8</t>
  </si>
  <si>
    <t>2280.xlsx(--)</t>
  </si>
  <si>
    <t>Table 5.9</t>
  </si>
  <si>
    <t>2281.xlsx(--)</t>
  </si>
  <si>
    <t>Table 5.11</t>
  </si>
  <si>
    <t>https://www150.statcan.gc.ca/n1/pub/11f0019m/11f0019m2019005-eng.htm</t>
  </si>
  <si>
    <t>2283.xlsx(--)</t>
  </si>
  <si>
    <t>https://www150.statcan.gc.ca/n1/pub/89-503-x/2015001/article/14324-eng.htm</t>
  </si>
  <si>
    <t>https://www150.statcan.gc.ca/n1/pub/89-503-x/2015001/article/14640-eng.htm</t>
  </si>
  <si>
    <t>2300.xlsx(--)</t>
  </si>
  <si>
    <t>2308.xlsx(--)</t>
  </si>
  <si>
    <t>2312.xlsx(--)</t>
  </si>
  <si>
    <t>https://www150.statcan.gc.ca/n1/pub/62f0014m/62f0014m2019008-eng.htm</t>
  </si>
  <si>
    <t>https://www150.statcan.gc.ca/n1/pub/75-006-x/2019001/article/00011-eng.htm</t>
  </si>
  <si>
    <t>https://www150.statcan.gc.ca/n1/pub/82-003-x/2017003/article/14781-eng.htm</t>
  </si>
  <si>
    <t>https://www150.statcan.gc.ca/n1/pub/11-621-m/11-621-m2019001-eng.htm</t>
  </si>
  <si>
    <t>2325.xlsx(--)</t>
  </si>
  <si>
    <t>https://www150.statcan.gc.ca/n1/pub/85-002-x/2020001/article/00008-eng.htm</t>
  </si>
  <si>
    <t>2329.xlsx(--)</t>
  </si>
  <si>
    <t>Table 无</t>
  </si>
  <si>
    <t>https://www150.statcan.gc.ca/n1/pub/11-630-x/11-630-x2016007-eng.htm</t>
  </si>
  <si>
    <t>https://www150.statcan.gc.ca/n1/pub/82-003-x/2016009/article/14653-eng.htm</t>
  </si>
  <si>
    <t>2333.xlsx(--)</t>
  </si>
  <si>
    <t>2334.xlsx(--)</t>
  </si>
  <si>
    <t>https://www150.statcan.gc.ca/n1/pub/13-605-x/2019001/article/00010-eng.htm</t>
  </si>
  <si>
    <t>https://www150.statcan.gc.ca/n1/pub/11f0019m/11f0019m2019002-eng.htm</t>
  </si>
  <si>
    <t>2343.xlsx(--)</t>
  </si>
  <si>
    <t>2346.xlsx(--)</t>
  </si>
  <si>
    <t>2347.xlsx(--)</t>
  </si>
  <si>
    <t>https://www150.statcan.gc.ca/n1/pub/75-006-x/2019001/article/00005-eng.htm</t>
  </si>
  <si>
    <t>https://www150.statcan.gc.ca/n1/pub/85-002-x/2018001/article/54975-eng.htm</t>
  </si>
  <si>
    <t>https://www150.statcan.gc.ca/n1/pub/11f0019m/11f0019m2017397-eng.htm</t>
  </si>
  <si>
    <t>2356.xlsx(--)</t>
  </si>
  <si>
    <t>2357.xlsx(--)</t>
  </si>
  <si>
    <t>2360.xlsx(--)</t>
  </si>
  <si>
    <t>2363.xlsx(--)</t>
  </si>
  <si>
    <t>2364.xlsx(--)</t>
  </si>
  <si>
    <t>https://www150.statcan.gc.ca/n1/pub/82-003-x/2020003/article/00003-eng.htm</t>
  </si>
  <si>
    <t>2365.xlsx(--)</t>
  </si>
  <si>
    <t>2367.xlsx(--)</t>
  </si>
  <si>
    <t>https://www150.statcan.gc.ca/n1/pub/82-003-x/2015002/article/14140-eng.htm</t>
  </si>
  <si>
    <t>2369.xlsx(--)</t>
  </si>
  <si>
    <t>2370.xlsx(--)</t>
  </si>
  <si>
    <t>2371.xlsx(--)</t>
  </si>
  <si>
    <t>2372.xlsx(--)</t>
  </si>
  <si>
    <t>2373.xlsx(--)</t>
  </si>
  <si>
    <t>https://www150.statcan.gc.ca/n1/pub/11-626-x/11-626-x2020011-eng.htm</t>
  </si>
  <si>
    <t>https://www150.statcan.gc.ca/n1/pub/11f0019m/11f0019m2019017-eng.htm</t>
  </si>
  <si>
    <t>2378.xlsx(--)</t>
  </si>
  <si>
    <t>https://www150.statcan.gc.ca/n1/pub/75f0002m/75f0002m2019001-eng.htm</t>
  </si>
  <si>
    <t>2379.xlsx(--)</t>
  </si>
  <si>
    <t>https://www150.statcan.gc.ca/n1/pub/82-003-x/2018010/article/00003-eng.htm</t>
  </si>
  <si>
    <t>2385.xlsx(--)</t>
  </si>
  <si>
    <t>https://www150.statcan.gc.ca/n1/pub/82-003-x/2018008/article/00002-eng.htm</t>
  </si>
  <si>
    <t>https://www150.statcan.gc.ca/n1/pub/75-006-x/2020001/article/00006-eng.htm</t>
  </si>
  <si>
    <t>https://www150.statcan.gc.ca/n1/pub/82-003-x/2016004/article/14489-eng.htm</t>
  </si>
  <si>
    <t>2393.xlsx(--)</t>
  </si>
  <si>
    <t>2394.xlsx(--)</t>
  </si>
  <si>
    <t>https://www150.statcan.gc.ca/n1/pub/85-002-x/2016001/article/14679-eng.htm</t>
  </si>
  <si>
    <t>https://www150.statcan.gc.ca/n1/pub/75-006-x/2015001/article/14154-eng.htm</t>
  </si>
  <si>
    <t>2399.xlsx(--)</t>
  </si>
  <si>
    <t>https://www150.statcan.gc.ca/n1/pub/89-657-x/89-657-x2019008-eng.htm</t>
  </si>
  <si>
    <t>https://www150.statcan.gc.ca/n1/pub/82-003-x/2018002/article/54909-eng.htm</t>
  </si>
  <si>
    <t>2408.xlsx(--)</t>
  </si>
  <si>
    <t>https://www150.statcan.gc.ca/n1/pub/82-003-x/2016012/article/14688-eng.htm</t>
  </si>
  <si>
    <t>https://www150.statcan.gc.ca/n1/pub/75-006-x/2020001/article/00004-eng.htm</t>
  </si>
  <si>
    <t>https://www150.statcan.gc.ca/n1/pub/91-209-x/2017001/article/14793-eng.htm</t>
  </si>
  <si>
    <t>2418.xlsx(--)</t>
  </si>
  <si>
    <t>https://www150.statcan.gc.ca/n1/pub/85-002-x/2019001/article/00009-eng.htm</t>
  </si>
  <si>
    <t>https://www150.statcan.gc.ca/n1/pub/11f0019m/11f0019m2020015-eng.htm</t>
  </si>
  <si>
    <t>https://www150.statcan.gc.ca/n1/pub/11f0019m/11f0019m2019007-eng.htm</t>
  </si>
  <si>
    <t>2429.xlsx(--)</t>
  </si>
  <si>
    <t>2430.xlsx(--)</t>
  </si>
  <si>
    <t>2431.xlsx(--)</t>
  </si>
  <si>
    <t>2432.xlsx(--)</t>
  </si>
  <si>
    <t>https://www150.statcan.gc.ca/n1/pub/89-648-x/89-648-x2018001-eng.htm</t>
  </si>
  <si>
    <t>https://www150.statcan.gc.ca/n1/pub/11-621-m/11-621-m2019005-eng.htm</t>
  </si>
  <si>
    <t>2436.xlsx(--)</t>
  </si>
  <si>
    <t>2437.xlsx(--)</t>
  </si>
  <si>
    <t>https://www150.statcan.gc.ca/n1/pub/82-003-x/2015001/article/14131-eng.htm</t>
  </si>
  <si>
    <t>https://www150.statcan.gc.ca/n1/pub/11f0019m/11f0019m2019004-eng.htm</t>
  </si>
  <si>
    <t>2443.xlsx(--)</t>
  </si>
  <si>
    <t>2444.xlsx(--)</t>
  </si>
  <si>
    <t>https://www150.statcan.gc.ca/n1/pub/89-648-x/89-648-x2020001-eng.htm</t>
  </si>
  <si>
    <t>Table 6a</t>
  </si>
  <si>
    <t>2453.xlsx(--)</t>
  </si>
  <si>
    <t>Table 6b</t>
  </si>
  <si>
    <t>Table 7a</t>
  </si>
  <si>
    <t>2455.xlsx(--)</t>
  </si>
  <si>
    <t>Table 7b</t>
  </si>
  <si>
    <t>https://www150.statcan.gc.ca/n1/pub/82-003-x/2015005/article/14170-eng.htm</t>
  </si>
  <si>
    <t>https://www150.statcan.gc.ca/n1/pub/85-002-x/2020001/article/00005-eng.htm</t>
  </si>
  <si>
    <t>2460.xlsx(--)</t>
  </si>
  <si>
    <t>2463.xlsx(--)</t>
  </si>
  <si>
    <t>2469.xlsx(--)</t>
  </si>
  <si>
    <t>2471.xlsx(--)</t>
  </si>
  <si>
    <t>2472.xlsx(--)</t>
  </si>
  <si>
    <t>https://www150.statcan.gc.ca/n1/pub/82-003-x/2016011/article/14672-eng.htm</t>
  </si>
  <si>
    <t>2476.xlsx(--)</t>
  </si>
  <si>
    <t>https://www150.statcan.gc.ca/n1/pub/13-605-x/2019001/article/00001-eng.htm</t>
  </si>
  <si>
    <t>https://www150.statcan.gc.ca/n1/pub/75-006-x/2015001/article/14142-eng.htm</t>
  </si>
  <si>
    <t>https://www150.statcan.gc.ca/n1/pub/75-006-x/2019001/article/00007-eng.htm</t>
  </si>
  <si>
    <t>2486.xlsx(--)</t>
  </si>
  <si>
    <t>2489.xlsx(--)</t>
  </si>
  <si>
    <t>2490.xlsx(--)</t>
  </si>
  <si>
    <t>2491.xlsx(--)</t>
  </si>
  <si>
    <t>2492.xlsx(--)</t>
  </si>
  <si>
    <t>https://www150.statcan.gc.ca/n1/pub/75-004-m/75-004-m2020001-eng.htm</t>
  </si>
  <si>
    <t>https://www150.statcan.gc.ca/n1/pub/11-633-x/11-633-x2018017-eng.htm</t>
  </si>
  <si>
    <t>2497.xlsx(--)</t>
  </si>
  <si>
    <t>2500.xlsx(--)</t>
  </si>
  <si>
    <t>2503.xlsx(--)</t>
  </si>
  <si>
    <t>https://www150.statcan.gc.ca/n1/pub/75-006-x/2018001/article/54973-eng.htm</t>
  </si>
  <si>
    <t>https://www150.statcan.gc.ca/n1/pub/82-003-x/2017005/article/14792-eng.htm</t>
  </si>
  <si>
    <t>2507.xlsx(--)</t>
  </si>
  <si>
    <t>https://www150.statcan.gc.ca/n1/pub/82-003-x/2018003/article/54921-eng.htm</t>
  </si>
  <si>
    <t>https://www150.statcan.gc.ca/n1/pub/85-002-x/2017001/article/54844-eng.htm</t>
  </si>
  <si>
    <t>2521.xlsx(--)</t>
  </si>
  <si>
    <t>https://www150.statcan.gc.ca/n1/pub/82-003-x/2016004/article/14491-eng.htm</t>
  </si>
  <si>
    <t>2524.xlsx(--)</t>
  </si>
  <si>
    <t>2525.xlsx(--)</t>
  </si>
  <si>
    <t>2526.xlsx(--)</t>
  </si>
  <si>
    <t>2527.xlsx(--)</t>
  </si>
  <si>
    <t>2528.xlsx(--)</t>
  </si>
  <si>
    <t>https://www150.statcan.gc.ca/n1/pub/89-653-x/89-653-x2016010-eng.htm</t>
  </si>
  <si>
    <t>https://www150.statcan.gc.ca/n1/pub/85-002-x/2017001/article/14699-eng.htm</t>
  </si>
  <si>
    <t>https://www150.statcan.gc.ca/n1/pub/75f0002m/75f0002m2018003-eng.htm</t>
  </si>
  <si>
    <t>https://www150.statcan.gc.ca/n1/pub/89-652-x/89-652-x2015008-eng.htm</t>
  </si>
  <si>
    <t>2553.xlsx(--)</t>
  </si>
  <si>
    <t>2554.xlsx(--)</t>
  </si>
  <si>
    <t>https://www150.statcan.gc.ca/n1/pub/75-006-x/2015001/article/14232-eng.htm</t>
  </si>
  <si>
    <t>2556.xlsx(--)</t>
  </si>
  <si>
    <t>https://www150.statcan.gc.ca/n1/pub/11-626-x/11-626-x2019010-eng.htm</t>
  </si>
  <si>
    <t>https://www150.statcan.gc.ca/n1/pub/11-626-x/11-626-x2017078-eng.htm</t>
  </si>
  <si>
    <t>https://www150.statcan.gc.ca/n1/pub/51-004-x/51-004-x2018013-eng.htm</t>
  </si>
  <si>
    <t>https://www150.statcan.gc.ca/n1/pub/11f0019m/11f0019m2019001-eng.htm</t>
  </si>
  <si>
    <t>2563.xlsx(--)</t>
  </si>
  <si>
    <t>https://www150.statcan.gc.ca/n1/pub/82-624-x/2015001/article/14095-eng.htm</t>
  </si>
  <si>
    <t>2566.xlsx(--)</t>
  </si>
  <si>
    <t>https://www150.statcan.gc.ca/n1/pub/85-002-x/2017001/article/54870-eng.htm</t>
  </si>
  <si>
    <t>2567.xlsx(--)</t>
  </si>
  <si>
    <t>2568.xlsx(--)</t>
  </si>
  <si>
    <t>https://www150.statcan.gc.ca/n1/pub/75f0002m/75f0002m2019004-eng.htm</t>
  </si>
  <si>
    <t>2570.xlsx(--)</t>
  </si>
  <si>
    <t>2572.xlsx(--)</t>
  </si>
  <si>
    <t>https://www150.statcan.gc.ca/n1/pub/75-006-x/2019001/article/00003-eng.htm</t>
  </si>
  <si>
    <t>2573.xlsx(--)</t>
  </si>
  <si>
    <t>2574.xlsx(--)</t>
  </si>
  <si>
    <t>2575.xlsx(--)</t>
  </si>
  <si>
    <t>2576.xlsx(--)</t>
  </si>
  <si>
    <t>https://www150.statcan.gc.ca/n1/pub/75-006-x/2019001/article/00006-eng.htm</t>
  </si>
  <si>
    <t>https://www150.statcan.gc.ca/n1/pub/91-209-x/2016001/article/14615-eng.htm</t>
  </si>
  <si>
    <t>2580.xlsx(--)</t>
  </si>
  <si>
    <t>https://www150.statcan.gc.ca/n1/pub/85-002-x/2015001/article/14203-eng.htm</t>
  </si>
  <si>
    <t>https://www150.statcan.gc.ca/n1/pub/71-222-x/71-222-x2019001-eng.htm</t>
  </si>
  <si>
    <t>https://www150.statcan.gc.ca/n1/pub/82-003-x/2017005/article/14790-eng.htm</t>
  </si>
  <si>
    <t>https://www150.statcan.gc.ca/n1/pub/11f0027m/11f0027m2015097-eng.htm</t>
  </si>
  <si>
    <t>https://www150.statcan.gc.ca/n1/pub/11-626-x/11-626-x2016060-eng.htm</t>
  </si>
  <si>
    <t>2611.xlsx(--)</t>
  </si>
  <si>
    <t>https://www150.statcan.gc.ca/n1/pub/85-002-x/2019001/article/00014-eng.htm</t>
  </si>
  <si>
    <t>https://www150.statcan.gc.ca/n1/pub/89-652-x/89-652-x2015005-eng.htm</t>
  </si>
  <si>
    <t>https://www150.statcan.gc.ca/n1/pub/75-006-x/2019001/article/00004-eng.htm</t>
  </si>
  <si>
    <t>https://www150.statcan.gc.ca/n1/pub/89-652-x/89-652-x2015007-eng.htm</t>
  </si>
  <si>
    <t>https://www150.statcan.gc.ca/n1/pub/71-222-x/71-222-x2019002-eng.htm</t>
  </si>
  <si>
    <t>2635.xlsx(--)</t>
  </si>
  <si>
    <t>2636.xlsx(--)</t>
  </si>
  <si>
    <t>https://www150.statcan.gc.ca/n1/pub/75f0002m/75f0002m2016003-eng.htm</t>
  </si>
  <si>
    <t>2640.xlsx(--)</t>
  </si>
  <si>
    <t>https://www150.statcan.gc.ca/n1/pub/82-003-x/2020007/article/00002-eng.htm</t>
  </si>
  <si>
    <t>2644.xlsx(--)</t>
  </si>
  <si>
    <t>https://www150.statcan.gc.ca/n1/pub/11-633-x/11-633-x2016002-eng.htm</t>
  </si>
  <si>
    <t>https://www150.statcan.gc.ca/n1/pub/82-003-x/2018006/article/54970-eng.htm</t>
  </si>
  <si>
    <t>2651.xlsx(--)</t>
  </si>
  <si>
    <t>https://www150.statcan.gc.ca/n1/pub/89-654-x/89-654-x2019001-eng.htm</t>
  </si>
  <si>
    <t>2653.xlsx(--)</t>
  </si>
  <si>
    <t>https://www150.statcan.gc.ca/n1/pub/11f0019m/11f0019m2019006-eng.htm</t>
  </si>
  <si>
    <t>https://www150.statcan.gc.ca/n1/pub/82-003-x/2017003/article/14780-eng.htm</t>
  </si>
  <si>
    <t>https://www150.statcan.gc.ca/n1/pub/82-003-x/2019012/article/00002-eng.htm</t>
  </si>
  <si>
    <t>https://www150.statcan.gc.ca/n1/pub/11-626-x/11-626-x2019011-eng.htm</t>
  </si>
  <si>
    <t>2668.xlsx(--)</t>
  </si>
  <si>
    <t>https://www150.statcan.gc.ca/n1/pub/82-003-x/2020005/article/00001-eng.htm</t>
  </si>
  <si>
    <t>2669.xlsx(--)</t>
  </si>
  <si>
    <t>2670.xlsx(--)</t>
  </si>
  <si>
    <t>https://www150.statcan.gc.ca/n1/pub/85-002-x/2015001/article/14241-eng.htm</t>
  </si>
  <si>
    <t>2676.xlsx(--)</t>
  </si>
  <si>
    <t>https://www150.statcan.gc.ca/n1/pub/82-003-x/2017007/article/14844-eng.htm</t>
  </si>
  <si>
    <t>https://www150.statcan.gc.ca/n1/pub/89-653-x/89-653-x2019001-eng.htm</t>
  </si>
  <si>
    <t>2683.xlsx(--)</t>
  </si>
  <si>
    <t>2687.xlsx(--)</t>
  </si>
  <si>
    <t>2691.xlsx(--)</t>
  </si>
  <si>
    <t>2692.xlsx(--)</t>
  </si>
  <si>
    <t>https://www150.statcan.gc.ca/n1/pub/11f0019m/11f0019m2018412-eng.htm</t>
  </si>
  <si>
    <t>2693.xlsx(--)</t>
  </si>
  <si>
    <t>2698.xlsx(--)</t>
  </si>
  <si>
    <t>https://www150.statcan.gc.ca/n1/pub/11f0019m/11f0019m2016383-eng.htm</t>
  </si>
  <si>
    <t>2699.xlsx(--)</t>
  </si>
  <si>
    <t>2700.xlsx(--)</t>
  </si>
  <si>
    <t>https://www150.statcan.gc.ca/n1/pub/75-006-x/2016001/article/14693-eng.htm</t>
  </si>
  <si>
    <t>2704.xlsx(--)</t>
  </si>
  <si>
    <t>2705.xlsx(--)</t>
  </si>
  <si>
    <t>https://www150.statcan.gc.ca/n1/pub/13-605-x/2018001/article/54963-eng.htm</t>
  </si>
  <si>
    <t>https://www150.statcan.gc.ca/n1/pub/82-003-x/2015008/article/14215-eng.htm</t>
  </si>
  <si>
    <t>https://www150.statcan.gc.ca/n1/pub/11-621-m/11-621-m2019004-eng.htm</t>
  </si>
  <si>
    <t>https://www150.statcan.gc.ca/n1/pub/82-003-x/2015006/article/14196-eng.htm</t>
  </si>
  <si>
    <t>https://www150.statcan.gc.ca/n1/pub/11-626-x/11-626-x2019004-eng.htm</t>
  </si>
  <si>
    <t>https://www150.statcan.gc.ca/n1/pub/13-605-x/2017001/article/54882-eng.htm</t>
  </si>
  <si>
    <t>https://www150.statcan.gc.ca/n1/pub/89-653-x/89-653-x2016008-eng.htm</t>
  </si>
  <si>
    <t>https://www150.statcan.gc.ca/n1/pub/82-003-x/2018007/article/00001-eng.htm</t>
  </si>
  <si>
    <t>https://www150.statcan.gc.ca/n1/pub/82-003-x/2017010/article/54875-eng.htm</t>
  </si>
  <si>
    <t>https://www150.statcan.gc.ca/n1/pub/89-503-x/2015001/article/14680-eng.htm</t>
  </si>
  <si>
    <t>2740.xlsx(--)</t>
  </si>
  <si>
    <t>2741.xlsx(--)</t>
  </si>
  <si>
    <t>2742.xlsx(--)</t>
  </si>
  <si>
    <t>2750.xlsx(--)</t>
  </si>
  <si>
    <t>https://www150.statcan.gc.ca/n1/pub/46-28-0001/2019001/article/00001-eng.htm</t>
  </si>
  <si>
    <t>2760.xlsx(--)</t>
  </si>
  <si>
    <t>https://www150.statcan.gc.ca/n1/pub/89-657-x/89-657-x2019013-eng.htm</t>
  </si>
  <si>
    <t>2761.xlsx(--)</t>
  </si>
  <si>
    <t>2762.xlsx(--)</t>
  </si>
  <si>
    <t>https://www150.statcan.gc.ca/n1/pub/82-625-x/2016001/article/14363-eng.htm</t>
  </si>
  <si>
    <t>https://www150.statcan.gc.ca/n1/pub/85-002-x/2016001/article/14470-eng.htm</t>
  </si>
  <si>
    <t>2771.xlsx(--)</t>
  </si>
  <si>
    <t>https://www150.statcan.gc.ca/n1/pub/82-003-x/2019009/article/00001-eng.htm</t>
  </si>
  <si>
    <t>https://www150.statcan.gc.ca/n1/pub/85-002-x/2015001/article/14226-eng.htm</t>
  </si>
  <si>
    <t>https://www150.statcan.gc.ca/n1/pub/89-657-x/89-657-x2018001-eng.htm</t>
  </si>
  <si>
    <t>2785.xlsx(--)</t>
  </si>
  <si>
    <t>https://www150.statcan.gc.ca/n1/pub/89-657-x/89-657-x2019002-eng.htm</t>
  </si>
  <si>
    <t>https://www150.statcan.gc.ca/n1/pub/82-003-x/2017002/article/14772-eng.htm</t>
  </si>
  <si>
    <t>2787.xlsx(--)</t>
  </si>
  <si>
    <t>2788.xlsx(--)</t>
  </si>
  <si>
    <t>2789.xlsx(--)</t>
  </si>
  <si>
    <t>https://www150.statcan.gc.ca/n1/pub/11f0019m/11f0019m2016384-eng.htm</t>
  </si>
  <si>
    <t>https://www150.statcan.gc.ca/n1/pub/11-626-x/11-626-x2015046-eng.htm</t>
  </si>
  <si>
    <t>https://www150.statcan.gc.ca/n1/pub/11f0019m/11f0019m2020004-eng.htm</t>
  </si>
  <si>
    <t>https://www150.statcan.gc.ca/n1/pub/85-603-x/85-603-x2019001-eng.htm</t>
  </si>
  <si>
    <t>2800.xlsx(--)</t>
  </si>
  <si>
    <t>Table 10A</t>
  </si>
  <si>
    <t>Table 10B</t>
  </si>
  <si>
    <t>2806.xlsx(--)</t>
  </si>
  <si>
    <t>2807.xlsx(--)</t>
  </si>
  <si>
    <t>https://www150.statcan.gc.ca/n1/pub/85-002-x/2018001/article/54981-eng.htm</t>
  </si>
  <si>
    <t>2810.xlsx(--)</t>
  </si>
  <si>
    <t>2811.xlsx(--)</t>
  </si>
  <si>
    <t>2812.xlsx(--)</t>
  </si>
  <si>
    <t>2813.xlsx(--)</t>
  </si>
  <si>
    <t>2814.xlsx(--)</t>
  </si>
  <si>
    <t>2815.xlsx(--)</t>
  </si>
  <si>
    <t>2816.xlsx(--)</t>
  </si>
  <si>
    <t>2817.xlsx(--)</t>
  </si>
  <si>
    <t>2818.xlsx(--)</t>
  </si>
  <si>
    <t>2819.xlsx(--)</t>
  </si>
  <si>
    <t>2820.xlsx(--)</t>
  </si>
  <si>
    <t>2821.xlsx(--)</t>
  </si>
  <si>
    <t>2822.xlsx(--)</t>
  </si>
  <si>
    <t>2823.xlsx(--)</t>
  </si>
  <si>
    <t>https://www150.statcan.gc.ca/n1/pub/11f0019m/11f0019m2018411-eng.htm</t>
  </si>
  <si>
    <t>2824.xlsx(--)</t>
  </si>
  <si>
    <t>2825.xlsx(--)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</si>
</sst>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150.statcan.gc.ca/n1/pub/89-657-x/89-657-x2019018-eng.htm" TargetMode="External"/><Relationship Id="rId170" Type="http://schemas.openxmlformats.org/officeDocument/2006/relationships/hyperlink" Target="https://www150.statcan.gc.ca/n1/pub/11f0019m/11f0019m2020005-eng.htm" TargetMode="External"/><Relationship Id="rId987" Type="http://schemas.openxmlformats.org/officeDocument/2006/relationships/hyperlink" Target="https://www150.statcan.gc.ca/n1/pub/75-006-x/2018001/article/54982-eng.htm" TargetMode="External"/><Relationship Id="rId2668" Type="http://schemas.openxmlformats.org/officeDocument/2006/relationships/hyperlink" Target="https://www150.statcan.gc.ca/n1/pub/11-626-x/11-626-x2019011-eng.htm" TargetMode="External"/><Relationship Id="rId847" Type="http://schemas.openxmlformats.org/officeDocument/2006/relationships/hyperlink" Target="https://www150.statcan.gc.ca/n1/pub/11f0019m/11f0019m2017393-eng.htm" TargetMode="External"/><Relationship Id="rId1477" Type="http://schemas.openxmlformats.org/officeDocument/2006/relationships/hyperlink" Target="https://www150.statcan.gc.ca/n1/pub/75-006-x/2015001/article/14202-eng.htm" TargetMode="External"/><Relationship Id="rId1684" Type="http://schemas.openxmlformats.org/officeDocument/2006/relationships/hyperlink" Target="https://www150.statcan.gc.ca/n1/pub/89-503-x/2015001/article/14694-eng.htm" TargetMode="External"/><Relationship Id="rId1891" Type="http://schemas.openxmlformats.org/officeDocument/2006/relationships/hyperlink" Target="https://www150.statcan.gc.ca/n1/pub/89-503-x/2015001/article/14313-eng.htm" TargetMode="External"/><Relationship Id="rId2528" Type="http://schemas.openxmlformats.org/officeDocument/2006/relationships/hyperlink" Target="https://www150.statcan.gc.ca/n1/pub/82-003-x/2016004/article/14491-eng.htm" TargetMode="External"/><Relationship Id="rId2735" Type="http://schemas.openxmlformats.org/officeDocument/2006/relationships/hyperlink" Target="https://www150.statcan.gc.ca/n1/pub/82-003-x/2017010/article/54875-eng.htm" TargetMode="External"/><Relationship Id="rId707" Type="http://schemas.openxmlformats.org/officeDocument/2006/relationships/hyperlink" Target="https://www150.statcan.gc.ca/n1/pub/89-657-x/89-657-x2017002-eng.htm" TargetMode="External"/><Relationship Id="rId914" Type="http://schemas.openxmlformats.org/officeDocument/2006/relationships/hyperlink" Target="https://www150.statcan.gc.ca/n1/pub/11f0019m/11f0019m2018409-eng.htm" TargetMode="External"/><Relationship Id="rId1337" Type="http://schemas.openxmlformats.org/officeDocument/2006/relationships/hyperlink" Target="https://www150.statcan.gc.ca/n1/pub/85-002-x/2020001/article/00010-eng.htm" TargetMode="External"/><Relationship Id="rId1544" Type="http://schemas.openxmlformats.org/officeDocument/2006/relationships/hyperlink" Target="https://www150.statcan.gc.ca/n1/pub/75-006-x/2018001/article/54975-eng.htm" TargetMode="External"/><Relationship Id="rId1751" Type="http://schemas.openxmlformats.org/officeDocument/2006/relationships/hyperlink" Target="https://www150.statcan.gc.ca/n1/pub/89-657-x/89-657-x2019010-eng.htm" TargetMode="External"/><Relationship Id="rId2802" Type="http://schemas.openxmlformats.org/officeDocument/2006/relationships/hyperlink" Target="https://www150.statcan.gc.ca/n1/pub/85-603-x/85-603-x2019001-eng.htm" TargetMode="External"/><Relationship Id="rId43" Type="http://schemas.openxmlformats.org/officeDocument/2006/relationships/hyperlink" Target="https://www150.statcan.gc.ca/n1/pub/96-325-x/2017001/article/54874-eng.htm" TargetMode="External"/><Relationship Id="rId1404" Type="http://schemas.openxmlformats.org/officeDocument/2006/relationships/hyperlink" Target="https://www150.statcan.gc.ca/n1/pub/85-002-x/2020001/article/00011-eng.htm" TargetMode="External"/><Relationship Id="rId1611" Type="http://schemas.openxmlformats.org/officeDocument/2006/relationships/hyperlink" Target="https://www150.statcan.gc.ca/n1/pub/82-003-x/2019007/article/00002-eng.htm" TargetMode="External"/><Relationship Id="rId497" Type="http://schemas.openxmlformats.org/officeDocument/2006/relationships/hyperlink" Target="https://www150.statcan.gc.ca/n1/pub/18-001-x/18-001-x2019001-eng.htm" TargetMode="External"/><Relationship Id="rId2178" Type="http://schemas.openxmlformats.org/officeDocument/2006/relationships/hyperlink" Target="https://www150.statcan.gc.ca/n1/pub/75-006-x/2015001/article/14221-eng.htm" TargetMode="External"/><Relationship Id="rId2385" Type="http://schemas.openxmlformats.org/officeDocument/2006/relationships/hyperlink" Target="https://www150.statcan.gc.ca/n1/pub/82-003-x/2018010/article/00003-eng.htm" TargetMode="External"/><Relationship Id="rId357" Type="http://schemas.openxmlformats.org/officeDocument/2006/relationships/hyperlink" Target="https://www150.statcan.gc.ca/n1/pub/85-002-x/2018001/article/54912-eng.htm" TargetMode="External"/><Relationship Id="rId1194" Type="http://schemas.openxmlformats.org/officeDocument/2006/relationships/hyperlink" Target="https://www150.statcan.gc.ca/n1/pub/89-503-x/2015001/article/54930-eng.htm" TargetMode="External"/><Relationship Id="rId2038" Type="http://schemas.openxmlformats.org/officeDocument/2006/relationships/hyperlink" Target="https://www150.statcan.gc.ca/n1/pub/11f0019m/11f0019m2016373-eng.htm" TargetMode="External"/><Relationship Id="rId2592" Type="http://schemas.openxmlformats.org/officeDocument/2006/relationships/hyperlink" Target="https://www150.statcan.gc.ca/n1/pub/85-002-x/2015001/article/14203-eng.htm" TargetMode="External"/><Relationship Id="rId217" Type="http://schemas.openxmlformats.org/officeDocument/2006/relationships/hyperlink" Target="https://www150.statcan.gc.ca/n1/pub/11f0019m/11f0019m2019014-eng.htm" TargetMode="External"/><Relationship Id="rId564" Type="http://schemas.openxmlformats.org/officeDocument/2006/relationships/hyperlink" Target="https://www150.statcan.gc.ca/n1/pub/82-003-x/2018011/article/00003-eng.htm" TargetMode="External"/><Relationship Id="rId771" Type="http://schemas.openxmlformats.org/officeDocument/2006/relationships/hyperlink" Target="https://www150.statcan.gc.ca/n1/pub/89-503-x/2015001/article/14315-eng.htm" TargetMode="External"/><Relationship Id="rId2245" Type="http://schemas.openxmlformats.org/officeDocument/2006/relationships/hyperlink" Target="https://www150.statcan.gc.ca/n1/pub/85-002-x/2016001/article/14303-eng.htm" TargetMode="External"/><Relationship Id="rId2452" Type="http://schemas.openxmlformats.org/officeDocument/2006/relationships/hyperlink" Target="https://www150.statcan.gc.ca/n1/pub/89-648-x/89-648-x2020001-eng.htm" TargetMode="External"/><Relationship Id="rId424" Type="http://schemas.openxmlformats.org/officeDocument/2006/relationships/hyperlink" Target="https://www150.statcan.gc.ca/n1/pub/89-28-0001/2018001/article/00013-eng.htm" TargetMode="External"/><Relationship Id="rId631" Type="http://schemas.openxmlformats.org/officeDocument/2006/relationships/hyperlink" Target="https://www150.statcan.gc.ca/n1/pub/82-003-x/2015012/article/14295-eng.htm" TargetMode="External"/><Relationship Id="rId1054" Type="http://schemas.openxmlformats.org/officeDocument/2006/relationships/hyperlink" Target="https://www150.statcan.gc.ca/n1/pub/85-002-x/2020001/article/00009-eng.htm" TargetMode="External"/><Relationship Id="rId1261" Type="http://schemas.openxmlformats.org/officeDocument/2006/relationships/hyperlink" Target="https://www150.statcan.gc.ca/n1/pub/75-006-x/2016001/article/14464-eng.htm" TargetMode="External"/><Relationship Id="rId2105" Type="http://schemas.openxmlformats.org/officeDocument/2006/relationships/hyperlink" Target="https://www150.statcan.gc.ca/n1/pub/82-003-x/2017012/article/54891-eng.htm" TargetMode="External"/><Relationship Id="rId2312" Type="http://schemas.openxmlformats.org/officeDocument/2006/relationships/hyperlink" Target="https://www150.statcan.gc.ca/n1/pub/89-503-x/2015001/article/14640-eng.htm" TargetMode="External"/><Relationship Id="rId1121" Type="http://schemas.openxmlformats.org/officeDocument/2006/relationships/hyperlink" Target="https://www150.statcan.gc.ca/n1/pub/11-633-x/11-633-x2018016-eng.htm" TargetMode="External"/><Relationship Id="rId1938" Type="http://schemas.openxmlformats.org/officeDocument/2006/relationships/hyperlink" Target="https://www150.statcan.gc.ca/n1/pub/89-653-x/89-653-x2019002-eng.htm" TargetMode="External"/><Relationship Id="rId281" Type="http://schemas.openxmlformats.org/officeDocument/2006/relationships/hyperlink" Target="https://www150.statcan.gc.ca/n1/pub/75-006-x/2017001/article/54898-eng.htm" TargetMode="External"/><Relationship Id="rId141" Type="http://schemas.openxmlformats.org/officeDocument/2006/relationships/hyperlink" Target="https://www150.statcan.gc.ca/n1/pub/11-626-x/11-626-x2020014-eng.htm" TargetMode="External"/><Relationship Id="rId7" Type="http://schemas.openxmlformats.org/officeDocument/2006/relationships/hyperlink" Target="https://www150.statcan.gc.ca/n1/pub/82-003-x/2019007/article/00003-eng.htm" TargetMode="External"/><Relationship Id="rId2779" Type="http://schemas.openxmlformats.org/officeDocument/2006/relationships/hyperlink" Target="https://www150.statcan.gc.ca/n1/pub/85-002-x/2015001/article/14226-eng.htm" TargetMode="External"/><Relationship Id="rId958" Type="http://schemas.openxmlformats.org/officeDocument/2006/relationships/hyperlink" Target="https://www150.statcan.gc.ca/n1/pub/85-002-x/2020001/article/00016-eng.htm" TargetMode="External"/><Relationship Id="rId1588" Type="http://schemas.openxmlformats.org/officeDocument/2006/relationships/hyperlink" Target="https://www150.statcan.gc.ca/n1/pub/11f0019m/11f0019m2015370-eng.htm" TargetMode="External"/><Relationship Id="rId1795" Type="http://schemas.openxmlformats.org/officeDocument/2006/relationships/hyperlink" Target="https://www150.statcan.gc.ca/n1/pub/85-002-x/2016001/article/14668-eng.htm" TargetMode="External"/><Relationship Id="rId2639" Type="http://schemas.openxmlformats.org/officeDocument/2006/relationships/hyperlink" Target="https://www150.statcan.gc.ca/n1/pub/75f0002m/75f0002m2016003-eng.htm" TargetMode="External"/><Relationship Id="rId87" Type="http://schemas.openxmlformats.org/officeDocument/2006/relationships/hyperlink" Target="https://www150.statcan.gc.ca/n1/pub/89-657-x/89-657-x2017005-eng.htm" TargetMode="External"/><Relationship Id="rId818" Type="http://schemas.openxmlformats.org/officeDocument/2006/relationships/hyperlink" Target="https://www150.statcan.gc.ca/n1/pub/11f0019m/11f0019m2017398-eng.htm" TargetMode="External"/><Relationship Id="rId1448" Type="http://schemas.openxmlformats.org/officeDocument/2006/relationships/hyperlink" Target="https://www150.statcan.gc.ca/n1/pub/82-003-x/2017001/article/14697-eng.htm" TargetMode="External"/><Relationship Id="rId1655" Type="http://schemas.openxmlformats.org/officeDocument/2006/relationships/hyperlink" Target="https://www150.statcan.gc.ca/n1/pub/75-006-x/2020001/article/00001-eng.htm" TargetMode="External"/><Relationship Id="rId2706" Type="http://schemas.openxmlformats.org/officeDocument/2006/relationships/hyperlink" Target="https://www150.statcan.gc.ca/n1/pub/75-006-x/2016001/article/14693-eng.htm" TargetMode="External"/><Relationship Id="rId1308" Type="http://schemas.openxmlformats.org/officeDocument/2006/relationships/hyperlink" Target="https://www150.statcan.gc.ca/n1/pub/75-006-x/2019001/article/00010-eng.htm" TargetMode="External"/><Relationship Id="rId1862" Type="http://schemas.openxmlformats.org/officeDocument/2006/relationships/hyperlink" Target="https://www150.statcan.gc.ca/n1/pub/11-626-x/11-626-x2015047-eng.htm" TargetMode="External"/><Relationship Id="rId1515" Type="http://schemas.openxmlformats.org/officeDocument/2006/relationships/hyperlink" Target="https://www150.statcan.gc.ca/n1/pub/13-605-x/2016002/article/14685-eng.htm" TargetMode="External"/><Relationship Id="rId1722" Type="http://schemas.openxmlformats.org/officeDocument/2006/relationships/hyperlink" Target="https://www150.statcan.gc.ca/n1/pub/75f0002m/75f0002m2019010-eng.htm" TargetMode="External"/><Relationship Id="rId14" Type="http://schemas.openxmlformats.org/officeDocument/2006/relationships/hyperlink" Target="https://www150.statcan.gc.ca/n1/pub/82-003-x/2019001/article/00002-eng.htm" TargetMode="External"/><Relationship Id="rId2289" Type="http://schemas.openxmlformats.org/officeDocument/2006/relationships/hyperlink" Target="https://www150.statcan.gc.ca/n1/pub/89-503-x/2015001/article/14324-eng.htm" TargetMode="External"/><Relationship Id="rId2496" Type="http://schemas.openxmlformats.org/officeDocument/2006/relationships/hyperlink" Target="https://www150.statcan.gc.ca/n1/pub/75-004-m/75-004-m2020001-eng.htm" TargetMode="External"/><Relationship Id="rId468" Type="http://schemas.openxmlformats.org/officeDocument/2006/relationships/hyperlink" Target="https://www150.statcan.gc.ca/n1/pub/82-003-x/2015008/article/14216-eng.htm" TargetMode="External"/><Relationship Id="rId675" Type="http://schemas.openxmlformats.org/officeDocument/2006/relationships/hyperlink" Target="https://www150.statcan.gc.ca/n1/pub/75f0002m/75f0002m2020002-eng.htm" TargetMode="External"/><Relationship Id="rId882" Type="http://schemas.openxmlformats.org/officeDocument/2006/relationships/hyperlink" Target="https://www150.statcan.gc.ca/n1/pub/11f0019m/11f0019m2020017-eng.htm" TargetMode="External"/><Relationship Id="rId1098" Type="http://schemas.openxmlformats.org/officeDocument/2006/relationships/hyperlink" Target="https://www150.statcan.gc.ca/n1/pub/11-633-x/11-633-x2018014-eng.htm" TargetMode="External"/><Relationship Id="rId2149" Type="http://schemas.openxmlformats.org/officeDocument/2006/relationships/hyperlink" Target="https://www150.statcan.gc.ca/n1/pub/75-006-x/2015001/article/14194-eng.htm" TargetMode="External"/><Relationship Id="rId2356" Type="http://schemas.openxmlformats.org/officeDocument/2006/relationships/hyperlink" Target="https://www150.statcan.gc.ca/n1/pub/11f0019m/11f0019m2017397-eng.htm" TargetMode="External"/><Relationship Id="rId2563" Type="http://schemas.openxmlformats.org/officeDocument/2006/relationships/hyperlink" Target="https://www150.statcan.gc.ca/n1/pub/11f0019m/11f0019m2019001-eng.htm" TargetMode="External"/><Relationship Id="rId2770" Type="http://schemas.openxmlformats.org/officeDocument/2006/relationships/hyperlink" Target="https://www150.statcan.gc.ca/n1/pub/85-002-x/2016001/article/14470-eng.htm" TargetMode="External"/><Relationship Id="rId328" Type="http://schemas.openxmlformats.org/officeDocument/2006/relationships/hyperlink" Target="https://www150.statcan.gc.ca/n1/pub/91-209-x/2018001/article/54958-eng.htm" TargetMode="External"/><Relationship Id="rId535" Type="http://schemas.openxmlformats.org/officeDocument/2006/relationships/hyperlink" Target="https://www150.statcan.gc.ca/n1/pub/89-652-x/89-652-x2015001-eng.htm" TargetMode="External"/><Relationship Id="rId742" Type="http://schemas.openxmlformats.org/officeDocument/2006/relationships/hyperlink" Target="https://www150.statcan.gc.ca/n1/pub/85-002-x/2020001/article/00003-eng.htm" TargetMode="External"/><Relationship Id="rId1165" Type="http://schemas.openxmlformats.org/officeDocument/2006/relationships/hyperlink" Target="https://www150.statcan.gc.ca/n1/pub/11f0019m/11f0019m2019022-eng.htm" TargetMode="External"/><Relationship Id="rId1372" Type="http://schemas.openxmlformats.org/officeDocument/2006/relationships/hyperlink" Target="https://www150.statcan.gc.ca/n1/pub/11f0019m/11f0019m2020003-eng.htm" TargetMode="External"/><Relationship Id="rId2009" Type="http://schemas.openxmlformats.org/officeDocument/2006/relationships/hyperlink" Target="https://www150.statcan.gc.ca/n1/pub/85-002-x/2015001/article/14234-eng.htm" TargetMode="External"/><Relationship Id="rId2216" Type="http://schemas.openxmlformats.org/officeDocument/2006/relationships/hyperlink" Target="https://www150.statcan.gc.ca/n1/pub/85-002-x/2018001/article/54972-eng.htm" TargetMode="External"/><Relationship Id="rId2423" Type="http://schemas.openxmlformats.org/officeDocument/2006/relationships/hyperlink" Target="https://www150.statcan.gc.ca/n1/pub/85-002-x/2019001/article/00009-eng.htm" TargetMode="External"/><Relationship Id="rId2630" Type="http://schemas.openxmlformats.org/officeDocument/2006/relationships/hyperlink" Target="https://www150.statcan.gc.ca/n1/pub/89-652-x/89-652-x2015007-eng.htm" TargetMode="External"/><Relationship Id="rId602" Type="http://schemas.openxmlformats.org/officeDocument/2006/relationships/hyperlink" Target="https://www150.statcan.gc.ca/n1/pub/89-28-0001/2018001/article/00016-eng.htm" TargetMode="External"/><Relationship Id="rId1025" Type="http://schemas.openxmlformats.org/officeDocument/2006/relationships/hyperlink" Target="https://www150.statcan.gc.ca/n1/pub/82-003-x/2018012/article/00002-eng.htm" TargetMode="External"/><Relationship Id="rId1232" Type="http://schemas.openxmlformats.org/officeDocument/2006/relationships/hyperlink" Target="https://www150.statcan.gc.ca/n1/pub/62f0014m/62f0014m2020001-eng.htm" TargetMode="External"/><Relationship Id="rId185" Type="http://schemas.openxmlformats.org/officeDocument/2006/relationships/hyperlink" Target="https://www150.statcan.gc.ca/n1/pub/13-605-x/2019001/article/00012-eng.htm" TargetMode="External"/><Relationship Id="rId1909" Type="http://schemas.openxmlformats.org/officeDocument/2006/relationships/hyperlink" Target="https://www150.statcan.gc.ca/n1/pub/75f0002m/75f0002m2019012-eng.htm" TargetMode="External"/><Relationship Id="rId392" Type="http://schemas.openxmlformats.org/officeDocument/2006/relationships/hyperlink" Target="https://www150.statcan.gc.ca/n1/pub/13-605-x/2018001/article/54964-eng.htm" TargetMode="External"/><Relationship Id="rId2073" Type="http://schemas.openxmlformats.org/officeDocument/2006/relationships/hyperlink" Target="https://www150.statcan.gc.ca/n1/pub/85-002-x/2019001/article/00001-eng.htm" TargetMode="External"/><Relationship Id="rId2280" Type="http://schemas.openxmlformats.org/officeDocument/2006/relationships/hyperlink" Target="https://www150.statcan.gc.ca/n1/pub/85-002-x/2016001/article/14303-eng.htm" TargetMode="External"/><Relationship Id="rId252" Type="http://schemas.openxmlformats.org/officeDocument/2006/relationships/hyperlink" Target="https://www150.statcan.gc.ca/n1/pub/89-657-x/89-657-x2019004-eng.htm" TargetMode="External"/><Relationship Id="rId2140" Type="http://schemas.openxmlformats.org/officeDocument/2006/relationships/hyperlink" Target="https://www150.statcan.gc.ca/n1/pub/11-633-x/11-633-x2021001-eng.htm" TargetMode="External"/><Relationship Id="rId112" Type="http://schemas.openxmlformats.org/officeDocument/2006/relationships/hyperlink" Target="https://www150.statcan.gc.ca/n1/pub/82-003-x/2016005/article/14612-eng.htm" TargetMode="External"/><Relationship Id="rId1699" Type="http://schemas.openxmlformats.org/officeDocument/2006/relationships/hyperlink" Target="https://www150.statcan.gc.ca/n1/pub/11f0019m/11f0019m2015371-eng.htm" TargetMode="External"/><Relationship Id="rId2000" Type="http://schemas.openxmlformats.org/officeDocument/2006/relationships/hyperlink" Target="https://www150.statcan.gc.ca/n1/pub/85-002-x/2016001/article/14642-eng.htm" TargetMode="External"/><Relationship Id="rId929" Type="http://schemas.openxmlformats.org/officeDocument/2006/relationships/hyperlink" Target="https://www150.statcan.gc.ca/n1/pub/85-002-x/2015001/article/14201-eng.htm" TargetMode="External"/><Relationship Id="rId1559" Type="http://schemas.openxmlformats.org/officeDocument/2006/relationships/hyperlink" Target="https://www150.statcan.gc.ca/n1/pub/82-003-x/2015012/article/14294-eng.htm" TargetMode="External"/><Relationship Id="rId1766" Type="http://schemas.openxmlformats.org/officeDocument/2006/relationships/hyperlink" Target="https://www150.statcan.gc.ca/n1/pub/89-657-x/89-657-x2019010-eng.htm" TargetMode="External"/><Relationship Id="rId1973" Type="http://schemas.openxmlformats.org/officeDocument/2006/relationships/hyperlink" Target="https://www150.statcan.gc.ca/n1/pub/11f0019m/11f0019m2015368-eng.htm" TargetMode="External"/><Relationship Id="rId2817" Type="http://schemas.openxmlformats.org/officeDocument/2006/relationships/hyperlink" Target="https://www150.statcan.gc.ca/n1/pub/85-002-x/2018001/article/54981-eng.htm" TargetMode="External"/><Relationship Id="rId58" Type="http://schemas.openxmlformats.org/officeDocument/2006/relationships/hyperlink" Target="https://www150.statcan.gc.ca/n1/pub/89-657-x/89-657-x2017003-eng.htm" TargetMode="External"/><Relationship Id="rId1419" Type="http://schemas.openxmlformats.org/officeDocument/2006/relationships/hyperlink" Target="https://www150.statcan.gc.ca/n1/pub/13-605-x/2017001/article/54867-eng.htm" TargetMode="External"/><Relationship Id="rId1626" Type="http://schemas.openxmlformats.org/officeDocument/2006/relationships/hyperlink" Target="https://www150.statcan.gc.ca/n1/pub/89-503-x/2015001/article/14316-eng.htm" TargetMode="External"/><Relationship Id="rId1833" Type="http://schemas.openxmlformats.org/officeDocument/2006/relationships/hyperlink" Target="https://www150.statcan.gc.ca/n1/pub/11-626-x/11-626-x2018082-eng.htm" TargetMode="External"/><Relationship Id="rId1900" Type="http://schemas.openxmlformats.org/officeDocument/2006/relationships/hyperlink" Target="https://www150.statcan.gc.ca/n1/pub/89-503-x/2015001/article/14313-eng.htm" TargetMode="External"/><Relationship Id="rId579" Type="http://schemas.openxmlformats.org/officeDocument/2006/relationships/hyperlink" Target="https://www150.statcan.gc.ca/n1/pub/11f0019m/11f0019m2016375-eng.htm" TargetMode="External"/><Relationship Id="rId786" Type="http://schemas.openxmlformats.org/officeDocument/2006/relationships/hyperlink" Target="https://www150.statcan.gc.ca/n1/pub/89-503-x/2015001/article/14152-eng.htm" TargetMode="External"/><Relationship Id="rId993" Type="http://schemas.openxmlformats.org/officeDocument/2006/relationships/hyperlink" Target="https://www150.statcan.gc.ca/n1/pub/11f0019m/11f0019m2017394-eng.htm" TargetMode="External"/><Relationship Id="rId2467" Type="http://schemas.openxmlformats.org/officeDocument/2006/relationships/hyperlink" Target="https://www150.statcan.gc.ca/n1/pub/85-002-x/2020001/article/00005-eng.htm" TargetMode="External"/><Relationship Id="rId2674" Type="http://schemas.openxmlformats.org/officeDocument/2006/relationships/hyperlink" Target="https://www150.statcan.gc.ca/n1/pub/85-002-x/2015001/article/14241-eng.htm" TargetMode="External"/><Relationship Id="rId439" Type="http://schemas.openxmlformats.org/officeDocument/2006/relationships/hyperlink" Target="https://www150.statcan.gc.ca/n1/pub/89-657-x/89-657-x2016002-eng.htm" TargetMode="External"/><Relationship Id="rId646" Type="http://schemas.openxmlformats.org/officeDocument/2006/relationships/hyperlink" Target="https://www150.statcan.gc.ca/n1/pub/11-626-x/11-626-x2015049-eng.htm" TargetMode="External"/><Relationship Id="rId1069" Type="http://schemas.openxmlformats.org/officeDocument/2006/relationships/hyperlink" Target="https://www150.statcan.gc.ca/n1/pub/82-003-x/2017008/article/54852-eng.htm" TargetMode="External"/><Relationship Id="rId1276" Type="http://schemas.openxmlformats.org/officeDocument/2006/relationships/hyperlink" Target="https://www150.statcan.gc.ca/n1/pub/11f0019m/11f0019m2016386-eng.htm" TargetMode="External"/><Relationship Id="rId1483" Type="http://schemas.openxmlformats.org/officeDocument/2006/relationships/hyperlink" Target="https://www150.statcan.gc.ca/n1/pub/85-002-x/2020001/article/00012-eng.htm" TargetMode="External"/><Relationship Id="rId2327" Type="http://schemas.openxmlformats.org/officeDocument/2006/relationships/hyperlink" Target="https://www150.statcan.gc.ca/n1/pub/85-002-x/2020001/article/00008-eng.htm" TargetMode="External"/><Relationship Id="rId506" Type="http://schemas.openxmlformats.org/officeDocument/2006/relationships/hyperlink" Target="https://www150.statcan.gc.ca/n1/pub/82-003-x/2019008/article/00002-eng.htm" TargetMode="External"/><Relationship Id="rId853" Type="http://schemas.openxmlformats.org/officeDocument/2006/relationships/hyperlink" Target="https://www150.statcan.gc.ca/n1/pub/81-595-m/81-595-m2020002-eng.htm" TargetMode="External"/><Relationship Id="rId1136" Type="http://schemas.openxmlformats.org/officeDocument/2006/relationships/hyperlink" Target="https://www150.statcan.gc.ca/n1/pub/75-006-x/2019001/article/00009-eng.htm" TargetMode="External"/><Relationship Id="rId1690" Type="http://schemas.openxmlformats.org/officeDocument/2006/relationships/hyperlink" Target="https://www150.statcan.gc.ca/n1/pub/89-503-x/2015001/article/14694-eng.htm" TargetMode="External"/><Relationship Id="rId2534" Type="http://schemas.openxmlformats.org/officeDocument/2006/relationships/hyperlink" Target="https://www150.statcan.gc.ca/n1/pub/89-653-x/89-653-x2016010-eng.htm" TargetMode="External"/><Relationship Id="rId2741" Type="http://schemas.openxmlformats.org/officeDocument/2006/relationships/hyperlink" Target="https://www150.statcan.gc.ca/n1/pub/89-503-x/2015001/article/14680-eng.htm" TargetMode="External"/><Relationship Id="rId713" Type="http://schemas.openxmlformats.org/officeDocument/2006/relationships/hyperlink" Target="https://www150.statcan.gc.ca/n1/pub/89-503-x/2015001/article/14217-eng.htm" TargetMode="External"/><Relationship Id="rId920" Type="http://schemas.openxmlformats.org/officeDocument/2006/relationships/hyperlink" Target="https://www150.statcan.gc.ca/n1/pub/85-002-x/2019001/article/00017-eng.htm" TargetMode="External"/><Relationship Id="rId1343" Type="http://schemas.openxmlformats.org/officeDocument/2006/relationships/hyperlink" Target="https://www150.statcan.gc.ca/n1/pub/85-002-x/2020001/article/00010-eng.htm" TargetMode="External"/><Relationship Id="rId1550" Type="http://schemas.openxmlformats.org/officeDocument/2006/relationships/hyperlink" Target="https://www150.statcan.gc.ca/n1/pub/82-003-x/2017004/article/14788-eng.htm" TargetMode="External"/><Relationship Id="rId2601" Type="http://schemas.openxmlformats.org/officeDocument/2006/relationships/hyperlink" Target="https://www150.statcan.gc.ca/n1/pub/82-003-x/2017005/article/14790-eng.htm" TargetMode="External"/><Relationship Id="rId1203" Type="http://schemas.openxmlformats.org/officeDocument/2006/relationships/hyperlink" Target="https://www150.statcan.gc.ca/n1/pub/91-551-x/91-551-x2017001-eng.htm" TargetMode="External"/><Relationship Id="rId1410" Type="http://schemas.openxmlformats.org/officeDocument/2006/relationships/hyperlink" Target="https://www150.statcan.gc.ca/n1/pub/82-003-x/2016011/article/14671-eng.htm" TargetMode="External"/><Relationship Id="rId296" Type="http://schemas.openxmlformats.org/officeDocument/2006/relationships/hyperlink" Target="https://www150.statcan.gc.ca/n1/pub/82-003-x/2021001/article/00001-eng.htm" TargetMode="External"/><Relationship Id="rId2184" Type="http://schemas.openxmlformats.org/officeDocument/2006/relationships/hyperlink" Target="https://www150.statcan.gc.ca/n1/pub/89-653-x/89-653-x2019003-eng.htm" TargetMode="External"/><Relationship Id="rId2391" Type="http://schemas.openxmlformats.org/officeDocument/2006/relationships/hyperlink" Target="https://www150.statcan.gc.ca/n1/pub/75-006-x/2020001/article/00006-eng.htm" TargetMode="External"/><Relationship Id="rId156" Type="http://schemas.openxmlformats.org/officeDocument/2006/relationships/hyperlink" Target="https://www150.statcan.gc.ca/n1/pub/11f0019m/11f0019m2020008-eng.htm" TargetMode="External"/><Relationship Id="rId363" Type="http://schemas.openxmlformats.org/officeDocument/2006/relationships/hyperlink" Target="https://www150.statcan.gc.ca/n1/pub/82-003-x/2019012/article/00001-eng.htm" TargetMode="External"/><Relationship Id="rId570" Type="http://schemas.openxmlformats.org/officeDocument/2006/relationships/hyperlink" Target="https://www150.statcan.gc.ca/n1/pub/11f0019m/11f0019m2016375-eng.htm" TargetMode="External"/><Relationship Id="rId2044" Type="http://schemas.openxmlformats.org/officeDocument/2006/relationships/hyperlink" Target="https://www150.statcan.gc.ca/n1/pub/11f0019m/11f0019m2020012-eng.htm" TargetMode="External"/><Relationship Id="rId2251" Type="http://schemas.openxmlformats.org/officeDocument/2006/relationships/hyperlink" Target="https://www150.statcan.gc.ca/n1/pub/85-002-x/2016001/article/14303-eng.htm" TargetMode="External"/><Relationship Id="rId223" Type="http://schemas.openxmlformats.org/officeDocument/2006/relationships/hyperlink" Target="https://www150.statcan.gc.ca/n1/pub/11f0019m/11f0019m2019014-eng.htm" TargetMode="External"/><Relationship Id="rId430" Type="http://schemas.openxmlformats.org/officeDocument/2006/relationships/hyperlink" Target="https://www150.statcan.gc.ca/n1/pub/89-657-x/89-657-x2016002-eng.htm" TargetMode="External"/><Relationship Id="rId1060" Type="http://schemas.openxmlformats.org/officeDocument/2006/relationships/hyperlink" Target="https://www150.statcan.gc.ca/n1/pub/85-002-x/2020001/article/00009-eng.htm" TargetMode="External"/><Relationship Id="rId2111" Type="http://schemas.openxmlformats.org/officeDocument/2006/relationships/hyperlink" Target="https://www150.statcan.gc.ca/n1/pub/85-002-x/2016001/article/14323-eng.htm" TargetMode="External"/><Relationship Id="rId1877" Type="http://schemas.openxmlformats.org/officeDocument/2006/relationships/hyperlink" Target="https://www150.statcan.gc.ca/n1/pub/82-003-x/2019010/article/00001-eng.htm" TargetMode="External"/><Relationship Id="rId1737" Type="http://schemas.openxmlformats.org/officeDocument/2006/relationships/hyperlink" Target="https://www150.statcan.gc.ca/n1/pub/11f0019m/11f0019m2018408-eng.htm" TargetMode="External"/><Relationship Id="rId1944" Type="http://schemas.openxmlformats.org/officeDocument/2006/relationships/hyperlink" Target="https://www150.statcan.gc.ca/n1/pub/85-002-x/2019001/article/00016-eng.htm" TargetMode="External"/><Relationship Id="rId29" Type="http://schemas.openxmlformats.org/officeDocument/2006/relationships/hyperlink" Target="https://www150.statcan.gc.ca/n1/pub/96-325-x/2017001/article/54924-eng.htm" TargetMode="External"/><Relationship Id="rId1804" Type="http://schemas.openxmlformats.org/officeDocument/2006/relationships/hyperlink" Target="https://www150.statcan.gc.ca/n1/pub/75-004-m/75-004-m2016001-eng.htm" TargetMode="External"/><Relationship Id="rId897" Type="http://schemas.openxmlformats.org/officeDocument/2006/relationships/hyperlink" Target="https://www150.statcan.gc.ca/n1/pub/75-006-x/2016001/article/14669-eng.htm" TargetMode="External"/><Relationship Id="rId2578" Type="http://schemas.openxmlformats.org/officeDocument/2006/relationships/hyperlink" Target="https://www150.statcan.gc.ca/n1/pub/75-006-x/2019001/article/00006-eng.htm" TargetMode="External"/><Relationship Id="rId2785" Type="http://schemas.openxmlformats.org/officeDocument/2006/relationships/hyperlink" Target="https://www150.statcan.gc.ca/n1/pub/89-657-x/89-657-x2018001-eng.htm" TargetMode="External"/><Relationship Id="rId757" Type="http://schemas.openxmlformats.org/officeDocument/2006/relationships/hyperlink" Target="https://www150.statcan.gc.ca/n1/pub/89-503-x/2015001/article/14315-eng.htm" TargetMode="External"/><Relationship Id="rId964" Type="http://schemas.openxmlformats.org/officeDocument/2006/relationships/hyperlink" Target="https://www150.statcan.gc.ca/n1/pub/11-626-x/11-626-x2016066-eng.htm" TargetMode="External"/><Relationship Id="rId1387" Type="http://schemas.openxmlformats.org/officeDocument/2006/relationships/hyperlink" Target="https://www150.statcan.gc.ca/n1/pub/15-206-x/15-206-x2015039-eng.htm" TargetMode="External"/><Relationship Id="rId1594" Type="http://schemas.openxmlformats.org/officeDocument/2006/relationships/hyperlink" Target="https://www150.statcan.gc.ca/n1/pub/81-595-m/81-595-m2020001-eng.htm" TargetMode="External"/><Relationship Id="rId2438" Type="http://schemas.openxmlformats.org/officeDocument/2006/relationships/hyperlink" Target="https://www150.statcan.gc.ca/n1/pub/11-621-m/11-621-m2019005-eng.htm" TargetMode="External"/><Relationship Id="rId2645" Type="http://schemas.openxmlformats.org/officeDocument/2006/relationships/hyperlink" Target="https://www150.statcan.gc.ca/n1/pub/82-003-x/2020007/article/00002-eng.htm" TargetMode="External"/><Relationship Id="rId93" Type="http://schemas.openxmlformats.org/officeDocument/2006/relationships/hyperlink" Target="https://www150.statcan.gc.ca/n1/pub/89-657-x/89-657-x2017005-eng.htm" TargetMode="External"/><Relationship Id="rId617" Type="http://schemas.openxmlformats.org/officeDocument/2006/relationships/hyperlink" Target="https://www150.statcan.gc.ca/n1/pub/89-654-x/89-654-x2018002-eng.htm" TargetMode="External"/><Relationship Id="rId824" Type="http://schemas.openxmlformats.org/officeDocument/2006/relationships/hyperlink" Target="https://www150.statcan.gc.ca/n1/pub/11f0019m/11f0019m2020002-eng.htm" TargetMode="External"/><Relationship Id="rId1247" Type="http://schemas.openxmlformats.org/officeDocument/2006/relationships/hyperlink" Target="https://www150.statcan.gc.ca/n1/pub/85-002-x/2017001/article/54842-eng.htm" TargetMode="External"/><Relationship Id="rId1454" Type="http://schemas.openxmlformats.org/officeDocument/2006/relationships/hyperlink" Target="https://www150.statcan.gc.ca/n1/pub/11-626-x/11-626-x2020015-eng.htm" TargetMode="External"/><Relationship Id="rId1661" Type="http://schemas.openxmlformats.org/officeDocument/2006/relationships/hyperlink" Target="https://www150.statcan.gc.ca/n1/pub/85-002-x/2018001/article/54980-eng.htm" TargetMode="External"/><Relationship Id="rId2505" Type="http://schemas.openxmlformats.org/officeDocument/2006/relationships/hyperlink" Target="https://www150.statcan.gc.ca/n1/pub/75-006-x/2018001/article/54973-eng.htm" TargetMode="External"/><Relationship Id="rId2712" Type="http://schemas.openxmlformats.org/officeDocument/2006/relationships/hyperlink" Target="https://www150.statcan.gc.ca/n1/pub/11-621-m/11-621-m2019004-eng.htm" TargetMode="External"/><Relationship Id="rId1107" Type="http://schemas.openxmlformats.org/officeDocument/2006/relationships/hyperlink" Target="https://www150.statcan.gc.ca/n1/pub/82-003-x/2018001/article/54902-eng.htm" TargetMode="External"/><Relationship Id="rId1314" Type="http://schemas.openxmlformats.org/officeDocument/2006/relationships/hyperlink" Target="https://www150.statcan.gc.ca/n1/pub/82-003-x/2016001/article/14306-eng.htm" TargetMode="External"/><Relationship Id="rId1521" Type="http://schemas.openxmlformats.org/officeDocument/2006/relationships/hyperlink" Target="https://www150.statcan.gc.ca/n1/pub/75-006-x/2020001/article/00005-eng.htm" TargetMode="External"/><Relationship Id="rId20" Type="http://schemas.openxmlformats.org/officeDocument/2006/relationships/hyperlink" Target="https://www150.statcan.gc.ca/n1/pub/96-325-x/2017001/article/54925-eng.htm" TargetMode="External"/><Relationship Id="rId2088" Type="http://schemas.openxmlformats.org/officeDocument/2006/relationships/hyperlink" Target="https://www150.statcan.gc.ca/n1/pub/13-605-x/2018001/article/54968-eng.htm" TargetMode="External"/><Relationship Id="rId2295" Type="http://schemas.openxmlformats.org/officeDocument/2006/relationships/hyperlink" Target="https://www150.statcan.gc.ca/n1/pub/89-503-x/2015001/article/14640-eng.htm" TargetMode="External"/><Relationship Id="rId267" Type="http://schemas.openxmlformats.org/officeDocument/2006/relationships/hyperlink" Target="https://www150.statcan.gc.ca/n1/pub/82-003-x/2015010/article/14228-eng.htm" TargetMode="External"/><Relationship Id="rId474" Type="http://schemas.openxmlformats.org/officeDocument/2006/relationships/hyperlink" Target="https://www150.statcan.gc.ca/n1/pub/75-006-x/2017001/article/54854-eng.htm" TargetMode="External"/><Relationship Id="rId2155" Type="http://schemas.openxmlformats.org/officeDocument/2006/relationships/hyperlink" Target="https://www150.statcan.gc.ca/n1/pub/82-003-x/2017010/article/54876-eng.htm" TargetMode="External"/><Relationship Id="rId127" Type="http://schemas.openxmlformats.org/officeDocument/2006/relationships/hyperlink" Target="https://www150.statcan.gc.ca/n1/pub/13-604-m/13-604-m2016081-eng.htm" TargetMode="External"/><Relationship Id="rId681" Type="http://schemas.openxmlformats.org/officeDocument/2006/relationships/hyperlink" Target="https://www150.statcan.gc.ca/n1/pub/11f0019m/11f0019m2016381-eng.htm" TargetMode="External"/><Relationship Id="rId2362" Type="http://schemas.openxmlformats.org/officeDocument/2006/relationships/hyperlink" Target="https://www150.statcan.gc.ca/n1/pub/11f0019m/11f0019m2017397-eng.htm" TargetMode="External"/><Relationship Id="rId334" Type="http://schemas.openxmlformats.org/officeDocument/2006/relationships/hyperlink" Target="https://www150.statcan.gc.ca/n1/pub/82-003-x/2019004/article/00001-eng.htm" TargetMode="External"/><Relationship Id="rId541" Type="http://schemas.openxmlformats.org/officeDocument/2006/relationships/hyperlink" Target="https://www150.statcan.gc.ca/n1/pub/11-626-x/11-626-x2019016-eng.htm" TargetMode="External"/><Relationship Id="rId1171" Type="http://schemas.openxmlformats.org/officeDocument/2006/relationships/hyperlink" Target="https://www150.statcan.gc.ca/n1/pub/82-003-x/2015007/article/14206-eng.htm" TargetMode="External"/><Relationship Id="rId2015" Type="http://schemas.openxmlformats.org/officeDocument/2006/relationships/hyperlink" Target="https://www150.statcan.gc.ca/n1/pub/85-002-x/2015001/article/14234-eng.htm" TargetMode="External"/><Relationship Id="rId2222" Type="http://schemas.openxmlformats.org/officeDocument/2006/relationships/hyperlink" Target="https://www150.statcan.gc.ca/n1/pub/11f0019m/11f0019m2020016-eng.htm" TargetMode="External"/><Relationship Id="rId401" Type="http://schemas.openxmlformats.org/officeDocument/2006/relationships/hyperlink" Target="https://www150.statcan.gc.ca/n1/pub/82-003-x/2018004/article/54950-eng.htm" TargetMode="External"/><Relationship Id="rId1031" Type="http://schemas.openxmlformats.org/officeDocument/2006/relationships/hyperlink" Target="https://www150.statcan.gc.ca/n1/pub/85-002-x/2015001/article/14163-eng.htm" TargetMode="External"/><Relationship Id="rId1988" Type="http://schemas.openxmlformats.org/officeDocument/2006/relationships/hyperlink" Target="https://www150.statcan.gc.ca/n1/pub/89-657-x/89-657-x2019014-eng.htm" TargetMode="External"/><Relationship Id="rId1848" Type="http://schemas.openxmlformats.org/officeDocument/2006/relationships/hyperlink" Target="https://www150.statcan.gc.ca/n1/pub/85-002-x/2020001/article/00015-eng.htm" TargetMode="External"/><Relationship Id="rId191" Type="http://schemas.openxmlformats.org/officeDocument/2006/relationships/hyperlink" Target="https://www150.statcan.gc.ca/n1/pub/18-001-x/18-001-x2019002-eng.htm" TargetMode="External"/><Relationship Id="rId1708" Type="http://schemas.openxmlformats.org/officeDocument/2006/relationships/hyperlink" Target="https://www150.statcan.gc.ca/n1/pub/75-006-x/2015001/article/14134-eng.htm" TargetMode="External"/><Relationship Id="rId1915" Type="http://schemas.openxmlformats.org/officeDocument/2006/relationships/hyperlink" Target="https://www150.statcan.gc.ca/n1/pub/85-002-x/2016001/article/14656-eng.htm" TargetMode="External"/><Relationship Id="rId2689" Type="http://schemas.openxmlformats.org/officeDocument/2006/relationships/hyperlink" Target="https://www150.statcan.gc.ca/n1/pub/89-653-x/89-653-x2019001-eng.htm" TargetMode="External"/><Relationship Id="rId868" Type="http://schemas.openxmlformats.org/officeDocument/2006/relationships/hyperlink" Target="https://www150.statcan.gc.ca/n1/pub/11f0019m/11f0019m2018407-eng.htm" TargetMode="External"/><Relationship Id="rId1498" Type="http://schemas.openxmlformats.org/officeDocument/2006/relationships/hyperlink" Target="https://www150.statcan.gc.ca/n1/pub/85-002-x/2015001/article/14224-eng.htm" TargetMode="External"/><Relationship Id="rId2549" Type="http://schemas.openxmlformats.org/officeDocument/2006/relationships/hyperlink" Target="https://www150.statcan.gc.ca/n1/pub/89-652-x/89-652-x2015008-eng.htm" TargetMode="External"/><Relationship Id="rId2756" Type="http://schemas.openxmlformats.org/officeDocument/2006/relationships/hyperlink" Target="https://www150.statcan.gc.ca/n1/pub/89-503-x/2015001/article/14680-eng.htm" TargetMode="External"/><Relationship Id="rId728" Type="http://schemas.openxmlformats.org/officeDocument/2006/relationships/hyperlink" Target="https://www150.statcan.gc.ca/n1/pub/82-003-x/2015005/article/14169-eng.htm" TargetMode="External"/><Relationship Id="rId935" Type="http://schemas.openxmlformats.org/officeDocument/2006/relationships/hyperlink" Target="https://www150.statcan.gc.ca/n1/pub/85-002-x/2015001/article/14201-eng.htm" TargetMode="External"/><Relationship Id="rId1358" Type="http://schemas.openxmlformats.org/officeDocument/2006/relationships/hyperlink" Target="https://www150.statcan.gc.ca/n1/pub/85-002-x/2019001/article/00012-eng.htm" TargetMode="External"/><Relationship Id="rId1565" Type="http://schemas.openxmlformats.org/officeDocument/2006/relationships/hyperlink" Target="https://www150.statcan.gc.ca/n1/pub/11-633-x/11-633-x2018012-eng.htm" TargetMode="External"/><Relationship Id="rId1772" Type="http://schemas.openxmlformats.org/officeDocument/2006/relationships/hyperlink" Target="https://www150.statcan.gc.ca/n1/pub/89-657-x/89-657-x2019010-eng.htm" TargetMode="External"/><Relationship Id="rId2409" Type="http://schemas.openxmlformats.org/officeDocument/2006/relationships/hyperlink" Target="https://www150.statcan.gc.ca/n1/pub/82-003-x/2016012/article/14688-eng.htm" TargetMode="External"/><Relationship Id="rId2616" Type="http://schemas.openxmlformats.org/officeDocument/2006/relationships/hyperlink" Target="https://www150.statcan.gc.ca/n1/pub/89-652-x/89-652-x2015005-eng.htm" TargetMode="External"/><Relationship Id="rId64" Type="http://schemas.openxmlformats.org/officeDocument/2006/relationships/hyperlink" Target="https://www150.statcan.gc.ca/n1/pub/89-657-x/89-657-x2017003-eng.htm" TargetMode="External"/><Relationship Id="rId1218" Type="http://schemas.openxmlformats.org/officeDocument/2006/relationships/hyperlink" Target="https://www150.statcan.gc.ca/n1/pub/11f0019m/11f0019m2020018-eng.htm" TargetMode="External"/><Relationship Id="rId1425" Type="http://schemas.openxmlformats.org/officeDocument/2006/relationships/hyperlink" Target="https://www150.statcan.gc.ca/n1/pub/11f0019m/11f0019m2019011-eng.htm" TargetMode="External"/><Relationship Id="rId2823" Type="http://schemas.openxmlformats.org/officeDocument/2006/relationships/hyperlink" Target="https://www150.statcan.gc.ca/n1/pub/85-002-x/2018001/article/54981-eng.htm" TargetMode="External"/><Relationship Id="rId1632" Type="http://schemas.openxmlformats.org/officeDocument/2006/relationships/hyperlink" Target="https://www150.statcan.gc.ca/n1/pub/89-503-x/2015001/article/14316-eng.htm" TargetMode="External"/><Relationship Id="rId2199" Type="http://schemas.openxmlformats.org/officeDocument/2006/relationships/hyperlink" Target="https://www150.statcan.gc.ca/n1/pub/82-003-x/2015011/article/14242-eng.htm" TargetMode="External"/><Relationship Id="rId378" Type="http://schemas.openxmlformats.org/officeDocument/2006/relationships/hyperlink" Target="https://www150.statcan.gc.ca/n1/pub/11f0019m/11f0019m2018410-eng.htm" TargetMode="External"/><Relationship Id="rId585" Type="http://schemas.openxmlformats.org/officeDocument/2006/relationships/hyperlink" Target="https://www150.statcan.gc.ca/n1/pub/11f0019m/11f0019m2016375-eng.htm" TargetMode="External"/><Relationship Id="rId792" Type="http://schemas.openxmlformats.org/officeDocument/2006/relationships/hyperlink" Target="https://www150.statcan.gc.ca/n1/pub/89-503-x/2015001/article/14152-eng.htm" TargetMode="External"/><Relationship Id="rId2059" Type="http://schemas.openxmlformats.org/officeDocument/2006/relationships/hyperlink" Target="https://www150.statcan.gc.ca/n1/pub/11f0019m/11f0019m2019008-eng.htm" TargetMode="External"/><Relationship Id="rId2266" Type="http://schemas.openxmlformats.org/officeDocument/2006/relationships/hyperlink" Target="https://www150.statcan.gc.ca/n1/pub/85-002-x/2016001/article/14303-eng.htm" TargetMode="External"/><Relationship Id="rId2473" Type="http://schemas.openxmlformats.org/officeDocument/2006/relationships/hyperlink" Target="https://www150.statcan.gc.ca/n1/pub/85-002-x/2020001/article/00005-eng.htm" TargetMode="External"/><Relationship Id="rId2680" Type="http://schemas.openxmlformats.org/officeDocument/2006/relationships/hyperlink" Target="https://www150.statcan.gc.ca/n1/pub/82-003-x/2017007/article/14844-eng.htm" TargetMode="External"/><Relationship Id="rId238" Type="http://schemas.openxmlformats.org/officeDocument/2006/relationships/hyperlink" Target="https://www150.statcan.gc.ca/n1/pub/82-003-x/2020008/article/00002-eng.htm" TargetMode="External"/><Relationship Id="rId445" Type="http://schemas.openxmlformats.org/officeDocument/2006/relationships/hyperlink" Target="https://www150.statcan.gc.ca/n1/pub/13-605-x/2019001/article/00003-eng.htm" TargetMode="External"/><Relationship Id="rId652" Type="http://schemas.openxmlformats.org/officeDocument/2006/relationships/hyperlink" Target="https://www150.statcan.gc.ca/n1/pub/16-002-x/2015001/article/14132-eng.htm" TargetMode="External"/><Relationship Id="rId1075" Type="http://schemas.openxmlformats.org/officeDocument/2006/relationships/hyperlink" Target="https://www150.statcan.gc.ca/n1/pub/82-003-x/2018010/article/00001-eng.htm" TargetMode="External"/><Relationship Id="rId1282" Type="http://schemas.openxmlformats.org/officeDocument/2006/relationships/hyperlink" Target="https://www150.statcan.gc.ca/n1/pub/85-002-x/2020001/article/00014-eng.htm" TargetMode="External"/><Relationship Id="rId2126" Type="http://schemas.openxmlformats.org/officeDocument/2006/relationships/hyperlink" Target="https://www150.statcan.gc.ca/n1/pub/75-006-x/2017001/article/54878-eng.htm" TargetMode="External"/><Relationship Id="rId2333" Type="http://schemas.openxmlformats.org/officeDocument/2006/relationships/hyperlink" Target="https://www150.statcan.gc.ca/n1/pub/82-003-x/2016009/article/14653-eng.htm" TargetMode="External"/><Relationship Id="rId2540" Type="http://schemas.openxmlformats.org/officeDocument/2006/relationships/hyperlink" Target="https://www150.statcan.gc.ca/n1/pub/85-002-x/2017001/article/14699-eng.htm" TargetMode="External"/><Relationship Id="rId305" Type="http://schemas.openxmlformats.org/officeDocument/2006/relationships/hyperlink" Target="https://www150.statcan.gc.ca/n1/pub/82-003-x/2015010/article/14222-eng.htm" TargetMode="External"/><Relationship Id="rId512" Type="http://schemas.openxmlformats.org/officeDocument/2006/relationships/hyperlink" Target="https://www150.statcan.gc.ca/n1/pub/75-006-x/2020001/article/00008-eng.htm" TargetMode="External"/><Relationship Id="rId1142" Type="http://schemas.openxmlformats.org/officeDocument/2006/relationships/hyperlink" Target="https://www150.statcan.gc.ca/n1/pub/11-633-x/11-633-x2017009-eng.htm" TargetMode="External"/><Relationship Id="rId2400" Type="http://schemas.openxmlformats.org/officeDocument/2006/relationships/hyperlink" Target="https://www150.statcan.gc.ca/n1/pub/75-006-x/2015001/article/14154-eng.htm" TargetMode="External"/><Relationship Id="rId1002" Type="http://schemas.openxmlformats.org/officeDocument/2006/relationships/hyperlink" Target="https://www150.statcan.gc.ca/n1/pub/89-657-x/89-657-x2020001-eng.htm" TargetMode="External"/><Relationship Id="rId1959" Type="http://schemas.openxmlformats.org/officeDocument/2006/relationships/hyperlink" Target="https://www150.statcan.gc.ca/n1/pub/85-002-x/2017001/article/54879-eng.htm" TargetMode="External"/><Relationship Id="rId1819" Type="http://schemas.openxmlformats.org/officeDocument/2006/relationships/hyperlink" Target="https://www150.statcan.gc.ca/n1/pub/75-006-x/2018001/article/54947-eng.htm" TargetMode="External"/><Relationship Id="rId2190" Type="http://schemas.openxmlformats.org/officeDocument/2006/relationships/hyperlink" Target="https://www150.statcan.gc.ca/n1/pub/11f0019m/11f0019m2015365-eng.htm" TargetMode="External"/><Relationship Id="rId162" Type="http://schemas.openxmlformats.org/officeDocument/2006/relationships/hyperlink" Target="https://www150.statcan.gc.ca/n1/pub/11f0019m/11f0019m2020007-eng.htm" TargetMode="External"/><Relationship Id="rId2050" Type="http://schemas.openxmlformats.org/officeDocument/2006/relationships/hyperlink" Target="https://www150.statcan.gc.ca/n1/pub/75f0002m/75f0002m2020003-eng.htm" TargetMode="External"/><Relationship Id="rId979" Type="http://schemas.openxmlformats.org/officeDocument/2006/relationships/hyperlink" Target="https://www150.statcan.gc.ca/n1/pub/11f0019m/11f0019m2017390-eng.htm" TargetMode="External"/><Relationship Id="rId839" Type="http://schemas.openxmlformats.org/officeDocument/2006/relationships/hyperlink" Target="https://www150.statcan.gc.ca/n1/pub/85-002-x/2020001/article/00007-eng.htm" TargetMode="External"/><Relationship Id="rId1469" Type="http://schemas.openxmlformats.org/officeDocument/2006/relationships/hyperlink" Target="https://www150.statcan.gc.ca/n1/pub/89-657-x/89-657-x2020003-eng.htm" TargetMode="External"/><Relationship Id="rId1676" Type="http://schemas.openxmlformats.org/officeDocument/2006/relationships/hyperlink" Target="https://www150.statcan.gc.ca/n1/pub/11f0019m/11f0019m2015367-eng.htm" TargetMode="External"/><Relationship Id="rId1883" Type="http://schemas.openxmlformats.org/officeDocument/2006/relationships/hyperlink" Target="https://www150.statcan.gc.ca/n1/pub/11-633-x/11-633-x2019004-eng.htm" TargetMode="External"/><Relationship Id="rId2727" Type="http://schemas.openxmlformats.org/officeDocument/2006/relationships/hyperlink" Target="https://www150.statcan.gc.ca/n1/pub/89-653-x/89-653-x2016008-eng.htm" TargetMode="External"/><Relationship Id="rId906" Type="http://schemas.openxmlformats.org/officeDocument/2006/relationships/hyperlink" Target="https://www150.statcan.gc.ca/n1/pub/11-622-m/11-622-m2015031-eng.htm" TargetMode="External"/><Relationship Id="rId1329" Type="http://schemas.openxmlformats.org/officeDocument/2006/relationships/hyperlink" Target="https://www150.statcan.gc.ca/n1/pub/45-20-0002/452000022019001-eng.htm" TargetMode="External"/><Relationship Id="rId1536" Type="http://schemas.openxmlformats.org/officeDocument/2006/relationships/hyperlink" Target="https://www150.statcan.gc.ca/n1/pub/82-003-x/2017007/article/14843-eng.htm" TargetMode="External"/><Relationship Id="rId1743" Type="http://schemas.openxmlformats.org/officeDocument/2006/relationships/hyperlink" Target="https://www150.statcan.gc.ca/n1/pub/11-621-m/11-621-m2017104-eng.htm" TargetMode="External"/><Relationship Id="rId1950" Type="http://schemas.openxmlformats.org/officeDocument/2006/relationships/hyperlink" Target="https://www150.statcan.gc.ca/n1/pub/85-002-x/2015001/article/14198-eng.htm" TargetMode="External"/><Relationship Id="rId35" Type="http://schemas.openxmlformats.org/officeDocument/2006/relationships/hyperlink" Target="https://www150.statcan.gc.ca/n1/pub/82-003-x/2018001/article/54901-eng.htm" TargetMode="External"/><Relationship Id="rId1603" Type="http://schemas.openxmlformats.org/officeDocument/2006/relationships/hyperlink" Target="https://www150.statcan.gc.ca/n1/pub/71-588-x/71-588-x2017001-eng.htm" TargetMode="External"/><Relationship Id="rId1810" Type="http://schemas.openxmlformats.org/officeDocument/2006/relationships/hyperlink" Target="https://www150.statcan.gc.ca/n1/pub/82-003-x/2018009/article/00002-eng.htm" TargetMode="External"/><Relationship Id="rId489" Type="http://schemas.openxmlformats.org/officeDocument/2006/relationships/hyperlink" Target="https://www150.statcan.gc.ca/n1/pub/82-003-x/2018005/article/54966-eng.htm" TargetMode="External"/><Relationship Id="rId696" Type="http://schemas.openxmlformats.org/officeDocument/2006/relationships/hyperlink" Target="https://www150.statcan.gc.ca/n1/pub/75f0002m/75f0002m2019003-eng.htm" TargetMode="External"/><Relationship Id="rId2377" Type="http://schemas.openxmlformats.org/officeDocument/2006/relationships/hyperlink" Target="https://www150.statcan.gc.ca/n1/pub/11f0019m/11f0019m2019017-eng.htm" TargetMode="External"/><Relationship Id="rId2584" Type="http://schemas.openxmlformats.org/officeDocument/2006/relationships/hyperlink" Target="https://www150.statcan.gc.ca/n1/pub/85-002-x/2015001/article/14203-eng.htm" TargetMode="External"/><Relationship Id="rId2791" Type="http://schemas.openxmlformats.org/officeDocument/2006/relationships/hyperlink" Target="https://www150.statcan.gc.ca/n1/pub/11f0019m/11f0019m2016384-eng.htm" TargetMode="External"/><Relationship Id="rId349" Type="http://schemas.openxmlformats.org/officeDocument/2006/relationships/hyperlink" Target="https://www150.statcan.gc.ca/n1/pub/89-503-x/2015001/article/14785-eng.htm" TargetMode="External"/><Relationship Id="rId556" Type="http://schemas.openxmlformats.org/officeDocument/2006/relationships/hyperlink" Target="https://www150.statcan.gc.ca/n1/pub/11f0019m/11f0019m2020006-eng.htm" TargetMode="External"/><Relationship Id="rId763" Type="http://schemas.openxmlformats.org/officeDocument/2006/relationships/hyperlink" Target="https://www150.statcan.gc.ca/n1/pub/89-503-x/2015001/article/14315-eng.htm" TargetMode="External"/><Relationship Id="rId1186" Type="http://schemas.openxmlformats.org/officeDocument/2006/relationships/hyperlink" Target="https://www150.statcan.gc.ca/n1/pub/13-605-x/2015011/article/14298-eng.htm" TargetMode="External"/><Relationship Id="rId1393" Type="http://schemas.openxmlformats.org/officeDocument/2006/relationships/hyperlink" Target="https://www150.statcan.gc.ca/n1/pub/15-206-x/15-206-x2015039-eng.htm" TargetMode="External"/><Relationship Id="rId2237" Type="http://schemas.openxmlformats.org/officeDocument/2006/relationships/hyperlink" Target="https://www150.statcan.gc.ca/n1/pub/75-006-x/2019001/article/00013-eng.htm" TargetMode="External"/><Relationship Id="rId2444" Type="http://schemas.openxmlformats.org/officeDocument/2006/relationships/hyperlink" Target="https://www150.statcan.gc.ca/n1/pub/11f0019m/11f0019m2019004-eng.htm" TargetMode="External"/><Relationship Id="rId209" Type="http://schemas.openxmlformats.org/officeDocument/2006/relationships/hyperlink" Target="https://www150.statcan.gc.ca/n1/pub/11f0019m/11f0019m2019014-eng.htm" TargetMode="External"/><Relationship Id="rId416" Type="http://schemas.openxmlformats.org/officeDocument/2006/relationships/hyperlink" Target="https://www150.statcan.gc.ca/n1/pub/89-653-x/89-653-x2018002-eng.htm" TargetMode="External"/><Relationship Id="rId970" Type="http://schemas.openxmlformats.org/officeDocument/2006/relationships/hyperlink" Target="https://www150.statcan.gc.ca/n1/pub/13-605-x/2019001/article/00009-eng.htm" TargetMode="External"/><Relationship Id="rId1046" Type="http://schemas.openxmlformats.org/officeDocument/2006/relationships/hyperlink" Target="https://www150.statcan.gc.ca/n1/pub/11-626-x/11-626-x2017069-eng.htm" TargetMode="External"/><Relationship Id="rId1253" Type="http://schemas.openxmlformats.org/officeDocument/2006/relationships/hyperlink" Target="https://www150.statcan.gc.ca/n1/pub/85-002-x/2017001/article/54842-eng.htm" TargetMode="External"/><Relationship Id="rId2651" Type="http://schemas.openxmlformats.org/officeDocument/2006/relationships/hyperlink" Target="https://www150.statcan.gc.ca/n1/pub/82-003-x/2018006/article/54970-eng.htm" TargetMode="External"/><Relationship Id="rId623" Type="http://schemas.openxmlformats.org/officeDocument/2006/relationships/hyperlink" Target="https://www150.statcan.gc.ca/n1/pub/89-654-x/89-654-x2018002-eng.htm" TargetMode="External"/><Relationship Id="rId830" Type="http://schemas.openxmlformats.org/officeDocument/2006/relationships/hyperlink" Target="https://www150.statcan.gc.ca/n1/pub/75-006-x/2015001/article/14247-eng.htm" TargetMode="External"/><Relationship Id="rId1460" Type="http://schemas.openxmlformats.org/officeDocument/2006/relationships/hyperlink" Target="https://www150.statcan.gc.ca/n1/pub/85-002-x/2017001/article/54889-eng.htm" TargetMode="External"/><Relationship Id="rId2304" Type="http://schemas.openxmlformats.org/officeDocument/2006/relationships/hyperlink" Target="https://www150.statcan.gc.ca/n1/pub/89-503-x/2015001/article/14640-eng.htm" TargetMode="External"/><Relationship Id="rId2511" Type="http://schemas.openxmlformats.org/officeDocument/2006/relationships/hyperlink" Target="https://www150.statcan.gc.ca/n1/pub/82-003-x/2017005/article/14792-eng.htm" TargetMode="External"/><Relationship Id="rId1113" Type="http://schemas.openxmlformats.org/officeDocument/2006/relationships/hyperlink" Target="https://www150.statcan.gc.ca/n1/pub/11-633-x/11-633-x2018016-eng.htm" TargetMode="External"/><Relationship Id="rId1320" Type="http://schemas.openxmlformats.org/officeDocument/2006/relationships/hyperlink" Target="https://www150.statcan.gc.ca/n1/pub/13-605-x/2018001/article/54961-eng.htm" TargetMode="External"/><Relationship Id="rId2094" Type="http://schemas.openxmlformats.org/officeDocument/2006/relationships/hyperlink" Target="https://www150.statcan.gc.ca/n1/pub/89-503-x/2015001/article/14235-eng.htm" TargetMode="External"/><Relationship Id="rId273" Type="http://schemas.openxmlformats.org/officeDocument/2006/relationships/hyperlink" Target="https://www150.statcan.gc.ca/n1/pub/85-002-x/2015001/article/14146-eng.htm" TargetMode="External"/><Relationship Id="rId480" Type="http://schemas.openxmlformats.org/officeDocument/2006/relationships/hyperlink" Target="https://www150.statcan.gc.ca/n1/pub/82-003-x/2015004/article/14158-eng.htm" TargetMode="External"/><Relationship Id="rId2161" Type="http://schemas.openxmlformats.org/officeDocument/2006/relationships/hyperlink" Target="https://www150.statcan.gc.ca/n1/pub/75-006-x/2016001/article/14639-eng.htm" TargetMode="External"/><Relationship Id="rId133" Type="http://schemas.openxmlformats.org/officeDocument/2006/relationships/hyperlink" Target="https://www150.statcan.gc.ca/n1/pub/11f0019m/11f0019m2020019-eng.htm" TargetMode="External"/><Relationship Id="rId340" Type="http://schemas.openxmlformats.org/officeDocument/2006/relationships/hyperlink" Target="https://www150.statcan.gc.ca/n1/pub/89-503-x/2015001/article/14785-eng.htm" TargetMode="External"/><Relationship Id="rId2021" Type="http://schemas.openxmlformats.org/officeDocument/2006/relationships/hyperlink" Target="https://www150.statcan.gc.ca/n1/pub/82-003-x/2020003/article/00001-eng.htm" TargetMode="External"/><Relationship Id="rId200" Type="http://schemas.openxmlformats.org/officeDocument/2006/relationships/hyperlink" Target="https://www150.statcan.gc.ca/n1/pub/18-001-x/18-001-x2019002-eng.htm" TargetMode="External"/><Relationship Id="rId1787" Type="http://schemas.openxmlformats.org/officeDocument/2006/relationships/hyperlink" Target="https://www150.statcan.gc.ca/n1/pub/85-002-x/2016001/article/14631-eng.htm" TargetMode="External"/><Relationship Id="rId1994" Type="http://schemas.openxmlformats.org/officeDocument/2006/relationships/hyperlink" Target="https://www150.statcan.gc.ca/n1/pub/85-002-x/2016001/article/14642-eng.htm" TargetMode="External"/><Relationship Id="rId79" Type="http://schemas.openxmlformats.org/officeDocument/2006/relationships/hyperlink" Target="https://www150.statcan.gc.ca/n1/pub/89-657-x/89-657-x2017004-eng.htm" TargetMode="External"/><Relationship Id="rId1647" Type="http://schemas.openxmlformats.org/officeDocument/2006/relationships/hyperlink" Target="https://www150.statcan.gc.ca/n1/pub/85-002-x/2018001/article/54979-eng.htm" TargetMode="External"/><Relationship Id="rId1854" Type="http://schemas.openxmlformats.org/officeDocument/2006/relationships/hyperlink" Target="https://www150.statcan.gc.ca/n1/pub/11-626-x/11-626-x2019001-eng.htm" TargetMode="External"/><Relationship Id="rId1507" Type="http://schemas.openxmlformats.org/officeDocument/2006/relationships/hyperlink" Target="https://www150.statcan.gc.ca/n1/pub/85-002-x/2017001/article/14842-eng.htm" TargetMode="External"/><Relationship Id="rId1714" Type="http://schemas.openxmlformats.org/officeDocument/2006/relationships/hyperlink" Target="https://www150.statcan.gc.ca/n1/pub/85-002-x/2015001/article/14164-eng.htm" TargetMode="External"/><Relationship Id="rId1921" Type="http://schemas.openxmlformats.org/officeDocument/2006/relationships/hyperlink" Target="https://www150.statcan.gc.ca/n1/pub/85-002-x/2019001/article/00013-eng.htm" TargetMode="External"/><Relationship Id="rId2488" Type="http://schemas.openxmlformats.org/officeDocument/2006/relationships/hyperlink" Target="https://www150.statcan.gc.ca/n1/pub/75-006-x/2019001/article/00007-eng.htm" TargetMode="External"/><Relationship Id="rId1297" Type="http://schemas.openxmlformats.org/officeDocument/2006/relationships/hyperlink" Target="https://www150.statcan.gc.ca/n1/pub/89-652-x/89-652-x2015003-eng.htm" TargetMode="External"/><Relationship Id="rId2695" Type="http://schemas.openxmlformats.org/officeDocument/2006/relationships/hyperlink" Target="https://www150.statcan.gc.ca/n1/pub/11f0019m/11f0019m2018412-eng.htm" TargetMode="External"/><Relationship Id="rId667" Type="http://schemas.openxmlformats.org/officeDocument/2006/relationships/hyperlink" Target="https://www150.statcan.gc.ca/n1/pub/11f0019m/11f0019m2017395-eng.htm" TargetMode="External"/><Relationship Id="rId874" Type="http://schemas.openxmlformats.org/officeDocument/2006/relationships/hyperlink" Target="https://www150.statcan.gc.ca/n1/pub/11-633-x/11-633-x2020001-eng.htm" TargetMode="External"/><Relationship Id="rId2348" Type="http://schemas.openxmlformats.org/officeDocument/2006/relationships/hyperlink" Target="https://www150.statcan.gc.ca/n1/pub/75-006-x/2019001/article/00005-eng.htm" TargetMode="External"/><Relationship Id="rId2555" Type="http://schemas.openxmlformats.org/officeDocument/2006/relationships/hyperlink" Target="https://www150.statcan.gc.ca/n1/pub/89-652-x/89-652-x2015008-eng.htm" TargetMode="External"/><Relationship Id="rId2762" Type="http://schemas.openxmlformats.org/officeDocument/2006/relationships/hyperlink" Target="https://www150.statcan.gc.ca/n1/pub/89-657-x/89-657-x2019013-eng.htm" TargetMode="External"/><Relationship Id="rId527" Type="http://schemas.openxmlformats.org/officeDocument/2006/relationships/hyperlink" Target="https://www150.statcan.gc.ca/n1/pub/82-003-x/2018007/article/00002-eng.htm" TargetMode="External"/><Relationship Id="rId734" Type="http://schemas.openxmlformats.org/officeDocument/2006/relationships/hyperlink" Target="https://www150.statcan.gc.ca/n1/pub/82-003-x/2017004/article/14789-eng.htm" TargetMode="External"/><Relationship Id="rId941" Type="http://schemas.openxmlformats.org/officeDocument/2006/relationships/hyperlink" Target="https://www150.statcan.gc.ca/n1/pub/82-003-x/2018011/article/00002-eng.htm" TargetMode="External"/><Relationship Id="rId1157" Type="http://schemas.openxmlformats.org/officeDocument/2006/relationships/hyperlink" Target="https://www150.statcan.gc.ca/n1/pub/89-652-x/89-652-x2015002-eng.htm" TargetMode="External"/><Relationship Id="rId1364" Type="http://schemas.openxmlformats.org/officeDocument/2006/relationships/hyperlink" Target="https://www150.statcan.gc.ca/n1/pub/89-652-x/89-652-x2015006-eng.htm" TargetMode="External"/><Relationship Id="rId1571" Type="http://schemas.openxmlformats.org/officeDocument/2006/relationships/hyperlink" Target="https://www150.statcan.gc.ca/n1/pub/89-503-x/2015001/article/14695-eng.htm" TargetMode="External"/><Relationship Id="rId2208" Type="http://schemas.openxmlformats.org/officeDocument/2006/relationships/hyperlink" Target="https://www150.statcan.gc.ca/n1/pub/85-002-x/2018001/article/54972-eng.htm" TargetMode="External"/><Relationship Id="rId2415" Type="http://schemas.openxmlformats.org/officeDocument/2006/relationships/hyperlink" Target="https://www150.statcan.gc.ca/n1/pub/75-006-x/2020001/article/00004-eng.htm" TargetMode="External"/><Relationship Id="rId2622" Type="http://schemas.openxmlformats.org/officeDocument/2006/relationships/hyperlink" Target="https://www150.statcan.gc.ca/n1/pub/75-006-x/2019001/article/00004-eng.htm" TargetMode="External"/><Relationship Id="rId70" Type="http://schemas.openxmlformats.org/officeDocument/2006/relationships/hyperlink" Target="https://www150.statcan.gc.ca/n1/pub/89-657-x/89-657-x2017004-eng.htm" TargetMode="External"/><Relationship Id="rId801" Type="http://schemas.openxmlformats.org/officeDocument/2006/relationships/hyperlink" Target="https://www150.statcan.gc.ca/n1/pub/82-003-x/2015007/article/14205-eng.htm" TargetMode="External"/><Relationship Id="rId1017" Type="http://schemas.openxmlformats.org/officeDocument/2006/relationships/hyperlink" Target="https://www150.statcan.gc.ca/n1/pub/85-002-x/2019001/article/00015-eng.htm" TargetMode="External"/><Relationship Id="rId1224" Type="http://schemas.openxmlformats.org/officeDocument/2006/relationships/hyperlink" Target="https://www150.statcan.gc.ca/n1/pub/85-002-x/2017001/article/14777-eng.htm" TargetMode="External"/><Relationship Id="rId1431" Type="http://schemas.openxmlformats.org/officeDocument/2006/relationships/hyperlink" Target="https://www150.statcan.gc.ca/n1/pub/11f0019m/11f0019m2019010-eng.htm" TargetMode="External"/><Relationship Id="rId177" Type="http://schemas.openxmlformats.org/officeDocument/2006/relationships/hyperlink" Target="https://www150.statcan.gc.ca/n1/pub/11f0019m/11f0019m2020002-eng.htm" TargetMode="External"/><Relationship Id="rId384" Type="http://schemas.openxmlformats.org/officeDocument/2006/relationships/hyperlink" Target="https://www150.statcan.gc.ca/n1/pub/89-654-x/89-654-x2015001-eng.htm" TargetMode="External"/><Relationship Id="rId591" Type="http://schemas.openxmlformats.org/officeDocument/2006/relationships/hyperlink" Target="https://www150.statcan.gc.ca/n1/pub/11f0019m/11f0019m2016375-eng.htm" TargetMode="External"/><Relationship Id="rId2065" Type="http://schemas.openxmlformats.org/officeDocument/2006/relationships/hyperlink" Target="https://www150.statcan.gc.ca/n1/pub/11f0019m/11f0019m2017400-eng.htm" TargetMode="External"/><Relationship Id="rId2272" Type="http://schemas.openxmlformats.org/officeDocument/2006/relationships/hyperlink" Target="https://www150.statcan.gc.ca/n1/pub/85-002-x/2016001/article/14303-eng.htm" TargetMode="External"/><Relationship Id="rId244" Type="http://schemas.openxmlformats.org/officeDocument/2006/relationships/hyperlink" Target="https://www150.statcan.gc.ca/n1/pub/11f0019m/11f0019m2016385-eng.htm" TargetMode="External"/><Relationship Id="rId1081" Type="http://schemas.openxmlformats.org/officeDocument/2006/relationships/hyperlink" Target="https://www150.statcan.gc.ca/n1/pub/18-001-x/18-001-x2018001-eng.htm" TargetMode="External"/><Relationship Id="rId451" Type="http://schemas.openxmlformats.org/officeDocument/2006/relationships/hyperlink" Target="https://www150.statcan.gc.ca/n1/pub/85-603-x/85-603-x2019002-eng.htm" TargetMode="External"/><Relationship Id="rId2132" Type="http://schemas.openxmlformats.org/officeDocument/2006/relationships/hyperlink" Target="https://www150.statcan.gc.ca/n1/pub/11-633-x/11-633-x2021001-eng.htm" TargetMode="External"/><Relationship Id="rId104" Type="http://schemas.openxmlformats.org/officeDocument/2006/relationships/hyperlink" Target="https://www150.statcan.gc.ca/n1/pub/89-657-x/89-657-x2017006-eng.htm" TargetMode="External"/><Relationship Id="rId311" Type="http://schemas.openxmlformats.org/officeDocument/2006/relationships/hyperlink" Target="https://www150.statcan.gc.ca/n1/pub/75-004-m/75-004-m2020002-eng.htm" TargetMode="External"/><Relationship Id="rId1898" Type="http://schemas.openxmlformats.org/officeDocument/2006/relationships/hyperlink" Target="https://www150.statcan.gc.ca/n1/pub/89-503-x/2015001/article/14313-eng.htm" TargetMode="External"/><Relationship Id="rId1758" Type="http://schemas.openxmlformats.org/officeDocument/2006/relationships/hyperlink" Target="https://www150.statcan.gc.ca/n1/pub/89-657-x/89-657-x2019010-eng.htm" TargetMode="External"/><Relationship Id="rId2809" Type="http://schemas.openxmlformats.org/officeDocument/2006/relationships/hyperlink" Target="https://www150.statcan.gc.ca/n1/pub/85-603-x/85-603-x2019001-eng.htm" TargetMode="External"/><Relationship Id="rId1965" Type="http://schemas.openxmlformats.org/officeDocument/2006/relationships/hyperlink" Target="https://www150.statcan.gc.ca/n1/pub/85-002-x/2018001/article/54974-eng.htm" TargetMode="External"/><Relationship Id="rId1618" Type="http://schemas.openxmlformats.org/officeDocument/2006/relationships/hyperlink" Target="https://www150.statcan.gc.ca/n1/pub/89-503-x/2015001/article/14316-eng.htm" TargetMode="External"/><Relationship Id="rId1825" Type="http://schemas.openxmlformats.org/officeDocument/2006/relationships/hyperlink" Target="https://www150.statcan.gc.ca/n1/pub/89-657-x/89-657-x2019018-eng.htm" TargetMode="External"/><Relationship Id="rId2599" Type="http://schemas.openxmlformats.org/officeDocument/2006/relationships/hyperlink" Target="https://www150.statcan.gc.ca/n1/pub/82-003-x/2017005/article/14790-eng.htm" TargetMode="External"/><Relationship Id="rId778" Type="http://schemas.openxmlformats.org/officeDocument/2006/relationships/hyperlink" Target="https://www150.statcan.gc.ca/n1/pub/89-503-x/2015001/article/14315-eng.htm" TargetMode="External"/><Relationship Id="rId985" Type="http://schemas.openxmlformats.org/officeDocument/2006/relationships/hyperlink" Target="https://www150.statcan.gc.ca/n1/pub/75-006-x/2018001/article/54982-eng.htm" TargetMode="External"/><Relationship Id="rId2459" Type="http://schemas.openxmlformats.org/officeDocument/2006/relationships/hyperlink" Target="https://www150.statcan.gc.ca/n1/pub/85-002-x/2020001/article/00005-eng.htm" TargetMode="External"/><Relationship Id="rId2666" Type="http://schemas.openxmlformats.org/officeDocument/2006/relationships/hyperlink" Target="https://www150.statcan.gc.ca/n1/pub/11-626-x/11-626-x2019011-eng.htm" TargetMode="External"/><Relationship Id="rId638" Type="http://schemas.openxmlformats.org/officeDocument/2006/relationships/hyperlink" Target="https://www150.statcan.gc.ca/n1/pub/75-006-x/2019001/article/00015-eng.htm" TargetMode="External"/><Relationship Id="rId845" Type="http://schemas.openxmlformats.org/officeDocument/2006/relationships/hyperlink" Target="https://www150.statcan.gc.ca/n1/pub/11f0019m/11f0019m2017393-eng.htm" TargetMode="External"/><Relationship Id="rId1268" Type="http://schemas.openxmlformats.org/officeDocument/2006/relationships/hyperlink" Target="https://www150.statcan.gc.ca/n1/pub/75f0002m/75f0002m2019008-eng.htm" TargetMode="External"/><Relationship Id="rId1475" Type="http://schemas.openxmlformats.org/officeDocument/2006/relationships/hyperlink" Target="https://www150.statcan.gc.ca/n1/pub/75-006-x/2015001/article/14202-eng.htm" TargetMode="External"/><Relationship Id="rId1682" Type="http://schemas.openxmlformats.org/officeDocument/2006/relationships/hyperlink" Target="https://www150.statcan.gc.ca/n1/pub/89-503-x/2015001/article/14694-eng.htm" TargetMode="External"/><Relationship Id="rId2319" Type="http://schemas.openxmlformats.org/officeDocument/2006/relationships/hyperlink" Target="https://www150.statcan.gc.ca/n1/pub/75-006-x/2019001/article/00011-eng.htm" TargetMode="External"/><Relationship Id="rId2526" Type="http://schemas.openxmlformats.org/officeDocument/2006/relationships/hyperlink" Target="https://www150.statcan.gc.ca/n1/pub/82-003-x/2016004/article/14491-eng.htm" TargetMode="External"/><Relationship Id="rId2733" Type="http://schemas.openxmlformats.org/officeDocument/2006/relationships/hyperlink" Target="https://www150.statcan.gc.ca/n1/pub/82-003-x/2018007/article/00001-eng.htm" TargetMode="External"/><Relationship Id="rId705" Type="http://schemas.openxmlformats.org/officeDocument/2006/relationships/hyperlink" Target="https://www150.statcan.gc.ca/n1/pub/82-003-x/2020003/article/00002-eng.htm" TargetMode="External"/><Relationship Id="rId1128" Type="http://schemas.openxmlformats.org/officeDocument/2006/relationships/hyperlink" Target="https://www150.statcan.gc.ca/n1/pub/85-002-x/2015001/article/14233-eng.htm" TargetMode="External"/><Relationship Id="rId1335" Type="http://schemas.openxmlformats.org/officeDocument/2006/relationships/hyperlink" Target="https://www150.statcan.gc.ca/n1/pub/75-006-x/2016001/article/14547-eng.htm" TargetMode="External"/><Relationship Id="rId1542" Type="http://schemas.openxmlformats.org/officeDocument/2006/relationships/hyperlink" Target="https://www150.statcan.gc.ca/n1/pub/75-006-x/2018001/article/54975-eng.htm" TargetMode="External"/><Relationship Id="rId912" Type="http://schemas.openxmlformats.org/officeDocument/2006/relationships/hyperlink" Target="https://www150.statcan.gc.ca/n1/pub/11f0019m/11f0019m2018409-eng.htm" TargetMode="External"/><Relationship Id="rId2800" Type="http://schemas.openxmlformats.org/officeDocument/2006/relationships/hyperlink" Target="https://www150.statcan.gc.ca/n1/pub/85-603-x/85-603-x2019001-eng.htm" TargetMode="External"/><Relationship Id="rId41" Type="http://schemas.openxmlformats.org/officeDocument/2006/relationships/hyperlink" Target="https://www150.statcan.gc.ca/n1/pub/96-325-x/2017001/article/54873-eng.htm" TargetMode="External"/><Relationship Id="rId1402" Type="http://schemas.openxmlformats.org/officeDocument/2006/relationships/hyperlink" Target="https://www150.statcan.gc.ca/n1/pub/85-002-x/2020001/article/00011-eng.htm" TargetMode="External"/><Relationship Id="rId288" Type="http://schemas.openxmlformats.org/officeDocument/2006/relationships/hyperlink" Target="https://www150.statcan.gc.ca/n1/pub/75-006-x/2018001/article/54978-eng.htm" TargetMode="External"/><Relationship Id="rId495" Type="http://schemas.openxmlformats.org/officeDocument/2006/relationships/hyperlink" Target="https://www150.statcan.gc.ca/n1/pub/18-001-x/18-001-x2019001-eng.htm" TargetMode="External"/><Relationship Id="rId2176" Type="http://schemas.openxmlformats.org/officeDocument/2006/relationships/hyperlink" Target="https://www150.statcan.gc.ca/n1/pub/99-011-x/99-011-x2019001-eng.htm" TargetMode="External"/><Relationship Id="rId2383" Type="http://schemas.openxmlformats.org/officeDocument/2006/relationships/hyperlink" Target="https://www150.statcan.gc.ca/n1/pub/82-003-x/2018010/article/00003-eng.htm" TargetMode="External"/><Relationship Id="rId2590" Type="http://schemas.openxmlformats.org/officeDocument/2006/relationships/hyperlink" Target="https://www150.statcan.gc.ca/n1/pub/85-002-x/2015001/article/14203-eng.htm" TargetMode="External"/><Relationship Id="rId148" Type="http://schemas.openxmlformats.org/officeDocument/2006/relationships/hyperlink" Target="https://www150.statcan.gc.ca/n1/pub/11f0019m/11f0019m2020009-eng.htm" TargetMode="External"/><Relationship Id="rId355" Type="http://schemas.openxmlformats.org/officeDocument/2006/relationships/hyperlink" Target="https://www150.statcan.gc.ca/n1/pub/82-003-x/2019003/article/00001-eng.htm" TargetMode="External"/><Relationship Id="rId562" Type="http://schemas.openxmlformats.org/officeDocument/2006/relationships/hyperlink" Target="https://www150.statcan.gc.ca/n1/pub/13-605-x/2020001/article/00008-eng.htm" TargetMode="External"/><Relationship Id="rId1192" Type="http://schemas.openxmlformats.org/officeDocument/2006/relationships/hyperlink" Target="https://www150.statcan.gc.ca/n1/pub/13-605-x/2015011/article/14298-eng.htm" TargetMode="External"/><Relationship Id="rId2036" Type="http://schemas.openxmlformats.org/officeDocument/2006/relationships/hyperlink" Target="https://www150.statcan.gc.ca/n1/pub/11f0019m/11f0019m2016373-eng.htm" TargetMode="External"/><Relationship Id="rId2243" Type="http://schemas.openxmlformats.org/officeDocument/2006/relationships/hyperlink" Target="https://www150.statcan.gc.ca/n1/pub/85-002-x/2016001/article/14303-eng.htm" TargetMode="External"/><Relationship Id="rId2450" Type="http://schemas.openxmlformats.org/officeDocument/2006/relationships/hyperlink" Target="https://www150.statcan.gc.ca/n1/pub/89-648-x/89-648-x2020001-eng.htm" TargetMode="External"/><Relationship Id="rId215" Type="http://schemas.openxmlformats.org/officeDocument/2006/relationships/hyperlink" Target="https://www150.statcan.gc.ca/n1/pub/11f0019m/11f0019m2019014-eng.htm" TargetMode="External"/><Relationship Id="rId422" Type="http://schemas.openxmlformats.org/officeDocument/2006/relationships/hyperlink" Target="https://www150.statcan.gc.ca/n1/pub/89-28-0001/2018001/article/00013-eng.htm" TargetMode="External"/><Relationship Id="rId1052" Type="http://schemas.openxmlformats.org/officeDocument/2006/relationships/hyperlink" Target="https://www150.statcan.gc.ca/n1/pub/85-002-x/2020001/article/00009-eng.htm" TargetMode="External"/><Relationship Id="rId2103" Type="http://schemas.openxmlformats.org/officeDocument/2006/relationships/hyperlink" Target="https://www150.statcan.gc.ca/n1/pub/82-625-x/2020001/article/00004-eng.htm" TargetMode="External"/><Relationship Id="rId2310" Type="http://schemas.openxmlformats.org/officeDocument/2006/relationships/hyperlink" Target="https://www150.statcan.gc.ca/n1/pub/89-503-x/2015001/article/14640-eng.htm" TargetMode="External"/><Relationship Id="rId1869" Type="http://schemas.openxmlformats.org/officeDocument/2006/relationships/hyperlink" Target="https://www150.statcan.gc.ca/n1/pub/91-209-x/2018001/article/54957-eng.htm" TargetMode="External"/><Relationship Id="rId1729" Type="http://schemas.openxmlformats.org/officeDocument/2006/relationships/hyperlink" Target="https://www150.statcan.gc.ca/n1/pub/75-006-x/2018001/article/54974-eng.htm" TargetMode="External"/><Relationship Id="rId1936" Type="http://schemas.openxmlformats.org/officeDocument/2006/relationships/hyperlink" Target="https://www150.statcan.gc.ca/n1/pub/89-653-x/89-653-x2019002-eng.htm" TargetMode="External"/><Relationship Id="rId5" Type="http://schemas.openxmlformats.org/officeDocument/2006/relationships/hyperlink" Target="https://www150.statcan.gc.ca/n1/pub/16-508-x/16-508-x2019004-eng.htm" TargetMode="External"/><Relationship Id="rId889" Type="http://schemas.openxmlformats.org/officeDocument/2006/relationships/hyperlink" Target="https://www150.statcan.gc.ca/n1/pub/11f0027m/11f0027m2015096-eng.htm" TargetMode="External"/><Relationship Id="rId2777" Type="http://schemas.openxmlformats.org/officeDocument/2006/relationships/hyperlink" Target="https://www150.statcan.gc.ca/n1/pub/85-002-x/2015001/article/14226-eng.htm" TargetMode="External"/><Relationship Id="rId749" Type="http://schemas.openxmlformats.org/officeDocument/2006/relationships/hyperlink" Target="https://www150.statcan.gc.ca/n1/pub/89-503-x/2015001/article/14315-eng.htm" TargetMode="External"/><Relationship Id="rId1379" Type="http://schemas.openxmlformats.org/officeDocument/2006/relationships/hyperlink" Target="https://www150.statcan.gc.ca/n1/pub/82-003-x/2016001/article/14307-eng.htm" TargetMode="External"/><Relationship Id="rId1586" Type="http://schemas.openxmlformats.org/officeDocument/2006/relationships/hyperlink" Target="https://www150.statcan.gc.ca/n1/pub/71-222-x/71-222-x2018002-eng.htm" TargetMode="External"/><Relationship Id="rId609" Type="http://schemas.openxmlformats.org/officeDocument/2006/relationships/hyperlink" Target="https://www150.statcan.gc.ca/n1/pub/75-006-x/2017001/article/14824-eng.htm" TargetMode="External"/><Relationship Id="rId956" Type="http://schemas.openxmlformats.org/officeDocument/2006/relationships/hyperlink" Target="https://www150.statcan.gc.ca/n1/pub/85-002-x/2020001/article/00016-eng.htm" TargetMode="External"/><Relationship Id="rId1239" Type="http://schemas.openxmlformats.org/officeDocument/2006/relationships/hyperlink" Target="https://www150.statcan.gc.ca/n1/pub/11f0019m/11f0019m2015366-eng.htm" TargetMode="External"/><Relationship Id="rId1793" Type="http://schemas.openxmlformats.org/officeDocument/2006/relationships/hyperlink" Target="https://www150.statcan.gc.ca/n1/pub/13-605-x/2018001/article/54965-eng.htm" TargetMode="External"/><Relationship Id="rId2637" Type="http://schemas.openxmlformats.org/officeDocument/2006/relationships/hyperlink" Target="https://www150.statcan.gc.ca/n1/pub/71-222-x/71-222-x2019002-eng.htm" TargetMode="External"/><Relationship Id="rId85" Type="http://schemas.openxmlformats.org/officeDocument/2006/relationships/hyperlink" Target="https://www150.statcan.gc.ca/n1/pub/89-657-x/89-657-x2017004-eng.htm" TargetMode="External"/><Relationship Id="rId816" Type="http://schemas.openxmlformats.org/officeDocument/2006/relationships/hyperlink" Target="https://www150.statcan.gc.ca/n1/pub/11f0019m/11f0019m2017398-eng.htm" TargetMode="External"/><Relationship Id="rId1446" Type="http://schemas.openxmlformats.org/officeDocument/2006/relationships/hyperlink" Target="https://www150.statcan.gc.ca/n1/pub/82-003-x/2017001/article/14697-eng.htm" TargetMode="External"/><Relationship Id="rId1653" Type="http://schemas.openxmlformats.org/officeDocument/2006/relationships/hyperlink" Target="https://www150.statcan.gc.ca/n1/pub/75-006-x/2020001/article/00001-eng.htm" TargetMode="External"/><Relationship Id="rId1860" Type="http://schemas.openxmlformats.org/officeDocument/2006/relationships/hyperlink" Target="https://www150.statcan.gc.ca/n1/pub/11-626-x/11-626-x2015047-eng.htm" TargetMode="External"/><Relationship Id="rId2704" Type="http://schemas.openxmlformats.org/officeDocument/2006/relationships/hyperlink" Target="https://www150.statcan.gc.ca/n1/pub/75-006-x/2016001/article/14693-eng.htm" TargetMode="External"/><Relationship Id="rId1306" Type="http://schemas.openxmlformats.org/officeDocument/2006/relationships/hyperlink" Target="https://www150.statcan.gc.ca/n1/pub/75-006-x/2019001/article/00010-eng.htm" TargetMode="External"/><Relationship Id="rId1513" Type="http://schemas.openxmlformats.org/officeDocument/2006/relationships/hyperlink" Target="https://www150.statcan.gc.ca/n1/pub/13-605-x/2016002/article/14685-eng.htm" TargetMode="External"/><Relationship Id="rId1720" Type="http://schemas.openxmlformats.org/officeDocument/2006/relationships/hyperlink" Target="https://www150.statcan.gc.ca/n1/pub/75f0002m/75f0002m2019010-eng.htm" TargetMode="External"/><Relationship Id="rId12" Type="http://schemas.openxmlformats.org/officeDocument/2006/relationships/hyperlink" Target="https://www150.statcan.gc.ca/n1/pub/21-004-x/2019001/article/00001-eng.htm" TargetMode="External"/><Relationship Id="rId399" Type="http://schemas.openxmlformats.org/officeDocument/2006/relationships/hyperlink" Target="https://www150.statcan.gc.ca/n1/pub/75-006-x/2016001/article/14630-eng.htm" TargetMode="External"/><Relationship Id="rId2287" Type="http://schemas.openxmlformats.org/officeDocument/2006/relationships/hyperlink" Target="https://www150.statcan.gc.ca/n1/pub/89-503-x/2015001/article/14324-eng.htm" TargetMode="External"/><Relationship Id="rId2494" Type="http://schemas.openxmlformats.org/officeDocument/2006/relationships/hyperlink" Target="https://www150.statcan.gc.ca/n1/pub/75-004-m/75-004-m2020001-eng.htm" TargetMode="External"/><Relationship Id="rId259" Type="http://schemas.openxmlformats.org/officeDocument/2006/relationships/hyperlink" Target="https://www150.statcan.gc.ca/n1/pub/11f0019m/11f0019m2018402-eng.htm" TargetMode="External"/><Relationship Id="rId466" Type="http://schemas.openxmlformats.org/officeDocument/2006/relationships/hyperlink" Target="https://www150.statcan.gc.ca/n1/pub/82-003-x/2015008/article/14216-eng.htm" TargetMode="External"/><Relationship Id="rId673" Type="http://schemas.openxmlformats.org/officeDocument/2006/relationships/hyperlink" Target="https://www150.statcan.gc.ca/n1/pub/89-657-x/89-657-x2019009-eng.htm" TargetMode="External"/><Relationship Id="rId880" Type="http://schemas.openxmlformats.org/officeDocument/2006/relationships/hyperlink" Target="https://www150.statcan.gc.ca/n1/pub/11f0019m/11f0019m2020017-eng.htm" TargetMode="External"/><Relationship Id="rId1096" Type="http://schemas.openxmlformats.org/officeDocument/2006/relationships/hyperlink" Target="https://www150.statcan.gc.ca/n1/pub/75-006-x/2018001/article/54980-eng.htm" TargetMode="External"/><Relationship Id="rId2147" Type="http://schemas.openxmlformats.org/officeDocument/2006/relationships/hyperlink" Target="https://www150.statcan.gc.ca/n1/pub/75-006-x/2015001/article/14194-eng.htm" TargetMode="External"/><Relationship Id="rId2354" Type="http://schemas.openxmlformats.org/officeDocument/2006/relationships/hyperlink" Target="https://www150.statcan.gc.ca/n1/pub/85-002-x/2018001/article/54975-eng.htm" TargetMode="External"/><Relationship Id="rId2561" Type="http://schemas.openxmlformats.org/officeDocument/2006/relationships/hyperlink" Target="https://www150.statcan.gc.ca/n1/pub/51-004-x/51-004-x2018013-eng.htm" TargetMode="External"/><Relationship Id="rId119" Type="http://schemas.openxmlformats.org/officeDocument/2006/relationships/hyperlink" Target="https://www150.statcan.gc.ca/n1/pub/13-604-m/13-604-m2016081-eng.htm" TargetMode="External"/><Relationship Id="rId326" Type="http://schemas.openxmlformats.org/officeDocument/2006/relationships/hyperlink" Target="https://www150.statcan.gc.ca/n1/pub/89-648-x/89-648-x2020003-eng.htm" TargetMode="External"/><Relationship Id="rId533" Type="http://schemas.openxmlformats.org/officeDocument/2006/relationships/hyperlink" Target="https://www150.statcan.gc.ca/n1/pub/89-652-x/89-652-x2015001-eng.htm" TargetMode="External"/><Relationship Id="rId1163" Type="http://schemas.openxmlformats.org/officeDocument/2006/relationships/hyperlink" Target="https://www150.statcan.gc.ca/n1/pub/89-652-x/89-652-x2015002-eng.htm" TargetMode="External"/><Relationship Id="rId1370" Type="http://schemas.openxmlformats.org/officeDocument/2006/relationships/hyperlink" Target="https://www150.statcan.gc.ca/n1/pub/11f0019m/11f0019m2020003-eng.htm" TargetMode="External"/><Relationship Id="rId2007" Type="http://schemas.openxmlformats.org/officeDocument/2006/relationships/hyperlink" Target="https://www150.statcan.gc.ca/n1/pub/89-657-x/89-657-x2019016-eng.htm" TargetMode="External"/><Relationship Id="rId2214" Type="http://schemas.openxmlformats.org/officeDocument/2006/relationships/hyperlink" Target="https://www150.statcan.gc.ca/n1/pub/85-002-x/2018001/article/54972-eng.htm" TargetMode="External"/><Relationship Id="rId740" Type="http://schemas.openxmlformats.org/officeDocument/2006/relationships/hyperlink" Target="https://www150.statcan.gc.ca/n1/pub/85-002-x/2020001/article/00003-eng.htm" TargetMode="External"/><Relationship Id="rId1023" Type="http://schemas.openxmlformats.org/officeDocument/2006/relationships/hyperlink" Target="https://www150.statcan.gc.ca/n1/pub/75-006-x/2018001/article/54968-eng.htm" TargetMode="External"/><Relationship Id="rId2421" Type="http://schemas.openxmlformats.org/officeDocument/2006/relationships/hyperlink" Target="https://www150.statcan.gc.ca/n1/pub/85-002-x/2019001/article/00009-eng.htm" TargetMode="External"/><Relationship Id="rId600" Type="http://schemas.openxmlformats.org/officeDocument/2006/relationships/hyperlink" Target="https://www150.statcan.gc.ca/n1/pub/85-002-x/2017001/article/14832-eng.htm" TargetMode="External"/><Relationship Id="rId1230" Type="http://schemas.openxmlformats.org/officeDocument/2006/relationships/hyperlink" Target="https://www150.statcan.gc.ca/n1/pub/82-003-x/2016002/article/14311-eng.htm" TargetMode="External"/><Relationship Id="rId183" Type="http://schemas.openxmlformats.org/officeDocument/2006/relationships/hyperlink" Target="https://www150.statcan.gc.ca/n1/pub/11f0019m/11f0019m2020002-eng.htm" TargetMode="External"/><Relationship Id="rId390" Type="http://schemas.openxmlformats.org/officeDocument/2006/relationships/hyperlink" Target="https://www150.statcan.gc.ca/n1/pub/89-654-x/89-654-x2015001-eng.htm" TargetMode="External"/><Relationship Id="rId1907" Type="http://schemas.openxmlformats.org/officeDocument/2006/relationships/hyperlink" Target="https://www150.statcan.gc.ca/n1/pub/75f0002m/75f0002m2019012-eng.htm" TargetMode="External"/><Relationship Id="rId2071" Type="http://schemas.openxmlformats.org/officeDocument/2006/relationships/hyperlink" Target="https://www150.statcan.gc.ca/n1/pub/85-002-x/2019001/article/00001-eng.htm" TargetMode="External"/><Relationship Id="rId250" Type="http://schemas.openxmlformats.org/officeDocument/2006/relationships/hyperlink" Target="https://www150.statcan.gc.ca/n1/pub/75-006-x/2019001/article/00001-eng.htm" TargetMode="External"/><Relationship Id="rId110" Type="http://schemas.openxmlformats.org/officeDocument/2006/relationships/hyperlink" Target="https://www150.statcan.gc.ca/n1/pub/75-006-x/2017001/article/14774-eng.htm" TargetMode="External"/><Relationship Id="rId1697" Type="http://schemas.openxmlformats.org/officeDocument/2006/relationships/hyperlink" Target="https://www150.statcan.gc.ca/n1/pub/11f0019m/11f0019m2015371-eng.htm" TargetMode="External"/><Relationship Id="rId2748" Type="http://schemas.openxmlformats.org/officeDocument/2006/relationships/hyperlink" Target="https://www150.statcan.gc.ca/n1/pub/89-503-x/2015001/article/14680-eng.htm" TargetMode="External"/><Relationship Id="rId927" Type="http://schemas.openxmlformats.org/officeDocument/2006/relationships/hyperlink" Target="https://www150.statcan.gc.ca/n1/pub/85-002-x/2015001/article/14201-eng.htm" TargetMode="External"/><Relationship Id="rId1557" Type="http://schemas.openxmlformats.org/officeDocument/2006/relationships/hyperlink" Target="https://www150.statcan.gc.ca/n1/pub/89-652-x/89-652-x2016001-eng.htm" TargetMode="External"/><Relationship Id="rId1764" Type="http://schemas.openxmlformats.org/officeDocument/2006/relationships/hyperlink" Target="https://www150.statcan.gc.ca/n1/pub/89-657-x/89-657-x2019010-eng.htm" TargetMode="External"/><Relationship Id="rId1971" Type="http://schemas.openxmlformats.org/officeDocument/2006/relationships/hyperlink" Target="https://www150.statcan.gc.ca/n1/pub/85-002-x/2018001/article/54974-eng.htm" TargetMode="External"/><Relationship Id="rId2608" Type="http://schemas.openxmlformats.org/officeDocument/2006/relationships/hyperlink" Target="https://www150.statcan.gc.ca/n1/pub/11f0027m/11f0027m2015097-eng.htm" TargetMode="External"/><Relationship Id="rId2815" Type="http://schemas.openxmlformats.org/officeDocument/2006/relationships/hyperlink" Target="https://www150.statcan.gc.ca/n1/pub/85-002-x/2018001/article/54981-eng.htm" TargetMode="External"/><Relationship Id="rId56" Type="http://schemas.openxmlformats.org/officeDocument/2006/relationships/hyperlink" Target="https://www150.statcan.gc.ca/n1/pub/89-657-x/89-657-x2017003-eng.htm" TargetMode="External"/><Relationship Id="rId1417" Type="http://schemas.openxmlformats.org/officeDocument/2006/relationships/hyperlink" Target="https://www150.statcan.gc.ca/n1/pub/13-605-x/2017001/article/54867-eng.htm" TargetMode="External"/><Relationship Id="rId1624" Type="http://schemas.openxmlformats.org/officeDocument/2006/relationships/hyperlink" Target="https://www150.statcan.gc.ca/n1/pub/89-503-x/2015001/article/14316-eng.htm" TargetMode="External"/><Relationship Id="rId1831" Type="http://schemas.openxmlformats.org/officeDocument/2006/relationships/hyperlink" Target="https://www150.statcan.gc.ca/n1/pub/82-003-x/2019002/article/00001-eng.htm" TargetMode="External"/><Relationship Id="rId2398" Type="http://schemas.openxmlformats.org/officeDocument/2006/relationships/hyperlink" Target="https://www150.statcan.gc.ca/n1/pub/85-002-x/2016001/article/14679-eng.htm" TargetMode="External"/><Relationship Id="rId577" Type="http://schemas.openxmlformats.org/officeDocument/2006/relationships/hyperlink" Target="https://www150.statcan.gc.ca/n1/pub/11f0019m/11f0019m2016375-eng.htm" TargetMode="External"/><Relationship Id="rId2258" Type="http://schemas.openxmlformats.org/officeDocument/2006/relationships/hyperlink" Target="https://www150.statcan.gc.ca/n1/pub/85-002-x/2016001/article/14303-eng.htm" TargetMode="External"/><Relationship Id="rId784" Type="http://schemas.openxmlformats.org/officeDocument/2006/relationships/hyperlink" Target="https://www150.statcan.gc.ca/n1/pub/89-503-x/2015001/article/14152-eng.htm" TargetMode="External"/><Relationship Id="rId991" Type="http://schemas.openxmlformats.org/officeDocument/2006/relationships/hyperlink" Target="https://www150.statcan.gc.ca/n1/pub/85-002-x/2019001/article/00002-eng.htm" TargetMode="External"/><Relationship Id="rId1067" Type="http://schemas.openxmlformats.org/officeDocument/2006/relationships/hyperlink" Target="https://www150.statcan.gc.ca/n1/pub/85-002-x/2015001/article/14207-eng.htm" TargetMode="External"/><Relationship Id="rId2465" Type="http://schemas.openxmlformats.org/officeDocument/2006/relationships/hyperlink" Target="https://www150.statcan.gc.ca/n1/pub/85-002-x/2020001/article/00005-eng.htm" TargetMode="External"/><Relationship Id="rId2672" Type="http://schemas.openxmlformats.org/officeDocument/2006/relationships/hyperlink" Target="https://www150.statcan.gc.ca/n1/pub/85-002-x/2015001/article/14241-eng.htm" TargetMode="External"/><Relationship Id="rId437" Type="http://schemas.openxmlformats.org/officeDocument/2006/relationships/hyperlink" Target="https://www150.statcan.gc.ca/n1/pub/89-657-x/89-657-x2016002-eng.htm" TargetMode="External"/><Relationship Id="rId644" Type="http://schemas.openxmlformats.org/officeDocument/2006/relationships/hyperlink" Target="https://www150.statcan.gc.ca/n1/pub/11-626-x/11-626-x2015049-eng.htm" TargetMode="External"/><Relationship Id="rId851" Type="http://schemas.openxmlformats.org/officeDocument/2006/relationships/hyperlink" Target="https://www150.statcan.gc.ca/n1/pub/81-595-m/81-595-m2020002-eng.htm" TargetMode="External"/><Relationship Id="rId1274" Type="http://schemas.openxmlformats.org/officeDocument/2006/relationships/hyperlink" Target="https://www150.statcan.gc.ca/n1/pub/11f0019m/11f0019m2016386-eng.htm" TargetMode="External"/><Relationship Id="rId1481" Type="http://schemas.openxmlformats.org/officeDocument/2006/relationships/hyperlink" Target="https://www150.statcan.gc.ca/n1/pub/85-002-x/2020001/article/00012-eng.htm" TargetMode="External"/><Relationship Id="rId2118" Type="http://schemas.openxmlformats.org/officeDocument/2006/relationships/hyperlink" Target="https://www150.statcan.gc.ca/n1/pub/11-626-x/11-626-x2018079-eng.htm" TargetMode="External"/><Relationship Id="rId2325" Type="http://schemas.openxmlformats.org/officeDocument/2006/relationships/hyperlink" Target="https://www150.statcan.gc.ca/n1/pub/11-621-m/11-621-m2019001-eng.htm" TargetMode="External"/><Relationship Id="rId2532" Type="http://schemas.openxmlformats.org/officeDocument/2006/relationships/hyperlink" Target="https://www150.statcan.gc.ca/n1/pub/89-653-x/89-653-x2016010-eng.htm" TargetMode="External"/><Relationship Id="rId504" Type="http://schemas.openxmlformats.org/officeDocument/2006/relationships/hyperlink" Target="https://www150.statcan.gc.ca/n1/pub/91-209-x/2018001/article/54956-eng.htm" TargetMode="External"/><Relationship Id="rId711" Type="http://schemas.openxmlformats.org/officeDocument/2006/relationships/hyperlink" Target="https://www150.statcan.gc.ca/n1/pub/89-657-x/89-657-x2017002-eng.htm" TargetMode="External"/><Relationship Id="rId1134" Type="http://schemas.openxmlformats.org/officeDocument/2006/relationships/hyperlink" Target="https://www150.statcan.gc.ca/n1/pub/85-002-x/2015001/article/14233-eng.htm" TargetMode="External"/><Relationship Id="rId1341" Type="http://schemas.openxmlformats.org/officeDocument/2006/relationships/hyperlink" Target="https://www150.statcan.gc.ca/n1/pub/85-002-x/2020001/article/00010-eng.htm" TargetMode="External"/><Relationship Id="rId1201" Type="http://schemas.openxmlformats.org/officeDocument/2006/relationships/hyperlink" Target="https://www150.statcan.gc.ca/n1/pub/91-551-x/91-551-x2017001-eng.htm" TargetMode="External"/><Relationship Id="rId294" Type="http://schemas.openxmlformats.org/officeDocument/2006/relationships/hyperlink" Target="https://www150.statcan.gc.ca/n1/pub/82-003-x/2017012/article/54892-eng.htm" TargetMode="External"/><Relationship Id="rId2182" Type="http://schemas.openxmlformats.org/officeDocument/2006/relationships/hyperlink" Target="https://www150.statcan.gc.ca/n1/pub/11-626-x/11-626-x2015054-eng.htm" TargetMode="External"/><Relationship Id="rId154" Type="http://schemas.openxmlformats.org/officeDocument/2006/relationships/hyperlink" Target="https://www150.statcan.gc.ca/n1/pub/11f0019m/11f0019m2020008-eng.htm" TargetMode="External"/><Relationship Id="rId361" Type="http://schemas.openxmlformats.org/officeDocument/2006/relationships/hyperlink" Target="https://www150.statcan.gc.ca/n1/pub/85-002-x/2018001/article/54912-eng.htm" TargetMode="External"/><Relationship Id="rId2042" Type="http://schemas.openxmlformats.org/officeDocument/2006/relationships/hyperlink" Target="https://www150.statcan.gc.ca/n1/pub/11f0019m/11f0019m2020012-eng.htm" TargetMode="External"/><Relationship Id="rId221" Type="http://schemas.openxmlformats.org/officeDocument/2006/relationships/hyperlink" Target="https://www150.statcan.gc.ca/n1/pub/11f0019m/11f0019m2019014-eng.htm" TargetMode="External"/><Relationship Id="rId1668" Type="http://schemas.openxmlformats.org/officeDocument/2006/relationships/hyperlink" Target="https://www150.statcan.gc.ca/n1/pub/85-002-x/2018001/article/54980-eng.htm" TargetMode="External"/><Relationship Id="rId1875" Type="http://schemas.openxmlformats.org/officeDocument/2006/relationships/hyperlink" Target="https://www150.statcan.gc.ca/n1/pub/82-003-x/2019010/article/00001-eng.htm" TargetMode="External"/><Relationship Id="rId2719" Type="http://schemas.openxmlformats.org/officeDocument/2006/relationships/hyperlink" Target="https://www150.statcan.gc.ca/n1/pub/82-003-x/2015006/article/14196-eng.htm" TargetMode="External"/><Relationship Id="rId1528" Type="http://schemas.openxmlformats.org/officeDocument/2006/relationships/hyperlink" Target="https://www150.statcan.gc.ca/n1/pub/11f0019m/11f0019m2016377-eng.htm" TargetMode="External"/><Relationship Id="rId1735" Type="http://schemas.openxmlformats.org/officeDocument/2006/relationships/hyperlink" Target="https://www150.statcan.gc.ca/n1/pub/82-003-x/2019005/article/00001-eng.htm" TargetMode="External"/><Relationship Id="rId1942" Type="http://schemas.openxmlformats.org/officeDocument/2006/relationships/hyperlink" Target="https://www150.statcan.gc.ca/n1/pub/85-002-x/2019001/article/00016-eng.htm" TargetMode="External"/><Relationship Id="rId27" Type="http://schemas.openxmlformats.org/officeDocument/2006/relationships/hyperlink" Target="https://www150.statcan.gc.ca/n1/pub/82-003-x/2018005/article/54965-eng.htm" TargetMode="External"/><Relationship Id="rId1802" Type="http://schemas.openxmlformats.org/officeDocument/2006/relationships/hyperlink" Target="https://www150.statcan.gc.ca/n1/pub/85-002-x/2016001/article/14668-eng.htm" TargetMode="External"/><Relationship Id="rId688" Type="http://schemas.openxmlformats.org/officeDocument/2006/relationships/hyperlink" Target="https://www150.statcan.gc.ca/n1/pub/11f0019m/11f0019m2016381-eng.htm" TargetMode="External"/><Relationship Id="rId895" Type="http://schemas.openxmlformats.org/officeDocument/2006/relationships/hyperlink" Target="https://www150.statcan.gc.ca/n1/pub/75-006-x/2016001/article/14669-eng.htm" TargetMode="External"/><Relationship Id="rId2369" Type="http://schemas.openxmlformats.org/officeDocument/2006/relationships/hyperlink" Target="https://www150.statcan.gc.ca/n1/pub/82-003-x/2015002/article/14140-eng.htm" TargetMode="External"/><Relationship Id="rId2576" Type="http://schemas.openxmlformats.org/officeDocument/2006/relationships/hyperlink" Target="https://www150.statcan.gc.ca/n1/pub/75-006-x/2019001/article/00003-eng.htm" TargetMode="External"/><Relationship Id="rId2783" Type="http://schemas.openxmlformats.org/officeDocument/2006/relationships/hyperlink" Target="https://www150.statcan.gc.ca/n1/pub/89-657-x/89-657-x2018001-eng.htm" TargetMode="External"/><Relationship Id="rId548" Type="http://schemas.openxmlformats.org/officeDocument/2006/relationships/hyperlink" Target="https://www150.statcan.gc.ca/n1/pub/16-002-x/2016001/article/14570-eng.htm" TargetMode="External"/><Relationship Id="rId755" Type="http://schemas.openxmlformats.org/officeDocument/2006/relationships/hyperlink" Target="https://www150.statcan.gc.ca/n1/pub/89-503-x/2015001/article/14315-eng.htm" TargetMode="External"/><Relationship Id="rId962" Type="http://schemas.openxmlformats.org/officeDocument/2006/relationships/hyperlink" Target="https://www150.statcan.gc.ca/n1/pub/85-002-x/2020001/article/00016-eng.htm" TargetMode="External"/><Relationship Id="rId1178" Type="http://schemas.openxmlformats.org/officeDocument/2006/relationships/hyperlink" Target="https://www150.statcan.gc.ca/n1/pub/85-002-x/2019001/article/00010-eng.htm" TargetMode="External"/><Relationship Id="rId1385" Type="http://schemas.openxmlformats.org/officeDocument/2006/relationships/hyperlink" Target="https://www150.statcan.gc.ca/n1/pub/15-206-x/15-206-x2015039-eng.htm" TargetMode="External"/><Relationship Id="rId1592" Type="http://schemas.openxmlformats.org/officeDocument/2006/relationships/hyperlink" Target="https://www150.statcan.gc.ca/n1/pub/11-626-x/11-626-x2020021-eng.htm" TargetMode="External"/><Relationship Id="rId2229" Type="http://schemas.openxmlformats.org/officeDocument/2006/relationships/hyperlink" Target="https://www150.statcan.gc.ca/n1/pub/85-002-x/2018001/article/54910-eng.htm" TargetMode="External"/><Relationship Id="rId2436" Type="http://schemas.openxmlformats.org/officeDocument/2006/relationships/hyperlink" Target="https://www150.statcan.gc.ca/n1/pub/11-621-m/11-621-m2019005-eng.htm" TargetMode="External"/><Relationship Id="rId2643" Type="http://schemas.openxmlformats.org/officeDocument/2006/relationships/hyperlink" Target="https://www150.statcan.gc.ca/n1/pub/82-003-x/2020007/article/00002-eng.htm" TargetMode="External"/><Relationship Id="rId91" Type="http://schemas.openxmlformats.org/officeDocument/2006/relationships/hyperlink" Target="https://www150.statcan.gc.ca/n1/pub/89-657-x/89-657-x2017005-eng.htm" TargetMode="External"/><Relationship Id="rId408" Type="http://schemas.openxmlformats.org/officeDocument/2006/relationships/hyperlink" Target="https://www150.statcan.gc.ca/n1/pub/11f0019m/11f0019m2019025-eng.htm" TargetMode="External"/><Relationship Id="rId615" Type="http://schemas.openxmlformats.org/officeDocument/2006/relationships/hyperlink" Target="https://www150.statcan.gc.ca/n1/pub/89-654-x/89-654-x2018002-eng.htm" TargetMode="External"/><Relationship Id="rId822" Type="http://schemas.openxmlformats.org/officeDocument/2006/relationships/hyperlink" Target="https://www150.statcan.gc.ca/n1/pub/11f0019m/11f0019m2017398-eng.htm" TargetMode="External"/><Relationship Id="rId1038" Type="http://schemas.openxmlformats.org/officeDocument/2006/relationships/hyperlink" Target="https://www150.statcan.gc.ca/n1/pub/11f0019m/11f0019m2018401-eng.htm" TargetMode="External"/><Relationship Id="rId1245" Type="http://schemas.openxmlformats.org/officeDocument/2006/relationships/hyperlink" Target="https://www150.statcan.gc.ca/n1/pub/85-002-x/2017001/article/54842-eng.htm" TargetMode="External"/><Relationship Id="rId1452" Type="http://schemas.openxmlformats.org/officeDocument/2006/relationships/hyperlink" Target="https://www150.statcan.gc.ca/n1/pub/11-626-x/11-626-x2020015-eng.htm" TargetMode="External"/><Relationship Id="rId2503" Type="http://schemas.openxmlformats.org/officeDocument/2006/relationships/hyperlink" Target="https://www150.statcan.gc.ca/n1/pub/11-633-x/11-633-x2018017-eng.htm" TargetMode="External"/><Relationship Id="rId1105" Type="http://schemas.openxmlformats.org/officeDocument/2006/relationships/hyperlink" Target="https://www150.statcan.gc.ca/n1/pub/89-648-x/89-648-x2016001-eng.htm" TargetMode="External"/><Relationship Id="rId1312" Type="http://schemas.openxmlformats.org/officeDocument/2006/relationships/hyperlink" Target="https://www150.statcan.gc.ca/n1/pub/85-002-x/2019001/article/00011-eng.htm" TargetMode="External"/><Relationship Id="rId2710" Type="http://schemas.openxmlformats.org/officeDocument/2006/relationships/hyperlink" Target="https://www150.statcan.gc.ca/n1/pub/82-003-x/2015008/article/14215-eng.htm" TargetMode="External"/><Relationship Id="rId198" Type="http://schemas.openxmlformats.org/officeDocument/2006/relationships/hyperlink" Target="https://www150.statcan.gc.ca/n1/pub/18-001-x/18-001-x2019002-eng.htm" TargetMode="External"/><Relationship Id="rId2086" Type="http://schemas.openxmlformats.org/officeDocument/2006/relationships/hyperlink" Target="https://www150.statcan.gc.ca/n1/pub/13-605-x/2018001/article/54968-eng.htm" TargetMode="External"/><Relationship Id="rId2293" Type="http://schemas.openxmlformats.org/officeDocument/2006/relationships/hyperlink" Target="https://www150.statcan.gc.ca/n1/pub/89-503-x/2015001/article/14640-eng.htm" TargetMode="External"/><Relationship Id="rId265" Type="http://schemas.openxmlformats.org/officeDocument/2006/relationships/hyperlink" Target="https://www150.statcan.gc.ca/n1/pub/11-626-x/11-626-x2020017-eng.htm" TargetMode="External"/><Relationship Id="rId472" Type="http://schemas.openxmlformats.org/officeDocument/2006/relationships/hyperlink" Target="https://www150.statcan.gc.ca/n1/pub/75-006-x/2017001/article/54854-eng.htm" TargetMode="External"/><Relationship Id="rId2153" Type="http://schemas.openxmlformats.org/officeDocument/2006/relationships/hyperlink" Target="https://www150.statcan.gc.ca/n1/pub/82-003-x/2017010/article/54876-eng.htm" TargetMode="External"/><Relationship Id="rId2360" Type="http://schemas.openxmlformats.org/officeDocument/2006/relationships/hyperlink" Target="https://www150.statcan.gc.ca/n1/pub/11f0019m/11f0019m2017397-eng.htm" TargetMode="External"/><Relationship Id="rId125" Type="http://schemas.openxmlformats.org/officeDocument/2006/relationships/hyperlink" Target="https://www150.statcan.gc.ca/n1/pub/13-604-m/13-604-m2016081-eng.htm" TargetMode="External"/><Relationship Id="rId332" Type="http://schemas.openxmlformats.org/officeDocument/2006/relationships/hyperlink" Target="https://www150.statcan.gc.ca/n1/pub/82-003-x/2019004/article/00001-eng.htm" TargetMode="External"/><Relationship Id="rId2013" Type="http://schemas.openxmlformats.org/officeDocument/2006/relationships/hyperlink" Target="https://www150.statcan.gc.ca/n1/pub/85-002-x/2015001/article/14234-eng.htm" TargetMode="External"/><Relationship Id="rId2220" Type="http://schemas.openxmlformats.org/officeDocument/2006/relationships/hyperlink" Target="https://www150.statcan.gc.ca/n1/pub/11f0019m/11f0019m2020016-eng.htm" TargetMode="External"/><Relationship Id="rId1779" Type="http://schemas.openxmlformats.org/officeDocument/2006/relationships/hyperlink" Target="https://www150.statcan.gc.ca/n1/pub/13-605-x/2020001/article/00005-eng.htm" TargetMode="External"/><Relationship Id="rId1986" Type="http://schemas.openxmlformats.org/officeDocument/2006/relationships/hyperlink" Target="https://www150.statcan.gc.ca/n1/pub/99-011-x/99-011-x2019002-eng.htm" TargetMode="External"/><Relationship Id="rId1639" Type="http://schemas.openxmlformats.org/officeDocument/2006/relationships/hyperlink" Target="https://www150.statcan.gc.ca/n1/pub/89-652-x/89-652-x2017001-eng.htm" TargetMode="External"/><Relationship Id="rId1846" Type="http://schemas.openxmlformats.org/officeDocument/2006/relationships/hyperlink" Target="https://www150.statcan.gc.ca/n1/pub/85-002-x/2020001/article/00015-eng.htm" TargetMode="External"/><Relationship Id="rId1706" Type="http://schemas.openxmlformats.org/officeDocument/2006/relationships/hyperlink" Target="https://www150.statcan.gc.ca/n1/pub/75-006-x/2015001/article/14134-eng.htm" TargetMode="External"/><Relationship Id="rId1913" Type="http://schemas.openxmlformats.org/officeDocument/2006/relationships/hyperlink" Target="https://www150.statcan.gc.ca/n1/pub/85-002-x/2016001/article/14656-eng.htm" TargetMode="External"/><Relationship Id="rId799" Type="http://schemas.openxmlformats.org/officeDocument/2006/relationships/hyperlink" Target="https://www150.statcan.gc.ca/n1/pub/11f0019m/11f0019m2019020-eng.htm" TargetMode="External"/><Relationship Id="rId2687" Type="http://schemas.openxmlformats.org/officeDocument/2006/relationships/hyperlink" Target="https://www150.statcan.gc.ca/n1/pub/89-653-x/89-653-x2019001-eng.htm" TargetMode="External"/><Relationship Id="rId659" Type="http://schemas.openxmlformats.org/officeDocument/2006/relationships/hyperlink" Target="https://www150.statcan.gc.ca/n1/pub/89-657-x/89-657-x2019011-eng.htm" TargetMode="External"/><Relationship Id="rId866" Type="http://schemas.openxmlformats.org/officeDocument/2006/relationships/hyperlink" Target="https://www150.statcan.gc.ca/n1/pub/11f0019m/11f0019m2018407-eng.htm" TargetMode="External"/><Relationship Id="rId1289" Type="http://schemas.openxmlformats.org/officeDocument/2006/relationships/hyperlink" Target="https://www150.statcan.gc.ca/n1/pub/89-652-x/89-652-x2015003-eng.htm" TargetMode="External"/><Relationship Id="rId1496" Type="http://schemas.openxmlformats.org/officeDocument/2006/relationships/hyperlink" Target="https://www150.statcan.gc.ca/n1/pub/85-002-x/2015001/article/14224-eng.htm" TargetMode="External"/><Relationship Id="rId2547" Type="http://schemas.openxmlformats.org/officeDocument/2006/relationships/hyperlink" Target="https://www150.statcan.gc.ca/n1/pub/89-652-x/89-652-x2015008-eng.htm" TargetMode="External"/><Relationship Id="rId519" Type="http://schemas.openxmlformats.org/officeDocument/2006/relationships/hyperlink" Target="https://www150.statcan.gc.ca/n1/pub/85-002-x/2018001/article/54977-eng.htm" TargetMode="External"/><Relationship Id="rId1149" Type="http://schemas.openxmlformats.org/officeDocument/2006/relationships/hyperlink" Target="https://www150.statcan.gc.ca/n1/pub/75-006-x/2019001/article/00012-eng.htm" TargetMode="External"/><Relationship Id="rId1356" Type="http://schemas.openxmlformats.org/officeDocument/2006/relationships/hyperlink" Target="https://www150.statcan.gc.ca/n1/pub/85-002-x/2019001/article/00012-eng.htm" TargetMode="External"/><Relationship Id="rId2754" Type="http://schemas.openxmlformats.org/officeDocument/2006/relationships/hyperlink" Target="https://www150.statcan.gc.ca/n1/pub/89-503-x/2015001/article/14680-eng.htm" TargetMode="External"/><Relationship Id="rId726" Type="http://schemas.openxmlformats.org/officeDocument/2006/relationships/hyperlink" Target="https://www150.statcan.gc.ca/n1/pub/82-003-x/2015005/article/14169-eng.htm" TargetMode="External"/><Relationship Id="rId933" Type="http://schemas.openxmlformats.org/officeDocument/2006/relationships/hyperlink" Target="https://www150.statcan.gc.ca/n1/pub/85-002-x/2015001/article/14201-eng.htm" TargetMode="External"/><Relationship Id="rId1009" Type="http://schemas.openxmlformats.org/officeDocument/2006/relationships/hyperlink" Target="https://www150.statcan.gc.ca/n1/pub/89-657-x/89-657-x2020001-eng.htm" TargetMode="External"/><Relationship Id="rId1563" Type="http://schemas.openxmlformats.org/officeDocument/2006/relationships/hyperlink" Target="https://www150.statcan.gc.ca/n1/pub/11-633-x/11-633-x2018012-eng.htm" TargetMode="External"/><Relationship Id="rId1770" Type="http://schemas.openxmlformats.org/officeDocument/2006/relationships/hyperlink" Target="https://www150.statcan.gc.ca/n1/pub/89-657-x/89-657-x2019010-eng.htm" TargetMode="External"/><Relationship Id="rId2407" Type="http://schemas.openxmlformats.org/officeDocument/2006/relationships/hyperlink" Target="https://www150.statcan.gc.ca/n1/pub/82-003-x/2018002/article/54909-eng.htm" TargetMode="External"/><Relationship Id="rId2614" Type="http://schemas.openxmlformats.org/officeDocument/2006/relationships/hyperlink" Target="https://www150.statcan.gc.ca/n1/pub/89-652-x/89-652-x2015005-eng.htm" TargetMode="External"/><Relationship Id="rId2821" Type="http://schemas.openxmlformats.org/officeDocument/2006/relationships/hyperlink" Target="https://www150.statcan.gc.ca/n1/pub/85-002-x/2018001/article/54981-eng.htm" TargetMode="External"/><Relationship Id="rId62" Type="http://schemas.openxmlformats.org/officeDocument/2006/relationships/hyperlink" Target="https://www150.statcan.gc.ca/n1/pub/89-657-x/89-657-x2017003-eng.htm" TargetMode="External"/><Relationship Id="rId1216" Type="http://schemas.openxmlformats.org/officeDocument/2006/relationships/hyperlink" Target="https://www150.statcan.gc.ca/n1/pub/82-003-x/2017008/article/54853-eng.htm" TargetMode="External"/><Relationship Id="rId1423" Type="http://schemas.openxmlformats.org/officeDocument/2006/relationships/hyperlink" Target="https://www150.statcan.gc.ca/n1/pub/11f0019m/11f0019m2019011-eng.htm" TargetMode="External"/><Relationship Id="rId1630" Type="http://schemas.openxmlformats.org/officeDocument/2006/relationships/hyperlink" Target="https://www150.statcan.gc.ca/n1/pub/89-503-x/2015001/article/14316-eng.htm" TargetMode="External"/><Relationship Id="rId2197" Type="http://schemas.openxmlformats.org/officeDocument/2006/relationships/hyperlink" Target="https://www150.statcan.gc.ca/n1/pub/82-003-x/2015011/article/14242-eng.htm" TargetMode="External"/><Relationship Id="rId169" Type="http://schemas.openxmlformats.org/officeDocument/2006/relationships/hyperlink" Target="https://www150.statcan.gc.ca/n1/pub/11f0019m/11f0019m2020005-eng.htm" TargetMode="External"/><Relationship Id="rId376" Type="http://schemas.openxmlformats.org/officeDocument/2006/relationships/hyperlink" Target="https://www150.statcan.gc.ca/n1/pub/11f0019m/11f0019m2018410-eng.htm" TargetMode="External"/><Relationship Id="rId583" Type="http://schemas.openxmlformats.org/officeDocument/2006/relationships/hyperlink" Target="https://www150.statcan.gc.ca/n1/pub/11f0019m/11f0019m2016375-eng.htm" TargetMode="External"/><Relationship Id="rId790" Type="http://schemas.openxmlformats.org/officeDocument/2006/relationships/hyperlink" Target="https://www150.statcan.gc.ca/n1/pub/89-503-x/2015001/article/14152-eng.htm" TargetMode="External"/><Relationship Id="rId2057" Type="http://schemas.openxmlformats.org/officeDocument/2006/relationships/hyperlink" Target="https://www150.statcan.gc.ca/n1/pub/11f0019m/11f0019m2019023-eng.htm" TargetMode="External"/><Relationship Id="rId2264" Type="http://schemas.openxmlformats.org/officeDocument/2006/relationships/hyperlink" Target="https://www150.statcan.gc.ca/n1/pub/85-002-x/2016001/article/14303-eng.htm" TargetMode="External"/><Relationship Id="rId2471" Type="http://schemas.openxmlformats.org/officeDocument/2006/relationships/hyperlink" Target="https://www150.statcan.gc.ca/n1/pub/85-002-x/2020001/article/00005-eng.htm" TargetMode="External"/><Relationship Id="rId236" Type="http://schemas.openxmlformats.org/officeDocument/2006/relationships/hyperlink" Target="https://www150.statcan.gc.ca/n1/pub/82-003-x/2020008/article/00002-eng.htm" TargetMode="External"/><Relationship Id="rId443" Type="http://schemas.openxmlformats.org/officeDocument/2006/relationships/hyperlink" Target="https://www150.statcan.gc.ca/n1/pub/89-657-x/89-657-x2019005-eng.htm" TargetMode="External"/><Relationship Id="rId650" Type="http://schemas.openxmlformats.org/officeDocument/2006/relationships/hyperlink" Target="https://www150.statcan.gc.ca/n1/pub/82-003-x/2016003/article/14339-eng.htm" TargetMode="External"/><Relationship Id="rId1073" Type="http://schemas.openxmlformats.org/officeDocument/2006/relationships/hyperlink" Target="https://www150.statcan.gc.ca/n1/pub/82-003-x/2017008/article/54852-eng.htm" TargetMode="External"/><Relationship Id="rId1280" Type="http://schemas.openxmlformats.org/officeDocument/2006/relationships/hyperlink" Target="https://www150.statcan.gc.ca/n1/pub/85-002-x/2020001/article/00014-eng.htm" TargetMode="External"/><Relationship Id="rId2124" Type="http://schemas.openxmlformats.org/officeDocument/2006/relationships/hyperlink" Target="https://www150.statcan.gc.ca/n1/pub/75-006-x/2017001/article/54878-eng.htm" TargetMode="External"/><Relationship Id="rId2331" Type="http://schemas.openxmlformats.org/officeDocument/2006/relationships/hyperlink" Target="https://www150.statcan.gc.ca/n1/pub/82-003-x/2016009/article/14653-eng.htm" TargetMode="External"/><Relationship Id="rId303" Type="http://schemas.openxmlformats.org/officeDocument/2006/relationships/hyperlink" Target="https://www150.statcan.gc.ca/n1/pub/82-003-x/2015010/article/14222-eng.htm" TargetMode="External"/><Relationship Id="rId1140" Type="http://schemas.openxmlformats.org/officeDocument/2006/relationships/hyperlink" Target="https://www150.statcan.gc.ca/n1/pub/11-633-x/11-633-x2017009-eng.htm" TargetMode="External"/><Relationship Id="rId510" Type="http://schemas.openxmlformats.org/officeDocument/2006/relationships/hyperlink" Target="https://www150.statcan.gc.ca/n1/pub/82-003-x/2016008/article/14647-eng.htm" TargetMode="External"/><Relationship Id="rId1000" Type="http://schemas.openxmlformats.org/officeDocument/2006/relationships/hyperlink" Target="https://www150.statcan.gc.ca/n1/pub/82-003-x/2018003/article/54920-eng.htm" TargetMode="External"/><Relationship Id="rId1957" Type="http://schemas.openxmlformats.org/officeDocument/2006/relationships/hyperlink" Target="https://www150.statcan.gc.ca/n1/pub/85-002-x/2017001/article/54879-eng.htm" TargetMode="External"/><Relationship Id="rId1512" Type="http://schemas.openxmlformats.org/officeDocument/2006/relationships/hyperlink" Target="https://www150.statcan.gc.ca/n1/pub/13-605-x/2016002/article/14685-eng.htm" TargetMode="External"/><Relationship Id="rId1817" Type="http://schemas.openxmlformats.org/officeDocument/2006/relationships/hyperlink" Target="https://www150.statcan.gc.ca/n1/pub/75-006-x/2018001/article/54947-eng.htm" TargetMode="External"/><Relationship Id="rId11" Type="http://schemas.openxmlformats.org/officeDocument/2006/relationships/hyperlink" Target="https://www150.statcan.gc.ca/n1/pub/21-004-x/2019001/article/00001-eng.htm" TargetMode="External"/><Relationship Id="rId398" Type="http://schemas.openxmlformats.org/officeDocument/2006/relationships/hyperlink" Target="https://www150.statcan.gc.ca/n1/pub/75-006-x/2016001/article/14630-eng.htm" TargetMode="External"/><Relationship Id="rId2079" Type="http://schemas.openxmlformats.org/officeDocument/2006/relationships/hyperlink" Target="https://www150.statcan.gc.ca/n1/pub/11f0019m/11f0019m2018404-eng.htm" TargetMode="External"/><Relationship Id="rId160" Type="http://schemas.openxmlformats.org/officeDocument/2006/relationships/hyperlink" Target="https://www150.statcan.gc.ca/n1/pub/11f0019m/11f0019m2020006-eng.htm" TargetMode="External"/><Relationship Id="rId2286" Type="http://schemas.openxmlformats.org/officeDocument/2006/relationships/hyperlink" Target="https://www150.statcan.gc.ca/n1/pub/89-503-x/2015001/article/14324-eng.htm" TargetMode="External"/><Relationship Id="rId2493" Type="http://schemas.openxmlformats.org/officeDocument/2006/relationships/hyperlink" Target="https://www150.statcan.gc.ca/n1/pub/75-004-m/75-004-m2020001-eng.htm" TargetMode="External"/><Relationship Id="rId258" Type="http://schemas.openxmlformats.org/officeDocument/2006/relationships/hyperlink" Target="https://www150.statcan.gc.ca/pub/82-003-x/2019006/article/00002-eng.htm" TargetMode="External"/><Relationship Id="rId465" Type="http://schemas.openxmlformats.org/officeDocument/2006/relationships/hyperlink" Target="https://www150.statcan.gc.ca/n1/pub/82-003-x/2016009/article/14654-eng.htm" TargetMode="External"/><Relationship Id="rId672" Type="http://schemas.openxmlformats.org/officeDocument/2006/relationships/hyperlink" Target="https://www150.statcan.gc.ca/n1/pub/75-006-x/2015001/article/14155-eng.htm" TargetMode="External"/><Relationship Id="rId1095" Type="http://schemas.openxmlformats.org/officeDocument/2006/relationships/hyperlink" Target="https://www150.statcan.gc.ca/n1/pub/75-006-x/2018001/article/54980-eng.htm" TargetMode="External"/><Relationship Id="rId2146" Type="http://schemas.openxmlformats.org/officeDocument/2006/relationships/hyperlink" Target="https://www150.statcan.gc.ca/n1/pub/82-003-x/2019004/article/00002-eng.htm" TargetMode="External"/><Relationship Id="rId2353" Type="http://schemas.openxmlformats.org/officeDocument/2006/relationships/hyperlink" Target="https://www150.statcan.gc.ca/n1/pub/85-002-x/2018001/article/54975-eng.htm" TargetMode="External"/><Relationship Id="rId2560" Type="http://schemas.openxmlformats.org/officeDocument/2006/relationships/hyperlink" Target="https://www150.statcan.gc.ca/n1/pub/11-626-x/11-626-x2017078-eng.htm" TargetMode="External"/><Relationship Id="rId2798" Type="http://schemas.openxmlformats.org/officeDocument/2006/relationships/hyperlink" Target="https://www150.statcan.gc.ca/n1/pub/85-603-x/85-603-x2019001-eng.htm" TargetMode="External"/><Relationship Id="rId118" Type="http://schemas.openxmlformats.org/officeDocument/2006/relationships/hyperlink" Target="https://www150.statcan.gc.ca/n1/pub/16-002-x/2015002/article/14133-eng.htm" TargetMode="External"/><Relationship Id="rId325" Type="http://schemas.openxmlformats.org/officeDocument/2006/relationships/hyperlink" Target="https://www150.statcan.gc.ca/n1/pub/89-648-x/89-648-x2020003-eng.htm" TargetMode="External"/><Relationship Id="rId532" Type="http://schemas.openxmlformats.org/officeDocument/2006/relationships/hyperlink" Target="https://www150.statcan.gc.ca/n1/pub/89-652-x/89-652-x2015001-eng.htm" TargetMode="External"/><Relationship Id="rId977" Type="http://schemas.openxmlformats.org/officeDocument/2006/relationships/hyperlink" Target="https://www150.statcan.gc.ca/n1/pub/11f0019m/11f0019m2017390-eng.htm" TargetMode="External"/><Relationship Id="rId1162" Type="http://schemas.openxmlformats.org/officeDocument/2006/relationships/hyperlink" Target="https://www150.statcan.gc.ca/n1/pub/89-652-x/89-652-x2015002-eng.htm" TargetMode="External"/><Relationship Id="rId2006" Type="http://schemas.openxmlformats.org/officeDocument/2006/relationships/hyperlink" Target="https://www150.statcan.gc.ca/n1/pub/89-657-x/89-657-x2019016-eng.htm" TargetMode="External"/><Relationship Id="rId2213" Type="http://schemas.openxmlformats.org/officeDocument/2006/relationships/hyperlink" Target="https://www150.statcan.gc.ca/n1/pub/85-002-x/2018001/article/54972-eng.htm" TargetMode="External"/><Relationship Id="rId2420" Type="http://schemas.openxmlformats.org/officeDocument/2006/relationships/hyperlink" Target="https://www150.statcan.gc.ca/n1/pub/85-002-x/2019001/article/00009-eng.htm" TargetMode="External"/><Relationship Id="rId2658" Type="http://schemas.openxmlformats.org/officeDocument/2006/relationships/hyperlink" Target="https://www150.statcan.gc.ca/n1/pub/11f0019m/11f0019m2019006-eng.htm" TargetMode="External"/><Relationship Id="rId837" Type="http://schemas.openxmlformats.org/officeDocument/2006/relationships/hyperlink" Target="https://www150.statcan.gc.ca/n1/pub/85-002-x/2020001/article/00007-eng.htm" TargetMode="External"/><Relationship Id="rId1022" Type="http://schemas.openxmlformats.org/officeDocument/2006/relationships/hyperlink" Target="https://www150.statcan.gc.ca/n1/pub/82-003-x/2020002/article/00001-eng.htm" TargetMode="External"/><Relationship Id="rId1467" Type="http://schemas.openxmlformats.org/officeDocument/2006/relationships/hyperlink" Target="https://www150.statcan.gc.ca/n1/pub/75-006-x/2016001/article/14655-eng.htm" TargetMode="External"/><Relationship Id="rId1674" Type="http://schemas.openxmlformats.org/officeDocument/2006/relationships/hyperlink" Target="https://www150.statcan.gc.ca/n1/pub/11f0019m/11f0019m2015367-eng.htm" TargetMode="External"/><Relationship Id="rId1881" Type="http://schemas.openxmlformats.org/officeDocument/2006/relationships/hyperlink" Target="https://www150.statcan.gc.ca/n1/pub/11-633-x/11-633-x2020002-eng.htm" TargetMode="External"/><Relationship Id="rId2518" Type="http://schemas.openxmlformats.org/officeDocument/2006/relationships/hyperlink" Target="https://www150.statcan.gc.ca/n1/pub/85-002-x/2017001/article/54844-eng.htm" TargetMode="External"/><Relationship Id="rId2725" Type="http://schemas.openxmlformats.org/officeDocument/2006/relationships/hyperlink" Target="https://www150.statcan.gc.ca/n1/pub/13-605-x/2017001/article/54882-eng.htm" TargetMode="External"/><Relationship Id="rId904" Type="http://schemas.openxmlformats.org/officeDocument/2006/relationships/hyperlink" Target="https://www150.statcan.gc.ca/n1/pub/11-622-m/11-622-m2015031-eng.htm" TargetMode="External"/><Relationship Id="rId1327" Type="http://schemas.openxmlformats.org/officeDocument/2006/relationships/hyperlink" Target="https://www150.statcan.gc.ca/n1/pub/45-20-0002/452000022019001-eng.htm" TargetMode="External"/><Relationship Id="rId1534" Type="http://schemas.openxmlformats.org/officeDocument/2006/relationships/hyperlink" Target="https://www150.statcan.gc.ca/n1/pub/11f0019m/11f0019m2016377-eng.htm" TargetMode="External"/><Relationship Id="rId1741" Type="http://schemas.openxmlformats.org/officeDocument/2006/relationships/hyperlink" Target="https://www150.statcan.gc.ca/n1/pub/11f0019m/11f0019m2018408-eng.htm" TargetMode="External"/><Relationship Id="rId1979" Type="http://schemas.openxmlformats.org/officeDocument/2006/relationships/hyperlink" Target="https://www150.statcan.gc.ca/n1/pub/11f0019m/11f0019m2016387-eng.htm" TargetMode="External"/><Relationship Id="rId33" Type="http://schemas.openxmlformats.org/officeDocument/2006/relationships/hyperlink" Target="https://www150.statcan.gc.ca/n1/pub/96-325-x/2017001/article/54924-eng.htm" TargetMode="External"/><Relationship Id="rId1601" Type="http://schemas.openxmlformats.org/officeDocument/2006/relationships/hyperlink" Target="https://www150.statcan.gc.ca/n1/pub/71-588-x/71-588-x2017001-eng.htm" TargetMode="External"/><Relationship Id="rId1839" Type="http://schemas.openxmlformats.org/officeDocument/2006/relationships/hyperlink" Target="https://www150.statcan.gc.ca/n1/pub/11f0019m/11f0019m2016374-eng.htm" TargetMode="External"/><Relationship Id="rId182" Type="http://schemas.openxmlformats.org/officeDocument/2006/relationships/hyperlink" Target="https://www150.statcan.gc.ca/n1/pub/11f0019m/11f0019m2020002-eng.htm" TargetMode="External"/><Relationship Id="rId1906" Type="http://schemas.openxmlformats.org/officeDocument/2006/relationships/hyperlink" Target="https://www150.statcan.gc.ca/n1/pub/75f0002m/75f0002m2019012-eng.htm" TargetMode="External"/><Relationship Id="rId487" Type="http://schemas.openxmlformats.org/officeDocument/2006/relationships/hyperlink" Target="https://www150.statcan.gc.ca/n1/pub/82-003-x/2018005/article/54966-eng.htm" TargetMode="External"/><Relationship Id="rId694" Type="http://schemas.openxmlformats.org/officeDocument/2006/relationships/hyperlink" Target="https://www150.statcan.gc.ca/n1/pub/89-652-x/89-652-x2016005-eng.htm" TargetMode="External"/><Relationship Id="rId2070" Type="http://schemas.openxmlformats.org/officeDocument/2006/relationships/hyperlink" Target="https://www150.statcan.gc.ca/n1/pub/85-002-x/2019001/article/00001-eng.htm" TargetMode="External"/><Relationship Id="rId2168" Type="http://schemas.openxmlformats.org/officeDocument/2006/relationships/hyperlink" Target="https://www150.statcan.gc.ca/n1/pub/89-653-x/89-653-x2019005-eng.htm" TargetMode="External"/><Relationship Id="rId2375" Type="http://schemas.openxmlformats.org/officeDocument/2006/relationships/hyperlink" Target="https://www150.statcan.gc.ca/n1/pub/11f0019m/11f0019m2019017-eng.htm" TargetMode="External"/><Relationship Id="rId347" Type="http://schemas.openxmlformats.org/officeDocument/2006/relationships/hyperlink" Target="https://www150.statcan.gc.ca/n1/pub/89-503-x/2015001/article/14785-eng.htm" TargetMode="External"/><Relationship Id="rId999" Type="http://schemas.openxmlformats.org/officeDocument/2006/relationships/hyperlink" Target="https://www150.statcan.gc.ca/n1/pub/82-003-x/2018003/article/54920-eng.htm" TargetMode="External"/><Relationship Id="rId1184" Type="http://schemas.openxmlformats.org/officeDocument/2006/relationships/hyperlink" Target="https://www150.statcan.gc.ca/n1/pub/13-605-x/2015011/article/14298-eng.htm" TargetMode="External"/><Relationship Id="rId2028" Type="http://schemas.openxmlformats.org/officeDocument/2006/relationships/hyperlink" Target="https://www150.statcan.gc.ca/n1/pub/75-006-x/2017001/article/14798-eng.htm" TargetMode="External"/><Relationship Id="rId2582" Type="http://schemas.openxmlformats.org/officeDocument/2006/relationships/hyperlink" Target="https://www150.statcan.gc.ca/n1/pub/91-209-x/2016001/article/14615-eng.htm" TargetMode="External"/><Relationship Id="rId554" Type="http://schemas.openxmlformats.org/officeDocument/2006/relationships/hyperlink" Target="https://www150.statcan.gc.ca/n1/pub/82-003-x/2017009/article/54855-eng.htm" TargetMode="External"/><Relationship Id="rId761" Type="http://schemas.openxmlformats.org/officeDocument/2006/relationships/hyperlink" Target="https://www150.statcan.gc.ca/n1/pub/89-503-x/2015001/article/14315-eng.htm" TargetMode="External"/><Relationship Id="rId859" Type="http://schemas.openxmlformats.org/officeDocument/2006/relationships/hyperlink" Target="https://www150.statcan.gc.ca/n1/pub/89-657-x/89-657-x2019007-eng.htm" TargetMode="External"/><Relationship Id="rId1391" Type="http://schemas.openxmlformats.org/officeDocument/2006/relationships/hyperlink" Target="https://www150.statcan.gc.ca/n1/pub/15-206-x/15-206-x2015039-eng.htm" TargetMode="External"/><Relationship Id="rId1489" Type="http://schemas.openxmlformats.org/officeDocument/2006/relationships/hyperlink" Target="https://www150.statcan.gc.ca/n1/pub/82-003-x/2020004/article/00003-eng.htm" TargetMode="External"/><Relationship Id="rId1696" Type="http://schemas.openxmlformats.org/officeDocument/2006/relationships/hyperlink" Target="https://www150.statcan.gc.ca/n1/pub/11f0019m/11f0019m2015371-eng.htm" TargetMode="External"/><Relationship Id="rId2235" Type="http://schemas.openxmlformats.org/officeDocument/2006/relationships/hyperlink" Target="https://www150.statcan.gc.ca/n1/pub/75-006-x/2019001/article/00013-eng.htm" TargetMode="External"/><Relationship Id="rId2442" Type="http://schemas.openxmlformats.org/officeDocument/2006/relationships/hyperlink" Target="https://www150.statcan.gc.ca/n1/pub/82-003-x/2015001/article/14131-eng.htm" TargetMode="External"/><Relationship Id="rId207" Type="http://schemas.openxmlformats.org/officeDocument/2006/relationships/hyperlink" Target="https://www150.statcan.gc.ca/n1/pub/11-626-x/11-626-x2019012-eng.htm" TargetMode="External"/><Relationship Id="rId414" Type="http://schemas.openxmlformats.org/officeDocument/2006/relationships/hyperlink" Target="https://www150.statcan.gc.ca/n1/pub/89-653-x/89-653-x2018002-eng.htm" TargetMode="External"/><Relationship Id="rId621" Type="http://schemas.openxmlformats.org/officeDocument/2006/relationships/hyperlink" Target="https://www150.statcan.gc.ca/n1/pub/89-654-x/89-654-x2018002-eng.htm" TargetMode="External"/><Relationship Id="rId1044" Type="http://schemas.openxmlformats.org/officeDocument/2006/relationships/hyperlink" Target="https://www150.statcan.gc.ca/n1/pub/11-626-x/11-626-x2017069-eng.htm" TargetMode="External"/><Relationship Id="rId1251" Type="http://schemas.openxmlformats.org/officeDocument/2006/relationships/hyperlink" Target="https://www150.statcan.gc.ca/n1/pub/85-002-x/2017001/article/54842-eng.htm" TargetMode="External"/><Relationship Id="rId1349" Type="http://schemas.openxmlformats.org/officeDocument/2006/relationships/hyperlink" Target="https://www150.statcan.gc.ca/n1/pub/85-002-x/2020001/article/00010-eng.htm" TargetMode="External"/><Relationship Id="rId2302" Type="http://schemas.openxmlformats.org/officeDocument/2006/relationships/hyperlink" Target="https://www150.statcan.gc.ca/n1/pub/89-503-x/2015001/article/14640-eng.htm" TargetMode="External"/><Relationship Id="rId2747" Type="http://schemas.openxmlformats.org/officeDocument/2006/relationships/hyperlink" Target="https://www150.statcan.gc.ca/n1/pub/89-503-x/2015001/article/14680-eng.htm" TargetMode="External"/><Relationship Id="rId719" Type="http://schemas.openxmlformats.org/officeDocument/2006/relationships/hyperlink" Target="https://www150.statcan.gc.ca/n1/pub/89-657-x/89-657-x2019015-eng.htm" TargetMode="External"/><Relationship Id="rId926" Type="http://schemas.openxmlformats.org/officeDocument/2006/relationships/hyperlink" Target="https://www150.statcan.gc.ca/n1/pub/85-002-x/2019001/article/00017-eng.htm" TargetMode="External"/><Relationship Id="rId1111" Type="http://schemas.openxmlformats.org/officeDocument/2006/relationships/hyperlink" Target="https://www150.statcan.gc.ca/n1/pub/11-626-x/11-626-x2020008-eng.htm" TargetMode="External"/><Relationship Id="rId1556" Type="http://schemas.openxmlformats.org/officeDocument/2006/relationships/hyperlink" Target="https://www150.statcan.gc.ca/n1/pub/89-652-x/89-652-x2016001-eng.htm" TargetMode="External"/><Relationship Id="rId1763" Type="http://schemas.openxmlformats.org/officeDocument/2006/relationships/hyperlink" Target="https://www150.statcan.gc.ca/n1/pub/89-657-x/89-657-x2019010-eng.htm" TargetMode="External"/><Relationship Id="rId1970" Type="http://schemas.openxmlformats.org/officeDocument/2006/relationships/hyperlink" Target="https://www150.statcan.gc.ca/n1/pub/85-002-x/2018001/article/54974-eng.htm" TargetMode="External"/><Relationship Id="rId2607" Type="http://schemas.openxmlformats.org/officeDocument/2006/relationships/hyperlink" Target="https://www150.statcan.gc.ca/n1/pub/11f0027m/11f0027m2015097-eng.htm" TargetMode="External"/><Relationship Id="rId2814" Type="http://schemas.openxmlformats.org/officeDocument/2006/relationships/hyperlink" Target="https://www150.statcan.gc.ca/n1/pub/85-002-x/2018001/article/54981-eng.htm" TargetMode="External"/><Relationship Id="rId55" Type="http://schemas.openxmlformats.org/officeDocument/2006/relationships/hyperlink" Target="https://www150.statcan.gc.ca/n1/pub/89-657-x/89-657-x2017003-eng.htm" TargetMode="External"/><Relationship Id="rId1209" Type="http://schemas.openxmlformats.org/officeDocument/2006/relationships/hyperlink" Target="https://www150.statcan.gc.ca/n1/pub/82-003-x/2016010/article/14665-eng.htm" TargetMode="External"/><Relationship Id="rId1416" Type="http://schemas.openxmlformats.org/officeDocument/2006/relationships/hyperlink" Target="https://www150.statcan.gc.ca/n1/pub/85-002-x/2017001/article/14700-eng.htm" TargetMode="External"/><Relationship Id="rId1623" Type="http://schemas.openxmlformats.org/officeDocument/2006/relationships/hyperlink" Target="https://www150.statcan.gc.ca/n1/pub/89-503-x/2015001/article/14316-eng.htm" TargetMode="External"/><Relationship Id="rId1830" Type="http://schemas.openxmlformats.org/officeDocument/2006/relationships/hyperlink" Target="https://www150.statcan.gc.ca/n1/pub/82-003-x/2019002/article/00001-eng.htm" TargetMode="External"/><Relationship Id="rId1928" Type="http://schemas.openxmlformats.org/officeDocument/2006/relationships/hyperlink" Target="https://www150.statcan.gc.ca/n1/pub/85-002-x/2019001/article/00013-eng.htm" TargetMode="External"/><Relationship Id="rId2092" Type="http://schemas.openxmlformats.org/officeDocument/2006/relationships/hyperlink" Target="https://www150.statcan.gc.ca/n1/pub/89-503-x/2015001/article/14235-eng.htm" TargetMode="External"/><Relationship Id="rId271" Type="http://schemas.openxmlformats.org/officeDocument/2006/relationships/hyperlink" Target="https://www150.statcan.gc.ca/n1/pub/85-002-x/2015001/article/14146-eng.htm" TargetMode="External"/><Relationship Id="rId2397" Type="http://schemas.openxmlformats.org/officeDocument/2006/relationships/hyperlink" Target="https://www150.statcan.gc.ca/n1/pub/85-002-x/2016001/article/14679-eng.htm" TargetMode="External"/><Relationship Id="rId131" Type="http://schemas.openxmlformats.org/officeDocument/2006/relationships/hyperlink" Target="https://www150.statcan.gc.ca/n1/pub/11f0019m/11f0019m2020019-eng.htm" TargetMode="External"/><Relationship Id="rId369" Type="http://schemas.openxmlformats.org/officeDocument/2006/relationships/hyperlink" Target="https://www150.statcan.gc.ca/n1/pub/82-003-x/2018009/article/00001-eng.htm" TargetMode="External"/><Relationship Id="rId576" Type="http://schemas.openxmlformats.org/officeDocument/2006/relationships/hyperlink" Target="https://www150.statcan.gc.ca/n1/pub/11f0019m/11f0019m2016375-eng.htm" TargetMode="External"/><Relationship Id="rId783" Type="http://schemas.openxmlformats.org/officeDocument/2006/relationships/hyperlink" Target="https://www150.statcan.gc.ca/n1/pub/82-003-x/2018010/article/00002-eng.htm" TargetMode="External"/><Relationship Id="rId990" Type="http://schemas.openxmlformats.org/officeDocument/2006/relationships/hyperlink" Target="https://www150.statcan.gc.ca/n1/pub/85-002-x/2019001/article/00002-eng.htm" TargetMode="External"/><Relationship Id="rId2257" Type="http://schemas.openxmlformats.org/officeDocument/2006/relationships/hyperlink" Target="https://www150.statcan.gc.ca/n1/pub/85-002-x/2016001/article/14303-eng.htm" TargetMode="External"/><Relationship Id="rId2464" Type="http://schemas.openxmlformats.org/officeDocument/2006/relationships/hyperlink" Target="https://www150.statcan.gc.ca/n1/pub/85-002-x/2020001/article/00005-eng.htm" TargetMode="External"/><Relationship Id="rId2671" Type="http://schemas.openxmlformats.org/officeDocument/2006/relationships/hyperlink" Target="https://www150.statcan.gc.ca/n1/pub/82-003-x/2020005/article/00001-eng.htm" TargetMode="External"/><Relationship Id="rId229" Type="http://schemas.openxmlformats.org/officeDocument/2006/relationships/hyperlink" Target="https://www150.statcan.gc.ca/n1/pub/89-657-x/89-657-x2019006-eng.htm" TargetMode="External"/><Relationship Id="rId436" Type="http://schemas.openxmlformats.org/officeDocument/2006/relationships/hyperlink" Target="https://www150.statcan.gc.ca/n1/pub/89-657-x/89-657-x2016002-eng.htm" TargetMode="External"/><Relationship Id="rId643" Type="http://schemas.openxmlformats.org/officeDocument/2006/relationships/hyperlink" Target="https://www150.statcan.gc.ca/n1/pub/11-626-x/11-626-x2015049-eng.htm" TargetMode="External"/><Relationship Id="rId1066" Type="http://schemas.openxmlformats.org/officeDocument/2006/relationships/hyperlink" Target="https://www150.statcan.gc.ca/n1/pub/85-002-x/2015001/article/14207-eng.htm" TargetMode="External"/><Relationship Id="rId1273" Type="http://schemas.openxmlformats.org/officeDocument/2006/relationships/hyperlink" Target="https://www150.statcan.gc.ca/n1/pub/11f0019m/11f0019m2016386-eng.htm" TargetMode="External"/><Relationship Id="rId1480" Type="http://schemas.openxmlformats.org/officeDocument/2006/relationships/hyperlink" Target="https://www150.statcan.gc.ca/n1/pub/11f0019m/11f0019m2019012-eng.htm" TargetMode="External"/><Relationship Id="rId2117" Type="http://schemas.openxmlformats.org/officeDocument/2006/relationships/hyperlink" Target="https://www150.statcan.gc.ca/n1/pub/85-002-x/2020001/article/00013-eng.htm" TargetMode="External"/><Relationship Id="rId2324" Type="http://schemas.openxmlformats.org/officeDocument/2006/relationships/hyperlink" Target="https://www150.statcan.gc.ca/n1/pub/82-003-x/2017003/article/14781-eng.htm" TargetMode="External"/><Relationship Id="rId2769" Type="http://schemas.openxmlformats.org/officeDocument/2006/relationships/hyperlink" Target="https://www150.statcan.gc.ca/n1/pub/85-002-x/2016001/article/14470-eng.htm" TargetMode="External"/><Relationship Id="rId850" Type="http://schemas.openxmlformats.org/officeDocument/2006/relationships/hyperlink" Target="https://www150.statcan.gc.ca/n1/pub/81-595-m/81-595-m2020002-eng.htm" TargetMode="External"/><Relationship Id="rId948" Type="http://schemas.openxmlformats.org/officeDocument/2006/relationships/hyperlink" Target="https://www150.statcan.gc.ca/n1/pub/89-654-x/89-654-x2015005-eng.htm" TargetMode="External"/><Relationship Id="rId1133" Type="http://schemas.openxmlformats.org/officeDocument/2006/relationships/hyperlink" Target="https://www150.statcan.gc.ca/n1/pub/85-002-x/2015001/article/14233-eng.htm" TargetMode="External"/><Relationship Id="rId1578" Type="http://schemas.openxmlformats.org/officeDocument/2006/relationships/hyperlink" Target="https://www150.statcan.gc.ca/n1/pub/89-503-x/2015001/article/14695-eng.htm" TargetMode="External"/><Relationship Id="rId1785" Type="http://schemas.openxmlformats.org/officeDocument/2006/relationships/hyperlink" Target="https://www150.statcan.gc.ca/n1/pub/85-002-x/2016001/article/14631-eng.htm" TargetMode="External"/><Relationship Id="rId1992" Type="http://schemas.openxmlformats.org/officeDocument/2006/relationships/hyperlink" Target="https://www150.statcan.gc.ca/n1/pub/82-003-x/2016007/article/14645-eng.htm" TargetMode="External"/><Relationship Id="rId2531" Type="http://schemas.openxmlformats.org/officeDocument/2006/relationships/hyperlink" Target="https://www150.statcan.gc.ca/n1/pub/89-653-x/89-653-x2016010-eng.htm" TargetMode="External"/><Relationship Id="rId2629" Type="http://schemas.openxmlformats.org/officeDocument/2006/relationships/hyperlink" Target="https://www150.statcan.gc.ca/n1/pub/89-652-x/89-652-x2015007-eng.htm" TargetMode="External"/><Relationship Id="rId77" Type="http://schemas.openxmlformats.org/officeDocument/2006/relationships/hyperlink" Target="https://www150.statcan.gc.ca/n1/pub/89-657-x/89-657-x2017004-eng.htm" TargetMode="External"/><Relationship Id="rId503" Type="http://schemas.openxmlformats.org/officeDocument/2006/relationships/hyperlink" Target="https://www150.statcan.gc.ca/n1/pub/91-209-x/2018001/article/54956-eng.htm" TargetMode="External"/><Relationship Id="rId710" Type="http://schemas.openxmlformats.org/officeDocument/2006/relationships/hyperlink" Target="https://www150.statcan.gc.ca/n1/pub/89-657-x/89-657-x2017002-eng.htm" TargetMode="External"/><Relationship Id="rId808" Type="http://schemas.openxmlformats.org/officeDocument/2006/relationships/hyperlink" Target="https://www150.statcan.gc.ca/n1/pub/11-626-x/11-626-x2016055-eng.htm" TargetMode="External"/><Relationship Id="rId1340" Type="http://schemas.openxmlformats.org/officeDocument/2006/relationships/hyperlink" Target="https://www150.statcan.gc.ca/n1/pub/85-002-x/2020001/article/00010-eng.htm" TargetMode="External"/><Relationship Id="rId1438" Type="http://schemas.openxmlformats.org/officeDocument/2006/relationships/hyperlink" Target="https://www150.statcan.gc.ca/n1/pub/11f0019m/11f0019m2019010-eng.htm" TargetMode="External"/><Relationship Id="rId1645" Type="http://schemas.openxmlformats.org/officeDocument/2006/relationships/hyperlink" Target="https://www150.statcan.gc.ca/n1/pub/85-002-x/2018001/article/54979-eng.htm" TargetMode="External"/><Relationship Id="rId1200" Type="http://schemas.openxmlformats.org/officeDocument/2006/relationships/hyperlink" Target="https://www150.statcan.gc.ca/n1/pub/91-551-x/91-551-x2017001-eng.htm" TargetMode="External"/><Relationship Id="rId1852" Type="http://schemas.openxmlformats.org/officeDocument/2006/relationships/hyperlink" Target="https://www150.statcan.gc.ca/n1/pub/75-006-x/2017001/article/14826-eng.htm" TargetMode="External"/><Relationship Id="rId1505" Type="http://schemas.openxmlformats.org/officeDocument/2006/relationships/hyperlink" Target="https://www150.statcan.gc.ca/n1/pub/85-002-x/2017001/article/14842-eng.htm" TargetMode="External"/><Relationship Id="rId1712" Type="http://schemas.openxmlformats.org/officeDocument/2006/relationships/hyperlink" Target="https://www150.statcan.gc.ca/n1/pub/85-002-x/2015001/article/14164-eng.htm" TargetMode="External"/><Relationship Id="rId293" Type="http://schemas.openxmlformats.org/officeDocument/2006/relationships/hyperlink" Target="https://www150.statcan.gc.ca/n1/pub/82-003-x/2017012/article/54892-eng.htm" TargetMode="External"/><Relationship Id="rId2181" Type="http://schemas.openxmlformats.org/officeDocument/2006/relationships/hyperlink" Target="https://www150.statcan.gc.ca/n1/pub/11-626-x/11-626-x2015054-eng.htm" TargetMode="External"/><Relationship Id="rId153" Type="http://schemas.openxmlformats.org/officeDocument/2006/relationships/hyperlink" Target="https://www150.statcan.gc.ca/n1/pub/11f0019m/11f0019m2020008-eng.htm" TargetMode="External"/><Relationship Id="rId360" Type="http://schemas.openxmlformats.org/officeDocument/2006/relationships/hyperlink" Target="https://www150.statcan.gc.ca/n1/pub/85-002-x/2018001/article/54912-eng.htm" TargetMode="External"/><Relationship Id="rId598" Type="http://schemas.openxmlformats.org/officeDocument/2006/relationships/hyperlink" Target="https://www150.statcan.gc.ca/n1/pub/75-004-m/75-004-m2019001-eng.htm" TargetMode="External"/><Relationship Id="rId2041" Type="http://schemas.openxmlformats.org/officeDocument/2006/relationships/hyperlink" Target="https://www150.statcan.gc.ca/n1/pub/11f0019m/11f0019m2020012-eng.htm" TargetMode="External"/><Relationship Id="rId2279" Type="http://schemas.openxmlformats.org/officeDocument/2006/relationships/hyperlink" Target="https://www150.statcan.gc.ca/n1/pub/85-002-x/2016001/article/14303-eng.htm" TargetMode="External"/><Relationship Id="rId2486" Type="http://schemas.openxmlformats.org/officeDocument/2006/relationships/hyperlink" Target="https://www150.statcan.gc.ca/n1/pub/75-006-x/2019001/article/00007-eng.htm" TargetMode="External"/><Relationship Id="rId2693" Type="http://schemas.openxmlformats.org/officeDocument/2006/relationships/hyperlink" Target="https://www150.statcan.gc.ca/n1/pub/11f0019m/11f0019m2018412-eng.htm" TargetMode="External"/><Relationship Id="rId220" Type="http://schemas.openxmlformats.org/officeDocument/2006/relationships/hyperlink" Target="https://www150.statcan.gc.ca/n1/pub/11f0019m/11f0019m2019014-eng.htm" TargetMode="External"/><Relationship Id="rId458" Type="http://schemas.openxmlformats.org/officeDocument/2006/relationships/hyperlink" Target="https://www150.statcan.gc.ca/n1/pub/85-603-x/85-603-x2019002-eng.htm" TargetMode="External"/><Relationship Id="rId665" Type="http://schemas.openxmlformats.org/officeDocument/2006/relationships/hyperlink" Target="https://www150.statcan.gc.ca/n1/pub/85-002-x/2019001/article/00005-eng.htm" TargetMode="External"/><Relationship Id="rId872" Type="http://schemas.openxmlformats.org/officeDocument/2006/relationships/hyperlink" Target="https://www150.statcan.gc.ca/n1/pub/82-003-x/2019002/article/00002-eng.htm" TargetMode="External"/><Relationship Id="rId1088" Type="http://schemas.openxmlformats.org/officeDocument/2006/relationships/hyperlink" Target="https://www150.statcan.gc.ca/n1/pub/75-006-x/2018001/article/54917-eng.htm" TargetMode="External"/><Relationship Id="rId1295" Type="http://schemas.openxmlformats.org/officeDocument/2006/relationships/hyperlink" Target="https://www150.statcan.gc.ca/n1/pub/89-652-x/89-652-x2015003-eng.htm" TargetMode="External"/><Relationship Id="rId2139" Type="http://schemas.openxmlformats.org/officeDocument/2006/relationships/hyperlink" Target="https://www150.statcan.gc.ca/n1/pub/11-633-x/11-633-x2021001-eng.htm" TargetMode="External"/><Relationship Id="rId2346" Type="http://schemas.openxmlformats.org/officeDocument/2006/relationships/hyperlink" Target="https://www150.statcan.gc.ca/n1/pub/11f0019m/11f0019m2019002-eng.htm" TargetMode="External"/><Relationship Id="rId2553" Type="http://schemas.openxmlformats.org/officeDocument/2006/relationships/hyperlink" Target="https://www150.statcan.gc.ca/n1/pub/89-652-x/89-652-x2015008-eng.htm" TargetMode="External"/><Relationship Id="rId2760" Type="http://schemas.openxmlformats.org/officeDocument/2006/relationships/hyperlink" Target="https://www150.statcan.gc.ca/n1/pub/46-28-0001/2019001/article/00001-eng.htm" TargetMode="External"/><Relationship Id="rId318" Type="http://schemas.openxmlformats.org/officeDocument/2006/relationships/hyperlink" Target="https://www150.statcan.gc.ca/n1/pub/75-006-x/2015001/article/14167-eng.htm" TargetMode="External"/><Relationship Id="rId525" Type="http://schemas.openxmlformats.org/officeDocument/2006/relationships/hyperlink" Target="https://www150.statcan.gc.ca/n1/pub/82-003-x/2018007/article/00002-eng.htm" TargetMode="External"/><Relationship Id="rId732" Type="http://schemas.openxmlformats.org/officeDocument/2006/relationships/hyperlink" Target="https://www150.statcan.gc.ca/n1/pub/11f0019m/11f0019m2019024-eng.htm" TargetMode="External"/><Relationship Id="rId1155" Type="http://schemas.openxmlformats.org/officeDocument/2006/relationships/hyperlink" Target="https://www150.statcan.gc.ca/n1/pub/89-652-x/89-652-x2015002-eng.htm" TargetMode="External"/><Relationship Id="rId1362" Type="http://schemas.openxmlformats.org/officeDocument/2006/relationships/hyperlink" Target="https://www150.statcan.gc.ca/n1/pub/89-652-x/89-652-x2015006-eng.htm" TargetMode="External"/><Relationship Id="rId2206" Type="http://schemas.openxmlformats.org/officeDocument/2006/relationships/hyperlink" Target="https://www150.statcan.gc.ca/n1/pub/85-002-x/2018001/article/54972-eng.htm" TargetMode="External"/><Relationship Id="rId2413" Type="http://schemas.openxmlformats.org/officeDocument/2006/relationships/hyperlink" Target="https://www150.statcan.gc.ca/n1/pub/75-006-x/2020001/article/00004-eng.htm" TargetMode="External"/><Relationship Id="rId2620" Type="http://schemas.openxmlformats.org/officeDocument/2006/relationships/hyperlink" Target="https://www150.statcan.gc.ca/n1/pub/89-652-x/89-652-x2015005-eng.htm" TargetMode="External"/><Relationship Id="rId99" Type="http://schemas.openxmlformats.org/officeDocument/2006/relationships/hyperlink" Target="https://www150.statcan.gc.ca/n1/pub/89-657-x/89-657-x2017005-eng.htm" TargetMode="External"/><Relationship Id="rId1015" Type="http://schemas.openxmlformats.org/officeDocument/2006/relationships/hyperlink" Target="https://www150.statcan.gc.ca/n1/pub/85-002-x/2019001/article/00015-eng.htm" TargetMode="External"/><Relationship Id="rId1222" Type="http://schemas.openxmlformats.org/officeDocument/2006/relationships/hyperlink" Target="https://www150.statcan.gc.ca/n1/pub/11f0019m/11f0019m2020018-eng.htm" TargetMode="External"/><Relationship Id="rId1667" Type="http://schemas.openxmlformats.org/officeDocument/2006/relationships/hyperlink" Target="https://www150.statcan.gc.ca/n1/pub/85-002-x/2018001/article/54980-eng.htm" TargetMode="External"/><Relationship Id="rId1874" Type="http://schemas.openxmlformats.org/officeDocument/2006/relationships/hyperlink" Target="https://www150.statcan.gc.ca/n1/pub/82-003-x/2019011/article/00001-eng.htm" TargetMode="External"/><Relationship Id="rId2718" Type="http://schemas.openxmlformats.org/officeDocument/2006/relationships/hyperlink" Target="https://www150.statcan.gc.ca/n1/pub/82-003-x/2015006/article/14196-eng.htm" TargetMode="External"/><Relationship Id="rId1527" Type="http://schemas.openxmlformats.org/officeDocument/2006/relationships/hyperlink" Target="https://www150.statcan.gc.ca/n1/pub/11f0019m/11f0019m2016377-eng.htm" TargetMode="External"/><Relationship Id="rId1734" Type="http://schemas.openxmlformats.org/officeDocument/2006/relationships/hyperlink" Target="https://www150.statcan.gc.ca/n1/pub/82-003-x/2019005/article/00001-eng.htm" TargetMode="External"/><Relationship Id="rId1941" Type="http://schemas.openxmlformats.org/officeDocument/2006/relationships/hyperlink" Target="https://www150.statcan.gc.ca/n1/pub/85-002-x/2019001/article/00016-eng.htm" TargetMode="External"/><Relationship Id="rId26" Type="http://schemas.openxmlformats.org/officeDocument/2006/relationships/hyperlink" Target="https://www150.statcan.gc.ca/n1/pub/82-003-x/2018005/article/54965-eng.htm" TargetMode="External"/><Relationship Id="rId175" Type="http://schemas.openxmlformats.org/officeDocument/2006/relationships/hyperlink" Target="https://www150.statcan.gc.ca/n1/pub/11f0019m/11f0019m2020001-eng.htm" TargetMode="External"/><Relationship Id="rId1801" Type="http://schemas.openxmlformats.org/officeDocument/2006/relationships/hyperlink" Target="https://www150.statcan.gc.ca/n1/pub/85-002-x/2016001/article/14668-eng.htm" TargetMode="External"/><Relationship Id="rId382" Type="http://schemas.openxmlformats.org/officeDocument/2006/relationships/hyperlink" Target="https://www150.statcan.gc.ca/n1/pub/89-654-x/89-654-x2015001-eng.htm" TargetMode="External"/><Relationship Id="rId687" Type="http://schemas.openxmlformats.org/officeDocument/2006/relationships/hyperlink" Target="https://www150.statcan.gc.ca/n1/pub/11f0019m/11f0019m2016381-eng.htm" TargetMode="External"/><Relationship Id="rId2063" Type="http://schemas.openxmlformats.org/officeDocument/2006/relationships/hyperlink" Target="https://www150.statcan.gc.ca/n1/pub/11f0019m/11f0019m2017400-eng.htm" TargetMode="External"/><Relationship Id="rId2270" Type="http://schemas.openxmlformats.org/officeDocument/2006/relationships/hyperlink" Target="https://www150.statcan.gc.ca/n1/pub/85-002-x/2016001/article/14303-eng.htm" TargetMode="External"/><Relationship Id="rId2368" Type="http://schemas.openxmlformats.org/officeDocument/2006/relationships/hyperlink" Target="https://www150.statcan.gc.ca/n1/pub/82-003-x/2020003/article/00003-eng.htm" TargetMode="External"/><Relationship Id="rId242" Type="http://schemas.openxmlformats.org/officeDocument/2006/relationships/hyperlink" Target="https://www150.statcan.gc.ca/n1/pub/11f0019m/11f0019m2016385-eng.htm" TargetMode="External"/><Relationship Id="rId894" Type="http://schemas.openxmlformats.org/officeDocument/2006/relationships/hyperlink" Target="https://www150.statcan.gc.ca/n1/pub/13-605-x/2019001/article/00013-eng.htm" TargetMode="External"/><Relationship Id="rId1177" Type="http://schemas.openxmlformats.org/officeDocument/2006/relationships/hyperlink" Target="https://www150.statcan.gc.ca/n1/pub/85-002-x/2019001/article/00010-eng.htm" TargetMode="External"/><Relationship Id="rId2130" Type="http://schemas.openxmlformats.org/officeDocument/2006/relationships/hyperlink" Target="https://www150.statcan.gc.ca/n1/pub/82-003-x/2019005/article/00002-eng.htm" TargetMode="External"/><Relationship Id="rId2575" Type="http://schemas.openxmlformats.org/officeDocument/2006/relationships/hyperlink" Target="https://www150.statcan.gc.ca/n1/pub/75-006-x/2019001/article/00003-eng.htm" TargetMode="External"/><Relationship Id="rId2782" Type="http://schemas.openxmlformats.org/officeDocument/2006/relationships/hyperlink" Target="https://www150.statcan.gc.ca/n1/pub/89-657-x/89-657-x2018001-eng.htm" TargetMode="External"/><Relationship Id="rId102" Type="http://schemas.openxmlformats.org/officeDocument/2006/relationships/hyperlink" Target="https://www150.statcan.gc.ca/n1/pub/89-657-x/89-657-x2017006-eng.htm" TargetMode="External"/><Relationship Id="rId547" Type="http://schemas.openxmlformats.org/officeDocument/2006/relationships/hyperlink" Target="https://www150.statcan.gc.ca/n1/pub/82-003-x/2019011/article/00002-eng.htm" TargetMode="External"/><Relationship Id="rId754" Type="http://schemas.openxmlformats.org/officeDocument/2006/relationships/hyperlink" Target="https://www150.statcan.gc.ca/n1/pub/89-503-x/2015001/article/14315-eng.htm" TargetMode="External"/><Relationship Id="rId961" Type="http://schemas.openxmlformats.org/officeDocument/2006/relationships/hyperlink" Target="https://www150.statcan.gc.ca/n1/pub/85-002-x/2020001/article/00016-eng.htm" TargetMode="External"/><Relationship Id="rId1384" Type="http://schemas.openxmlformats.org/officeDocument/2006/relationships/hyperlink" Target="https://www150.statcan.gc.ca/n1/pub/15-206-x/15-206-x2015039-eng.htm" TargetMode="External"/><Relationship Id="rId1591" Type="http://schemas.openxmlformats.org/officeDocument/2006/relationships/hyperlink" Target="https://www150.statcan.gc.ca/n1/pub/11f0019m/11f0019m2015370-eng.htm" TargetMode="External"/><Relationship Id="rId1689" Type="http://schemas.openxmlformats.org/officeDocument/2006/relationships/hyperlink" Target="https://www150.statcan.gc.ca/n1/pub/89-503-x/2015001/article/14694-eng.htm" TargetMode="External"/><Relationship Id="rId2228" Type="http://schemas.openxmlformats.org/officeDocument/2006/relationships/hyperlink" Target="https://www150.statcan.gc.ca/n1/pub/85-002-x/2018001/article/54910-eng.htm" TargetMode="External"/><Relationship Id="rId2435" Type="http://schemas.openxmlformats.org/officeDocument/2006/relationships/hyperlink" Target="https://www150.statcan.gc.ca/n1/pub/89-648-x/89-648-x2018001-eng.htm" TargetMode="External"/><Relationship Id="rId2642" Type="http://schemas.openxmlformats.org/officeDocument/2006/relationships/hyperlink" Target="https://www150.statcan.gc.ca/n1/pub/75f0002m/75f0002m2016003-eng.htm" TargetMode="External"/><Relationship Id="rId90" Type="http://schemas.openxmlformats.org/officeDocument/2006/relationships/hyperlink" Target="https://www150.statcan.gc.ca/n1/pub/89-657-x/89-657-x2017005-eng.htm" TargetMode="External"/><Relationship Id="rId407" Type="http://schemas.openxmlformats.org/officeDocument/2006/relationships/hyperlink" Target="https://www150.statcan.gc.ca/n1/pub/11f0019m/11f0019m2019025-eng.htm" TargetMode="External"/><Relationship Id="rId614" Type="http://schemas.openxmlformats.org/officeDocument/2006/relationships/hyperlink" Target="https://www150.statcan.gc.ca/n1/pub/89-654-x/89-654-x2018002-eng.htm" TargetMode="External"/><Relationship Id="rId821" Type="http://schemas.openxmlformats.org/officeDocument/2006/relationships/hyperlink" Target="https://www150.statcan.gc.ca/n1/pub/11f0019m/11f0019m2017398-eng.htm" TargetMode="External"/><Relationship Id="rId1037" Type="http://schemas.openxmlformats.org/officeDocument/2006/relationships/hyperlink" Target="https://www150.statcan.gc.ca/n1/pub/11-626-x/11-626-x2019002-eng.htm" TargetMode="External"/><Relationship Id="rId1244" Type="http://schemas.openxmlformats.org/officeDocument/2006/relationships/hyperlink" Target="https://www150.statcan.gc.ca/n1/pub/85-002-x/2017001/article/54842-eng.htm" TargetMode="External"/><Relationship Id="rId1451" Type="http://schemas.openxmlformats.org/officeDocument/2006/relationships/hyperlink" Target="https://www150.statcan.gc.ca/n1/pub/82-003-x/2017001/article/14697-eng.htm" TargetMode="External"/><Relationship Id="rId1896" Type="http://schemas.openxmlformats.org/officeDocument/2006/relationships/hyperlink" Target="https://www150.statcan.gc.ca/n1/pub/89-503-x/2015001/article/14313-eng.htm" TargetMode="External"/><Relationship Id="rId2502" Type="http://schemas.openxmlformats.org/officeDocument/2006/relationships/hyperlink" Target="https://www150.statcan.gc.ca/n1/pub/11-633-x/11-633-x2018017-eng.htm" TargetMode="External"/><Relationship Id="rId919" Type="http://schemas.openxmlformats.org/officeDocument/2006/relationships/hyperlink" Target="https://www150.statcan.gc.ca/n1/pub/85-002-x/2019001/article/00017-eng.htm" TargetMode="External"/><Relationship Id="rId1104" Type="http://schemas.openxmlformats.org/officeDocument/2006/relationships/hyperlink" Target="https://www150.statcan.gc.ca/n1/pub/89-648-x/89-648-x2016001-eng.htm" TargetMode="External"/><Relationship Id="rId1311" Type="http://schemas.openxmlformats.org/officeDocument/2006/relationships/hyperlink" Target="https://www150.statcan.gc.ca/n1/pub/85-002-x/2019001/article/00011-eng.htm" TargetMode="External"/><Relationship Id="rId1549" Type="http://schemas.openxmlformats.org/officeDocument/2006/relationships/hyperlink" Target="https://www150.statcan.gc.ca/n1/pub/82-003-x/2017004/article/14788-eng.htm" TargetMode="External"/><Relationship Id="rId1756" Type="http://schemas.openxmlformats.org/officeDocument/2006/relationships/hyperlink" Target="https://www150.statcan.gc.ca/n1/pub/89-657-x/89-657-x2019010-eng.htm" TargetMode="External"/><Relationship Id="rId1963" Type="http://schemas.openxmlformats.org/officeDocument/2006/relationships/hyperlink" Target="https://www150.statcan.gc.ca/n1/pub/85-002-x/2018001/article/54974-eng.htm" TargetMode="External"/><Relationship Id="rId2807" Type="http://schemas.openxmlformats.org/officeDocument/2006/relationships/hyperlink" Target="https://www150.statcan.gc.ca/n1/pub/85-603-x/85-603-x2019001-eng.htm" TargetMode="External"/><Relationship Id="rId48" Type="http://schemas.openxmlformats.org/officeDocument/2006/relationships/hyperlink" Target="https://www150.statcan.gc.ca/n1/pub/82-003-x/2017009/article/54856-eng.htm" TargetMode="External"/><Relationship Id="rId1409" Type="http://schemas.openxmlformats.org/officeDocument/2006/relationships/hyperlink" Target="https://www150.statcan.gc.ca/n1/pub/82-003-x/2016011/article/14671-eng.htm" TargetMode="External"/><Relationship Id="rId1616" Type="http://schemas.openxmlformats.org/officeDocument/2006/relationships/hyperlink" Target="https://www150.statcan.gc.ca/n1/pub/89-503-x/2015001/article/14316-eng.htm" TargetMode="External"/><Relationship Id="rId1823" Type="http://schemas.openxmlformats.org/officeDocument/2006/relationships/hyperlink" Target="https://www150.statcan.gc.ca/n1/pub/89-657-x/89-657-x2019018-eng.htm" TargetMode="External"/><Relationship Id="rId197" Type="http://schemas.openxmlformats.org/officeDocument/2006/relationships/hyperlink" Target="https://www150.statcan.gc.ca/n1/pub/18-001-x/18-001-x2019002-eng.htm" TargetMode="External"/><Relationship Id="rId2085" Type="http://schemas.openxmlformats.org/officeDocument/2006/relationships/hyperlink" Target="https://www150.statcan.gc.ca/n1/pub/13-605-x/2018001/article/54968-eng.htm" TargetMode="External"/><Relationship Id="rId2292" Type="http://schemas.openxmlformats.org/officeDocument/2006/relationships/hyperlink" Target="https://www150.statcan.gc.ca/n1/pub/89-503-x/2015001/article/14640-eng.htm" TargetMode="External"/><Relationship Id="rId264" Type="http://schemas.openxmlformats.org/officeDocument/2006/relationships/hyperlink" Target="https://www150.statcan.gc.ca/n1/pub/82-003-x/2016009/article/14652-eng.htm" TargetMode="External"/><Relationship Id="rId471" Type="http://schemas.openxmlformats.org/officeDocument/2006/relationships/hyperlink" Target="https://www150.statcan.gc.ca/n1/pub/82-003-x/2015008/article/14216-eng.htm" TargetMode="External"/><Relationship Id="rId2152" Type="http://schemas.openxmlformats.org/officeDocument/2006/relationships/hyperlink" Target="https://www150.statcan.gc.ca/n1/pub/75-006-x/2015001/article/14194-eng.htm" TargetMode="External"/><Relationship Id="rId2597" Type="http://schemas.openxmlformats.org/officeDocument/2006/relationships/hyperlink" Target="https://www150.statcan.gc.ca/n1/pub/71-222-x/71-222-x2019001-eng.htm" TargetMode="External"/><Relationship Id="rId124" Type="http://schemas.openxmlformats.org/officeDocument/2006/relationships/hyperlink" Target="https://www150.statcan.gc.ca/n1/pub/13-604-m/13-604-m2016081-eng.htm" TargetMode="External"/><Relationship Id="rId569" Type="http://schemas.openxmlformats.org/officeDocument/2006/relationships/hyperlink" Target="https://www150.statcan.gc.ca/n1/pub/75-006-x/2020001/article/00007-eng.htm" TargetMode="External"/><Relationship Id="rId776" Type="http://schemas.openxmlformats.org/officeDocument/2006/relationships/hyperlink" Target="https://www150.statcan.gc.ca/n1/pub/89-503-x/2015001/article/14315-eng.htm" TargetMode="External"/><Relationship Id="rId983" Type="http://schemas.openxmlformats.org/officeDocument/2006/relationships/hyperlink" Target="https://www150.statcan.gc.ca/n1/pub/75-006-x/2018001/article/54982-eng.htm" TargetMode="External"/><Relationship Id="rId1199" Type="http://schemas.openxmlformats.org/officeDocument/2006/relationships/hyperlink" Target="https://www150.statcan.gc.ca/n1/pub/91-551-x/91-551-x2017001-eng.htm" TargetMode="External"/><Relationship Id="rId2457" Type="http://schemas.openxmlformats.org/officeDocument/2006/relationships/hyperlink" Target="https://www150.statcan.gc.ca/n1/pub/82-003-x/2015005/article/14170-eng.htm" TargetMode="External"/><Relationship Id="rId2664" Type="http://schemas.openxmlformats.org/officeDocument/2006/relationships/hyperlink" Target="https://www150.statcan.gc.ca/n1/pub/82-003-x/2019012/article/00002-eng.htm" TargetMode="External"/><Relationship Id="rId331" Type="http://schemas.openxmlformats.org/officeDocument/2006/relationships/hyperlink" Target="https://www150.statcan.gc.ca/n1/pub/82-003-x/2019004/article/00001-eng.htm" TargetMode="External"/><Relationship Id="rId429" Type="http://schemas.openxmlformats.org/officeDocument/2006/relationships/hyperlink" Target="https://www150.statcan.gc.ca/n1/pub/89-657-x/89-657-x2016002-eng.htm" TargetMode="External"/><Relationship Id="rId636" Type="http://schemas.openxmlformats.org/officeDocument/2006/relationships/hyperlink" Target="https://www150.statcan.gc.ca/n1/pub/82-003-x/2016007/article/14646-eng.htm" TargetMode="External"/><Relationship Id="rId1059" Type="http://schemas.openxmlformats.org/officeDocument/2006/relationships/hyperlink" Target="https://www150.statcan.gc.ca/n1/pub/85-002-x/2020001/article/00009-eng.htm" TargetMode="External"/><Relationship Id="rId1266" Type="http://schemas.openxmlformats.org/officeDocument/2006/relationships/hyperlink" Target="https://www150.statcan.gc.ca/n1/pub/75f0002m/75f0002m2019008-eng.htm" TargetMode="External"/><Relationship Id="rId1473" Type="http://schemas.openxmlformats.org/officeDocument/2006/relationships/hyperlink" Target="https://www150.statcan.gc.ca/n1/pub/11-626-x/11-626-x2020001-eng.htm" TargetMode="External"/><Relationship Id="rId2012" Type="http://schemas.openxmlformats.org/officeDocument/2006/relationships/hyperlink" Target="https://www150.statcan.gc.ca/n1/pub/85-002-x/2015001/article/14234-eng.htm" TargetMode="External"/><Relationship Id="rId2317" Type="http://schemas.openxmlformats.org/officeDocument/2006/relationships/hyperlink" Target="https://www150.statcan.gc.ca/n1/pub/75-006-x/2019001/article/00011-eng.htm" TargetMode="External"/><Relationship Id="rId843" Type="http://schemas.openxmlformats.org/officeDocument/2006/relationships/hyperlink" Target="https://www150.statcan.gc.ca/n1/pub/82-003-x/2017006/article/14827-eng.htm" TargetMode="External"/><Relationship Id="rId1126" Type="http://schemas.openxmlformats.org/officeDocument/2006/relationships/hyperlink" Target="https://www150.statcan.gc.ca/n1/pub/85-002-x/2015001/article/14233-eng.htm" TargetMode="External"/><Relationship Id="rId1680" Type="http://schemas.openxmlformats.org/officeDocument/2006/relationships/hyperlink" Target="https://www150.statcan.gc.ca/n1/pub/89-503-x/2015001/article/14694-eng.htm" TargetMode="External"/><Relationship Id="rId1778" Type="http://schemas.openxmlformats.org/officeDocument/2006/relationships/hyperlink" Target="https://www150.statcan.gc.ca/n1/pub/46-28-0001/2019001/article/00002-eng.htm" TargetMode="External"/><Relationship Id="rId1985" Type="http://schemas.openxmlformats.org/officeDocument/2006/relationships/hyperlink" Target="https://www150.statcan.gc.ca/n1/pub/99-011-x/99-011-x2019002-eng.htm" TargetMode="External"/><Relationship Id="rId2524" Type="http://schemas.openxmlformats.org/officeDocument/2006/relationships/hyperlink" Target="https://www150.statcan.gc.ca/n1/pub/82-003-x/2016004/article/14491-eng.htm" TargetMode="External"/><Relationship Id="rId2731" Type="http://schemas.openxmlformats.org/officeDocument/2006/relationships/hyperlink" Target="https://www150.statcan.gc.ca/n1/pub/82-003-x/2018007/article/00001-eng.htm" TargetMode="External"/><Relationship Id="rId703" Type="http://schemas.openxmlformats.org/officeDocument/2006/relationships/hyperlink" Target="https://www150.statcan.gc.ca/n1/pub/82-003-x/2018012/article/00001-eng.htm" TargetMode="External"/><Relationship Id="rId910" Type="http://schemas.openxmlformats.org/officeDocument/2006/relationships/hyperlink" Target="https://www150.statcan.gc.ca/n1/pub/11f0019m/11f0019m2018409-eng.htm" TargetMode="External"/><Relationship Id="rId1333" Type="http://schemas.openxmlformats.org/officeDocument/2006/relationships/hyperlink" Target="https://www150.statcan.gc.ca/n1/pub/75-006-x/2016001/article/14547-eng.htm" TargetMode="External"/><Relationship Id="rId1540" Type="http://schemas.openxmlformats.org/officeDocument/2006/relationships/hyperlink" Target="https://www150.statcan.gc.ca/n1/pub/13-605-x/2017001/article/54883-eng.htm" TargetMode="External"/><Relationship Id="rId1638" Type="http://schemas.openxmlformats.org/officeDocument/2006/relationships/hyperlink" Target="https://www150.statcan.gc.ca/n1/pub/89-652-x/89-652-x2017001-eng.htm" TargetMode="External"/><Relationship Id="rId1400" Type="http://schemas.openxmlformats.org/officeDocument/2006/relationships/hyperlink" Target="https://www150.statcan.gc.ca/n1/pub/85-002-x/2020001/article/00011-eng.htm" TargetMode="External"/><Relationship Id="rId1845" Type="http://schemas.openxmlformats.org/officeDocument/2006/relationships/hyperlink" Target="https://www150.statcan.gc.ca/n1/pub/85-002-x/2020001/article/00015-eng.htm" TargetMode="External"/><Relationship Id="rId1705" Type="http://schemas.openxmlformats.org/officeDocument/2006/relationships/hyperlink" Target="https://www150.statcan.gc.ca/n1/pub/75-006-x/2015001/article/14134-eng.htm" TargetMode="External"/><Relationship Id="rId1912" Type="http://schemas.openxmlformats.org/officeDocument/2006/relationships/hyperlink" Target="https://www150.statcan.gc.ca/n1/pub/85-002-x/2016001/article/14656-eng.htm" TargetMode="External"/><Relationship Id="rId286" Type="http://schemas.openxmlformats.org/officeDocument/2006/relationships/hyperlink" Target="https://www150.statcan.gc.ca/n1/pub/11f0019m/11f0019m2017392-eng.htm" TargetMode="External"/><Relationship Id="rId493" Type="http://schemas.openxmlformats.org/officeDocument/2006/relationships/hyperlink" Target="https://www150.statcan.gc.ca/n1/pub/11-626-x/11-626-x2019003-eng.htm" TargetMode="External"/><Relationship Id="rId2174" Type="http://schemas.openxmlformats.org/officeDocument/2006/relationships/hyperlink" Target="https://www150.statcan.gc.ca/n1/pub/99-011-x/99-011-x2019001-eng.htm" TargetMode="External"/><Relationship Id="rId2381" Type="http://schemas.openxmlformats.org/officeDocument/2006/relationships/hyperlink" Target="https://www150.statcan.gc.ca/n1/pub/75f0002m/75f0002m2019001-eng.htm" TargetMode="External"/><Relationship Id="rId146" Type="http://schemas.openxmlformats.org/officeDocument/2006/relationships/hyperlink" Target="https://www150.statcan.gc.ca/n1/pub/11f0019m/11f0019m2020009-eng.htm" TargetMode="External"/><Relationship Id="rId353" Type="http://schemas.openxmlformats.org/officeDocument/2006/relationships/hyperlink" Target="https://www150.statcan.gc.ca/n1/pub/82-003-x/2019003/article/00001-eng.htm" TargetMode="External"/><Relationship Id="rId560" Type="http://schemas.openxmlformats.org/officeDocument/2006/relationships/hyperlink" Target="https://www150.statcan.gc.ca/n1/pub/13-605-x/2020001/article/00008-eng.htm" TargetMode="External"/><Relationship Id="rId798" Type="http://schemas.openxmlformats.org/officeDocument/2006/relationships/hyperlink" Target="https://www150.statcan.gc.ca/n1/pub/89-648-x/89-648-x2020004-eng.htm" TargetMode="External"/><Relationship Id="rId1190" Type="http://schemas.openxmlformats.org/officeDocument/2006/relationships/hyperlink" Target="https://www150.statcan.gc.ca/n1/pub/13-605-x/2015011/article/14298-eng.htm" TargetMode="External"/><Relationship Id="rId2034" Type="http://schemas.openxmlformats.org/officeDocument/2006/relationships/hyperlink" Target="https://www150.statcan.gc.ca/n1/pub/11f0019m/11f0019m2017389-eng.htm" TargetMode="External"/><Relationship Id="rId2241" Type="http://schemas.openxmlformats.org/officeDocument/2006/relationships/hyperlink" Target="https://www150.statcan.gc.ca/n1/pub/82-003-x/2018012/article/00003-eng.htm" TargetMode="External"/><Relationship Id="rId2479" Type="http://schemas.openxmlformats.org/officeDocument/2006/relationships/hyperlink" Target="https://www150.statcan.gc.ca/n1/pub/13-605-x/2019001/article/00001-eng.htm" TargetMode="External"/><Relationship Id="rId2686" Type="http://schemas.openxmlformats.org/officeDocument/2006/relationships/hyperlink" Target="https://www150.statcan.gc.ca/n1/pub/89-653-x/89-653-x2019001-eng.htm" TargetMode="External"/><Relationship Id="rId213" Type="http://schemas.openxmlformats.org/officeDocument/2006/relationships/hyperlink" Target="https://www150.statcan.gc.ca/n1/pub/11f0019m/11f0019m2019014-eng.htm" TargetMode="External"/><Relationship Id="rId420" Type="http://schemas.openxmlformats.org/officeDocument/2006/relationships/hyperlink" Target="https://www150.statcan.gc.ca/n1/pub/89-28-0001/2018001/article/00013-eng.htm" TargetMode="External"/><Relationship Id="rId658" Type="http://schemas.openxmlformats.org/officeDocument/2006/relationships/hyperlink" Target="https://www150.statcan.gc.ca/n1/pub/75-006-x/2016001/article/14678-eng.htm" TargetMode="External"/><Relationship Id="rId865" Type="http://schemas.openxmlformats.org/officeDocument/2006/relationships/hyperlink" Target="https://www150.statcan.gc.ca/n1/pub/85-002-x/2018001/article/54915-eng.htm" TargetMode="External"/><Relationship Id="rId1050" Type="http://schemas.openxmlformats.org/officeDocument/2006/relationships/hyperlink" Target="https://www150.statcan.gc.ca/n1/pub/85-002-x/2020001/article/00009-eng.htm" TargetMode="External"/><Relationship Id="rId1288" Type="http://schemas.openxmlformats.org/officeDocument/2006/relationships/hyperlink" Target="https://www150.statcan.gc.ca/n1/pub/11-626-x/11-626-x2020016-eng.htm" TargetMode="External"/><Relationship Id="rId1495" Type="http://schemas.openxmlformats.org/officeDocument/2006/relationships/hyperlink" Target="https://www150.statcan.gc.ca/n1/pub/85-002-x/2015001/article/14224-eng.htm" TargetMode="External"/><Relationship Id="rId2101" Type="http://schemas.openxmlformats.org/officeDocument/2006/relationships/hyperlink" Target="https://www150.statcan.gc.ca/n1/pub/11f0019m/11f0019m2019015-eng.htm" TargetMode="External"/><Relationship Id="rId2339" Type="http://schemas.openxmlformats.org/officeDocument/2006/relationships/hyperlink" Target="https://www150.statcan.gc.ca/n1/pub/11f0019m/11f0019m2019002-eng.htm" TargetMode="External"/><Relationship Id="rId2546" Type="http://schemas.openxmlformats.org/officeDocument/2006/relationships/hyperlink" Target="https://www150.statcan.gc.ca/n1/pub/89-652-x/89-652-x2015008-eng.htm" TargetMode="External"/><Relationship Id="rId2753" Type="http://schemas.openxmlformats.org/officeDocument/2006/relationships/hyperlink" Target="https://www150.statcan.gc.ca/n1/pub/89-503-x/2015001/article/14680-eng.htm" TargetMode="External"/><Relationship Id="rId518" Type="http://schemas.openxmlformats.org/officeDocument/2006/relationships/hyperlink" Target="https://www150.statcan.gc.ca/n1/pub/85-002-x/2018001/article/54977-eng.htm" TargetMode="External"/><Relationship Id="rId725" Type="http://schemas.openxmlformats.org/officeDocument/2006/relationships/hyperlink" Target="https://www150.statcan.gc.ca/n1/pub/82-003-x/2015005/article/14169-eng.htm" TargetMode="External"/><Relationship Id="rId932" Type="http://schemas.openxmlformats.org/officeDocument/2006/relationships/hyperlink" Target="https://www150.statcan.gc.ca/n1/pub/85-002-x/2015001/article/14201-eng.htm" TargetMode="External"/><Relationship Id="rId1148" Type="http://schemas.openxmlformats.org/officeDocument/2006/relationships/hyperlink" Target="https://www150.statcan.gc.ca/n1/pub/75-006-x/2019001/article/00012-eng.htm" TargetMode="External"/><Relationship Id="rId1355" Type="http://schemas.openxmlformats.org/officeDocument/2006/relationships/hyperlink" Target="https://www150.statcan.gc.ca/n1/pub/85-002-x/2019001/article/00012-eng.htm" TargetMode="External"/><Relationship Id="rId1562" Type="http://schemas.openxmlformats.org/officeDocument/2006/relationships/hyperlink" Target="https://www150.statcan.gc.ca/n1/pub/11-633-x/11-633-x2018012-eng.htm" TargetMode="External"/><Relationship Id="rId2406" Type="http://schemas.openxmlformats.org/officeDocument/2006/relationships/hyperlink" Target="https://www150.statcan.gc.ca/n1/pub/82-003-x/2018002/article/54909-eng.htm" TargetMode="External"/><Relationship Id="rId2613" Type="http://schemas.openxmlformats.org/officeDocument/2006/relationships/hyperlink" Target="https://www150.statcan.gc.ca/n1/pub/89-652-x/89-652-x2015005-eng.htm" TargetMode="External"/><Relationship Id="rId1008" Type="http://schemas.openxmlformats.org/officeDocument/2006/relationships/hyperlink" Target="https://www150.statcan.gc.ca/n1/pub/89-657-x/89-657-x2020001-eng.htm" TargetMode="External"/><Relationship Id="rId1215" Type="http://schemas.openxmlformats.org/officeDocument/2006/relationships/hyperlink" Target="https://www150.statcan.gc.ca/n1/pub/82-003-x/2017008/article/54853-eng.htm" TargetMode="External"/><Relationship Id="rId1422" Type="http://schemas.openxmlformats.org/officeDocument/2006/relationships/hyperlink" Target="https://www150.statcan.gc.ca/n1/pub/11f0019m/11f0019m2019011-eng.htm" TargetMode="External"/><Relationship Id="rId1867" Type="http://schemas.openxmlformats.org/officeDocument/2006/relationships/hyperlink" Target="https://www150.statcan.gc.ca/n1/pub/11-626-x/11-626-x2015047-eng.htm" TargetMode="External"/><Relationship Id="rId2820" Type="http://schemas.openxmlformats.org/officeDocument/2006/relationships/hyperlink" Target="https://www150.statcan.gc.ca/n1/pub/85-002-x/2018001/article/54981-eng.htm" TargetMode="External"/><Relationship Id="rId61" Type="http://schemas.openxmlformats.org/officeDocument/2006/relationships/hyperlink" Target="https://www150.statcan.gc.ca/n1/pub/89-657-x/89-657-x2017003-eng.htm" TargetMode="External"/><Relationship Id="rId1727" Type="http://schemas.openxmlformats.org/officeDocument/2006/relationships/hyperlink" Target="https://www150.statcan.gc.ca/n1/pub/75f0002m/75f0002m2019010-eng.htm" TargetMode="External"/><Relationship Id="rId1934" Type="http://schemas.openxmlformats.org/officeDocument/2006/relationships/hyperlink" Target="https://www150.statcan.gc.ca/n1/pub/45-28-0001/2020001/article/00069-eng.htm" TargetMode="External"/><Relationship Id="rId19" Type="http://schemas.openxmlformats.org/officeDocument/2006/relationships/hyperlink" Target="https://www150.statcan.gc.ca/n1/pub/82-003-x/2019001/article/00002-eng.htm" TargetMode="External"/><Relationship Id="rId2196" Type="http://schemas.openxmlformats.org/officeDocument/2006/relationships/hyperlink" Target="https://www150.statcan.gc.ca/n1/pub/85-002-x/2018001/article/54914-eng.htm" TargetMode="External"/><Relationship Id="rId168" Type="http://schemas.openxmlformats.org/officeDocument/2006/relationships/hyperlink" Target="https://www150.statcan.gc.ca/n1/pub/11f0019m/11f0019m2020005-eng.htm" TargetMode="External"/><Relationship Id="rId375" Type="http://schemas.openxmlformats.org/officeDocument/2006/relationships/hyperlink" Target="https://www150.statcan.gc.ca/n1/pub/11f0019m/11f0019m2018410-eng.htm" TargetMode="External"/><Relationship Id="rId582" Type="http://schemas.openxmlformats.org/officeDocument/2006/relationships/hyperlink" Target="https://www150.statcan.gc.ca/n1/pub/11f0019m/11f0019m2016375-eng.htm" TargetMode="External"/><Relationship Id="rId2056" Type="http://schemas.openxmlformats.org/officeDocument/2006/relationships/hyperlink" Target="https://www150.statcan.gc.ca/n1/pub/11f0019m/11f0019m2019023-eng.htm" TargetMode="External"/><Relationship Id="rId2263" Type="http://schemas.openxmlformats.org/officeDocument/2006/relationships/hyperlink" Target="https://www150.statcan.gc.ca/n1/pub/85-002-x/2016001/article/14303-eng.htm" TargetMode="External"/><Relationship Id="rId2470" Type="http://schemas.openxmlformats.org/officeDocument/2006/relationships/hyperlink" Target="https://www150.statcan.gc.ca/n1/pub/85-002-x/2020001/article/00005-eng.htm" TargetMode="External"/><Relationship Id="rId3" Type="http://schemas.openxmlformats.org/officeDocument/2006/relationships/hyperlink" Target="https://www150.statcan.gc.ca/n1/pub/21-004-x/2019001/article/00002-eng.htm" TargetMode="External"/><Relationship Id="rId235" Type="http://schemas.openxmlformats.org/officeDocument/2006/relationships/hyperlink" Target="https://www150.statcan.gc.ca/n1/pub/75-006-x/2016001/article/14643-eng.htm" TargetMode="External"/><Relationship Id="rId442" Type="http://schemas.openxmlformats.org/officeDocument/2006/relationships/hyperlink" Target="https://www150.statcan.gc.ca/n1/pub/89-657-x/89-657-x2019005-eng.htm" TargetMode="External"/><Relationship Id="rId887" Type="http://schemas.openxmlformats.org/officeDocument/2006/relationships/hyperlink" Target="https://www150.statcan.gc.ca/n1/pub/11f0027m/11f0027m2015096-eng.htm" TargetMode="External"/><Relationship Id="rId1072" Type="http://schemas.openxmlformats.org/officeDocument/2006/relationships/hyperlink" Target="https://www150.statcan.gc.ca/n1/pub/82-003-x/2017008/article/54852-eng.htm" TargetMode="External"/><Relationship Id="rId2123" Type="http://schemas.openxmlformats.org/officeDocument/2006/relationships/hyperlink" Target="https://www150.statcan.gc.ca/n1/pub/75-006-x/2017001/article/54878-eng.htm" TargetMode="External"/><Relationship Id="rId2330" Type="http://schemas.openxmlformats.org/officeDocument/2006/relationships/hyperlink" Target="https://www150.statcan.gc.ca/n1/pub/11-630-x/11-630-x2016007-eng.htm" TargetMode="External"/><Relationship Id="rId2568" Type="http://schemas.openxmlformats.org/officeDocument/2006/relationships/hyperlink" Target="https://www150.statcan.gc.ca/n1/pub/85-002-x/2017001/article/54870-eng.htm" TargetMode="External"/><Relationship Id="rId2775" Type="http://schemas.openxmlformats.org/officeDocument/2006/relationships/hyperlink" Target="https://www150.statcan.gc.ca/n1/pub/85-002-x/2015001/article/14226-eng.htm" TargetMode="External"/><Relationship Id="rId302" Type="http://schemas.openxmlformats.org/officeDocument/2006/relationships/hyperlink" Target="https://www150.statcan.gc.ca/n1/pub/82-003-x/2015002/article/14139-eng.htm" TargetMode="External"/><Relationship Id="rId747" Type="http://schemas.openxmlformats.org/officeDocument/2006/relationships/hyperlink" Target="https://www150.statcan.gc.ca/n1/pub/89-503-x/2015001/article/14315-eng.htm" TargetMode="External"/><Relationship Id="rId954" Type="http://schemas.openxmlformats.org/officeDocument/2006/relationships/hyperlink" Target="https://www150.statcan.gc.ca/n1/pub/85-002-x/2020001/article/00016-eng.htm" TargetMode="External"/><Relationship Id="rId1377" Type="http://schemas.openxmlformats.org/officeDocument/2006/relationships/hyperlink" Target="https://www150.statcan.gc.ca/n1/pub/75-006-x/2017001/article/14787-eng.htm" TargetMode="External"/><Relationship Id="rId1584" Type="http://schemas.openxmlformats.org/officeDocument/2006/relationships/hyperlink" Target="https://www150.statcan.gc.ca/n1/pub/89-503-x/2015001/article/14695-eng.htm" TargetMode="External"/><Relationship Id="rId1791" Type="http://schemas.openxmlformats.org/officeDocument/2006/relationships/hyperlink" Target="https://www150.statcan.gc.ca/n1/pub/85-002-x/2016001/article/14631-eng.htm" TargetMode="External"/><Relationship Id="rId2428" Type="http://schemas.openxmlformats.org/officeDocument/2006/relationships/hyperlink" Target="https://www150.statcan.gc.ca/n1/pub/11f0019m/11f0019m2019007-eng.htm" TargetMode="External"/><Relationship Id="rId2635" Type="http://schemas.openxmlformats.org/officeDocument/2006/relationships/hyperlink" Target="https://www150.statcan.gc.ca/n1/pub/71-222-x/71-222-x2019002-eng.htm" TargetMode="External"/><Relationship Id="rId83" Type="http://schemas.openxmlformats.org/officeDocument/2006/relationships/hyperlink" Target="https://www150.statcan.gc.ca/n1/pub/89-657-x/89-657-x2017004-eng.htm" TargetMode="External"/><Relationship Id="rId607" Type="http://schemas.openxmlformats.org/officeDocument/2006/relationships/hyperlink" Target="https://www150.statcan.gc.ca/n1/pub/75-006-x/2017001/article/14824-eng.htm" TargetMode="External"/><Relationship Id="rId814" Type="http://schemas.openxmlformats.org/officeDocument/2006/relationships/hyperlink" Target="https://www150.statcan.gc.ca/n1/pub/82-003-x/2015007/article/14204-eng.htm" TargetMode="External"/><Relationship Id="rId1237" Type="http://schemas.openxmlformats.org/officeDocument/2006/relationships/hyperlink" Target="https://www150.statcan.gc.ca/n1/pub/11f0019m/11f0019m2015366-eng.htm" TargetMode="External"/><Relationship Id="rId1444" Type="http://schemas.openxmlformats.org/officeDocument/2006/relationships/hyperlink" Target="https://www150.statcan.gc.ca/n1/pub/82-003-x/2017001/article/14697-eng.htm" TargetMode="External"/><Relationship Id="rId1651" Type="http://schemas.openxmlformats.org/officeDocument/2006/relationships/hyperlink" Target="https://www150.statcan.gc.ca/n1/pub/82-003-x/2015001/article/14130-eng.htm" TargetMode="External"/><Relationship Id="rId1889" Type="http://schemas.openxmlformats.org/officeDocument/2006/relationships/hyperlink" Target="https://www150.statcan.gc.ca/n1/pub/89-503-x/2015001/article/14313-eng.htm" TargetMode="External"/><Relationship Id="rId2702" Type="http://schemas.openxmlformats.org/officeDocument/2006/relationships/hyperlink" Target="https://www150.statcan.gc.ca/n1/pub/75-006-x/2016001/article/14693-eng.htm" TargetMode="External"/><Relationship Id="rId1304" Type="http://schemas.openxmlformats.org/officeDocument/2006/relationships/hyperlink" Target="https://www150.statcan.gc.ca/n1/pub/11-633-x/11-633-x2018013-eng.htm" TargetMode="External"/><Relationship Id="rId1511" Type="http://schemas.openxmlformats.org/officeDocument/2006/relationships/hyperlink" Target="https://www150.statcan.gc.ca/n1/pub/85-002-x/2017001/article/14842-eng.htm" TargetMode="External"/><Relationship Id="rId1749" Type="http://schemas.openxmlformats.org/officeDocument/2006/relationships/hyperlink" Target="https://www150.statcan.gc.ca/n1/pub/89-657-x/89-657-x2019010-eng.htm" TargetMode="External"/><Relationship Id="rId1956" Type="http://schemas.openxmlformats.org/officeDocument/2006/relationships/hyperlink" Target="https://www150.statcan.gc.ca/n1/pub/85-002-x/2017001/article/54879-eng.htm" TargetMode="External"/><Relationship Id="rId1609" Type="http://schemas.openxmlformats.org/officeDocument/2006/relationships/hyperlink" Target="https://www150.statcan.gc.ca/n1/pub/82-003-x/2020010/article/00002-eng.htm" TargetMode="External"/><Relationship Id="rId1816" Type="http://schemas.openxmlformats.org/officeDocument/2006/relationships/hyperlink" Target="https://www150.statcan.gc.ca/n1/pub/75-006-x/2018001/article/54947-eng.htm" TargetMode="External"/><Relationship Id="rId10" Type="http://schemas.openxmlformats.org/officeDocument/2006/relationships/hyperlink" Target="https://www150.statcan.gc.ca/n1/pub/96-325-x/2019001/article/00003-eng.htm" TargetMode="External"/><Relationship Id="rId397" Type="http://schemas.openxmlformats.org/officeDocument/2006/relationships/hyperlink" Target="https://www150.statcan.gc.ca/n1/pub/82-003-x/2015003/article/14143-eng.htm" TargetMode="External"/><Relationship Id="rId2078" Type="http://schemas.openxmlformats.org/officeDocument/2006/relationships/hyperlink" Target="https://www150.statcan.gc.ca/n1/pub/11f0019m/11f0019m2018404-eng.htm" TargetMode="External"/><Relationship Id="rId2285" Type="http://schemas.openxmlformats.org/officeDocument/2006/relationships/hyperlink" Target="https://www150.statcan.gc.ca/n1/pub/89-503-x/2015001/article/14324-eng.htm" TargetMode="External"/><Relationship Id="rId2492" Type="http://schemas.openxmlformats.org/officeDocument/2006/relationships/hyperlink" Target="https://www150.statcan.gc.ca/n1/pub/75-006-x/2019001/article/00007-eng.htm" TargetMode="External"/><Relationship Id="rId257" Type="http://schemas.openxmlformats.org/officeDocument/2006/relationships/hyperlink" Target="https://www150.statcan.gc.ca/pub/82-003-x/2019006/article/00002-eng.htm" TargetMode="External"/><Relationship Id="rId464" Type="http://schemas.openxmlformats.org/officeDocument/2006/relationships/hyperlink" Target="https://www150.statcan.gc.ca/n1/pub/82-003-x/2016009/article/14654-eng.htm" TargetMode="External"/><Relationship Id="rId1094" Type="http://schemas.openxmlformats.org/officeDocument/2006/relationships/hyperlink" Target="https://www150.statcan.gc.ca/n1/pub/75-006-x/2018001/article/54980-eng.htm" TargetMode="External"/><Relationship Id="rId2145" Type="http://schemas.openxmlformats.org/officeDocument/2006/relationships/hyperlink" Target="https://www150.statcan.gc.ca/n1/pub/11-633-x/11-633-x2021001-eng.htm" TargetMode="External"/><Relationship Id="rId2797" Type="http://schemas.openxmlformats.org/officeDocument/2006/relationships/hyperlink" Target="https://www150.statcan.gc.ca/n1/pub/85-603-x/85-603-x2019001-eng.htm" TargetMode="External"/><Relationship Id="rId117" Type="http://schemas.openxmlformats.org/officeDocument/2006/relationships/hyperlink" Target="https://www150.statcan.gc.ca/n1/pub/16-002-x/2015002/article/14133-eng.htm" TargetMode="External"/><Relationship Id="rId671" Type="http://schemas.openxmlformats.org/officeDocument/2006/relationships/hyperlink" Target="https://www150.statcan.gc.ca/n1/pub/11f0019m/11f0019m2017395-eng.htm" TargetMode="External"/><Relationship Id="rId769" Type="http://schemas.openxmlformats.org/officeDocument/2006/relationships/hyperlink" Target="https://www150.statcan.gc.ca/n1/pub/89-503-x/2015001/article/14315-eng.htm" TargetMode="External"/><Relationship Id="rId976" Type="http://schemas.openxmlformats.org/officeDocument/2006/relationships/hyperlink" Target="https://www150.statcan.gc.ca/n1/pub/11f0019m/11f0019m2017390-eng.htm" TargetMode="External"/><Relationship Id="rId1399" Type="http://schemas.openxmlformats.org/officeDocument/2006/relationships/hyperlink" Target="https://www150.statcan.gc.ca/n1/pub/85-002-x/2020001/article/00011-eng.htm" TargetMode="External"/><Relationship Id="rId2352" Type="http://schemas.openxmlformats.org/officeDocument/2006/relationships/hyperlink" Target="https://www150.statcan.gc.ca/n1/pub/85-002-x/2018001/article/54975-eng.htm" TargetMode="External"/><Relationship Id="rId2657" Type="http://schemas.openxmlformats.org/officeDocument/2006/relationships/hyperlink" Target="https://www150.statcan.gc.ca/n1/pub/11f0019m/11f0019m2019006-eng.htm" TargetMode="External"/><Relationship Id="rId324" Type="http://schemas.openxmlformats.org/officeDocument/2006/relationships/hyperlink" Target="https://www150.statcan.gc.ca/n1/pub/89-648-x/89-648-x2020003-eng.htm" TargetMode="External"/><Relationship Id="rId531" Type="http://schemas.openxmlformats.org/officeDocument/2006/relationships/hyperlink" Target="https://www150.statcan.gc.ca/n1/pub/89-652-x/89-652-x2015001-eng.htm" TargetMode="External"/><Relationship Id="rId629" Type="http://schemas.openxmlformats.org/officeDocument/2006/relationships/hyperlink" Target="https://www150.statcan.gc.ca/n1/pub/11-633-x/11-633-x2017006-eng.htm" TargetMode="External"/><Relationship Id="rId1161" Type="http://schemas.openxmlformats.org/officeDocument/2006/relationships/hyperlink" Target="https://www150.statcan.gc.ca/n1/pub/89-652-x/89-652-x2015002-eng.htm" TargetMode="External"/><Relationship Id="rId1259" Type="http://schemas.openxmlformats.org/officeDocument/2006/relationships/hyperlink" Target="https://www150.statcan.gc.ca/n1/pub/75-006-x/2016001/article/14464-eng.htm" TargetMode="External"/><Relationship Id="rId1466" Type="http://schemas.openxmlformats.org/officeDocument/2006/relationships/hyperlink" Target="https://www150.statcan.gc.ca/n1/pub/75-006-x/2016001/article/14655-eng.htm" TargetMode="External"/><Relationship Id="rId2005" Type="http://schemas.openxmlformats.org/officeDocument/2006/relationships/hyperlink" Target="https://www150.statcan.gc.ca/n1/pub/85-002-x/2016001/article/14642-eng.htm" TargetMode="External"/><Relationship Id="rId2212" Type="http://schemas.openxmlformats.org/officeDocument/2006/relationships/hyperlink" Target="https://www150.statcan.gc.ca/n1/pub/85-002-x/2018001/article/54972-eng.htm" TargetMode="External"/><Relationship Id="rId836" Type="http://schemas.openxmlformats.org/officeDocument/2006/relationships/hyperlink" Target="https://www150.statcan.gc.ca/n1/pub/85-002-x/2020001/article/00007-eng.htm" TargetMode="External"/><Relationship Id="rId1021" Type="http://schemas.openxmlformats.org/officeDocument/2006/relationships/hyperlink" Target="https://www150.statcan.gc.ca/n1/pub/82-003-x/2020002/article/00001-eng.htm" TargetMode="External"/><Relationship Id="rId1119" Type="http://schemas.openxmlformats.org/officeDocument/2006/relationships/hyperlink" Target="https://www150.statcan.gc.ca/n1/pub/11-633-x/11-633-x2018016-eng.htm" TargetMode="External"/><Relationship Id="rId1673" Type="http://schemas.openxmlformats.org/officeDocument/2006/relationships/hyperlink" Target="https://www150.statcan.gc.ca/n1/pub/51-004-x/51-004-x2020005-eng.htm" TargetMode="External"/><Relationship Id="rId1880" Type="http://schemas.openxmlformats.org/officeDocument/2006/relationships/hyperlink" Target="https://www150.statcan.gc.ca/n1/pub/11-633-x/11-633-x2020002-eng.htm" TargetMode="External"/><Relationship Id="rId1978" Type="http://schemas.openxmlformats.org/officeDocument/2006/relationships/hyperlink" Target="https://www150.statcan.gc.ca/n1/pub/11f0019m/11f0019m2016387-eng.htm" TargetMode="External"/><Relationship Id="rId2517" Type="http://schemas.openxmlformats.org/officeDocument/2006/relationships/hyperlink" Target="https://www150.statcan.gc.ca/n1/pub/85-002-x/2017001/article/54844-eng.htm" TargetMode="External"/><Relationship Id="rId2724" Type="http://schemas.openxmlformats.org/officeDocument/2006/relationships/hyperlink" Target="https://www150.statcan.gc.ca/n1/pub/13-605-x/2017001/article/54882-eng.htm" TargetMode="External"/><Relationship Id="rId903" Type="http://schemas.openxmlformats.org/officeDocument/2006/relationships/hyperlink" Target="https://www150.statcan.gc.ca/n1/pub/11-622-m/11-622-m2015031-eng.htm" TargetMode="External"/><Relationship Id="rId1326" Type="http://schemas.openxmlformats.org/officeDocument/2006/relationships/hyperlink" Target="https://www150.statcan.gc.ca/n1/pub/45-20-0002/452000022019001-eng.htm" TargetMode="External"/><Relationship Id="rId1533" Type="http://schemas.openxmlformats.org/officeDocument/2006/relationships/hyperlink" Target="https://www150.statcan.gc.ca/n1/pub/11f0019m/11f0019m2016377-eng.htm" TargetMode="External"/><Relationship Id="rId1740" Type="http://schemas.openxmlformats.org/officeDocument/2006/relationships/hyperlink" Target="https://www150.statcan.gc.ca/n1/pub/11f0019m/11f0019m2018408-eng.htm" TargetMode="External"/><Relationship Id="rId32" Type="http://schemas.openxmlformats.org/officeDocument/2006/relationships/hyperlink" Target="https://www150.statcan.gc.ca/n1/pub/96-325-x/2017001/article/54924-eng.htm" TargetMode="External"/><Relationship Id="rId1600" Type="http://schemas.openxmlformats.org/officeDocument/2006/relationships/hyperlink" Target="https://www150.statcan.gc.ca/n1/pub/71-588-x/71-588-x2017001-eng.htm" TargetMode="External"/><Relationship Id="rId1838" Type="http://schemas.openxmlformats.org/officeDocument/2006/relationships/hyperlink" Target="https://www150.statcan.gc.ca/n1/pub/11f0019m/11f0019m2016374-eng.htm" TargetMode="External"/><Relationship Id="rId181" Type="http://schemas.openxmlformats.org/officeDocument/2006/relationships/hyperlink" Target="https://www150.statcan.gc.ca/n1/pub/11f0019m/11f0019m2020002-eng.htm" TargetMode="External"/><Relationship Id="rId1905" Type="http://schemas.openxmlformats.org/officeDocument/2006/relationships/hyperlink" Target="https://www150.statcan.gc.ca/n1/pub/75f0002m/75f0002m2019012-eng.htm" TargetMode="External"/><Relationship Id="rId279" Type="http://schemas.openxmlformats.org/officeDocument/2006/relationships/hyperlink" Target="https://www150.statcan.gc.ca/n1/pub/85-002-x/2015001/article/14146-eng.htm" TargetMode="External"/><Relationship Id="rId486" Type="http://schemas.openxmlformats.org/officeDocument/2006/relationships/hyperlink" Target="https://www150.statcan.gc.ca/n1/pub/11-626-x/11-626-x2015051-eng.htm" TargetMode="External"/><Relationship Id="rId693" Type="http://schemas.openxmlformats.org/officeDocument/2006/relationships/hyperlink" Target="https://www150.statcan.gc.ca/n1/pub/89-652-x/89-652-x2016005-eng.htm" TargetMode="External"/><Relationship Id="rId2167" Type="http://schemas.openxmlformats.org/officeDocument/2006/relationships/hyperlink" Target="https://www150.statcan.gc.ca/n1/pub/89-653-x/89-653-x2019005-eng.htm" TargetMode="External"/><Relationship Id="rId2374" Type="http://schemas.openxmlformats.org/officeDocument/2006/relationships/hyperlink" Target="https://www150.statcan.gc.ca/n1/pub/11-626-x/11-626-x2020011-eng.htm" TargetMode="External"/><Relationship Id="rId2581" Type="http://schemas.openxmlformats.org/officeDocument/2006/relationships/hyperlink" Target="https://www150.statcan.gc.ca/n1/pub/91-209-x/2016001/article/14615-eng.htm" TargetMode="External"/><Relationship Id="rId139" Type="http://schemas.openxmlformats.org/officeDocument/2006/relationships/hyperlink" Target="https://www150.statcan.gc.ca/n1/pub/11-633-x/11-633-x2020003-eng.htm" TargetMode="External"/><Relationship Id="rId346" Type="http://schemas.openxmlformats.org/officeDocument/2006/relationships/hyperlink" Target="https://www150.statcan.gc.ca/n1/pub/89-503-x/2015001/article/14785-eng.htm" TargetMode="External"/><Relationship Id="rId553" Type="http://schemas.openxmlformats.org/officeDocument/2006/relationships/hyperlink" Target="https://www150.statcan.gc.ca/n1/pub/82-003-x/2017009/article/54855-eng.htm" TargetMode="External"/><Relationship Id="rId760" Type="http://schemas.openxmlformats.org/officeDocument/2006/relationships/hyperlink" Target="https://www150.statcan.gc.ca/n1/pub/89-503-x/2015001/article/14315-eng.htm" TargetMode="External"/><Relationship Id="rId998" Type="http://schemas.openxmlformats.org/officeDocument/2006/relationships/hyperlink" Target="https://www150.statcan.gc.ca/n1/pub/11f0019m/11f0019m2017394-eng.htm" TargetMode="External"/><Relationship Id="rId1183" Type="http://schemas.openxmlformats.org/officeDocument/2006/relationships/hyperlink" Target="https://www150.statcan.gc.ca/n1/pub/75-006-x/2020001/article/00003-eng.htm" TargetMode="External"/><Relationship Id="rId1390" Type="http://schemas.openxmlformats.org/officeDocument/2006/relationships/hyperlink" Target="https://www150.statcan.gc.ca/n1/pub/15-206-x/15-206-x2015039-eng.htm" TargetMode="External"/><Relationship Id="rId2027" Type="http://schemas.openxmlformats.org/officeDocument/2006/relationships/hyperlink" Target="https://www150.statcan.gc.ca/n1/pub/75-006-x/2017001/article/14798-eng.htm" TargetMode="External"/><Relationship Id="rId2234" Type="http://schemas.openxmlformats.org/officeDocument/2006/relationships/hyperlink" Target="https://www150.statcan.gc.ca/n1/pub/75-006-x/2019001/article/00013-eng.htm" TargetMode="External"/><Relationship Id="rId2441" Type="http://schemas.openxmlformats.org/officeDocument/2006/relationships/hyperlink" Target="https://www150.statcan.gc.ca/n1/pub/82-003-x/2015001/article/14131-eng.htm" TargetMode="External"/><Relationship Id="rId2679" Type="http://schemas.openxmlformats.org/officeDocument/2006/relationships/hyperlink" Target="https://www150.statcan.gc.ca/n1/pub/82-003-x/2017007/article/14844-eng.htm" TargetMode="External"/><Relationship Id="rId206" Type="http://schemas.openxmlformats.org/officeDocument/2006/relationships/hyperlink" Target="https://www150.statcan.gc.ca/n1/pub/18-001-x/18-001-x2019002-eng.htm" TargetMode="External"/><Relationship Id="rId413" Type="http://schemas.openxmlformats.org/officeDocument/2006/relationships/hyperlink" Target="https://www150.statcan.gc.ca/n1/pub/89-653-x/89-653-x2018002-eng.htm" TargetMode="External"/><Relationship Id="rId858" Type="http://schemas.openxmlformats.org/officeDocument/2006/relationships/hyperlink" Target="https://www150.statcan.gc.ca/n1/pub/89-657-x/89-657-x2019007-eng.htm" TargetMode="External"/><Relationship Id="rId1043" Type="http://schemas.openxmlformats.org/officeDocument/2006/relationships/hyperlink" Target="https://www150.statcan.gc.ca/n1/pub/82-003-x/2020002/article/00002-eng.htm" TargetMode="External"/><Relationship Id="rId1488" Type="http://schemas.openxmlformats.org/officeDocument/2006/relationships/hyperlink" Target="https://www150.statcan.gc.ca/n1/pub/85-002-x/2017001/article/14689-eng.htm" TargetMode="External"/><Relationship Id="rId1695" Type="http://schemas.openxmlformats.org/officeDocument/2006/relationships/hyperlink" Target="https://www150.statcan.gc.ca/n1/pub/11f0019m/11f0019m2015371-eng.htm" TargetMode="External"/><Relationship Id="rId2539" Type="http://schemas.openxmlformats.org/officeDocument/2006/relationships/hyperlink" Target="https://www150.statcan.gc.ca/n1/pub/85-002-x/2017001/article/14699-eng.htm" TargetMode="External"/><Relationship Id="rId2746" Type="http://schemas.openxmlformats.org/officeDocument/2006/relationships/hyperlink" Target="https://www150.statcan.gc.ca/n1/pub/89-503-x/2015001/article/14680-eng.htm" TargetMode="External"/><Relationship Id="rId620" Type="http://schemas.openxmlformats.org/officeDocument/2006/relationships/hyperlink" Target="https://www150.statcan.gc.ca/n1/pub/89-654-x/89-654-x2018002-eng.htm" TargetMode="External"/><Relationship Id="rId718" Type="http://schemas.openxmlformats.org/officeDocument/2006/relationships/hyperlink" Target="https://www150.statcan.gc.ca/n1/pub/82-003-x/2015003/article/14144-eng.htm" TargetMode="External"/><Relationship Id="rId925" Type="http://schemas.openxmlformats.org/officeDocument/2006/relationships/hyperlink" Target="https://www150.statcan.gc.ca/n1/pub/85-002-x/2019001/article/00017-eng.htm" TargetMode="External"/><Relationship Id="rId1250" Type="http://schemas.openxmlformats.org/officeDocument/2006/relationships/hyperlink" Target="https://www150.statcan.gc.ca/n1/pub/85-002-x/2017001/article/54842-eng.htm" TargetMode="External"/><Relationship Id="rId1348" Type="http://schemas.openxmlformats.org/officeDocument/2006/relationships/hyperlink" Target="https://www150.statcan.gc.ca/n1/pub/85-002-x/2020001/article/00010-eng.htm" TargetMode="External"/><Relationship Id="rId1555" Type="http://schemas.openxmlformats.org/officeDocument/2006/relationships/hyperlink" Target="https://www150.statcan.gc.ca/n1/pub/89-652-x/89-652-x2016001-eng.htm" TargetMode="External"/><Relationship Id="rId1762" Type="http://schemas.openxmlformats.org/officeDocument/2006/relationships/hyperlink" Target="https://www150.statcan.gc.ca/n1/pub/89-657-x/89-657-x2019010-eng.htm" TargetMode="External"/><Relationship Id="rId2301" Type="http://schemas.openxmlformats.org/officeDocument/2006/relationships/hyperlink" Target="https://www150.statcan.gc.ca/n1/pub/89-503-x/2015001/article/14640-eng.htm" TargetMode="External"/><Relationship Id="rId2606" Type="http://schemas.openxmlformats.org/officeDocument/2006/relationships/hyperlink" Target="https://www150.statcan.gc.ca/n1/pub/11f0027m/11f0027m2015097-eng.htm" TargetMode="External"/><Relationship Id="rId1110" Type="http://schemas.openxmlformats.org/officeDocument/2006/relationships/hyperlink" Target="https://www150.statcan.gc.ca/n1/pub/82-003-x/2018001/article/54902-eng.htm" TargetMode="External"/><Relationship Id="rId1208" Type="http://schemas.openxmlformats.org/officeDocument/2006/relationships/hyperlink" Target="https://www150.statcan.gc.ca/n1/pub/91-551-x/91-551-x2017001-eng.htm" TargetMode="External"/><Relationship Id="rId1415" Type="http://schemas.openxmlformats.org/officeDocument/2006/relationships/hyperlink" Target="https://www150.statcan.gc.ca/n1/pub/85-002-x/2017001/article/14700-eng.htm" TargetMode="External"/><Relationship Id="rId2813" Type="http://schemas.openxmlformats.org/officeDocument/2006/relationships/hyperlink" Target="https://www150.statcan.gc.ca/n1/pub/85-002-x/2018001/article/54981-eng.htm" TargetMode="External"/><Relationship Id="rId54" Type="http://schemas.openxmlformats.org/officeDocument/2006/relationships/hyperlink" Target="https://www150.statcan.gc.ca/n1/pub/89-657-x/89-657-x2017003-eng.htm" TargetMode="External"/><Relationship Id="rId1622" Type="http://schemas.openxmlformats.org/officeDocument/2006/relationships/hyperlink" Target="https://www150.statcan.gc.ca/n1/pub/89-503-x/2015001/article/14316-eng.htm" TargetMode="External"/><Relationship Id="rId1927" Type="http://schemas.openxmlformats.org/officeDocument/2006/relationships/hyperlink" Target="https://www150.statcan.gc.ca/n1/pub/85-002-x/2019001/article/00013-eng.htm" TargetMode="External"/><Relationship Id="rId2091" Type="http://schemas.openxmlformats.org/officeDocument/2006/relationships/hyperlink" Target="https://www150.statcan.gc.ca/n1/pub/89-503-x/2015001/article/14235-eng.htm" TargetMode="External"/><Relationship Id="rId2189" Type="http://schemas.openxmlformats.org/officeDocument/2006/relationships/hyperlink" Target="https://www150.statcan.gc.ca/n1/pub/11f0019m/11f0019m2015365-eng.htm" TargetMode="External"/><Relationship Id="rId270" Type="http://schemas.openxmlformats.org/officeDocument/2006/relationships/hyperlink" Target="https://www150.statcan.gc.ca/n1/pub/85-002-x/2015001/article/14146-eng.htm" TargetMode="External"/><Relationship Id="rId2396" Type="http://schemas.openxmlformats.org/officeDocument/2006/relationships/hyperlink" Target="https://www150.statcan.gc.ca/n1/pub/85-002-x/2016001/article/14679-eng.htm" TargetMode="External"/><Relationship Id="rId130" Type="http://schemas.openxmlformats.org/officeDocument/2006/relationships/hyperlink" Target="https://www150.statcan.gc.ca/n1/pub/11f0019m/11f0019m2020019-eng.htm" TargetMode="External"/><Relationship Id="rId368" Type="http://schemas.openxmlformats.org/officeDocument/2006/relationships/hyperlink" Target="https://www150.statcan.gc.ca/n1/pub/82-003-x/2018009/article/00001-eng.htm" TargetMode="External"/><Relationship Id="rId575" Type="http://schemas.openxmlformats.org/officeDocument/2006/relationships/hyperlink" Target="https://www150.statcan.gc.ca/n1/pub/11f0019m/11f0019m2016375-eng.htm" TargetMode="External"/><Relationship Id="rId782" Type="http://schemas.openxmlformats.org/officeDocument/2006/relationships/hyperlink" Target="https://www150.statcan.gc.ca/n1/pub/82-003-x/2018010/article/00002-eng.htm" TargetMode="External"/><Relationship Id="rId2049" Type="http://schemas.openxmlformats.org/officeDocument/2006/relationships/hyperlink" Target="https://www150.statcan.gc.ca/n1/pub/75f0002m/75f0002m2020003-eng.htm" TargetMode="External"/><Relationship Id="rId2256" Type="http://schemas.openxmlformats.org/officeDocument/2006/relationships/hyperlink" Target="https://www150.statcan.gc.ca/n1/pub/85-002-x/2016001/article/14303-eng.htm" TargetMode="External"/><Relationship Id="rId2463" Type="http://schemas.openxmlformats.org/officeDocument/2006/relationships/hyperlink" Target="https://www150.statcan.gc.ca/n1/pub/85-002-x/2020001/article/00005-eng.htm" TargetMode="External"/><Relationship Id="rId2670" Type="http://schemas.openxmlformats.org/officeDocument/2006/relationships/hyperlink" Target="https://www150.statcan.gc.ca/n1/pub/82-003-x/2020005/article/00001-eng.htm" TargetMode="External"/><Relationship Id="rId228" Type="http://schemas.openxmlformats.org/officeDocument/2006/relationships/hyperlink" Target="https://www150.statcan.gc.ca/n1/pub/82-003-x/2016004/article/14490-eng.htm" TargetMode="External"/><Relationship Id="rId435" Type="http://schemas.openxmlformats.org/officeDocument/2006/relationships/hyperlink" Target="https://www150.statcan.gc.ca/n1/pub/89-657-x/89-657-x2016002-eng.htm" TargetMode="External"/><Relationship Id="rId642" Type="http://schemas.openxmlformats.org/officeDocument/2006/relationships/hyperlink" Target="https://www150.statcan.gc.ca/n1/pub/11-626-x/11-626-x2015049-eng.htm" TargetMode="External"/><Relationship Id="rId1065" Type="http://schemas.openxmlformats.org/officeDocument/2006/relationships/hyperlink" Target="https://www150.statcan.gc.ca/n1/pub/85-002-x/2015001/article/14207-eng.htm" TargetMode="External"/><Relationship Id="rId1272" Type="http://schemas.openxmlformats.org/officeDocument/2006/relationships/hyperlink" Target="https://www150.statcan.gc.ca/n1/pub/11f0019m/11f0019m2016386-eng.htm" TargetMode="External"/><Relationship Id="rId2116" Type="http://schemas.openxmlformats.org/officeDocument/2006/relationships/hyperlink" Target="https://www150.statcan.gc.ca/n1/pub/85-002-x/2020001/article/00013-eng.htm" TargetMode="External"/><Relationship Id="rId2323" Type="http://schemas.openxmlformats.org/officeDocument/2006/relationships/hyperlink" Target="https://www150.statcan.gc.ca/n1/pub/82-003-x/2017003/article/14781-eng.htm" TargetMode="External"/><Relationship Id="rId2530" Type="http://schemas.openxmlformats.org/officeDocument/2006/relationships/hyperlink" Target="https://www150.statcan.gc.ca/n1/pub/89-653-x/89-653-x2016010-eng.htm" TargetMode="External"/><Relationship Id="rId2768" Type="http://schemas.openxmlformats.org/officeDocument/2006/relationships/hyperlink" Target="https://www150.statcan.gc.ca/n1/pub/85-002-x/2016001/article/14470-eng.htm" TargetMode="External"/><Relationship Id="rId502" Type="http://schemas.openxmlformats.org/officeDocument/2006/relationships/hyperlink" Target="https://www150.statcan.gc.ca/n1/pub/91-209-x/2018001/article/54956-eng.htm" TargetMode="External"/><Relationship Id="rId947" Type="http://schemas.openxmlformats.org/officeDocument/2006/relationships/hyperlink" Target="https://www150.statcan.gc.ca/n1/pub/75-006-x/2019001/article/00017-eng.htm" TargetMode="External"/><Relationship Id="rId1132" Type="http://schemas.openxmlformats.org/officeDocument/2006/relationships/hyperlink" Target="https://www150.statcan.gc.ca/n1/pub/85-002-x/2015001/article/14233-eng.htm" TargetMode="External"/><Relationship Id="rId1577" Type="http://schemas.openxmlformats.org/officeDocument/2006/relationships/hyperlink" Target="https://www150.statcan.gc.ca/n1/pub/89-503-x/2015001/article/14695-eng.htm" TargetMode="External"/><Relationship Id="rId1784" Type="http://schemas.openxmlformats.org/officeDocument/2006/relationships/hyperlink" Target="https://www150.statcan.gc.ca/n1/pub/85-002-x/2016001/article/14631-eng.htm" TargetMode="External"/><Relationship Id="rId1991" Type="http://schemas.openxmlformats.org/officeDocument/2006/relationships/hyperlink" Target="https://www150.statcan.gc.ca/n1/pub/82-003-x/2016007/article/14645-eng.htm" TargetMode="External"/><Relationship Id="rId2628" Type="http://schemas.openxmlformats.org/officeDocument/2006/relationships/hyperlink" Target="https://www150.statcan.gc.ca/n1/pub/89-652-x/89-652-x2015007-eng.htm" TargetMode="External"/><Relationship Id="rId76" Type="http://schemas.openxmlformats.org/officeDocument/2006/relationships/hyperlink" Target="https://www150.statcan.gc.ca/n1/pub/89-657-x/89-657-x2017004-eng.htm" TargetMode="External"/><Relationship Id="rId807" Type="http://schemas.openxmlformats.org/officeDocument/2006/relationships/hyperlink" Target="https://www150.statcan.gc.ca/n1/pub/11-626-x/11-626-x2016055-eng.htm" TargetMode="External"/><Relationship Id="rId1437" Type="http://schemas.openxmlformats.org/officeDocument/2006/relationships/hyperlink" Target="https://www150.statcan.gc.ca/n1/pub/11f0019m/11f0019m2019010-eng.htm" TargetMode="External"/><Relationship Id="rId1644" Type="http://schemas.openxmlformats.org/officeDocument/2006/relationships/hyperlink" Target="https://www150.statcan.gc.ca/n1/pub/85-002-x/2018001/article/54979-eng.htm" TargetMode="External"/><Relationship Id="rId1851" Type="http://schemas.openxmlformats.org/officeDocument/2006/relationships/hyperlink" Target="https://www150.statcan.gc.ca/n1/pub/75-006-x/2017001/article/14826-eng.htm" TargetMode="External"/><Relationship Id="rId1504" Type="http://schemas.openxmlformats.org/officeDocument/2006/relationships/hyperlink" Target="https://www150.statcan.gc.ca/n1/pub/82-003-x/2020004/article/00002-eng.htm" TargetMode="External"/><Relationship Id="rId1711" Type="http://schemas.openxmlformats.org/officeDocument/2006/relationships/hyperlink" Target="https://www150.statcan.gc.ca/n1/pub/85-002-x/2015001/article/14164-eng.htm" TargetMode="External"/><Relationship Id="rId1949" Type="http://schemas.openxmlformats.org/officeDocument/2006/relationships/hyperlink" Target="https://www150.statcan.gc.ca/n1/pub/85-002-x/2015001/article/14198-eng.htm" TargetMode="External"/><Relationship Id="rId292" Type="http://schemas.openxmlformats.org/officeDocument/2006/relationships/hyperlink" Target="https://www150.statcan.gc.ca/n1/pub/11-626-x/11-626-x2019015-eng.htm" TargetMode="External"/><Relationship Id="rId1809" Type="http://schemas.openxmlformats.org/officeDocument/2006/relationships/hyperlink" Target="https://www150.statcan.gc.ca/n1/pub/75-004-m/75-004-m2016001-eng.htm" TargetMode="External"/><Relationship Id="rId597" Type="http://schemas.openxmlformats.org/officeDocument/2006/relationships/hyperlink" Target="https://www150.statcan.gc.ca/n1/pub/82-003-x/2020011/article/00001-eng.htm" TargetMode="External"/><Relationship Id="rId2180" Type="http://schemas.openxmlformats.org/officeDocument/2006/relationships/hyperlink" Target="https://www150.statcan.gc.ca/n1/pub/75-006-x/2015001/article/14221-eng.htm" TargetMode="External"/><Relationship Id="rId2278" Type="http://schemas.openxmlformats.org/officeDocument/2006/relationships/hyperlink" Target="https://www150.statcan.gc.ca/n1/pub/85-002-x/2016001/article/14303-eng.htm" TargetMode="External"/><Relationship Id="rId2485" Type="http://schemas.openxmlformats.org/officeDocument/2006/relationships/hyperlink" Target="https://www150.statcan.gc.ca/n1/pub/75-006-x/2019001/article/00007-eng.htm" TargetMode="External"/><Relationship Id="rId152" Type="http://schemas.openxmlformats.org/officeDocument/2006/relationships/hyperlink" Target="https://www150.statcan.gc.ca/n1/pub/11f0019m/11f0019m2020008-eng.htm" TargetMode="External"/><Relationship Id="rId457" Type="http://schemas.openxmlformats.org/officeDocument/2006/relationships/hyperlink" Target="https://www150.statcan.gc.ca/n1/pub/85-603-x/85-603-x2019002-eng.htm" TargetMode="External"/><Relationship Id="rId1087" Type="http://schemas.openxmlformats.org/officeDocument/2006/relationships/hyperlink" Target="https://www150.statcan.gc.ca/n1/pub/75-006-x/2018001/article/54917-eng.htm" TargetMode="External"/><Relationship Id="rId1294" Type="http://schemas.openxmlformats.org/officeDocument/2006/relationships/hyperlink" Target="https://www150.statcan.gc.ca/n1/pub/89-652-x/89-652-x2015003-eng.htm" TargetMode="External"/><Relationship Id="rId2040" Type="http://schemas.openxmlformats.org/officeDocument/2006/relationships/hyperlink" Target="https://www150.statcan.gc.ca/n1/pub/11f0019m/11f0019m2016373-eng.htm" TargetMode="External"/><Relationship Id="rId2138" Type="http://schemas.openxmlformats.org/officeDocument/2006/relationships/hyperlink" Target="https://www150.statcan.gc.ca/n1/pub/11-633-x/11-633-x2021001-eng.htm" TargetMode="External"/><Relationship Id="rId2692" Type="http://schemas.openxmlformats.org/officeDocument/2006/relationships/hyperlink" Target="https://www150.statcan.gc.ca/n1/pub/89-653-x/89-653-x2019001-eng.htm" TargetMode="External"/><Relationship Id="rId664" Type="http://schemas.openxmlformats.org/officeDocument/2006/relationships/hyperlink" Target="https://www150.statcan.gc.ca/n1/pub/85-002-x/2019001/article/00005-eng.htm" TargetMode="External"/><Relationship Id="rId871" Type="http://schemas.openxmlformats.org/officeDocument/2006/relationships/hyperlink" Target="https://www150.statcan.gc.ca/n1/pub/82-003-x/2019002/article/00002-eng.htm" TargetMode="External"/><Relationship Id="rId969" Type="http://schemas.openxmlformats.org/officeDocument/2006/relationships/hyperlink" Target="https://www150.statcan.gc.ca/n1/pub/82-003-x/2020001/article/00002-eng.htm" TargetMode="External"/><Relationship Id="rId1599" Type="http://schemas.openxmlformats.org/officeDocument/2006/relationships/hyperlink" Target="https://www150.statcan.gc.ca/n1/pub/71-588-x/71-588-x2017001-eng.htm" TargetMode="External"/><Relationship Id="rId2345" Type="http://schemas.openxmlformats.org/officeDocument/2006/relationships/hyperlink" Target="https://www150.statcan.gc.ca/n1/pub/11f0019m/11f0019m2019002-eng.htm" TargetMode="External"/><Relationship Id="rId2552" Type="http://schemas.openxmlformats.org/officeDocument/2006/relationships/hyperlink" Target="https://www150.statcan.gc.ca/n1/pub/89-652-x/89-652-x2015008-eng.htm" TargetMode="External"/><Relationship Id="rId317" Type="http://schemas.openxmlformats.org/officeDocument/2006/relationships/hyperlink" Target="https://www150.statcan.gc.ca/n1/pub/82-003-x/2016012/article/14687-eng.htm" TargetMode="External"/><Relationship Id="rId524" Type="http://schemas.openxmlformats.org/officeDocument/2006/relationships/hyperlink" Target="https://www150.statcan.gc.ca/n1/pub/82-003-x/2018007/article/00002-eng.htm" TargetMode="External"/><Relationship Id="rId731" Type="http://schemas.openxmlformats.org/officeDocument/2006/relationships/hyperlink" Target="https://www150.statcan.gc.ca/n1/pub/11f0019m/11f0019m2019024-eng.htm" TargetMode="External"/><Relationship Id="rId1154" Type="http://schemas.openxmlformats.org/officeDocument/2006/relationships/hyperlink" Target="https://www150.statcan.gc.ca/n1/pub/89-652-x/89-652-x2015002-eng.htm" TargetMode="External"/><Relationship Id="rId1361" Type="http://schemas.openxmlformats.org/officeDocument/2006/relationships/hyperlink" Target="https://www150.statcan.gc.ca/n1/pub/89-652-x/89-652-x2015006-eng.htm" TargetMode="External"/><Relationship Id="rId1459" Type="http://schemas.openxmlformats.org/officeDocument/2006/relationships/hyperlink" Target="https://www150.statcan.gc.ca/n1/pub/85-002-x/2017001/article/54889-eng.htm" TargetMode="External"/><Relationship Id="rId2205" Type="http://schemas.openxmlformats.org/officeDocument/2006/relationships/hyperlink" Target="https://www150.statcan.gc.ca/n1/pub/85-002-x/2018001/article/54972-eng.htm" TargetMode="External"/><Relationship Id="rId2412" Type="http://schemas.openxmlformats.org/officeDocument/2006/relationships/hyperlink" Target="https://www150.statcan.gc.ca/n1/pub/82-003-x/2016012/article/14688-eng.htm" TargetMode="External"/><Relationship Id="rId98" Type="http://schemas.openxmlformats.org/officeDocument/2006/relationships/hyperlink" Target="https://www150.statcan.gc.ca/n1/pub/89-657-x/89-657-x2017005-eng.htm" TargetMode="External"/><Relationship Id="rId829" Type="http://schemas.openxmlformats.org/officeDocument/2006/relationships/hyperlink" Target="https://www150.statcan.gc.ca/n1/pub/75-006-x/2015001/article/14247-eng.htm" TargetMode="External"/><Relationship Id="rId1014" Type="http://schemas.openxmlformats.org/officeDocument/2006/relationships/hyperlink" Target="https://www150.statcan.gc.ca/n1/pub/85-002-x/2019001/article/00015-eng.htm" TargetMode="External"/><Relationship Id="rId1221" Type="http://schemas.openxmlformats.org/officeDocument/2006/relationships/hyperlink" Target="https://www150.statcan.gc.ca/n1/pub/11f0019m/11f0019m2020018-eng.htm" TargetMode="External"/><Relationship Id="rId1666" Type="http://schemas.openxmlformats.org/officeDocument/2006/relationships/hyperlink" Target="https://www150.statcan.gc.ca/n1/pub/85-002-x/2018001/article/54980-eng.htm" TargetMode="External"/><Relationship Id="rId1873" Type="http://schemas.openxmlformats.org/officeDocument/2006/relationships/hyperlink" Target="https://www150.statcan.gc.ca/n1/pub/82-003-x/2019011/article/00001-eng.htm" TargetMode="External"/><Relationship Id="rId2717" Type="http://schemas.openxmlformats.org/officeDocument/2006/relationships/hyperlink" Target="https://www150.statcan.gc.ca/n1/pub/82-003-x/2015006/article/14196-eng.htm" TargetMode="External"/><Relationship Id="rId1319" Type="http://schemas.openxmlformats.org/officeDocument/2006/relationships/hyperlink" Target="https://www150.statcan.gc.ca/n1/pub/13-605-x/2018001/article/54961-eng.htm" TargetMode="External"/><Relationship Id="rId1526" Type="http://schemas.openxmlformats.org/officeDocument/2006/relationships/hyperlink" Target="https://www150.statcan.gc.ca/n1/pub/82-003-x/2020009/article/00001-eng.htm" TargetMode="External"/><Relationship Id="rId1733" Type="http://schemas.openxmlformats.org/officeDocument/2006/relationships/hyperlink" Target="https://www150.statcan.gc.ca/n1/pub/82-003-x/2019005/article/00001-eng.htm" TargetMode="External"/><Relationship Id="rId1940" Type="http://schemas.openxmlformats.org/officeDocument/2006/relationships/hyperlink" Target="https://www150.statcan.gc.ca/n1/pub/85-002-x/2019001/article/00016-eng.htm" TargetMode="External"/><Relationship Id="rId25" Type="http://schemas.openxmlformats.org/officeDocument/2006/relationships/hyperlink" Target="https://www150.statcan.gc.ca/n1/pub/82-003-x/2018005/article/54965-eng.htm" TargetMode="External"/><Relationship Id="rId1800" Type="http://schemas.openxmlformats.org/officeDocument/2006/relationships/hyperlink" Target="https://www150.statcan.gc.ca/n1/pub/85-002-x/2016001/article/14668-eng.htm" TargetMode="External"/><Relationship Id="rId174" Type="http://schemas.openxmlformats.org/officeDocument/2006/relationships/hyperlink" Target="https://www150.statcan.gc.ca/n1/pub/11f0019m/11f0019m2020001-eng.htm" TargetMode="External"/><Relationship Id="rId381" Type="http://schemas.openxmlformats.org/officeDocument/2006/relationships/hyperlink" Target="https://www150.statcan.gc.ca/n1/pub/11-633-x/11-633-x2016003-eng.htm" TargetMode="External"/><Relationship Id="rId2062" Type="http://schemas.openxmlformats.org/officeDocument/2006/relationships/hyperlink" Target="https://www150.statcan.gc.ca/n1/pub/11f0019m/11f0019m2017400-eng.htm" TargetMode="External"/><Relationship Id="rId241" Type="http://schemas.openxmlformats.org/officeDocument/2006/relationships/hyperlink" Target="https://www150.statcan.gc.ca/n1/pub/11f0019m/11f0019m2016385-eng.htm" TargetMode="External"/><Relationship Id="rId479" Type="http://schemas.openxmlformats.org/officeDocument/2006/relationships/hyperlink" Target="https://www150.statcan.gc.ca/n1/pub/82-003-x/2015004/article/14158-eng.htm" TargetMode="External"/><Relationship Id="rId686" Type="http://schemas.openxmlformats.org/officeDocument/2006/relationships/hyperlink" Target="https://www150.statcan.gc.ca/n1/pub/11f0019m/11f0019m2016381-eng.htm" TargetMode="External"/><Relationship Id="rId893" Type="http://schemas.openxmlformats.org/officeDocument/2006/relationships/hyperlink" Target="https://www150.statcan.gc.ca/n1/pub/13-605-x/2019001/article/00013-eng.htm" TargetMode="External"/><Relationship Id="rId2367" Type="http://schemas.openxmlformats.org/officeDocument/2006/relationships/hyperlink" Target="https://www150.statcan.gc.ca/n1/pub/82-003-x/2020003/article/00003-eng.htm" TargetMode="External"/><Relationship Id="rId2574" Type="http://schemas.openxmlformats.org/officeDocument/2006/relationships/hyperlink" Target="https://www150.statcan.gc.ca/n1/pub/75-006-x/2019001/article/00003-eng.htm" TargetMode="External"/><Relationship Id="rId2781" Type="http://schemas.openxmlformats.org/officeDocument/2006/relationships/hyperlink" Target="https://www150.statcan.gc.ca/n1/pub/89-657-x/89-657-x2018001-eng.htm" TargetMode="External"/><Relationship Id="rId339" Type="http://schemas.openxmlformats.org/officeDocument/2006/relationships/hyperlink" Target="https://www150.statcan.gc.ca/n1/pub/89-503-x/2015001/article/14785-eng.htm" TargetMode="External"/><Relationship Id="rId546" Type="http://schemas.openxmlformats.org/officeDocument/2006/relationships/hyperlink" Target="https://www150.statcan.gc.ca/n1/pub/82-003-x/2019011/article/00002-eng.htm" TargetMode="External"/><Relationship Id="rId753" Type="http://schemas.openxmlformats.org/officeDocument/2006/relationships/hyperlink" Target="https://www150.statcan.gc.ca/n1/pub/89-503-x/2015001/article/14315-eng.htm" TargetMode="External"/><Relationship Id="rId1176" Type="http://schemas.openxmlformats.org/officeDocument/2006/relationships/hyperlink" Target="https://www150.statcan.gc.ca/n1/pub/85-002-x/2019001/article/00010-eng.htm" TargetMode="External"/><Relationship Id="rId1383" Type="http://schemas.openxmlformats.org/officeDocument/2006/relationships/hyperlink" Target="https://www150.statcan.gc.ca/n1/pub/82-003-x/2016001/article/14307-eng.htm" TargetMode="External"/><Relationship Id="rId2227" Type="http://schemas.openxmlformats.org/officeDocument/2006/relationships/hyperlink" Target="https://www150.statcan.gc.ca/n1/pub/85-002-x/2018001/article/54910-eng.htm" TargetMode="External"/><Relationship Id="rId2434" Type="http://schemas.openxmlformats.org/officeDocument/2006/relationships/hyperlink" Target="https://www150.statcan.gc.ca/n1/pub/89-648-x/89-648-x2018001-eng.htm" TargetMode="External"/><Relationship Id="rId101" Type="http://schemas.openxmlformats.org/officeDocument/2006/relationships/hyperlink" Target="https://www150.statcan.gc.ca/n1/pub/89-657-x/89-657-x2017005-eng.htm" TargetMode="External"/><Relationship Id="rId406" Type="http://schemas.openxmlformats.org/officeDocument/2006/relationships/hyperlink" Target="https://www150.statcan.gc.ca/n1/pub/11f0019m/11f0019m2019025-eng.htm" TargetMode="External"/><Relationship Id="rId960" Type="http://schemas.openxmlformats.org/officeDocument/2006/relationships/hyperlink" Target="https://www150.statcan.gc.ca/n1/pub/85-002-x/2020001/article/00016-eng.htm" TargetMode="External"/><Relationship Id="rId1036" Type="http://schemas.openxmlformats.org/officeDocument/2006/relationships/hyperlink" Target="https://www150.statcan.gc.ca/n1/pub/11-626-x/11-626-x2019002-eng.htm" TargetMode="External"/><Relationship Id="rId1243" Type="http://schemas.openxmlformats.org/officeDocument/2006/relationships/hyperlink" Target="https://www150.statcan.gc.ca/n1/pub/85-002-x/2017001/article/54842-eng.htm" TargetMode="External"/><Relationship Id="rId1590" Type="http://schemas.openxmlformats.org/officeDocument/2006/relationships/hyperlink" Target="https://www150.statcan.gc.ca/n1/pub/11f0019m/11f0019m2015370-eng.htm" TargetMode="External"/><Relationship Id="rId1688" Type="http://schemas.openxmlformats.org/officeDocument/2006/relationships/hyperlink" Target="https://www150.statcan.gc.ca/n1/pub/89-503-x/2015001/article/14694-eng.htm" TargetMode="External"/><Relationship Id="rId1895" Type="http://schemas.openxmlformats.org/officeDocument/2006/relationships/hyperlink" Target="https://www150.statcan.gc.ca/n1/pub/89-503-x/2015001/article/14313-eng.htm" TargetMode="External"/><Relationship Id="rId2641" Type="http://schemas.openxmlformats.org/officeDocument/2006/relationships/hyperlink" Target="https://www150.statcan.gc.ca/n1/pub/75f0002m/75f0002m2016003-eng.htm" TargetMode="External"/><Relationship Id="rId2739" Type="http://schemas.openxmlformats.org/officeDocument/2006/relationships/hyperlink" Target="https://www150.statcan.gc.ca/n1/pub/89-503-x/2015001/article/14680-eng.htm" TargetMode="External"/><Relationship Id="rId613" Type="http://schemas.openxmlformats.org/officeDocument/2006/relationships/hyperlink" Target="https://www150.statcan.gc.ca/n1/pub/89-654-x/89-654-x2018002-eng.htm" TargetMode="External"/><Relationship Id="rId820" Type="http://schemas.openxmlformats.org/officeDocument/2006/relationships/hyperlink" Target="https://www150.statcan.gc.ca/n1/pub/11f0019m/11f0019m2017398-eng.htm" TargetMode="External"/><Relationship Id="rId918" Type="http://schemas.openxmlformats.org/officeDocument/2006/relationships/hyperlink" Target="https://www150.statcan.gc.ca/n1/pub/85-002-x/2019001/article/00017-eng.htm" TargetMode="External"/><Relationship Id="rId1450" Type="http://schemas.openxmlformats.org/officeDocument/2006/relationships/hyperlink" Target="https://www150.statcan.gc.ca/n1/pub/82-003-x/2017001/article/14697-eng.htm" TargetMode="External"/><Relationship Id="rId1548" Type="http://schemas.openxmlformats.org/officeDocument/2006/relationships/hyperlink" Target="https://www150.statcan.gc.ca/n1/pub/75-006-x/2015001/article/14299-eng.htm" TargetMode="External"/><Relationship Id="rId1755" Type="http://schemas.openxmlformats.org/officeDocument/2006/relationships/hyperlink" Target="https://www150.statcan.gc.ca/n1/pub/89-657-x/89-657-x2019010-eng.htm" TargetMode="External"/><Relationship Id="rId2501" Type="http://schemas.openxmlformats.org/officeDocument/2006/relationships/hyperlink" Target="https://www150.statcan.gc.ca/n1/pub/11-633-x/11-633-x2018017-eng.htm" TargetMode="External"/><Relationship Id="rId1103" Type="http://schemas.openxmlformats.org/officeDocument/2006/relationships/hyperlink" Target="https://www150.statcan.gc.ca/n1/pub/89-648-x/89-648-x2016001-eng.htm" TargetMode="External"/><Relationship Id="rId1310" Type="http://schemas.openxmlformats.org/officeDocument/2006/relationships/hyperlink" Target="https://www150.statcan.gc.ca/n1/pub/85-002-x/2019001/article/00011-eng.htm" TargetMode="External"/><Relationship Id="rId1408" Type="http://schemas.openxmlformats.org/officeDocument/2006/relationships/hyperlink" Target="https://www150.statcan.gc.ca/n1/pub/82-003-x/2016008/article/14648-eng.htm" TargetMode="External"/><Relationship Id="rId1962" Type="http://schemas.openxmlformats.org/officeDocument/2006/relationships/hyperlink" Target="https://www150.statcan.gc.ca/n1/pub/85-002-x/2018001/article/54974-eng.htm" TargetMode="External"/><Relationship Id="rId2806" Type="http://schemas.openxmlformats.org/officeDocument/2006/relationships/hyperlink" Target="https://www150.statcan.gc.ca/n1/pub/85-603-x/85-603-x2019001-eng.htm" TargetMode="External"/><Relationship Id="rId47" Type="http://schemas.openxmlformats.org/officeDocument/2006/relationships/hyperlink" Target="https://www150.statcan.gc.ca/n1/pub/82-003-x/2017009/article/54856-eng.htm" TargetMode="External"/><Relationship Id="rId1615" Type="http://schemas.openxmlformats.org/officeDocument/2006/relationships/hyperlink" Target="https://www150.statcan.gc.ca/n1/pub/89-503-x/2015001/article/14316-eng.htm" TargetMode="External"/><Relationship Id="rId1822" Type="http://schemas.openxmlformats.org/officeDocument/2006/relationships/hyperlink" Target="https://www150.statcan.gc.ca/n1/pub/75f0002m/75f0002m2016001-eng.htm" TargetMode="External"/><Relationship Id="rId196" Type="http://schemas.openxmlformats.org/officeDocument/2006/relationships/hyperlink" Target="https://www150.statcan.gc.ca/n1/pub/18-001-x/18-001-x2019002-eng.htm" TargetMode="External"/><Relationship Id="rId2084" Type="http://schemas.openxmlformats.org/officeDocument/2006/relationships/hyperlink" Target="https://www150.statcan.gc.ca/n1/pub/13-605-x/2018001/article/54968-eng.htm" TargetMode="External"/><Relationship Id="rId2291" Type="http://schemas.openxmlformats.org/officeDocument/2006/relationships/hyperlink" Target="https://www150.statcan.gc.ca/n1/pub/89-503-x/2015001/article/14640-eng.htm" TargetMode="External"/><Relationship Id="rId263" Type="http://schemas.openxmlformats.org/officeDocument/2006/relationships/hyperlink" Target="https://www150.statcan.gc.ca/n1/pub/82-003-x/2016009/article/14652-eng.htm" TargetMode="External"/><Relationship Id="rId470" Type="http://schemas.openxmlformats.org/officeDocument/2006/relationships/hyperlink" Target="https://www150.statcan.gc.ca/n1/pub/82-003-x/2015008/article/14216-eng.htm" TargetMode="External"/><Relationship Id="rId2151" Type="http://schemas.openxmlformats.org/officeDocument/2006/relationships/hyperlink" Target="https://www150.statcan.gc.ca/n1/pub/75-006-x/2015001/article/14194-eng.htm" TargetMode="External"/><Relationship Id="rId2389" Type="http://schemas.openxmlformats.org/officeDocument/2006/relationships/hyperlink" Target="https://www150.statcan.gc.ca/n1/pub/82-003-x/2018008/article/00002-eng.htm" TargetMode="External"/><Relationship Id="rId2596" Type="http://schemas.openxmlformats.org/officeDocument/2006/relationships/hyperlink" Target="https://www150.statcan.gc.ca/n1/pub/85-002-x/2015001/article/14203-eng.htm" TargetMode="External"/><Relationship Id="rId123" Type="http://schemas.openxmlformats.org/officeDocument/2006/relationships/hyperlink" Target="https://www150.statcan.gc.ca/n1/pub/13-604-m/13-604-m2016081-eng.htm" TargetMode="External"/><Relationship Id="rId330" Type="http://schemas.openxmlformats.org/officeDocument/2006/relationships/hyperlink" Target="https://www150.statcan.gc.ca/n1/pub/91-209-x/2018001/article/54958-eng.htm" TargetMode="External"/><Relationship Id="rId568" Type="http://schemas.openxmlformats.org/officeDocument/2006/relationships/hyperlink" Target="https://www150.statcan.gc.ca/n1/pub/75-006-x/2020001/article/00007-eng.htm" TargetMode="External"/><Relationship Id="rId775" Type="http://schemas.openxmlformats.org/officeDocument/2006/relationships/hyperlink" Target="https://www150.statcan.gc.ca/n1/pub/89-503-x/2015001/article/14315-eng.htm" TargetMode="External"/><Relationship Id="rId982" Type="http://schemas.openxmlformats.org/officeDocument/2006/relationships/hyperlink" Target="https://www150.statcan.gc.ca/n1/pub/75-006-x/2018001/article/54982-eng.htm" TargetMode="External"/><Relationship Id="rId1198" Type="http://schemas.openxmlformats.org/officeDocument/2006/relationships/hyperlink" Target="https://www150.statcan.gc.ca/n1/pub/91-551-x/91-551-x2017001-eng.htm" TargetMode="External"/><Relationship Id="rId2011" Type="http://schemas.openxmlformats.org/officeDocument/2006/relationships/hyperlink" Target="https://www150.statcan.gc.ca/n1/pub/85-002-x/2015001/article/14234-eng.htm" TargetMode="External"/><Relationship Id="rId2249" Type="http://schemas.openxmlformats.org/officeDocument/2006/relationships/hyperlink" Target="https://www150.statcan.gc.ca/n1/pub/85-002-x/2016001/article/14303-eng.htm" TargetMode="External"/><Relationship Id="rId2456" Type="http://schemas.openxmlformats.org/officeDocument/2006/relationships/hyperlink" Target="https://www150.statcan.gc.ca/n1/pub/89-648-x/89-648-x2020001-eng.htm" TargetMode="External"/><Relationship Id="rId2663" Type="http://schemas.openxmlformats.org/officeDocument/2006/relationships/hyperlink" Target="https://www150.statcan.gc.ca/n1/pub/82-003-x/2019012/article/00002-eng.htm" TargetMode="External"/><Relationship Id="rId428" Type="http://schemas.openxmlformats.org/officeDocument/2006/relationships/hyperlink" Target="https://www150.statcan.gc.ca/n1/pub/89-657-x/89-657-x2016002-eng.htm" TargetMode="External"/><Relationship Id="rId635" Type="http://schemas.openxmlformats.org/officeDocument/2006/relationships/hyperlink" Target="https://www150.statcan.gc.ca/n1/pub/82-003-x/2016007/article/14646-eng.htm" TargetMode="External"/><Relationship Id="rId842" Type="http://schemas.openxmlformats.org/officeDocument/2006/relationships/hyperlink" Target="https://www150.statcan.gc.ca/n1/pub/82-003-x/2017006/article/14827-eng.htm" TargetMode="External"/><Relationship Id="rId1058" Type="http://schemas.openxmlformats.org/officeDocument/2006/relationships/hyperlink" Target="https://www150.statcan.gc.ca/n1/pub/85-002-x/2020001/article/00009-eng.htm" TargetMode="External"/><Relationship Id="rId1265" Type="http://schemas.openxmlformats.org/officeDocument/2006/relationships/hyperlink" Target="https://www150.statcan.gc.ca/n1/pub/75f0002m/75f0002m2019008-eng.htm" TargetMode="External"/><Relationship Id="rId1472" Type="http://schemas.openxmlformats.org/officeDocument/2006/relationships/hyperlink" Target="https://www150.statcan.gc.ca/n1/pub/11-626-x/11-626-x2020001-eng.htm" TargetMode="External"/><Relationship Id="rId2109" Type="http://schemas.openxmlformats.org/officeDocument/2006/relationships/hyperlink" Target="https://www150.statcan.gc.ca/n1/pub/85-002-x/2016001/article/14323-eng.htm" TargetMode="External"/><Relationship Id="rId2316" Type="http://schemas.openxmlformats.org/officeDocument/2006/relationships/hyperlink" Target="https://www150.statcan.gc.ca/n1/pub/75-006-x/2019001/article/00011-eng.htm" TargetMode="External"/><Relationship Id="rId2523" Type="http://schemas.openxmlformats.org/officeDocument/2006/relationships/hyperlink" Target="https://www150.statcan.gc.ca/n1/pub/85-002-x/2017001/article/54844-eng.htm" TargetMode="External"/><Relationship Id="rId2730" Type="http://schemas.openxmlformats.org/officeDocument/2006/relationships/hyperlink" Target="https://www150.statcan.gc.ca/n1/pub/82-003-x/2018007/article/00001-eng.htm" TargetMode="External"/><Relationship Id="rId702" Type="http://schemas.openxmlformats.org/officeDocument/2006/relationships/hyperlink" Target="https://www150.statcan.gc.ca/n1/pub/89-648-x/89-648-x2020002-eng.htm" TargetMode="External"/><Relationship Id="rId1125" Type="http://schemas.openxmlformats.org/officeDocument/2006/relationships/hyperlink" Target="https://www150.statcan.gc.ca/n1/pub/85-002-x/2015001/article/14233-eng.htm" TargetMode="External"/><Relationship Id="rId1332" Type="http://schemas.openxmlformats.org/officeDocument/2006/relationships/hyperlink" Target="https://www150.statcan.gc.ca/n1/pub/75-006-x/2016001/article/14547-eng.htm" TargetMode="External"/><Relationship Id="rId1777" Type="http://schemas.openxmlformats.org/officeDocument/2006/relationships/hyperlink" Target="https://www150.statcan.gc.ca/n1/pub/46-28-0001/2019001/article/00002-eng.htm" TargetMode="External"/><Relationship Id="rId1984" Type="http://schemas.openxmlformats.org/officeDocument/2006/relationships/hyperlink" Target="https://www150.statcan.gc.ca/n1/pub/99-011-x/99-011-x2019002-eng.htm" TargetMode="External"/><Relationship Id="rId69" Type="http://schemas.openxmlformats.org/officeDocument/2006/relationships/hyperlink" Target="https://www150.statcan.gc.ca/n1/pub/89-657-x/89-657-x2017003-eng.htm" TargetMode="External"/><Relationship Id="rId1637" Type="http://schemas.openxmlformats.org/officeDocument/2006/relationships/hyperlink" Target="https://www150.statcan.gc.ca/n1/pub/89-503-x/2015001/article/14316-eng.htm" TargetMode="External"/><Relationship Id="rId1844" Type="http://schemas.openxmlformats.org/officeDocument/2006/relationships/hyperlink" Target="https://www150.statcan.gc.ca/n1/pub/11f0019m/11f0019m2016374-eng.htm" TargetMode="External"/><Relationship Id="rId1704" Type="http://schemas.openxmlformats.org/officeDocument/2006/relationships/hyperlink" Target="https://www150.statcan.gc.ca/n1/pub/75-006-x/2015001/article/14134-eng.htm" TargetMode="External"/><Relationship Id="rId285" Type="http://schemas.openxmlformats.org/officeDocument/2006/relationships/hyperlink" Target="https://www150.statcan.gc.ca/n1/pub/11f0019m/11f0019m2017392-eng.htm" TargetMode="External"/><Relationship Id="rId1911" Type="http://schemas.openxmlformats.org/officeDocument/2006/relationships/hyperlink" Target="https://www150.statcan.gc.ca/n1/pub/75f0002m/75f0002m2019012-eng.htm" TargetMode="External"/><Relationship Id="rId492" Type="http://schemas.openxmlformats.org/officeDocument/2006/relationships/hyperlink" Target="https://www150.statcan.gc.ca/n1/pub/82-003-x/2019001/article/00001-eng.htm" TargetMode="External"/><Relationship Id="rId797" Type="http://schemas.openxmlformats.org/officeDocument/2006/relationships/hyperlink" Target="https://www150.statcan.gc.ca/n1/pub/89-648-x/89-648-x2020004-eng.htm" TargetMode="External"/><Relationship Id="rId2173" Type="http://schemas.openxmlformats.org/officeDocument/2006/relationships/hyperlink" Target="https://www150.statcan.gc.ca/n1/pub/99-011-x/99-011-x2019001-eng.htm" TargetMode="External"/><Relationship Id="rId2380" Type="http://schemas.openxmlformats.org/officeDocument/2006/relationships/hyperlink" Target="https://www150.statcan.gc.ca/n1/pub/75f0002m/75f0002m2019001-eng.htm" TargetMode="External"/><Relationship Id="rId2478" Type="http://schemas.openxmlformats.org/officeDocument/2006/relationships/hyperlink" Target="https://www150.statcan.gc.ca/n1/pub/13-605-x/2019001/article/00001-eng.htm" TargetMode="External"/><Relationship Id="rId145" Type="http://schemas.openxmlformats.org/officeDocument/2006/relationships/hyperlink" Target="https://www150.statcan.gc.ca/n1/pub/11f0019m/11f0019m2020010-eng.htm" TargetMode="External"/><Relationship Id="rId352" Type="http://schemas.openxmlformats.org/officeDocument/2006/relationships/hyperlink" Target="https://www150.statcan.gc.ca/n1/pub/82-624-x/2015001/article/14218-eng.htm" TargetMode="External"/><Relationship Id="rId1287" Type="http://schemas.openxmlformats.org/officeDocument/2006/relationships/hyperlink" Target="https://www150.statcan.gc.ca/n1/pub/82-003-x/2018004/article/54951-eng.htm" TargetMode="External"/><Relationship Id="rId2033" Type="http://schemas.openxmlformats.org/officeDocument/2006/relationships/hyperlink" Target="https://www150.statcan.gc.ca/n1/pub/11f0019m/11f0019m2017389-eng.htm" TargetMode="External"/><Relationship Id="rId2240" Type="http://schemas.openxmlformats.org/officeDocument/2006/relationships/hyperlink" Target="https://www150.statcan.gc.ca/n1/pub/82-003-x/2016001/article/14305-eng.htm" TargetMode="External"/><Relationship Id="rId2685" Type="http://schemas.openxmlformats.org/officeDocument/2006/relationships/hyperlink" Target="https://www150.statcan.gc.ca/n1/pub/89-653-x/89-653-x2019001-eng.htm" TargetMode="External"/><Relationship Id="rId212" Type="http://schemas.openxmlformats.org/officeDocument/2006/relationships/hyperlink" Target="https://www150.statcan.gc.ca/n1/pub/11f0019m/11f0019m2019014-eng.htm" TargetMode="External"/><Relationship Id="rId657" Type="http://schemas.openxmlformats.org/officeDocument/2006/relationships/hyperlink" Target="https://www150.statcan.gc.ca/n1/pub/75-006-x/2016001/article/14678-eng.htm" TargetMode="External"/><Relationship Id="rId864" Type="http://schemas.openxmlformats.org/officeDocument/2006/relationships/hyperlink" Target="https://www150.statcan.gc.ca/n1/pub/85-002-x/2018001/article/54915-eng.htm" TargetMode="External"/><Relationship Id="rId1494" Type="http://schemas.openxmlformats.org/officeDocument/2006/relationships/hyperlink" Target="https://www150.statcan.gc.ca/n1/pub/85-002-x/2015001/article/14224-eng.htm" TargetMode="External"/><Relationship Id="rId1799" Type="http://schemas.openxmlformats.org/officeDocument/2006/relationships/hyperlink" Target="https://www150.statcan.gc.ca/n1/pub/85-002-x/2016001/article/14668-eng.htm" TargetMode="External"/><Relationship Id="rId2100" Type="http://schemas.openxmlformats.org/officeDocument/2006/relationships/hyperlink" Target="https://www150.statcan.gc.ca/n1/pub/11f0019m/11f0019m2019015-eng.htm" TargetMode="External"/><Relationship Id="rId2338" Type="http://schemas.openxmlformats.org/officeDocument/2006/relationships/hyperlink" Target="https://www150.statcan.gc.ca/n1/pub/11f0019m/11f0019m2019002-eng.htm" TargetMode="External"/><Relationship Id="rId2545" Type="http://schemas.openxmlformats.org/officeDocument/2006/relationships/hyperlink" Target="https://www150.statcan.gc.ca/n1/pub/75f0002m/75f0002m2018003-eng.htm" TargetMode="External"/><Relationship Id="rId2752" Type="http://schemas.openxmlformats.org/officeDocument/2006/relationships/hyperlink" Target="https://www150.statcan.gc.ca/n1/pub/89-503-x/2015001/article/14680-eng.htm" TargetMode="External"/><Relationship Id="rId517" Type="http://schemas.openxmlformats.org/officeDocument/2006/relationships/hyperlink" Target="https://www150.statcan.gc.ca/n1/pub/85-002-x/2018001/article/54977-eng.htm" TargetMode="External"/><Relationship Id="rId724" Type="http://schemas.openxmlformats.org/officeDocument/2006/relationships/hyperlink" Target="https://www150.statcan.gc.ca/pub/82-003-x/2019006/article/00001-eng.htm" TargetMode="External"/><Relationship Id="rId931" Type="http://schemas.openxmlformats.org/officeDocument/2006/relationships/hyperlink" Target="https://www150.statcan.gc.ca/n1/pub/85-002-x/2015001/article/14201-eng.htm" TargetMode="External"/><Relationship Id="rId1147" Type="http://schemas.openxmlformats.org/officeDocument/2006/relationships/hyperlink" Target="https://www150.statcan.gc.ca/n1/pub/75-006-x/2019001/article/00012-eng.htm" TargetMode="External"/><Relationship Id="rId1354" Type="http://schemas.openxmlformats.org/officeDocument/2006/relationships/hyperlink" Target="https://www150.statcan.gc.ca/n1/pub/85-002-x/2019001/article/00012-eng.htm" TargetMode="External"/><Relationship Id="rId1561" Type="http://schemas.openxmlformats.org/officeDocument/2006/relationships/hyperlink" Target="https://www150.statcan.gc.ca/n1/pub/11-633-x/11-633-x2018012-eng.htm" TargetMode="External"/><Relationship Id="rId2405" Type="http://schemas.openxmlformats.org/officeDocument/2006/relationships/hyperlink" Target="https://www150.statcan.gc.ca/n1/pub/89-657-x/89-657-x2019008-eng.htm" TargetMode="External"/><Relationship Id="rId2612" Type="http://schemas.openxmlformats.org/officeDocument/2006/relationships/hyperlink" Target="https://www150.statcan.gc.ca/n1/pub/85-002-x/2019001/article/00014-eng.htm" TargetMode="External"/><Relationship Id="rId60" Type="http://schemas.openxmlformats.org/officeDocument/2006/relationships/hyperlink" Target="https://www150.statcan.gc.ca/n1/pub/89-657-x/89-657-x2017003-eng.htm" TargetMode="External"/><Relationship Id="rId1007" Type="http://schemas.openxmlformats.org/officeDocument/2006/relationships/hyperlink" Target="https://www150.statcan.gc.ca/n1/pub/89-657-x/89-657-x2020001-eng.htm" TargetMode="External"/><Relationship Id="rId1214" Type="http://schemas.openxmlformats.org/officeDocument/2006/relationships/hyperlink" Target="https://www150.statcan.gc.ca/n1/pub/82-003-x/2017008/article/54853-eng.htm" TargetMode="External"/><Relationship Id="rId1421" Type="http://schemas.openxmlformats.org/officeDocument/2006/relationships/hyperlink" Target="https://www150.statcan.gc.ca/n1/pub/13-605-x/2017001/article/54867-eng.htm" TargetMode="External"/><Relationship Id="rId1659" Type="http://schemas.openxmlformats.org/officeDocument/2006/relationships/hyperlink" Target="https://www150.statcan.gc.ca/n1/pub/85-002-x/2018001/article/54980-eng.htm" TargetMode="External"/><Relationship Id="rId1866" Type="http://schemas.openxmlformats.org/officeDocument/2006/relationships/hyperlink" Target="https://www150.statcan.gc.ca/n1/pub/11-626-x/11-626-x2015047-eng.htm" TargetMode="External"/><Relationship Id="rId1519" Type="http://schemas.openxmlformats.org/officeDocument/2006/relationships/hyperlink" Target="https://www150.statcan.gc.ca/n1/pub/75-006-x/2020001/article/00005-eng.htm" TargetMode="External"/><Relationship Id="rId1726" Type="http://schemas.openxmlformats.org/officeDocument/2006/relationships/hyperlink" Target="https://www150.statcan.gc.ca/n1/pub/75f0002m/75f0002m2019010-eng.htm" TargetMode="External"/><Relationship Id="rId1933" Type="http://schemas.openxmlformats.org/officeDocument/2006/relationships/hyperlink" Target="https://www150.statcan.gc.ca/n1/pub/89-653-x/89-653-x2016011-eng.htm" TargetMode="External"/><Relationship Id="rId18" Type="http://schemas.openxmlformats.org/officeDocument/2006/relationships/hyperlink" Target="https://www150.statcan.gc.ca/n1/pub/82-003-x/2019001/article/00002-eng.htm" TargetMode="External"/><Relationship Id="rId2195" Type="http://schemas.openxmlformats.org/officeDocument/2006/relationships/hyperlink" Target="https://www150.statcan.gc.ca/n1/pub/82-003-x/2015010/article/14227-eng.htm" TargetMode="External"/><Relationship Id="rId167" Type="http://schemas.openxmlformats.org/officeDocument/2006/relationships/hyperlink" Target="https://www150.statcan.gc.ca/n1/pub/11f0019m/11f0019m2020005-eng.htm" TargetMode="External"/><Relationship Id="rId374" Type="http://schemas.openxmlformats.org/officeDocument/2006/relationships/hyperlink" Target="https://www150.statcan.gc.ca/n1/pub/11f0019m/11f0019m2018410-eng.htm" TargetMode="External"/><Relationship Id="rId581" Type="http://schemas.openxmlformats.org/officeDocument/2006/relationships/hyperlink" Target="https://www150.statcan.gc.ca/n1/pub/11f0019m/11f0019m2016375-eng.htm" TargetMode="External"/><Relationship Id="rId2055" Type="http://schemas.openxmlformats.org/officeDocument/2006/relationships/hyperlink" Target="https://www150.statcan.gc.ca/n1/pub/11f0019m/11f0019m2019023-eng.htm" TargetMode="External"/><Relationship Id="rId2262" Type="http://schemas.openxmlformats.org/officeDocument/2006/relationships/hyperlink" Target="https://www150.statcan.gc.ca/n1/pub/85-002-x/2016001/article/14303-eng.htm" TargetMode="External"/><Relationship Id="rId234" Type="http://schemas.openxmlformats.org/officeDocument/2006/relationships/hyperlink" Target="https://www150.statcan.gc.ca/n1/pub/75-006-x/2016001/article/14643-eng.htm" TargetMode="External"/><Relationship Id="rId679" Type="http://schemas.openxmlformats.org/officeDocument/2006/relationships/hyperlink" Target="https://www150.statcan.gc.ca/n1/pub/11f0019m/11f0019m2016381-eng.htm" TargetMode="External"/><Relationship Id="rId886" Type="http://schemas.openxmlformats.org/officeDocument/2006/relationships/hyperlink" Target="https://www150.statcan.gc.ca/n1/pub/11f0027m/11f0027m2015096-eng.htm" TargetMode="External"/><Relationship Id="rId2567" Type="http://schemas.openxmlformats.org/officeDocument/2006/relationships/hyperlink" Target="https://www150.statcan.gc.ca/n1/pub/85-002-x/2017001/article/54870-eng.htm" TargetMode="External"/><Relationship Id="rId2774" Type="http://schemas.openxmlformats.org/officeDocument/2006/relationships/hyperlink" Target="https://www150.statcan.gc.ca/n1/pub/82-003-x/2019009/article/00001-eng.htm" TargetMode="External"/><Relationship Id="rId2" Type="http://schemas.openxmlformats.org/officeDocument/2006/relationships/hyperlink" Target="https://www150.statcan.gc.ca/n1/pub/82-003-x/2020004/article/00001-eng.htm" TargetMode="External"/><Relationship Id="rId441" Type="http://schemas.openxmlformats.org/officeDocument/2006/relationships/hyperlink" Target="https://www150.statcan.gc.ca/n1/pub/89-657-x/89-657-x2016002-eng.htm" TargetMode="External"/><Relationship Id="rId539" Type="http://schemas.openxmlformats.org/officeDocument/2006/relationships/hyperlink" Target="https://www150.statcan.gc.ca/n1/pub/11-626-x/11-626-x2019016-eng.htm" TargetMode="External"/><Relationship Id="rId746" Type="http://schemas.openxmlformats.org/officeDocument/2006/relationships/hyperlink" Target="https://www150.statcan.gc.ca/n1/pub/85-002-x/2020001/article/00003-eng.htm" TargetMode="External"/><Relationship Id="rId1071" Type="http://schemas.openxmlformats.org/officeDocument/2006/relationships/hyperlink" Target="https://www150.statcan.gc.ca/n1/pub/82-003-x/2017008/article/54852-eng.htm" TargetMode="External"/><Relationship Id="rId1169" Type="http://schemas.openxmlformats.org/officeDocument/2006/relationships/hyperlink" Target="https://www150.statcan.gc.ca/n1/pub/82-003-x/2015007/article/14206-eng.htm" TargetMode="External"/><Relationship Id="rId1376" Type="http://schemas.openxmlformats.org/officeDocument/2006/relationships/hyperlink" Target="https://www150.statcan.gc.ca/n1/pub/75-006-x/2017001/article/14787-eng.htm" TargetMode="External"/><Relationship Id="rId1583" Type="http://schemas.openxmlformats.org/officeDocument/2006/relationships/hyperlink" Target="https://www150.statcan.gc.ca/n1/pub/89-503-x/2015001/article/14695-eng.htm" TargetMode="External"/><Relationship Id="rId2122" Type="http://schemas.openxmlformats.org/officeDocument/2006/relationships/hyperlink" Target="https://www150.statcan.gc.ca/n1/pub/75-006-x/2017001/article/54878-eng.htm" TargetMode="External"/><Relationship Id="rId2427" Type="http://schemas.openxmlformats.org/officeDocument/2006/relationships/hyperlink" Target="https://www150.statcan.gc.ca/n1/pub/11f0019m/11f0019m2019007-eng.htm" TargetMode="External"/><Relationship Id="rId301" Type="http://schemas.openxmlformats.org/officeDocument/2006/relationships/hyperlink" Target="https://www150.statcan.gc.ca/n1/pub/82-003-x/2015002/article/14139-eng.htm" TargetMode="External"/><Relationship Id="rId953" Type="http://schemas.openxmlformats.org/officeDocument/2006/relationships/hyperlink" Target="https://www150.statcan.gc.ca/n1/pub/11f0019m/11f0019m2020014-eng.htm" TargetMode="External"/><Relationship Id="rId1029" Type="http://schemas.openxmlformats.org/officeDocument/2006/relationships/hyperlink" Target="https://www150.statcan.gc.ca/n1/pub/85-002-x/2015001/article/14163-eng.htm" TargetMode="External"/><Relationship Id="rId1236" Type="http://schemas.openxmlformats.org/officeDocument/2006/relationships/hyperlink" Target="https://www150.statcan.gc.ca/n1/pub/85-002-x/2020001/article/00002-eng.htm" TargetMode="External"/><Relationship Id="rId1790" Type="http://schemas.openxmlformats.org/officeDocument/2006/relationships/hyperlink" Target="https://www150.statcan.gc.ca/n1/pub/85-002-x/2016001/article/14631-eng.htm" TargetMode="External"/><Relationship Id="rId1888" Type="http://schemas.openxmlformats.org/officeDocument/2006/relationships/hyperlink" Target="https://www150.statcan.gc.ca/n1/pub/89-503-x/2015001/article/14313-eng.htm" TargetMode="External"/><Relationship Id="rId2634" Type="http://schemas.openxmlformats.org/officeDocument/2006/relationships/hyperlink" Target="https://www150.statcan.gc.ca/n1/pub/71-222-x/71-222-x2019002-eng.htm" TargetMode="External"/><Relationship Id="rId82" Type="http://schemas.openxmlformats.org/officeDocument/2006/relationships/hyperlink" Target="https://www150.statcan.gc.ca/n1/pub/89-657-x/89-657-x2017004-eng.htm" TargetMode="External"/><Relationship Id="rId606" Type="http://schemas.openxmlformats.org/officeDocument/2006/relationships/hyperlink" Target="https://www150.statcan.gc.ca/n1/pub/89-28-0001/2018001/article/00016-eng.htm" TargetMode="External"/><Relationship Id="rId813" Type="http://schemas.openxmlformats.org/officeDocument/2006/relationships/hyperlink" Target="https://www150.statcan.gc.ca/n1/pub/13-605-x/2018001/article/54969-eng.htm" TargetMode="External"/><Relationship Id="rId1443" Type="http://schemas.openxmlformats.org/officeDocument/2006/relationships/hyperlink" Target="https://www150.statcan.gc.ca/n1/pub/11f0019m/11f0019m2015372-eng.htm" TargetMode="External"/><Relationship Id="rId1650" Type="http://schemas.openxmlformats.org/officeDocument/2006/relationships/hyperlink" Target="https://www150.statcan.gc.ca/n1/pub/82-003-x/2015001/article/14130-eng.htm" TargetMode="External"/><Relationship Id="rId1748" Type="http://schemas.openxmlformats.org/officeDocument/2006/relationships/hyperlink" Target="https://www150.statcan.gc.ca/n1/pub/75-006-x/2019001/article/00002-eng.htm" TargetMode="External"/><Relationship Id="rId2701" Type="http://schemas.openxmlformats.org/officeDocument/2006/relationships/hyperlink" Target="https://www150.statcan.gc.ca/n1/pub/11f0019m/11f0019m2016383-eng.htm" TargetMode="External"/><Relationship Id="rId1303" Type="http://schemas.openxmlformats.org/officeDocument/2006/relationships/hyperlink" Target="https://www150.statcan.gc.ca/n1/pub/11-633-x/11-633-x2018013-eng.htm" TargetMode="External"/><Relationship Id="rId1510" Type="http://schemas.openxmlformats.org/officeDocument/2006/relationships/hyperlink" Target="https://www150.statcan.gc.ca/n1/pub/85-002-x/2017001/article/14842-eng.htm" TargetMode="External"/><Relationship Id="rId1955" Type="http://schemas.openxmlformats.org/officeDocument/2006/relationships/hyperlink" Target="https://www150.statcan.gc.ca/n1/pub/85-002-x/2017001/article/54879-eng.htm" TargetMode="External"/><Relationship Id="rId1608" Type="http://schemas.openxmlformats.org/officeDocument/2006/relationships/hyperlink" Target="https://www150.statcan.gc.ca/n1/pub/82-003-x/2018011/article/00001-eng.htm" TargetMode="External"/><Relationship Id="rId1815" Type="http://schemas.openxmlformats.org/officeDocument/2006/relationships/hyperlink" Target="https://www150.statcan.gc.ca/n1/pub/11f0019m/11f0019m2019018-eng.htm" TargetMode="External"/><Relationship Id="rId189" Type="http://schemas.openxmlformats.org/officeDocument/2006/relationships/hyperlink" Target="https://www150.statcan.gc.ca/n1/pub/18-001-x/18-001-x2019002-eng.htm" TargetMode="External"/><Relationship Id="rId396" Type="http://schemas.openxmlformats.org/officeDocument/2006/relationships/hyperlink" Target="https://www150.statcan.gc.ca/n1/pub/82-003-x/2015003/article/14143-eng.htm" TargetMode="External"/><Relationship Id="rId2077" Type="http://schemas.openxmlformats.org/officeDocument/2006/relationships/hyperlink" Target="https://www150.statcan.gc.ca/n1/pub/11f0019m/11f0019m2018404-eng.htm" TargetMode="External"/><Relationship Id="rId2284" Type="http://schemas.openxmlformats.org/officeDocument/2006/relationships/hyperlink" Target="https://www150.statcan.gc.ca/n1/pub/89-503-x/2015001/article/14324-eng.htm" TargetMode="External"/><Relationship Id="rId2491" Type="http://schemas.openxmlformats.org/officeDocument/2006/relationships/hyperlink" Target="https://www150.statcan.gc.ca/n1/pub/75-006-x/2019001/article/00007-eng.htm" TargetMode="External"/><Relationship Id="rId256" Type="http://schemas.openxmlformats.org/officeDocument/2006/relationships/hyperlink" Target="https://www150.statcan.gc.ca/n1/pub/91-209-x/2016001/article/14650-eng.htm" TargetMode="External"/><Relationship Id="rId463" Type="http://schemas.openxmlformats.org/officeDocument/2006/relationships/hyperlink" Target="https://www150.statcan.gc.ca/n1/pub/11f0019m/11f0019m2017391-eng.htm" TargetMode="External"/><Relationship Id="rId670" Type="http://schemas.openxmlformats.org/officeDocument/2006/relationships/hyperlink" Target="https://www150.statcan.gc.ca/n1/pub/11f0019m/11f0019m2017395-eng.htm" TargetMode="External"/><Relationship Id="rId1093" Type="http://schemas.openxmlformats.org/officeDocument/2006/relationships/hyperlink" Target="https://www150.statcan.gc.ca/n1/pub/75-006-x/2018001/article/54980-eng.htm" TargetMode="External"/><Relationship Id="rId2144" Type="http://schemas.openxmlformats.org/officeDocument/2006/relationships/hyperlink" Target="https://www150.statcan.gc.ca/n1/pub/11-633-x/11-633-x2021001-eng.htm" TargetMode="External"/><Relationship Id="rId2351" Type="http://schemas.openxmlformats.org/officeDocument/2006/relationships/hyperlink" Target="https://www150.statcan.gc.ca/n1/pub/75-006-x/2019001/article/00005-eng.htm" TargetMode="External"/><Relationship Id="rId2589" Type="http://schemas.openxmlformats.org/officeDocument/2006/relationships/hyperlink" Target="https://www150.statcan.gc.ca/n1/pub/85-002-x/2015001/article/14203-eng.htm" TargetMode="External"/><Relationship Id="rId2796" Type="http://schemas.openxmlformats.org/officeDocument/2006/relationships/hyperlink" Target="https://www150.statcan.gc.ca/n1/pub/11f0019m/11f0019m2020004-eng.htm" TargetMode="External"/><Relationship Id="rId116" Type="http://schemas.openxmlformats.org/officeDocument/2006/relationships/hyperlink" Target="https://www150.statcan.gc.ca/n1/pub/16-002-x/2015002/article/14133-eng.htm" TargetMode="External"/><Relationship Id="rId323" Type="http://schemas.openxmlformats.org/officeDocument/2006/relationships/hyperlink" Target="https://www150.statcan.gc.ca/n1/pub/89-648-x/89-648-x2020003-eng.htm" TargetMode="External"/><Relationship Id="rId530" Type="http://schemas.openxmlformats.org/officeDocument/2006/relationships/hyperlink" Target="https://www150.statcan.gc.ca/n1/pub/89-652-x/89-652-x2015001-eng.htm" TargetMode="External"/><Relationship Id="rId768" Type="http://schemas.openxmlformats.org/officeDocument/2006/relationships/hyperlink" Target="https://www150.statcan.gc.ca/n1/pub/89-503-x/2015001/article/14315-eng.htm" TargetMode="External"/><Relationship Id="rId975" Type="http://schemas.openxmlformats.org/officeDocument/2006/relationships/hyperlink" Target="https://www150.statcan.gc.ca/n1/pub/13-605-x/2019001/article/00009-eng.htm" TargetMode="External"/><Relationship Id="rId1160" Type="http://schemas.openxmlformats.org/officeDocument/2006/relationships/hyperlink" Target="https://www150.statcan.gc.ca/n1/pub/89-652-x/89-652-x2015002-eng.htm" TargetMode="External"/><Relationship Id="rId1398" Type="http://schemas.openxmlformats.org/officeDocument/2006/relationships/hyperlink" Target="https://www150.statcan.gc.ca/n1/pub/85-002-x/2020001/article/00011-eng.htm" TargetMode="External"/><Relationship Id="rId2004" Type="http://schemas.openxmlformats.org/officeDocument/2006/relationships/hyperlink" Target="https://www150.statcan.gc.ca/n1/pub/85-002-x/2016001/article/14642-eng.htm" TargetMode="External"/><Relationship Id="rId2211" Type="http://schemas.openxmlformats.org/officeDocument/2006/relationships/hyperlink" Target="https://www150.statcan.gc.ca/n1/pub/85-002-x/2018001/article/54972-eng.htm" TargetMode="External"/><Relationship Id="rId2449" Type="http://schemas.openxmlformats.org/officeDocument/2006/relationships/hyperlink" Target="https://www150.statcan.gc.ca/n1/pub/89-648-x/89-648-x2020001-eng.htm" TargetMode="External"/><Relationship Id="rId2656" Type="http://schemas.openxmlformats.org/officeDocument/2006/relationships/hyperlink" Target="https://www150.statcan.gc.ca/n1/pub/89-654-x/89-654-x2019001-eng.htm" TargetMode="External"/><Relationship Id="rId628" Type="http://schemas.openxmlformats.org/officeDocument/2006/relationships/hyperlink" Target="https://www150.statcan.gc.ca/n1/pub/11-633-x/11-633-x2017006-eng.htm" TargetMode="External"/><Relationship Id="rId835" Type="http://schemas.openxmlformats.org/officeDocument/2006/relationships/hyperlink" Target="https://www150.statcan.gc.ca/n1/pub/85-002-x/2020001/article/00007-eng.htm" TargetMode="External"/><Relationship Id="rId1258" Type="http://schemas.openxmlformats.org/officeDocument/2006/relationships/hyperlink" Target="https://www150.statcan.gc.ca/n1/pub/82-003-x/2020010/article/00001-eng.htm" TargetMode="External"/><Relationship Id="rId1465" Type="http://schemas.openxmlformats.org/officeDocument/2006/relationships/hyperlink" Target="https://www150.statcan.gc.ca/n1/pub/75-006-x/2016001/article/14655-eng.htm" TargetMode="External"/><Relationship Id="rId1672" Type="http://schemas.openxmlformats.org/officeDocument/2006/relationships/hyperlink" Target="https://www150.statcan.gc.ca/n1/pub/75-006-x/2019001/article/00014-eng.htm" TargetMode="External"/><Relationship Id="rId2309" Type="http://schemas.openxmlformats.org/officeDocument/2006/relationships/hyperlink" Target="https://www150.statcan.gc.ca/n1/pub/89-503-x/2015001/article/14640-eng.htm" TargetMode="External"/><Relationship Id="rId2516" Type="http://schemas.openxmlformats.org/officeDocument/2006/relationships/hyperlink" Target="https://www150.statcan.gc.ca/n1/pub/85-002-x/2017001/article/54844-eng.htm" TargetMode="External"/><Relationship Id="rId2723" Type="http://schemas.openxmlformats.org/officeDocument/2006/relationships/hyperlink" Target="https://www150.statcan.gc.ca/n1/pub/13-605-x/2017001/article/54882-eng.htm" TargetMode="External"/><Relationship Id="rId1020" Type="http://schemas.openxmlformats.org/officeDocument/2006/relationships/hyperlink" Target="https://www150.statcan.gc.ca/n1/pub/82-003-x/2020002/article/00001-eng.htm" TargetMode="External"/><Relationship Id="rId1118" Type="http://schemas.openxmlformats.org/officeDocument/2006/relationships/hyperlink" Target="https://www150.statcan.gc.ca/n1/pub/11-633-x/11-633-x2018016-eng.htm" TargetMode="External"/><Relationship Id="rId1325" Type="http://schemas.openxmlformats.org/officeDocument/2006/relationships/hyperlink" Target="https://www150.statcan.gc.ca/n1/pub/13-605-x/2018001/article/54961-eng.htm" TargetMode="External"/><Relationship Id="rId1532" Type="http://schemas.openxmlformats.org/officeDocument/2006/relationships/hyperlink" Target="https://www150.statcan.gc.ca/n1/pub/11f0019m/11f0019m2016377-eng.htm" TargetMode="External"/><Relationship Id="rId1977" Type="http://schemas.openxmlformats.org/officeDocument/2006/relationships/hyperlink" Target="https://www150.statcan.gc.ca/n1/pub/11f0019m/11f0019m2016387-eng.htm" TargetMode="External"/><Relationship Id="rId902" Type="http://schemas.openxmlformats.org/officeDocument/2006/relationships/hyperlink" Target="https://www150.statcan.gc.ca/n1/pub/11-622-m/11-622-m2015031-eng.htm" TargetMode="External"/><Relationship Id="rId1837" Type="http://schemas.openxmlformats.org/officeDocument/2006/relationships/hyperlink" Target="https://www150.statcan.gc.ca/n1/pub/11-626-x/11-626-x2018082-eng.htm" TargetMode="External"/><Relationship Id="rId31" Type="http://schemas.openxmlformats.org/officeDocument/2006/relationships/hyperlink" Target="https://www150.statcan.gc.ca/n1/pub/96-325-x/2017001/article/54924-eng.htm" TargetMode="External"/><Relationship Id="rId2099" Type="http://schemas.openxmlformats.org/officeDocument/2006/relationships/hyperlink" Target="https://www150.statcan.gc.ca/n1/pub/11f0019m/11f0019m2019015-eng.htm" TargetMode="External"/><Relationship Id="rId180" Type="http://schemas.openxmlformats.org/officeDocument/2006/relationships/hyperlink" Target="https://www150.statcan.gc.ca/n1/pub/11f0019m/11f0019m2020002-eng.htm" TargetMode="External"/><Relationship Id="rId278" Type="http://schemas.openxmlformats.org/officeDocument/2006/relationships/hyperlink" Target="https://www150.statcan.gc.ca/n1/pub/85-002-x/2015001/article/14146-eng.htm" TargetMode="External"/><Relationship Id="rId1904" Type="http://schemas.openxmlformats.org/officeDocument/2006/relationships/hyperlink" Target="https://www150.statcan.gc.ca/n1/pub/11-626-x/11-626-x2016057-eng.htm" TargetMode="External"/><Relationship Id="rId485" Type="http://schemas.openxmlformats.org/officeDocument/2006/relationships/hyperlink" Target="https://www150.statcan.gc.ca/n1/pub/82-003-x/2015011/article/14243-eng.htm" TargetMode="External"/><Relationship Id="rId692" Type="http://schemas.openxmlformats.org/officeDocument/2006/relationships/hyperlink" Target="https://www150.statcan.gc.ca/n1/pub/75-006-x/2019001/article/00018-eng.htm" TargetMode="External"/><Relationship Id="rId2166" Type="http://schemas.openxmlformats.org/officeDocument/2006/relationships/hyperlink" Target="https://www150.statcan.gc.ca/n1/pub/89-653-x/89-653-x2019005-eng.htm" TargetMode="External"/><Relationship Id="rId2373" Type="http://schemas.openxmlformats.org/officeDocument/2006/relationships/hyperlink" Target="https://www150.statcan.gc.ca/n1/pub/82-003-x/2015002/article/14140-eng.htm" TargetMode="External"/><Relationship Id="rId2580" Type="http://schemas.openxmlformats.org/officeDocument/2006/relationships/hyperlink" Target="https://www150.statcan.gc.ca/n1/pub/91-209-x/2016001/article/14615-eng.htm" TargetMode="External"/><Relationship Id="rId138" Type="http://schemas.openxmlformats.org/officeDocument/2006/relationships/hyperlink" Target="https://www150.statcan.gc.ca/n1/pub/11-633-x/11-633-x2020003-eng.htm" TargetMode="External"/><Relationship Id="rId345" Type="http://schemas.openxmlformats.org/officeDocument/2006/relationships/hyperlink" Target="https://www150.statcan.gc.ca/n1/pub/89-503-x/2015001/article/14785-eng.htm" TargetMode="External"/><Relationship Id="rId552" Type="http://schemas.openxmlformats.org/officeDocument/2006/relationships/hyperlink" Target="https://www150.statcan.gc.ca/n1/pub/82-003-x/2017009/article/54855-eng.htm" TargetMode="External"/><Relationship Id="rId997" Type="http://schemas.openxmlformats.org/officeDocument/2006/relationships/hyperlink" Target="https://www150.statcan.gc.ca/n1/pub/11f0019m/11f0019m2017394-eng.htm" TargetMode="External"/><Relationship Id="rId1182" Type="http://schemas.openxmlformats.org/officeDocument/2006/relationships/hyperlink" Target="https://www150.statcan.gc.ca/n1/pub/75-006-x/2020001/article/00003-eng.htm" TargetMode="External"/><Relationship Id="rId2026" Type="http://schemas.openxmlformats.org/officeDocument/2006/relationships/hyperlink" Target="https://www150.statcan.gc.ca/n1/pub/75-006-x/2017001/article/14798-eng.htm" TargetMode="External"/><Relationship Id="rId2233" Type="http://schemas.openxmlformats.org/officeDocument/2006/relationships/hyperlink" Target="https://www150.statcan.gc.ca/n1/pub/11-626-x/11-626-x2020010-eng.htm" TargetMode="External"/><Relationship Id="rId2440" Type="http://schemas.openxmlformats.org/officeDocument/2006/relationships/hyperlink" Target="https://www150.statcan.gc.ca/n1/pub/11-621-m/11-621-m2019005-eng.htm" TargetMode="External"/><Relationship Id="rId2678" Type="http://schemas.openxmlformats.org/officeDocument/2006/relationships/hyperlink" Target="https://www150.statcan.gc.ca/n1/pub/85-002-x/2015001/article/14241-eng.htm" TargetMode="External"/><Relationship Id="rId205" Type="http://schemas.openxmlformats.org/officeDocument/2006/relationships/hyperlink" Target="https://www150.statcan.gc.ca/n1/pub/18-001-x/18-001-x2019002-eng.htm" TargetMode="External"/><Relationship Id="rId412" Type="http://schemas.openxmlformats.org/officeDocument/2006/relationships/hyperlink" Target="https://www150.statcan.gc.ca/n1/pub/13-604-m/13-604-m2020002-eng.htm" TargetMode="External"/><Relationship Id="rId857" Type="http://schemas.openxmlformats.org/officeDocument/2006/relationships/hyperlink" Target="https://www150.statcan.gc.ca/n1/pub/89-657-x/89-657-x2019007-eng.htm" TargetMode="External"/><Relationship Id="rId1042" Type="http://schemas.openxmlformats.org/officeDocument/2006/relationships/hyperlink" Target="https://www150.statcan.gc.ca/n1/pub/82-003-x/2020002/article/00002-eng.htm" TargetMode="External"/><Relationship Id="rId1487" Type="http://schemas.openxmlformats.org/officeDocument/2006/relationships/hyperlink" Target="https://www150.statcan.gc.ca/n1/pub/85-002-x/2020001/article/00012-eng.htm" TargetMode="External"/><Relationship Id="rId1694" Type="http://schemas.openxmlformats.org/officeDocument/2006/relationships/hyperlink" Target="https://www150.statcan.gc.ca/n1/pub/11f0019m/11f0019m2015371-eng.htm" TargetMode="External"/><Relationship Id="rId2300" Type="http://schemas.openxmlformats.org/officeDocument/2006/relationships/hyperlink" Target="https://www150.statcan.gc.ca/n1/pub/89-503-x/2015001/article/14640-eng.htm" TargetMode="External"/><Relationship Id="rId2538" Type="http://schemas.openxmlformats.org/officeDocument/2006/relationships/hyperlink" Target="https://www150.statcan.gc.ca/n1/pub/85-002-x/2017001/article/14699-eng.htm" TargetMode="External"/><Relationship Id="rId2745" Type="http://schemas.openxmlformats.org/officeDocument/2006/relationships/hyperlink" Target="https://www150.statcan.gc.ca/n1/pub/89-503-x/2015001/article/14680-eng.htm" TargetMode="External"/><Relationship Id="rId717" Type="http://schemas.openxmlformats.org/officeDocument/2006/relationships/hyperlink" Target="https://www150.statcan.gc.ca/n1/pub/82-003-x/2015003/article/14144-eng.htm" TargetMode="External"/><Relationship Id="rId924" Type="http://schemas.openxmlformats.org/officeDocument/2006/relationships/hyperlink" Target="https://www150.statcan.gc.ca/n1/pub/85-002-x/2019001/article/00017-eng.htm" TargetMode="External"/><Relationship Id="rId1347" Type="http://schemas.openxmlformats.org/officeDocument/2006/relationships/hyperlink" Target="https://www150.statcan.gc.ca/n1/pub/85-002-x/2020001/article/00010-eng.htm" TargetMode="External"/><Relationship Id="rId1554" Type="http://schemas.openxmlformats.org/officeDocument/2006/relationships/hyperlink" Target="https://www150.statcan.gc.ca/n1/pub/89-652-x/89-652-x2016001-eng.htm" TargetMode="External"/><Relationship Id="rId1761" Type="http://schemas.openxmlformats.org/officeDocument/2006/relationships/hyperlink" Target="https://www150.statcan.gc.ca/n1/pub/89-657-x/89-657-x2019010-eng.htm" TargetMode="External"/><Relationship Id="rId1999" Type="http://schemas.openxmlformats.org/officeDocument/2006/relationships/hyperlink" Target="https://www150.statcan.gc.ca/n1/pub/85-002-x/2016001/article/14642-eng.htm" TargetMode="External"/><Relationship Id="rId2605" Type="http://schemas.openxmlformats.org/officeDocument/2006/relationships/hyperlink" Target="https://www150.statcan.gc.ca/n1/pub/11f0027m/11f0027m2015097-eng.htm" TargetMode="External"/><Relationship Id="rId2812" Type="http://schemas.openxmlformats.org/officeDocument/2006/relationships/hyperlink" Target="https://www150.statcan.gc.ca/n1/pub/85-002-x/2018001/article/54981-eng.htm" TargetMode="External"/><Relationship Id="rId53" Type="http://schemas.openxmlformats.org/officeDocument/2006/relationships/hyperlink" Target="https://www150.statcan.gc.ca/n1/pub/89-657-x/89-657-x2017003-eng.htm" TargetMode="External"/><Relationship Id="rId1207" Type="http://schemas.openxmlformats.org/officeDocument/2006/relationships/hyperlink" Target="https://www150.statcan.gc.ca/n1/pub/91-551-x/91-551-x2017001-eng.htm" TargetMode="External"/><Relationship Id="rId1414" Type="http://schemas.openxmlformats.org/officeDocument/2006/relationships/hyperlink" Target="https://www150.statcan.gc.ca/n1/pub/85-002-x/2017001/article/14700-eng.htm" TargetMode="External"/><Relationship Id="rId1621" Type="http://schemas.openxmlformats.org/officeDocument/2006/relationships/hyperlink" Target="https://www150.statcan.gc.ca/n1/pub/89-503-x/2015001/article/14316-eng.htm" TargetMode="External"/><Relationship Id="rId1859" Type="http://schemas.openxmlformats.org/officeDocument/2006/relationships/hyperlink" Target="https://www150.statcan.gc.ca/n1/pub/89-653-x/89-653-x2018004-eng.htm" TargetMode="External"/><Relationship Id="rId1719" Type="http://schemas.openxmlformats.org/officeDocument/2006/relationships/hyperlink" Target="https://www150.statcan.gc.ca/n1/pub/89-653-x/89-653-x2015006-eng.htm" TargetMode="External"/><Relationship Id="rId1926" Type="http://schemas.openxmlformats.org/officeDocument/2006/relationships/hyperlink" Target="https://www150.statcan.gc.ca/n1/pub/85-002-x/2019001/article/00013-eng.htm" TargetMode="External"/><Relationship Id="rId2090" Type="http://schemas.openxmlformats.org/officeDocument/2006/relationships/hyperlink" Target="https://www150.statcan.gc.ca/n1/pub/89-503-x/2015001/article/14235-eng.htm" TargetMode="External"/><Relationship Id="rId2188" Type="http://schemas.openxmlformats.org/officeDocument/2006/relationships/hyperlink" Target="https://www150.statcan.gc.ca/n1/pub/11f0019m/11f0019m2015365-eng.htm" TargetMode="External"/><Relationship Id="rId2395" Type="http://schemas.openxmlformats.org/officeDocument/2006/relationships/hyperlink" Target="https://www150.statcan.gc.ca/n1/pub/85-002-x/2016001/article/14679-eng.htm" TargetMode="External"/><Relationship Id="rId367" Type="http://schemas.openxmlformats.org/officeDocument/2006/relationships/hyperlink" Target="https://www150.statcan.gc.ca/n1/pub/82-003-x/2018009/article/00001-eng.htm" TargetMode="External"/><Relationship Id="rId574" Type="http://schemas.openxmlformats.org/officeDocument/2006/relationships/hyperlink" Target="https://www150.statcan.gc.ca/n1/pub/11f0019m/11f0019m2016375-eng.htm" TargetMode="External"/><Relationship Id="rId2048" Type="http://schemas.openxmlformats.org/officeDocument/2006/relationships/hyperlink" Target="https://www150.statcan.gc.ca/n1/pub/75f0002m/75f0002m2020003-eng.htm" TargetMode="External"/><Relationship Id="rId2255" Type="http://schemas.openxmlformats.org/officeDocument/2006/relationships/hyperlink" Target="https://www150.statcan.gc.ca/n1/pub/85-002-x/2016001/article/14303-eng.htm" TargetMode="External"/><Relationship Id="rId227" Type="http://schemas.openxmlformats.org/officeDocument/2006/relationships/hyperlink" Target="https://www150.statcan.gc.ca/n1/pub/82-003-x/2016004/article/14490-eng.htm" TargetMode="External"/><Relationship Id="rId781" Type="http://schemas.openxmlformats.org/officeDocument/2006/relationships/hyperlink" Target="https://www150.statcan.gc.ca/n1/pub/82-003-x/2018010/article/00002-eng.htm" TargetMode="External"/><Relationship Id="rId879" Type="http://schemas.openxmlformats.org/officeDocument/2006/relationships/hyperlink" Target="https://www150.statcan.gc.ca/n1/pub/11f0019m/11f0019m2020017-eng.htm" TargetMode="External"/><Relationship Id="rId2462" Type="http://schemas.openxmlformats.org/officeDocument/2006/relationships/hyperlink" Target="https://www150.statcan.gc.ca/n1/pub/85-002-x/2020001/article/00005-eng.htm" TargetMode="External"/><Relationship Id="rId2767" Type="http://schemas.openxmlformats.org/officeDocument/2006/relationships/hyperlink" Target="https://www150.statcan.gc.ca/n1/pub/85-002-x/2016001/article/14470-eng.htm" TargetMode="External"/><Relationship Id="rId434" Type="http://schemas.openxmlformats.org/officeDocument/2006/relationships/hyperlink" Target="https://www150.statcan.gc.ca/n1/pub/89-657-x/89-657-x2016002-eng.htm" TargetMode="External"/><Relationship Id="rId641" Type="http://schemas.openxmlformats.org/officeDocument/2006/relationships/hyperlink" Target="https://www150.statcan.gc.ca/n1/pub/11-626-x/11-626-x2015049-eng.htm" TargetMode="External"/><Relationship Id="rId739" Type="http://schemas.openxmlformats.org/officeDocument/2006/relationships/hyperlink" Target="https://www150.statcan.gc.ca/n1/pub/85-002-x/2020001/article/00003-eng.htm" TargetMode="External"/><Relationship Id="rId1064" Type="http://schemas.openxmlformats.org/officeDocument/2006/relationships/hyperlink" Target="https://www150.statcan.gc.ca/n1/pub/85-002-x/2015001/article/14207-eng.htm" TargetMode="External"/><Relationship Id="rId1271" Type="http://schemas.openxmlformats.org/officeDocument/2006/relationships/hyperlink" Target="https://www150.statcan.gc.ca/n1/pub/11f0019m/11f0019m2016386-eng.htm" TargetMode="External"/><Relationship Id="rId1369" Type="http://schemas.openxmlformats.org/officeDocument/2006/relationships/hyperlink" Target="https://www150.statcan.gc.ca/n1/pub/11f0019m/11f0019m2020003-eng.htm" TargetMode="External"/><Relationship Id="rId1576" Type="http://schemas.openxmlformats.org/officeDocument/2006/relationships/hyperlink" Target="https://www150.statcan.gc.ca/n1/pub/89-503-x/2015001/article/14695-eng.htm" TargetMode="External"/><Relationship Id="rId2115" Type="http://schemas.openxmlformats.org/officeDocument/2006/relationships/hyperlink" Target="https://www150.statcan.gc.ca/n1/pub/85-002-x/2020001/article/00013-eng.htm" TargetMode="External"/><Relationship Id="rId2322" Type="http://schemas.openxmlformats.org/officeDocument/2006/relationships/hyperlink" Target="https://www150.statcan.gc.ca/n1/pub/75-006-x/2019001/article/00011-eng.htm" TargetMode="External"/><Relationship Id="rId501" Type="http://schemas.openxmlformats.org/officeDocument/2006/relationships/hyperlink" Target="https://www150.statcan.gc.ca/n1/pub/91-209-x/2018001/article/54956-eng.htm" TargetMode="External"/><Relationship Id="rId946" Type="http://schemas.openxmlformats.org/officeDocument/2006/relationships/hyperlink" Target="https://www150.statcan.gc.ca/n1/pub/75-006-x/2019001/article/00017-eng.htm" TargetMode="External"/><Relationship Id="rId1131" Type="http://schemas.openxmlformats.org/officeDocument/2006/relationships/hyperlink" Target="https://www150.statcan.gc.ca/n1/pub/85-002-x/2015001/article/14233-eng.htm" TargetMode="External"/><Relationship Id="rId1229" Type="http://schemas.openxmlformats.org/officeDocument/2006/relationships/hyperlink" Target="https://www150.statcan.gc.ca/n1/pub/82-003-x/2016002/article/14311-eng.htm" TargetMode="External"/><Relationship Id="rId1783" Type="http://schemas.openxmlformats.org/officeDocument/2006/relationships/hyperlink" Target="https://www150.statcan.gc.ca/n1/pub/85-002-x/2016001/article/14631-eng.htm" TargetMode="External"/><Relationship Id="rId1990" Type="http://schemas.openxmlformats.org/officeDocument/2006/relationships/hyperlink" Target="https://www150.statcan.gc.ca/n1/pub/82-003-x/2016007/article/14645-eng.htm" TargetMode="External"/><Relationship Id="rId2627" Type="http://schemas.openxmlformats.org/officeDocument/2006/relationships/hyperlink" Target="https://www150.statcan.gc.ca/n1/pub/89-652-x/89-652-x2015007-eng.htm" TargetMode="External"/><Relationship Id="rId75" Type="http://schemas.openxmlformats.org/officeDocument/2006/relationships/hyperlink" Target="https://www150.statcan.gc.ca/n1/pub/89-657-x/89-657-x2017004-eng.htm" TargetMode="External"/><Relationship Id="rId806" Type="http://schemas.openxmlformats.org/officeDocument/2006/relationships/hyperlink" Target="https://www150.statcan.gc.ca/n1/pub/11-626-x/11-626-x2016055-eng.htm" TargetMode="External"/><Relationship Id="rId1436" Type="http://schemas.openxmlformats.org/officeDocument/2006/relationships/hyperlink" Target="https://www150.statcan.gc.ca/n1/pub/11f0019m/11f0019m2019010-eng.htm" TargetMode="External"/><Relationship Id="rId1643" Type="http://schemas.openxmlformats.org/officeDocument/2006/relationships/hyperlink" Target="https://www150.statcan.gc.ca/n1/pub/85-002-x/2016001/article/14633-eng.htm" TargetMode="External"/><Relationship Id="rId1850" Type="http://schemas.openxmlformats.org/officeDocument/2006/relationships/hyperlink" Target="https://www150.statcan.gc.ca/n1/pub/85-002-x/2020001/article/00015-eng.htm" TargetMode="External"/><Relationship Id="rId1503" Type="http://schemas.openxmlformats.org/officeDocument/2006/relationships/hyperlink" Target="https://www150.statcan.gc.ca/n1/pub/82-003-x/2020004/article/00002-eng.htm" TargetMode="External"/><Relationship Id="rId1710" Type="http://schemas.openxmlformats.org/officeDocument/2006/relationships/hyperlink" Target="https://www150.statcan.gc.ca/n1/pub/85-002-x/2015001/article/14164-eng.htm" TargetMode="External"/><Relationship Id="rId1948" Type="http://schemas.openxmlformats.org/officeDocument/2006/relationships/hyperlink" Target="https://www150.statcan.gc.ca/n1/pub/85-002-x/2019001/article/00016-eng.htm" TargetMode="External"/><Relationship Id="rId291" Type="http://schemas.openxmlformats.org/officeDocument/2006/relationships/hyperlink" Target="https://www150.statcan.gc.ca/n1/pub/11-626-x/11-626-x2019015-eng.htm" TargetMode="External"/><Relationship Id="rId1808" Type="http://schemas.openxmlformats.org/officeDocument/2006/relationships/hyperlink" Target="https://www150.statcan.gc.ca/n1/pub/75-004-m/75-004-m2016001-eng.htm" TargetMode="External"/><Relationship Id="rId151" Type="http://schemas.openxmlformats.org/officeDocument/2006/relationships/hyperlink" Target="https://www150.statcan.gc.ca/n1/pub/11f0019m/11f0019m2020008-eng.htm" TargetMode="External"/><Relationship Id="rId389" Type="http://schemas.openxmlformats.org/officeDocument/2006/relationships/hyperlink" Target="https://www150.statcan.gc.ca/n1/pub/89-654-x/89-654-x2015001-eng.htm" TargetMode="External"/><Relationship Id="rId596" Type="http://schemas.openxmlformats.org/officeDocument/2006/relationships/hyperlink" Target="https://www150.statcan.gc.ca/n1/pub/71-222-x/71-222-x2019003-eng.htm" TargetMode="External"/><Relationship Id="rId2277" Type="http://schemas.openxmlformats.org/officeDocument/2006/relationships/hyperlink" Target="https://www150.statcan.gc.ca/n1/pub/85-002-x/2016001/article/14303-eng.htm" TargetMode="External"/><Relationship Id="rId2484" Type="http://schemas.openxmlformats.org/officeDocument/2006/relationships/hyperlink" Target="https://www150.statcan.gc.ca/n1/pub/75-006-x/2015001/article/14142-eng.htm" TargetMode="External"/><Relationship Id="rId2691" Type="http://schemas.openxmlformats.org/officeDocument/2006/relationships/hyperlink" Target="https://www150.statcan.gc.ca/n1/pub/89-653-x/89-653-x2019001-eng.htm" TargetMode="External"/><Relationship Id="rId249" Type="http://schemas.openxmlformats.org/officeDocument/2006/relationships/hyperlink" Target="https://www150.statcan.gc.ca/n1/pub/75-006-x/2019001/article/00001-eng.htm" TargetMode="External"/><Relationship Id="rId456" Type="http://schemas.openxmlformats.org/officeDocument/2006/relationships/hyperlink" Target="https://www150.statcan.gc.ca/n1/pub/85-603-x/85-603-x2019002-eng.htm" TargetMode="External"/><Relationship Id="rId663" Type="http://schemas.openxmlformats.org/officeDocument/2006/relationships/hyperlink" Target="https://www150.statcan.gc.ca/n1/pub/85-002-x/2019001/article/00005-eng.htm" TargetMode="External"/><Relationship Id="rId870" Type="http://schemas.openxmlformats.org/officeDocument/2006/relationships/hyperlink" Target="https://www150.statcan.gc.ca/n1/pub/82-003-x/2019002/article/00002-eng.htm" TargetMode="External"/><Relationship Id="rId1086" Type="http://schemas.openxmlformats.org/officeDocument/2006/relationships/hyperlink" Target="https://www150.statcan.gc.ca/n1/pub/75-006-x/2018001/article/54917-eng.htm" TargetMode="External"/><Relationship Id="rId1293" Type="http://schemas.openxmlformats.org/officeDocument/2006/relationships/hyperlink" Target="https://www150.statcan.gc.ca/n1/pub/89-652-x/89-652-x2015003-eng.htm" TargetMode="External"/><Relationship Id="rId2137" Type="http://schemas.openxmlformats.org/officeDocument/2006/relationships/hyperlink" Target="https://www150.statcan.gc.ca/n1/pub/11-633-x/11-633-x2021001-eng.htm" TargetMode="External"/><Relationship Id="rId2344" Type="http://schemas.openxmlformats.org/officeDocument/2006/relationships/hyperlink" Target="https://www150.statcan.gc.ca/n1/pub/11f0019m/11f0019m2019002-eng.htm" TargetMode="External"/><Relationship Id="rId2551" Type="http://schemas.openxmlformats.org/officeDocument/2006/relationships/hyperlink" Target="https://www150.statcan.gc.ca/n1/pub/89-652-x/89-652-x2015008-eng.htm" TargetMode="External"/><Relationship Id="rId2789" Type="http://schemas.openxmlformats.org/officeDocument/2006/relationships/hyperlink" Target="https://www150.statcan.gc.ca/n1/pub/82-003-x/2017002/article/14772-eng.htm" TargetMode="External"/><Relationship Id="rId109" Type="http://schemas.openxmlformats.org/officeDocument/2006/relationships/hyperlink" Target="https://www150.statcan.gc.ca/n1/pub/75-006-x/2017001/article/14774-eng.htm" TargetMode="External"/><Relationship Id="rId316" Type="http://schemas.openxmlformats.org/officeDocument/2006/relationships/hyperlink" Target="https://www150.statcan.gc.ca/n1/pub/82-003-x/2016012/article/14687-eng.htm" TargetMode="External"/><Relationship Id="rId523" Type="http://schemas.openxmlformats.org/officeDocument/2006/relationships/hyperlink" Target="https://www150.statcan.gc.ca/n1/pub/82-003-x/2018007/article/00002-eng.htm" TargetMode="External"/><Relationship Id="rId968" Type="http://schemas.openxmlformats.org/officeDocument/2006/relationships/hyperlink" Target="https://www150.statcan.gc.ca/n1/pub/82-003-x/2020001/article/00002-eng.htm" TargetMode="External"/><Relationship Id="rId1153" Type="http://schemas.openxmlformats.org/officeDocument/2006/relationships/hyperlink" Target="https://www150.statcan.gc.ca/n1/pub/89-652-x/89-652-x2015002-eng.htm" TargetMode="External"/><Relationship Id="rId1598" Type="http://schemas.openxmlformats.org/officeDocument/2006/relationships/hyperlink" Target="https://www150.statcan.gc.ca/n1/pub/81-595-m/81-595-m2020001-eng.htm" TargetMode="External"/><Relationship Id="rId2204" Type="http://schemas.openxmlformats.org/officeDocument/2006/relationships/hyperlink" Target="https://www150.statcan.gc.ca/n1/pub/85-002-x/2018001/article/54972-eng.htm" TargetMode="External"/><Relationship Id="rId2649" Type="http://schemas.openxmlformats.org/officeDocument/2006/relationships/hyperlink" Target="https://www150.statcan.gc.ca/n1/pub/11-633-x/11-633-x2016002-eng.htm" TargetMode="External"/><Relationship Id="rId97" Type="http://schemas.openxmlformats.org/officeDocument/2006/relationships/hyperlink" Target="https://www150.statcan.gc.ca/n1/pub/89-657-x/89-657-x2017005-eng.htm" TargetMode="External"/><Relationship Id="rId730" Type="http://schemas.openxmlformats.org/officeDocument/2006/relationships/hyperlink" Target="https://www150.statcan.gc.ca/n1/pub/11f0019m/11f0019m2019024-eng.htm" TargetMode="External"/><Relationship Id="rId828" Type="http://schemas.openxmlformats.org/officeDocument/2006/relationships/hyperlink" Target="https://www150.statcan.gc.ca/n1/pub/75-006-x/2015001/article/14247-eng.htm" TargetMode="External"/><Relationship Id="rId1013" Type="http://schemas.openxmlformats.org/officeDocument/2006/relationships/hyperlink" Target="https://www150.statcan.gc.ca/n1/pub/85-002-x/2019001/article/00015-eng.htm" TargetMode="External"/><Relationship Id="rId1360" Type="http://schemas.openxmlformats.org/officeDocument/2006/relationships/hyperlink" Target="https://www150.statcan.gc.ca/n1/pub/89-652-x/89-652-x2015006-eng.htm" TargetMode="External"/><Relationship Id="rId1458" Type="http://schemas.openxmlformats.org/officeDocument/2006/relationships/hyperlink" Target="https://www150.statcan.gc.ca/n1/pub/85-002-x/2017001/article/54889-eng.htm" TargetMode="External"/><Relationship Id="rId1665" Type="http://schemas.openxmlformats.org/officeDocument/2006/relationships/hyperlink" Target="https://www150.statcan.gc.ca/n1/pub/85-002-x/2018001/article/54980-eng.htm" TargetMode="External"/><Relationship Id="rId1872" Type="http://schemas.openxmlformats.org/officeDocument/2006/relationships/hyperlink" Target="https://www150.statcan.gc.ca/n1/pub/82-003-x/2019011/article/00001-eng.htm" TargetMode="External"/><Relationship Id="rId2411" Type="http://schemas.openxmlformats.org/officeDocument/2006/relationships/hyperlink" Target="https://www150.statcan.gc.ca/n1/pub/82-003-x/2016012/article/14688-eng.htm" TargetMode="External"/><Relationship Id="rId2509" Type="http://schemas.openxmlformats.org/officeDocument/2006/relationships/hyperlink" Target="https://www150.statcan.gc.ca/n1/pub/82-003-x/2017005/article/14792-eng.htm" TargetMode="External"/><Relationship Id="rId2716" Type="http://schemas.openxmlformats.org/officeDocument/2006/relationships/hyperlink" Target="https://www150.statcan.gc.ca/n1/pub/82-003-x/2015006/article/14196-eng.htm" TargetMode="External"/><Relationship Id="rId1220" Type="http://schemas.openxmlformats.org/officeDocument/2006/relationships/hyperlink" Target="https://www150.statcan.gc.ca/n1/pub/11f0019m/11f0019m2020018-eng.htm" TargetMode="External"/><Relationship Id="rId1318" Type="http://schemas.openxmlformats.org/officeDocument/2006/relationships/hyperlink" Target="https://www150.statcan.gc.ca/n1/pub/75-006-x/2018001/article/54981-eng.htm" TargetMode="External"/><Relationship Id="rId1525" Type="http://schemas.openxmlformats.org/officeDocument/2006/relationships/hyperlink" Target="https://www150.statcan.gc.ca/n1/pub/82-003-x/2020009/article/00001-eng.htm" TargetMode="External"/><Relationship Id="rId1732" Type="http://schemas.openxmlformats.org/officeDocument/2006/relationships/hyperlink" Target="https://www150.statcan.gc.ca/n1/pub/82-003-x/2019005/article/00001-eng.htm" TargetMode="External"/><Relationship Id="rId24" Type="http://schemas.openxmlformats.org/officeDocument/2006/relationships/hyperlink" Target="https://www150.statcan.gc.ca/n1/pub/82-003-x/2018005/article/54965-eng.htm" TargetMode="External"/><Relationship Id="rId2299" Type="http://schemas.openxmlformats.org/officeDocument/2006/relationships/hyperlink" Target="https://www150.statcan.gc.ca/n1/pub/89-503-x/2015001/article/14640-eng.htm" TargetMode="External"/><Relationship Id="rId173" Type="http://schemas.openxmlformats.org/officeDocument/2006/relationships/hyperlink" Target="https://www150.statcan.gc.ca/n1/pub/11f0019m/11f0019m2020001-eng.htm" TargetMode="External"/><Relationship Id="rId380" Type="http://schemas.openxmlformats.org/officeDocument/2006/relationships/hyperlink" Target="https://www150.statcan.gc.ca/n1/pub/11-633-x/11-633-x2016003-eng.htm" TargetMode="External"/><Relationship Id="rId2061" Type="http://schemas.openxmlformats.org/officeDocument/2006/relationships/hyperlink" Target="https://www150.statcan.gc.ca/n1/pub/11f0019m/11f0019m2017400-eng.htm" TargetMode="External"/><Relationship Id="rId240" Type="http://schemas.openxmlformats.org/officeDocument/2006/relationships/hyperlink" Target="https://www150.statcan.gc.ca/n1/pub/11f0019m/11f0019m2016385-eng.htm" TargetMode="External"/><Relationship Id="rId478" Type="http://schemas.openxmlformats.org/officeDocument/2006/relationships/hyperlink" Target="https://www150.statcan.gc.ca/n1/pub/75-006-x/2017001/article/54854-eng.htm" TargetMode="External"/><Relationship Id="rId685" Type="http://schemas.openxmlformats.org/officeDocument/2006/relationships/hyperlink" Target="https://www150.statcan.gc.ca/n1/pub/11f0019m/11f0019m2016381-eng.htm" TargetMode="External"/><Relationship Id="rId892" Type="http://schemas.openxmlformats.org/officeDocument/2006/relationships/hyperlink" Target="https://www150.statcan.gc.ca/n1/pub/13-605-x/2019001/article/00013-eng.htm" TargetMode="External"/><Relationship Id="rId2159" Type="http://schemas.openxmlformats.org/officeDocument/2006/relationships/hyperlink" Target="https://www150.statcan.gc.ca/n1/pub/89-657-x/89-657-x2020002-eng.htm" TargetMode="External"/><Relationship Id="rId2366" Type="http://schemas.openxmlformats.org/officeDocument/2006/relationships/hyperlink" Target="https://www150.statcan.gc.ca/n1/pub/82-003-x/2020003/article/00003-eng.htm" TargetMode="External"/><Relationship Id="rId2573" Type="http://schemas.openxmlformats.org/officeDocument/2006/relationships/hyperlink" Target="https://www150.statcan.gc.ca/n1/pub/75-006-x/2019001/article/00003-eng.htm" TargetMode="External"/><Relationship Id="rId2780" Type="http://schemas.openxmlformats.org/officeDocument/2006/relationships/hyperlink" Target="https://www150.statcan.gc.ca/n1/pub/85-002-x/2015001/article/14226-eng.htm" TargetMode="External"/><Relationship Id="rId100" Type="http://schemas.openxmlformats.org/officeDocument/2006/relationships/hyperlink" Target="https://www150.statcan.gc.ca/n1/pub/89-657-x/89-657-x2017005-eng.htm" TargetMode="External"/><Relationship Id="rId338" Type="http://schemas.openxmlformats.org/officeDocument/2006/relationships/hyperlink" Target="https://www150.statcan.gc.ca/n1/pub/89-503-x/2015001/article/14785-eng.htm" TargetMode="External"/><Relationship Id="rId545" Type="http://schemas.openxmlformats.org/officeDocument/2006/relationships/hyperlink" Target="https://www150.statcan.gc.ca/n1/pub/82-003-x/2019011/article/00002-eng.htm" TargetMode="External"/><Relationship Id="rId752" Type="http://schemas.openxmlformats.org/officeDocument/2006/relationships/hyperlink" Target="https://www150.statcan.gc.ca/n1/pub/89-503-x/2015001/article/14315-eng.htm" TargetMode="External"/><Relationship Id="rId1175" Type="http://schemas.openxmlformats.org/officeDocument/2006/relationships/hyperlink" Target="https://www150.statcan.gc.ca/n1/pub/85-002-x/2019001/article/00010-eng.htm" TargetMode="External"/><Relationship Id="rId1382" Type="http://schemas.openxmlformats.org/officeDocument/2006/relationships/hyperlink" Target="https://www150.statcan.gc.ca/n1/pub/82-003-x/2016001/article/14307-eng.htm" TargetMode="External"/><Relationship Id="rId2019" Type="http://schemas.openxmlformats.org/officeDocument/2006/relationships/hyperlink" Target="https://www150.statcan.gc.ca/n1/pub/85-002-x/2015001/article/14234-eng.htm" TargetMode="External"/><Relationship Id="rId2226" Type="http://schemas.openxmlformats.org/officeDocument/2006/relationships/hyperlink" Target="https://www150.statcan.gc.ca/n1/pub/85-002-x/2018001/article/54910-eng.htm" TargetMode="External"/><Relationship Id="rId2433" Type="http://schemas.openxmlformats.org/officeDocument/2006/relationships/hyperlink" Target="https://www150.statcan.gc.ca/n1/pub/11f0019m/11f0019m2019007-eng.htm" TargetMode="External"/><Relationship Id="rId2640" Type="http://schemas.openxmlformats.org/officeDocument/2006/relationships/hyperlink" Target="https://www150.statcan.gc.ca/n1/pub/75f0002m/75f0002m2016003-eng.htm" TargetMode="External"/><Relationship Id="rId405" Type="http://schemas.openxmlformats.org/officeDocument/2006/relationships/hyperlink" Target="https://www150.statcan.gc.ca/n1/pub/82-003-x/2017002/article/14773-eng.htm" TargetMode="External"/><Relationship Id="rId612" Type="http://schemas.openxmlformats.org/officeDocument/2006/relationships/hyperlink" Target="https://www150.statcan.gc.ca/n1/pub/89-654-x/89-654-x2018002-eng.htm" TargetMode="External"/><Relationship Id="rId1035" Type="http://schemas.openxmlformats.org/officeDocument/2006/relationships/hyperlink" Target="https://www150.statcan.gc.ca/n1/pub/75-006-x/2017001/article/54869-eng.htm" TargetMode="External"/><Relationship Id="rId1242" Type="http://schemas.openxmlformats.org/officeDocument/2006/relationships/hyperlink" Target="https://www150.statcan.gc.ca/n1/pub/85-002-x/2017001/article/54842-eng.htm" TargetMode="External"/><Relationship Id="rId1687" Type="http://schemas.openxmlformats.org/officeDocument/2006/relationships/hyperlink" Target="https://www150.statcan.gc.ca/n1/pub/89-503-x/2015001/article/14694-eng.htm" TargetMode="External"/><Relationship Id="rId1894" Type="http://schemas.openxmlformats.org/officeDocument/2006/relationships/hyperlink" Target="https://www150.statcan.gc.ca/n1/pub/89-503-x/2015001/article/14313-eng.htm" TargetMode="External"/><Relationship Id="rId2500" Type="http://schemas.openxmlformats.org/officeDocument/2006/relationships/hyperlink" Target="https://www150.statcan.gc.ca/n1/pub/11-633-x/11-633-x2018017-eng.htm" TargetMode="External"/><Relationship Id="rId2738" Type="http://schemas.openxmlformats.org/officeDocument/2006/relationships/hyperlink" Target="https://www150.statcan.gc.ca/n1/pub/89-503-x/2015001/article/14680-eng.htm" TargetMode="External"/><Relationship Id="rId917" Type="http://schemas.openxmlformats.org/officeDocument/2006/relationships/hyperlink" Target="https://www150.statcan.gc.ca/n1/pub/85-002-x/2019001/article/00017-eng.htm" TargetMode="External"/><Relationship Id="rId1102" Type="http://schemas.openxmlformats.org/officeDocument/2006/relationships/hyperlink" Target="https://www150.statcan.gc.ca/n1/pub/11-633-x/11-633-x2018014-eng.htm" TargetMode="External"/><Relationship Id="rId1547" Type="http://schemas.openxmlformats.org/officeDocument/2006/relationships/hyperlink" Target="https://www150.statcan.gc.ca/n1/pub/75-006-x/2015001/article/14299-eng.htm" TargetMode="External"/><Relationship Id="rId1754" Type="http://schemas.openxmlformats.org/officeDocument/2006/relationships/hyperlink" Target="https://www150.statcan.gc.ca/n1/pub/89-657-x/89-657-x2019010-eng.htm" TargetMode="External"/><Relationship Id="rId1961" Type="http://schemas.openxmlformats.org/officeDocument/2006/relationships/hyperlink" Target="https://www150.statcan.gc.ca/n1/pub/85-002-x/2018001/article/54974-eng.htm" TargetMode="External"/><Relationship Id="rId2805" Type="http://schemas.openxmlformats.org/officeDocument/2006/relationships/hyperlink" Target="https://www150.statcan.gc.ca/n1/pub/85-603-x/85-603-x2019001-eng.htm" TargetMode="External"/><Relationship Id="rId46" Type="http://schemas.openxmlformats.org/officeDocument/2006/relationships/hyperlink" Target="https://www150.statcan.gc.ca/n1/pub/96-325-x/2017001/article/54874-eng.htm" TargetMode="External"/><Relationship Id="rId1407" Type="http://schemas.openxmlformats.org/officeDocument/2006/relationships/hyperlink" Target="https://www150.statcan.gc.ca/n1/pub/82-003-x/2016008/article/14648-eng.htm" TargetMode="External"/><Relationship Id="rId1614" Type="http://schemas.openxmlformats.org/officeDocument/2006/relationships/hyperlink" Target="https://www150.statcan.gc.ca/n1/pub/89-503-x/2015001/article/14316-eng.htm" TargetMode="External"/><Relationship Id="rId1821" Type="http://schemas.openxmlformats.org/officeDocument/2006/relationships/hyperlink" Target="https://www150.statcan.gc.ca/n1/pub/75-006-x/2018001/article/54947-eng.htm" TargetMode="External"/><Relationship Id="rId195" Type="http://schemas.openxmlformats.org/officeDocument/2006/relationships/hyperlink" Target="https://www150.statcan.gc.ca/n1/pub/18-001-x/18-001-x2019002-eng.htm" TargetMode="External"/><Relationship Id="rId1919" Type="http://schemas.openxmlformats.org/officeDocument/2006/relationships/hyperlink" Target="https://www150.statcan.gc.ca/n1/pub/85-002-x/2019001/article/00013-eng.htm" TargetMode="External"/><Relationship Id="rId2083" Type="http://schemas.openxmlformats.org/officeDocument/2006/relationships/hyperlink" Target="https://www150.statcan.gc.ca/n1/pub/82-003-x/2020012/article/00002-eng.htm" TargetMode="External"/><Relationship Id="rId2290" Type="http://schemas.openxmlformats.org/officeDocument/2006/relationships/hyperlink" Target="https://www150.statcan.gc.ca/n1/pub/89-503-x/2015001/article/14640-eng.htm" TargetMode="External"/><Relationship Id="rId2388" Type="http://schemas.openxmlformats.org/officeDocument/2006/relationships/hyperlink" Target="https://www150.statcan.gc.ca/n1/pub/82-003-x/2018008/article/00002-eng.htm" TargetMode="External"/><Relationship Id="rId2595" Type="http://schemas.openxmlformats.org/officeDocument/2006/relationships/hyperlink" Target="https://www150.statcan.gc.ca/n1/pub/85-002-x/2015001/article/14203-eng.htm" TargetMode="External"/><Relationship Id="rId262" Type="http://schemas.openxmlformats.org/officeDocument/2006/relationships/hyperlink" Target="https://www150.statcan.gc.ca/n1/pub/82-003-x/2016009/article/14652-eng.htm" TargetMode="External"/><Relationship Id="rId567" Type="http://schemas.openxmlformats.org/officeDocument/2006/relationships/hyperlink" Target="https://www150.statcan.gc.ca/n1/pub/75-006-x/2020001/article/00007-eng.htm" TargetMode="External"/><Relationship Id="rId1197" Type="http://schemas.openxmlformats.org/officeDocument/2006/relationships/hyperlink" Target="https://www150.statcan.gc.ca/n1/pub/91-551-x/91-551-x2017001-eng.htm" TargetMode="External"/><Relationship Id="rId2150" Type="http://schemas.openxmlformats.org/officeDocument/2006/relationships/hyperlink" Target="https://www150.statcan.gc.ca/n1/pub/75-006-x/2015001/article/14194-eng.htm" TargetMode="External"/><Relationship Id="rId2248" Type="http://schemas.openxmlformats.org/officeDocument/2006/relationships/hyperlink" Target="https://www150.statcan.gc.ca/n1/pub/85-002-x/2016001/article/14303-eng.htm" TargetMode="External"/><Relationship Id="rId122" Type="http://schemas.openxmlformats.org/officeDocument/2006/relationships/hyperlink" Target="https://www150.statcan.gc.ca/n1/pub/13-604-m/13-604-m2016081-eng.htm" TargetMode="External"/><Relationship Id="rId774" Type="http://schemas.openxmlformats.org/officeDocument/2006/relationships/hyperlink" Target="https://www150.statcan.gc.ca/n1/pub/89-503-x/2015001/article/14315-eng.htm" TargetMode="External"/><Relationship Id="rId981" Type="http://schemas.openxmlformats.org/officeDocument/2006/relationships/hyperlink" Target="https://www150.statcan.gc.ca/n1/pub/75-006-x/2018001/article/54982-eng.htm" TargetMode="External"/><Relationship Id="rId1057" Type="http://schemas.openxmlformats.org/officeDocument/2006/relationships/hyperlink" Target="https://www150.statcan.gc.ca/n1/pub/85-002-x/2020001/article/00009-eng.htm" TargetMode="External"/><Relationship Id="rId2010" Type="http://schemas.openxmlformats.org/officeDocument/2006/relationships/hyperlink" Target="https://www150.statcan.gc.ca/n1/pub/85-002-x/2015001/article/14234-eng.htm" TargetMode="External"/><Relationship Id="rId2455" Type="http://schemas.openxmlformats.org/officeDocument/2006/relationships/hyperlink" Target="https://www150.statcan.gc.ca/n1/pub/89-648-x/89-648-x2020001-eng.htm" TargetMode="External"/><Relationship Id="rId2662" Type="http://schemas.openxmlformats.org/officeDocument/2006/relationships/hyperlink" Target="https://www150.statcan.gc.ca/n1/pub/82-003-x/2017003/article/14780-eng.htm" TargetMode="External"/><Relationship Id="rId427" Type="http://schemas.openxmlformats.org/officeDocument/2006/relationships/hyperlink" Target="https://www150.statcan.gc.ca/n1/pub/89-657-x/89-657-x2016002-eng.htm" TargetMode="External"/><Relationship Id="rId634" Type="http://schemas.openxmlformats.org/officeDocument/2006/relationships/hyperlink" Target="https://www150.statcan.gc.ca/n1/pub/82-003-x/2016007/article/14646-eng.htm" TargetMode="External"/><Relationship Id="rId841" Type="http://schemas.openxmlformats.org/officeDocument/2006/relationships/hyperlink" Target="https://www150.statcan.gc.ca/n1/pub/82-003-x/2017006/article/14827-eng.htm" TargetMode="External"/><Relationship Id="rId1264" Type="http://schemas.openxmlformats.org/officeDocument/2006/relationships/hyperlink" Target="https://www150.statcan.gc.ca/n1/pub/11f0019m/11f0019m2017396-eng.htm" TargetMode="External"/><Relationship Id="rId1471" Type="http://schemas.openxmlformats.org/officeDocument/2006/relationships/hyperlink" Target="https://www150.statcan.gc.ca/n1/pub/89-657-x/89-657-x2020003-eng.htm" TargetMode="External"/><Relationship Id="rId1569" Type="http://schemas.openxmlformats.org/officeDocument/2006/relationships/hyperlink" Target="https://www150.statcan.gc.ca/n1/pub/11-633-x/11-633-x2018012-eng.htm" TargetMode="External"/><Relationship Id="rId2108" Type="http://schemas.openxmlformats.org/officeDocument/2006/relationships/hyperlink" Target="https://www150.statcan.gc.ca/n1/pub/85-002-x/2016001/article/14323-eng.htm" TargetMode="External"/><Relationship Id="rId2315" Type="http://schemas.openxmlformats.org/officeDocument/2006/relationships/hyperlink" Target="https://www150.statcan.gc.ca/n1/pub/75-006-x/2019001/article/00011-eng.htm" TargetMode="External"/><Relationship Id="rId2522" Type="http://schemas.openxmlformats.org/officeDocument/2006/relationships/hyperlink" Target="https://www150.statcan.gc.ca/n1/pub/85-002-x/2017001/article/54844-eng.htm" TargetMode="External"/><Relationship Id="rId701" Type="http://schemas.openxmlformats.org/officeDocument/2006/relationships/hyperlink" Target="https://www150.statcan.gc.ca/n1/pub/89-648-x/89-648-x2020002-eng.htm" TargetMode="External"/><Relationship Id="rId939" Type="http://schemas.openxmlformats.org/officeDocument/2006/relationships/hyperlink" Target="https://www150.statcan.gc.ca/n1/pub/82-624-x/2016001/article/14308-eng.htm" TargetMode="External"/><Relationship Id="rId1124" Type="http://schemas.openxmlformats.org/officeDocument/2006/relationships/hyperlink" Target="https://www150.statcan.gc.ca/n1/pub/11-633-x/11-633-x2018016-eng.htm" TargetMode="External"/><Relationship Id="rId1331" Type="http://schemas.openxmlformats.org/officeDocument/2006/relationships/hyperlink" Target="https://www150.statcan.gc.ca/n1/pub/11f0019m/11f0019m2018405-eng.htm" TargetMode="External"/><Relationship Id="rId1776" Type="http://schemas.openxmlformats.org/officeDocument/2006/relationships/hyperlink" Target="https://www150.statcan.gc.ca/n1/pub/46-28-0001/2019001/article/00002-eng.htm" TargetMode="External"/><Relationship Id="rId1983" Type="http://schemas.openxmlformats.org/officeDocument/2006/relationships/hyperlink" Target="https://www150.statcan.gc.ca/n1/pub/99-011-x/99-011-x2019002-eng.htm" TargetMode="External"/><Relationship Id="rId68" Type="http://schemas.openxmlformats.org/officeDocument/2006/relationships/hyperlink" Target="https://www150.statcan.gc.ca/n1/pub/89-657-x/89-657-x2017003-eng.htm" TargetMode="External"/><Relationship Id="rId1429" Type="http://schemas.openxmlformats.org/officeDocument/2006/relationships/hyperlink" Target="https://www150.statcan.gc.ca/n1/pub/81-599-x/81-599-x2020001-eng.htm" TargetMode="External"/><Relationship Id="rId1636" Type="http://schemas.openxmlformats.org/officeDocument/2006/relationships/hyperlink" Target="https://www150.statcan.gc.ca/n1/pub/89-503-x/2015001/article/14316-eng.htm" TargetMode="External"/><Relationship Id="rId1843" Type="http://schemas.openxmlformats.org/officeDocument/2006/relationships/hyperlink" Target="https://www150.statcan.gc.ca/n1/pub/11f0019m/11f0019m2016374-eng.htm" TargetMode="External"/><Relationship Id="rId1703" Type="http://schemas.openxmlformats.org/officeDocument/2006/relationships/hyperlink" Target="https://www150.statcan.gc.ca/n1/pub/75-006-x/2015001/article/14134-eng.htm" TargetMode="External"/><Relationship Id="rId1910" Type="http://schemas.openxmlformats.org/officeDocument/2006/relationships/hyperlink" Target="https://www150.statcan.gc.ca/n1/pub/75f0002m/75f0002m2019012-eng.htm" TargetMode="External"/><Relationship Id="rId284" Type="http://schemas.openxmlformats.org/officeDocument/2006/relationships/hyperlink" Target="https://www150.statcan.gc.ca/n1/pub/11f0019m/11f0019m2017392-eng.htm" TargetMode="External"/><Relationship Id="rId491" Type="http://schemas.openxmlformats.org/officeDocument/2006/relationships/hyperlink" Target="https://www150.statcan.gc.ca/n1/pub/82-003-x/2019001/article/00001-eng.htm" TargetMode="External"/><Relationship Id="rId2172" Type="http://schemas.openxmlformats.org/officeDocument/2006/relationships/hyperlink" Target="https://www150.statcan.gc.ca/n1/pub/99-011-x/99-011-x2019001-eng.htm" TargetMode="External"/><Relationship Id="rId144" Type="http://schemas.openxmlformats.org/officeDocument/2006/relationships/hyperlink" Target="https://www150.statcan.gc.ca/n1/pub/11f0019m/11f0019m2020010-eng.htm" TargetMode="External"/><Relationship Id="rId589" Type="http://schemas.openxmlformats.org/officeDocument/2006/relationships/hyperlink" Target="https://www150.statcan.gc.ca/n1/pub/11f0019m/11f0019m2016375-eng.htm" TargetMode="External"/><Relationship Id="rId796" Type="http://schemas.openxmlformats.org/officeDocument/2006/relationships/hyperlink" Target="https://www150.statcan.gc.ca/n1/pub/89-648-x/89-648-x2020004-eng.htm" TargetMode="External"/><Relationship Id="rId2477" Type="http://schemas.openxmlformats.org/officeDocument/2006/relationships/hyperlink" Target="https://www150.statcan.gc.ca/n1/pub/82-003-x/2016011/article/14672-eng.htm" TargetMode="External"/><Relationship Id="rId2684" Type="http://schemas.openxmlformats.org/officeDocument/2006/relationships/hyperlink" Target="https://www150.statcan.gc.ca/n1/pub/89-653-x/89-653-x2019001-eng.htm" TargetMode="External"/><Relationship Id="rId351" Type="http://schemas.openxmlformats.org/officeDocument/2006/relationships/hyperlink" Target="https://www150.statcan.gc.ca/n1/pub/82-624-x/2015001/article/14218-eng.htm" TargetMode="External"/><Relationship Id="rId449" Type="http://schemas.openxmlformats.org/officeDocument/2006/relationships/hyperlink" Target="https://www150.statcan.gc.ca/n1/pub/85-603-x/85-603-x2019002-eng.htm" TargetMode="External"/><Relationship Id="rId656" Type="http://schemas.openxmlformats.org/officeDocument/2006/relationships/hyperlink" Target="https://www150.statcan.gc.ca/n1/pub/75-006-x/2016001/article/14678-eng.htm" TargetMode="External"/><Relationship Id="rId863" Type="http://schemas.openxmlformats.org/officeDocument/2006/relationships/hyperlink" Target="https://www150.statcan.gc.ca/n1/pub/85-002-x/2018001/article/54915-eng.htm" TargetMode="External"/><Relationship Id="rId1079" Type="http://schemas.openxmlformats.org/officeDocument/2006/relationships/hyperlink" Target="https://www150.statcan.gc.ca/n1/pub/18-001-x/18-001-x2018001-eng.htm" TargetMode="External"/><Relationship Id="rId1286" Type="http://schemas.openxmlformats.org/officeDocument/2006/relationships/hyperlink" Target="https://www150.statcan.gc.ca/n1/pub/82-003-x/2018004/article/54951-eng.htm" TargetMode="External"/><Relationship Id="rId1493" Type="http://schemas.openxmlformats.org/officeDocument/2006/relationships/hyperlink" Target="https://www150.statcan.gc.ca/n1/pub/85-002-x/2015001/article/14191-eng.htm" TargetMode="External"/><Relationship Id="rId2032" Type="http://schemas.openxmlformats.org/officeDocument/2006/relationships/hyperlink" Target="https://www150.statcan.gc.ca/n1/pub/11f0019m/11f0019m2017389-eng.htm" TargetMode="External"/><Relationship Id="rId2337" Type="http://schemas.openxmlformats.org/officeDocument/2006/relationships/hyperlink" Target="https://www150.statcan.gc.ca/n1/pub/13-605-x/2019001/article/00010-eng.htm" TargetMode="External"/><Relationship Id="rId2544" Type="http://schemas.openxmlformats.org/officeDocument/2006/relationships/hyperlink" Target="https://www150.statcan.gc.ca/n1/pub/75f0002m/75f0002m2018003-eng.htm" TargetMode="External"/><Relationship Id="rId211" Type="http://schemas.openxmlformats.org/officeDocument/2006/relationships/hyperlink" Target="https://www150.statcan.gc.ca/n1/pub/11f0019m/11f0019m2019014-eng.htm" TargetMode="External"/><Relationship Id="rId309" Type="http://schemas.openxmlformats.org/officeDocument/2006/relationships/hyperlink" Target="https://www150.statcan.gc.ca/n1/pub/75-004-m/75-004-m2020002-eng.htm" TargetMode="External"/><Relationship Id="rId516" Type="http://schemas.openxmlformats.org/officeDocument/2006/relationships/hyperlink" Target="https://www150.statcan.gc.ca/n1/pub/85-002-x/2018001/article/54977-eng.htm" TargetMode="External"/><Relationship Id="rId1146" Type="http://schemas.openxmlformats.org/officeDocument/2006/relationships/hyperlink" Target="https://www150.statcan.gc.ca/n1/pub/75-006-x/2019001/article/00012-eng.htm" TargetMode="External"/><Relationship Id="rId1798" Type="http://schemas.openxmlformats.org/officeDocument/2006/relationships/hyperlink" Target="https://www150.statcan.gc.ca/n1/pub/85-002-x/2016001/article/14668-eng.htm" TargetMode="External"/><Relationship Id="rId2751" Type="http://schemas.openxmlformats.org/officeDocument/2006/relationships/hyperlink" Target="https://www150.statcan.gc.ca/n1/pub/89-503-x/2015001/article/14680-eng.htm" TargetMode="External"/><Relationship Id="rId723" Type="http://schemas.openxmlformats.org/officeDocument/2006/relationships/hyperlink" Target="https://www150.statcan.gc.ca/pub/82-003-x/2019006/article/00001-eng.htm" TargetMode="External"/><Relationship Id="rId930" Type="http://schemas.openxmlformats.org/officeDocument/2006/relationships/hyperlink" Target="https://www150.statcan.gc.ca/n1/pub/85-002-x/2015001/article/14201-eng.htm" TargetMode="External"/><Relationship Id="rId1006" Type="http://schemas.openxmlformats.org/officeDocument/2006/relationships/hyperlink" Target="https://www150.statcan.gc.ca/n1/pub/89-657-x/89-657-x2020001-eng.htm" TargetMode="External"/><Relationship Id="rId1353" Type="http://schemas.openxmlformats.org/officeDocument/2006/relationships/hyperlink" Target="https://www150.statcan.gc.ca/n1/pub/85-002-x/2019001/article/00012-eng.htm" TargetMode="External"/><Relationship Id="rId1560" Type="http://schemas.openxmlformats.org/officeDocument/2006/relationships/hyperlink" Target="https://www150.statcan.gc.ca/n1/pub/11-633-x/11-633-x2018012-eng.htm" TargetMode="External"/><Relationship Id="rId1658" Type="http://schemas.openxmlformats.org/officeDocument/2006/relationships/hyperlink" Target="https://www150.statcan.gc.ca/n1/pub/75-006-x/2019001/article/00016-eng.htm" TargetMode="External"/><Relationship Id="rId1865" Type="http://schemas.openxmlformats.org/officeDocument/2006/relationships/hyperlink" Target="https://www150.statcan.gc.ca/n1/pub/11-626-x/11-626-x2015047-eng.htm" TargetMode="External"/><Relationship Id="rId2404" Type="http://schemas.openxmlformats.org/officeDocument/2006/relationships/hyperlink" Target="https://www150.statcan.gc.ca/n1/pub/89-657-x/89-657-x2019008-eng.htm" TargetMode="External"/><Relationship Id="rId2611" Type="http://schemas.openxmlformats.org/officeDocument/2006/relationships/hyperlink" Target="https://www150.statcan.gc.ca/n1/pub/11-626-x/11-626-x2016060-eng.htm" TargetMode="External"/><Relationship Id="rId2709" Type="http://schemas.openxmlformats.org/officeDocument/2006/relationships/hyperlink" Target="https://www150.statcan.gc.ca/n1/pub/82-003-x/2015008/article/14215-eng.htm" TargetMode="External"/><Relationship Id="rId1213" Type="http://schemas.openxmlformats.org/officeDocument/2006/relationships/hyperlink" Target="https://www150.statcan.gc.ca/n1/pub/82-003-x/2017008/article/54853-eng.htm" TargetMode="External"/><Relationship Id="rId1420" Type="http://schemas.openxmlformats.org/officeDocument/2006/relationships/hyperlink" Target="https://www150.statcan.gc.ca/n1/pub/13-605-x/2017001/article/54867-eng.htm" TargetMode="External"/><Relationship Id="rId1518" Type="http://schemas.openxmlformats.org/officeDocument/2006/relationships/hyperlink" Target="https://www150.statcan.gc.ca/n1/pub/75-006-x/2020001/article/00005-eng.htm" TargetMode="External"/><Relationship Id="rId1725" Type="http://schemas.openxmlformats.org/officeDocument/2006/relationships/hyperlink" Target="https://www150.statcan.gc.ca/n1/pub/75f0002m/75f0002m2019010-eng.htm" TargetMode="External"/><Relationship Id="rId1932" Type="http://schemas.openxmlformats.org/officeDocument/2006/relationships/hyperlink" Target="https://www150.statcan.gc.ca/n1/pub/11f0019m/11f0019m2016379-eng.htm" TargetMode="External"/><Relationship Id="rId17" Type="http://schemas.openxmlformats.org/officeDocument/2006/relationships/hyperlink" Target="https://www150.statcan.gc.ca/n1/pub/82-003-x/2019001/article/00002-eng.htm" TargetMode="External"/><Relationship Id="rId2194" Type="http://schemas.openxmlformats.org/officeDocument/2006/relationships/hyperlink" Target="https://www150.statcan.gc.ca/n1/pub/82-003-x/2015010/article/14227-eng.htm" TargetMode="External"/><Relationship Id="rId166" Type="http://schemas.openxmlformats.org/officeDocument/2006/relationships/hyperlink" Target="https://www150.statcan.gc.ca/n1/pub/11f0019m/11f0019m2020005-eng.htm" TargetMode="External"/><Relationship Id="rId373" Type="http://schemas.openxmlformats.org/officeDocument/2006/relationships/hyperlink" Target="https://www150.statcan.gc.ca/n1/pub/11f0019m/11f0019m2018410-eng.htm" TargetMode="External"/><Relationship Id="rId580" Type="http://schemas.openxmlformats.org/officeDocument/2006/relationships/hyperlink" Target="https://www150.statcan.gc.ca/n1/pub/11f0019m/11f0019m2016375-eng.htm" TargetMode="External"/><Relationship Id="rId2054" Type="http://schemas.openxmlformats.org/officeDocument/2006/relationships/hyperlink" Target="https://www150.statcan.gc.ca/n1/pub/11f0019m/11f0019m2019023-eng.htm" TargetMode="External"/><Relationship Id="rId2261" Type="http://schemas.openxmlformats.org/officeDocument/2006/relationships/hyperlink" Target="https://www150.statcan.gc.ca/n1/pub/85-002-x/2016001/article/14303-eng.htm" TargetMode="External"/><Relationship Id="rId2499" Type="http://schemas.openxmlformats.org/officeDocument/2006/relationships/hyperlink" Target="https://www150.statcan.gc.ca/n1/pub/11-633-x/11-633-x2018017-eng.htm" TargetMode="External"/><Relationship Id="rId1" Type="http://schemas.openxmlformats.org/officeDocument/2006/relationships/hyperlink" Target="https://www150.statcan.gc.ca/n1/pub/62f0014m/62f0014m2020014-eng.htm" TargetMode="External"/><Relationship Id="rId233" Type="http://schemas.openxmlformats.org/officeDocument/2006/relationships/hyperlink" Target="https://www150.statcan.gc.ca/n1/pub/75-006-x/2016001/article/14643-eng.htm" TargetMode="External"/><Relationship Id="rId440" Type="http://schemas.openxmlformats.org/officeDocument/2006/relationships/hyperlink" Target="https://www150.statcan.gc.ca/n1/pub/89-657-x/89-657-x2016002-eng.htm" TargetMode="External"/><Relationship Id="rId678" Type="http://schemas.openxmlformats.org/officeDocument/2006/relationships/hyperlink" Target="https://www150.statcan.gc.ca/n1/pub/11f0019m/11f0019m2016381-eng.htm" TargetMode="External"/><Relationship Id="rId885" Type="http://schemas.openxmlformats.org/officeDocument/2006/relationships/hyperlink" Target="https://www150.statcan.gc.ca/n1/pub/11f0027m/11f0027m2015096-eng.htm" TargetMode="External"/><Relationship Id="rId1070" Type="http://schemas.openxmlformats.org/officeDocument/2006/relationships/hyperlink" Target="https://www150.statcan.gc.ca/n1/pub/82-003-x/2017008/article/54852-eng.htm" TargetMode="External"/><Relationship Id="rId2121" Type="http://schemas.openxmlformats.org/officeDocument/2006/relationships/hyperlink" Target="https://www150.statcan.gc.ca/n1/pub/75-006-x/2017001/article/54878-eng.htm" TargetMode="External"/><Relationship Id="rId2359" Type="http://schemas.openxmlformats.org/officeDocument/2006/relationships/hyperlink" Target="https://www150.statcan.gc.ca/n1/pub/11f0019m/11f0019m2017397-eng.htm" TargetMode="External"/><Relationship Id="rId2566" Type="http://schemas.openxmlformats.org/officeDocument/2006/relationships/hyperlink" Target="https://www150.statcan.gc.ca/n1/pub/82-624-x/2015001/article/14095-eng.htm" TargetMode="External"/><Relationship Id="rId2773" Type="http://schemas.openxmlformats.org/officeDocument/2006/relationships/hyperlink" Target="https://www150.statcan.gc.ca/n1/pub/82-003-x/2019009/article/00001-eng.htm" TargetMode="External"/><Relationship Id="rId300" Type="http://schemas.openxmlformats.org/officeDocument/2006/relationships/hyperlink" Target="https://www150.statcan.gc.ca/n1/pub/82-003-x/2015002/article/14139-eng.htm" TargetMode="External"/><Relationship Id="rId538" Type="http://schemas.openxmlformats.org/officeDocument/2006/relationships/hyperlink" Target="https://www150.statcan.gc.ca/n1/pub/89-652-x/89-652-x2015001-eng.htm" TargetMode="External"/><Relationship Id="rId745" Type="http://schemas.openxmlformats.org/officeDocument/2006/relationships/hyperlink" Target="https://www150.statcan.gc.ca/n1/pub/85-002-x/2020001/article/00003-eng.htm" TargetMode="External"/><Relationship Id="rId952" Type="http://schemas.openxmlformats.org/officeDocument/2006/relationships/hyperlink" Target="https://www150.statcan.gc.ca/n1/pub/11f0019m/11f0019m2020014-eng.htm" TargetMode="External"/><Relationship Id="rId1168" Type="http://schemas.openxmlformats.org/officeDocument/2006/relationships/hyperlink" Target="https://www150.statcan.gc.ca/n1/pub/11f0019m/11f0019m2019022-eng.htm" TargetMode="External"/><Relationship Id="rId1375" Type="http://schemas.openxmlformats.org/officeDocument/2006/relationships/hyperlink" Target="https://www150.statcan.gc.ca/n1/pub/75-006-x/2017001/article/14787-eng.htm" TargetMode="External"/><Relationship Id="rId1582" Type="http://schemas.openxmlformats.org/officeDocument/2006/relationships/hyperlink" Target="https://www150.statcan.gc.ca/n1/pub/89-503-x/2015001/article/14695-eng.htm" TargetMode="External"/><Relationship Id="rId2219" Type="http://schemas.openxmlformats.org/officeDocument/2006/relationships/hyperlink" Target="https://www150.statcan.gc.ca/n1/pub/11f0019m/11f0019m2020016-eng.htm" TargetMode="External"/><Relationship Id="rId2426" Type="http://schemas.openxmlformats.org/officeDocument/2006/relationships/hyperlink" Target="https://www150.statcan.gc.ca/n1/pub/11f0019m/11f0019m2019007-eng.htm" TargetMode="External"/><Relationship Id="rId2633" Type="http://schemas.openxmlformats.org/officeDocument/2006/relationships/hyperlink" Target="https://www150.statcan.gc.ca/n1/pub/89-652-x/89-652-x2015007-eng.htm" TargetMode="External"/><Relationship Id="rId81" Type="http://schemas.openxmlformats.org/officeDocument/2006/relationships/hyperlink" Target="https://www150.statcan.gc.ca/n1/pub/89-657-x/89-657-x2017004-eng.htm" TargetMode="External"/><Relationship Id="rId605" Type="http://schemas.openxmlformats.org/officeDocument/2006/relationships/hyperlink" Target="https://www150.statcan.gc.ca/n1/pub/89-28-0001/2018001/article/00016-eng.htm" TargetMode="External"/><Relationship Id="rId812" Type="http://schemas.openxmlformats.org/officeDocument/2006/relationships/hyperlink" Target="https://www150.statcan.gc.ca/n1/pub/82-003-x/2015006/article/14195-eng.htm" TargetMode="External"/><Relationship Id="rId1028" Type="http://schemas.openxmlformats.org/officeDocument/2006/relationships/hyperlink" Target="https://www150.statcan.gc.ca/n1/pub/11f0019m/11f0019m2016378-eng.htm" TargetMode="External"/><Relationship Id="rId1235" Type="http://schemas.openxmlformats.org/officeDocument/2006/relationships/hyperlink" Target="https://www150.statcan.gc.ca/n1/pub/85-002-x/2020001/article/00002-eng.htm" TargetMode="External"/><Relationship Id="rId1442" Type="http://schemas.openxmlformats.org/officeDocument/2006/relationships/hyperlink" Target="https://www150.statcan.gc.ca/n1/pub/11f0019m/11f0019m2019010-eng.htm" TargetMode="External"/><Relationship Id="rId1887" Type="http://schemas.openxmlformats.org/officeDocument/2006/relationships/hyperlink" Target="https://www150.statcan.gc.ca/n1/pub/89-503-x/2015001/article/14313-eng.htm" TargetMode="External"/><Relationship Id="rId1302" Type="http://schemas.openxmlformats.org/officeDocument/2006/relationships/hyperlink" Target="https://www150.statcan.gc.ca/n1/pub/11-633-x/11-633-x2018013-eng.htm" TargetMode="External"/><Relationship Id="rId1747" Type="http://schemas.openxmlformats.org/officeDocument/2006/relationships/hyperlink" Target="https://www150.statcan.gc.ca/n1/pub/75-006-x/2019001/article/00002-eng.htm" TargetMode="External"/><Relationship Id="rId1954" Type="http://schemas.openxmlformats.org/officeDocument/2006/relationships/hyperlink" Target="https://www150.statcan.gc.ca/n1/pub/85-002-x/2017001/article/54879-eng.htm" TargetMode="External"/><Relationship Id="rId2700" Type="http://schemas.openxmlformats.org/officeDocument/2006/relationships/hyperlink" Target="https://www150.statcan.gc.ca/n1/pub/11f0019m/11f0019m2016383-eng.htm" TargetMode="External"/><Relationship Id="rId39" Type="http://schemas.openxmlformats.org/officeDocument/2006/relationships/hyperlink" Target="https://www150.statcan.gc.ca/n1/pub/96-325-x/2017001/article/54873-eng.htm" TargetMode="External"/><Relationship Id="rId1607" Type="http://schemas.openxmlformats.org/officeDocument/2006/relationships/hyperlink" Target="https://www150.statcan.gc.ca/n1/pub/82-003-x/2018011/article/00001-eng.htm" TargetMode="External"/><Relationship Id="rId1814" Type="http://schemas.openxmlformats.org/officeDocument/2006/relationships/hyperlink" Target="https://www150.statcan.gc.ca/n1/pub/11f0019m/11f0019m2019018-eng.htm" TargetMode="External"/><Relationship Id="rId188" Type="http://schemas.openxmlformats.org/officeDocument/2006/relationships/hyperlink" Target="https://www150.statcan.gc.ca/n1/pub/18-001-x/18-001-x2019002-eng.htm" TargetMode="External"/><Relationship Id="rId395" Type="http://schemas.openxmlformats.org/officeDocument/2006/relationships/hyperlink" Target="https://www150.statcan.gc.ca/n1/pub/82-003-x/2015003/article/14143-eng.htm" TargetMode="External"/><Relationship Id="rId2076" Type="http://schemas.openxmlformats.org/officeDocument/2006/relationships/hyperlink" Target="https://www150.statcan.gc.ca/n1/pub/11f0019m/11f0019m2018404-eng.htm" TargetMode="External"/><Relationship Id="rId2283" Type="http://schemas.openxmlformats.org/officeDocument/2006/relationships/hyperlink" Target="https://www150.statcan.gc.ca/n1/pub/11f0019m/11f0019m2019005-eng.htm" TargetMode="External"/><Relationship Id="rId2490" Type="http://schemas.openxmlformats.org/officeDocument/2006/relationships/hyperlink" Target="https://www150.statcan.gc.ca/n1/pub/75-006-x/2019001/article/00007-eng.htm" TargetMode="External"/><Relationship Id="rId2588" Type="http://schemas.openxmlformats.org/officeDocument/2006/relationships/hyperlink" Target="https://www150.statcan.gc.ca/n1/pub/85-002-x/2015001/article/14203-eng.htm" TargetMode="External"/><Relationship Id="rId255" Type="http://schemas.openxmlformats.org/officeDocument/2006/relationships/hyperlink" Target="https://www150.statcan.gc.ca/n1/pub/91-209-x/2016001/article/14650-eng.htm" TargetMode="External"/><Relationship Id="rId462" Type="http://schemas.openxmlformats.org/officeDocument/2006/relationships/hyperlink" Target="https://www150.statcan.gc.ca/n1/pub/11f0019m/11f0019m2017391-eng.htm" TargetMode="External"/><Relationship Id="rId1092" Type="http://schemas.openxmlformats.org/officeDocument/2006/relationships/hyperlink" Target="https://www150.statcan.gc.ca/n1/pub/75-006-x/2016001/article/14651-eng.htm" TargetMode="External"/><Relationship Id="rId1397" Type="http://schemas.openxmlformats.org/officeDocument/2006/relationships/hyperlink" Target="https://www150.statcan.gc.ca/n1/pub/85-002-x/2020001/article/00011-eng.htm" TargetMode="External"/><Relationship Id="rId2143" Type="http://schemas.openxmlformats.org/officeDocument/2006/relationships/hyperlink" Target="https://www150.statcan.gc.ca/n1/pub/11-633-x/11-633-x2021001-eng.htm" TargetMode="External"/><Relationship Id="rId2350" Type="http://schemas.openxmlformats.org/officeDocument/2006/relationships/hyperlink" Target="https://www150.statcan.gc.ca/n1/pub/75-006-x/2019001/article/00005-eng.htm" TargetMode="External"/><Relationship Id="rId2795" Type="http://schemas.openxmlformats.org/officeDocument/2006/relationships/hyperlink" Target="https://www150.statcan.gc.ca/n1/pub/11f0019m/11f0019m2020004-eng.htm" TargetMode="External"/><Relationship Id="rId115" Type="http://schemas.openxmlformats.org/officeDocument/2006/relationships/hyperlink" Target="https://www150.statcan.gc.ca/n1/pub/16-002-x/2015002/article/14133-eng.htm" TargetMode="External"/><Relationship Id="rId322" Type="http://schemas.openxmlformats.org/officeDocument/2006/relationships/hyperlink" Target="https://www150.statcan.gc.ca/n1/pub/89-648-x/89-648-x2020003-eng.htm" TargetMode="External"/><Relationship Id="rId767" Type="http://schemas.openxmlformats.org/officeDocument/2006/relationships/hyperlink" Target="https://www150.statcan.gc.ca/n1/pub/89-503-x/2015001/article/14315-eng.htm" TargetMode="External"/><Relationship Id="rId974" Type="http://schemas.openxmlformats.org/officeDocument/2006/relationships/hyperlink" Target="https://www150.statcan.gc.ca/n1/pub/13-605-x/2019001/article/00009-eng.htm" TargetMode="External"/><Relationship Id="rId2003" Type="http://schemas.openxmlformats.org/officeDocument/2006/relationships/hyperlink" Target="https://www150.statcan.gc.ca/n1/pub/85-002-x/2016001/article/14642-eng.htm" TargetMode="External"/><Relationship Id="rId2210" Type="http://schemas.openxmlformats.org/officeDocument/2006/relationships/hyperlink" Target="https://www150.statcan.gc.ca/n1/pub/85-002-x/2018001/article/54972-eng.htm" TargetMode="External"/><Relationship Id="rId2448" Type="http://schemas.openxmlformats.org/officeDocument/2006/relationships/hyperlink" Target="https://www150.statcan.gc.ca/n1/pub/89-648-x/89-648-x2020001-eng.htm" TargetMode="External"/><Relationship Id="rId2655" Type="http://schemas.openxmlformats.org/officeDocument/2006/relationships/hyperlink" Target="https://www150.statcan.gc.ca/n1/pub/89-654-x/89-654-x2019001-eng.htm" TargetMode="External"/><Relationship Id="rId627" Type="http://schemas.openxmlformats.org/officeDocument/2006/relationships/hyperlink" Target="https://www150.statcan.gc.ca/n1/pub/11-633-x/11-633-x2017006-eng.htm" TargetMode="External"/><Relationship Id="rId834" Type="http://schemas.openxmlformats.org/officeDocument/2006/relationships/hyperlink" Target="https://www150.statcan.gc.ca/n1/pub/85-002-x/2020001/article/00007-eng.htm" TargetMode="External"/><Relationship Id="rId1257" Type="http://schemas.openxmlformats.org/officeDocument/2006/relationships/hyperlink" Target="https://www150.statcan.gc.ca/n1/pub/82-003-x/2020010/article/00001-eng.htm" TargetMode="External"/><Relationship Id="rId1464" Type="http://schemas.openxmlformats.org/officeDocument/2006/relationships/hyperlink" Target="https://www150.statcan.gc.ca/n1/pub/82-003-x/2019012/article/00003-eng.htm" TargetMode="External"/><Relationship Id="rId1671" Type="http://schemas.openxmlformats.org/officeDocument/2006/relationships/hyperlink" Target="https://www150.statcan.gc.ca/n1/pub/75-006-x/2019001/article/00014-eng.htm" TargetMode="External"/><Relationship Id="rId2308" Type="http://schemas.openxmlformats.org/officeDocument/2006/relationships/hyperlink" Target="https://www150.statcan.gc.ca/n1/pub/89-503-x/2015001/article/14640-eng.htm" TargetMode="External"/><Relationship Id="rId2515" Type="http://schemas.openxmlformats.org/officeDocument/2006/relationships/hyperlink" Target="https://www150.statcan.gc.ca/n1/pub/85-002-x/2017001/article/54844-eng.htm" TargetMode="External"/><Relationship Id="rId2722" Type="http://schemas.openxmlformats.org/officeDocument/2006/relationships/hyperlink" Target="https://www150.statcan.gc.ca/n1/pub/13-605-x/2017001/article/54882-eng.htm" TargetMode="External"/><Relationship Id="rId901" Type="http://schemas.openxmlformats.org/officeDocument/2006/relationships/hyperlink" Target="https://www150.statcan.gc.ca/n1/pub/89-653-x/89-653-x2016009-eng.htm" TargetMode="External"/><Relationship Id="rId1117" Type="http://schemas.openxmlformats.org/officeDocument/2006/relationships/hyperlink" Target="https://www150.statcan.gc.ca/n1/pub/11-633-x/11-633-x2018016-eng.htm" TargetMode="External"/><Relationship Id="rId1324" Type="http://schemas.openxmlformats.org/officeDocument/2006/relationships/hyperlink" Target="https://www150.statcan.gc.ca/n1/pub/13-605-x/2018001/article/54961-eng.htm" TargetMode="External"/><Relationship Id="rId1531" Type="http://schemas.openxmlformats.org/officeDocument/2006/relationships/hyperlink" Target="https://www150.statcan.gc.ca/n1/pub/11f0019m/11f0019m2016377-eng.htm" TargetMode="External"/><Relationship Id="rId1769" Type="http://schemas.openxmlformats.org/officeDocument/2006/relationships/hyperlink" Target="https://www150.statcan.gc.ca/n1/pub/89-657-x/89-657-x2019010-eng.htm" TargetMode="External"/><Relationship Id="rId1976" Type="http://schemas.openxmlformats.org/officeDocument/2006/relationships/hyperlink" Target="https://www150.statcan.gc.ca/n1/pub/11f0019m/11f0019m2015368-eng.htm" TargetMode="External"/><Relationship Id="rId30" Type="http://schemas.openxmlformats.org/officeDocument/2006/relationships/hyperlink" Target="https://www150.statcan.gc.ca/n1/pub/96-325-x/2017001/article/54924-eng.htm" TargetMode="External"/><Relationship Id="rId1629" Type="http://schemas.openxmlformats.org/officeDocument/2006/relationships/hyperlink" Target="https://www150.statcan.gc.ca/n1/pub/89-503-x/2015001/article/14316-eng.htm" TargetMode="External"/><Relationship Id="rId1836" Type="http://schemas.openxmlformats.org/officeDocument/2006/relationships/hyperlink" Target="https://www150.statcan.gc.ca/n1/pub/11-626-x/11-626-x2018082-eng.htm" TargetMode="External"/><Relationship Id="rId1903" Type="http://schemas.openxmlformats.org/officeDocument/2006/relationships/hyperlink" Target="https://www150.statcan.gc.ca/n1/pub/89-503-x/2015001/article/14313-eng.htm" TargetMode="External"/><Relationship Id="rId2098" Type="http://schemas.openxmlformats.org/officeDocument/2006/relationships/hyperlink" Target="https://www150.statcan.gc.ca/n1/pub/11f0019m/11f0019m2019015-eng.htm" TargetMode="External"/><Relationship Id="rId277" Type="http://schemas.openxmlformats.org/officeDocument/2006/relationships/hyperlink" Target="https://www150.statcan.gc.ca/n1/pub/85-002-x/2015001/article/14146-eng.htm" TargetMode="External"/><Relationship Id="rId484" Type="http://schemas.openxmlformats.org/officeDocument/2006/relationships/hyperlink" Target="https://www150.statcan.gc.ca/n1/pub/82-003-x/2015011/article/14243-eng.htm" TargetMode="External"/><Relationship Id="rId2165" Type="http://schemas.openxmlformats.org/officeDocument/2006/relationships/hyperlink" Target="https://www150.statcan.gc.ca/n1/pub/89-653-x/89-653-x2019005-eng.htm" TargetMode="External"/><Relationship Id="rId137" Type="http://schemas.openxmlformats.org/officeDocument/2006/relationships/hyperlink" Target="https://www150.statcan.gc.ca/n1/pub/11f0019m/11f0019m2020013-eng.htm" TargetMode="External"/><Relationship Id="rId344" Type="http://schemas.openxmlformats.org/officeDocument/2006/relationships/hyperlink" Target="https://www150.statcan.gc.ca/n1/pub/89-503-x/2015001/article/14785-eng.htm" TargetMode="External"/><Relationship Id="rId691" Type="http://schemas.openxmlformats.org/officeDocument/2006/relationships/hyperlink" Target="https://www150.statcan.gc.ca/n1/pub/75-006-x/2019001/article/00018-eng.htm" TargetMode="External"/><Relationship Id="rId789" Type="http://schemas.openxmlformats.org/officeDocument/2006/relationships/hyperlink" Target="https://www150.statcan.gc.ca/n1/pub/89-503-x/2015001/article/14152-eng.htm" TargetMode="External"/><Relationship Id="rId996" Type="http://schemas.openxmlformats.org/officeDocument/2006/relationships/hyperlink" Target="https://www150.statcan.gc.ca/n1/pub/11f0019m/11f0019m2017394-eng.htm" TargetMode="External"/><Relationship Id="rId2025" Type="http://schemas.openxmlformats.org/officeDocument/2006/relationships/hyperlink" Target="https://www150.statcan.gc.ca/n1/pub/75-006-x/2017001/article/14798-eng.htm" TargetMode="External"/><Relationship Id="rId2372" Type="http://schemas.openxmlformats.org/officeDocument/2006/relationships/hyperlink" Target="https://www150.statcan.gc.ca/n1/pub/82-003-x/2015002/article/14140-eng.htm" TargetMode="External"/><Relationship Id="rId2677" Type="http://schemas.openxmlformats.org/officeDocument/2006/relationships/hyperlink" Target="https://www150.statcan.gc.ca/n1/pub/85-002-x/2015001/article/14241-eng.htm" TargetMode="External"/><Relationship Id="rId551" Type="http://schemas.openxmlformats.org/officeDocument/2006/relationships/hyperlink" Target="https://www150.statcan.gc.ca/n1/pub/11f0019m/11f0019m2019009-eng.htm" TargetMode="External"/><Relationship Id="rId649" Type="http://schemas.openxmlformats.org/officeDocument/2006/relationships/hyperlink" Target="https://www150.statcan.gc.ca/n1/pub/82-003-x/2016003/article/14339-eng.htm" TargetMode="External"/><Relationship Id="rId856" Type="http://schemas.openxmlformats.org/officeDocument/2006/relationships/hyperlink" Target="https://www150.statcan.gc.ca/n1/pub/89-657-x/89-657-x2019007-eng.htm" TargetMode="External"/><Relationship Id="rId1181" Type="http://schemas.openxmlformats.org/officeDocument/2006/relationships/hyperlink" Target="https://www150.statcan.gc.ca/n1/pub/85-002-x/2019001/article/00010-eng.htm" TargetMode="External"/><Relationship Id="rId1279" Type="http://schemas.openxmlformats.org/officeDocument/2006/relationships/hyperlink" Target="https://www150.statcan.gc.ca/n1/pub/85-002-x/2020001/article/00014-eng.htm" TargetMode="External"/><Relationship Id="rId1486" Type="http://schemas.openxmlformats.org/officeDocument/2006/relationships/hyperlink" Target="https://www150.statcan.gc.ca/n1/pub/85-002-x/2020001/article/00012-eng.htm" TargetMode="External"/><Relationship Id="rId2232" Type="http://schemas.openxmlformats.org/officeDocument/2006/relationships/hyperlink" Target="https://www150.statcan.gc.ca/n1/pub/11-626-x/11-626-x2020010-eng.htm" TargetMode="External"/><Relationship Id="rId2537" Type="http://schemas.openxmlformats.org/officeDocument/2006/relationships/hyperlink" Target="https://www150.statcan.gc.ca/n1/pub/89-653-x/89-653-x2016010-eng.htm" TargetMode="External"/><Relationship Id="rId204" Type="http://schemas.openxmlformats.org/officeDocument/2006/relationships/hyperlink" Target="https://www150.statcan.gc.ca/n1/pub/18-001-x/18-001-x2019002-eng.htm" TargetMode="External"/><Relationship Id="rId411" Type="http://schemas.openxmlformats.org/officeDocument/2006/relationships/hyperlink" Target="https://www150.statcan.gc.ca/n1/pub/13-604-m/13-604-m2020002-eng.htm" TargetMode="External"/><Relationship Id="rId509" Type="http://schemas.openxmlformats.org/officeDocument/2006/relationships/hyperlink" Target="https://www150.statcan.gc.ca/n1/pub/82-003-x/2016008/article/14647-eng.htm" TargetMode="External"/><Relationship Id="rId1041" Type="http://schemas.openxmlformats.org/officeDocument/2006/relationships/hyperlink" Target="https://www150.statcan.gc.ca/n1/pub/82-003-x/2020002/article/00002-eng.htm" TargetMode="External"/><Relationship Id="rId1139" Type="http://schemas.openxmlformats.org/officeDocument/2006/relationships/hyperlink" Target="https://www150.statcan.gc.ca/n1/pub/11-633-x/11-633-x2017009-eng.htm" TargetMode="External"/><Relationship Id="rId1346" Type="http://schemas.openxmlformats.org/officeDocument/2006/relationships/hyperlink" Target="https://www150.statcan.gc.ca/n1/pub/85-002-x/2020001/article/00010-eng.htm" TargetMode="External"/><Relationship Id="rId1693" Type="http://schemas.openxmlformats.org/officeDocument/2006/relationships/hyperlink" Target="https://www150.statcan.gc.ca/n1/pub/11f0019m/11f0019m2015371-eng.htm" TargetMode="External"/><Relationship Id="rId1998" Type="http://schemas.openxmlformats.org/officeDocument/2006/relationships/hyperlink" Target="https://www150.statcan.gc.ca/n1/pub/85-002-x/2016001/article/14642-eng.htm" TargetMode="External"/><Relationship Id="rId2744" Type="http://schemas.openxmlformats.org/officeDocument/2006/relationships/hyperlink" Target="https://www150.statcan.gc.ca/n1/pub/89-503-x/2015001/article/14680-eng.htm" TargetMode="External"/><Relationship Id="rId716" Type="http://schemas.openxmlformats.org/officeDocument/2006/relationships/hyperlink" Target="https://www150.statcan.gc.ca/n1/pub/18-001-x/18-001-x2017002-eng.htm" TargetMode="External"/><Relationship Id="rId923" Type="http://schemas.openxmlformats.org/officeDocument/2006/relationships/hyperlink" Target="https://www150.statcan.gc.ca/n1/pub/85-002-x/2019001/article/00017-eng.htm" TargetMode="External"/><Relationship Id="rId1553" Type="http://schemas.openxmlformats.org/officeDocument/2006/relationships/hyperlink" Target="https://www150.statcan.gc.ca/n1/pub/11f0019m/11f0019m2019013-eng.htm" TargetMode="External"/><Relationship Id="rId1760" Type="http://schemas.openxmlformats.org/officeDocument/2006/relationships/hyperlink" Target="https://www150.statcan.gc.ca/n1/pub/89-657-x/89-657-x2019010-eng.htm" TargetMode="External"/><Relationship Id="rId1858" Type="http://schemas.openxmlformats.org/officeDocument/2006/relationships/hyperlink" Target="https://www150.statcan.gc.ca/n1/pub/89-653-x/89-653-x2018004-eng.htm" TargetMode="External"/><Relationship Id="rId2604" Type="http://schemas.openxmlformats.org/officeDocument/2006/relationships/hyperlink" Target="https://www150.statcan.gc.ca/n1/pub/11f0027m/11f0027m2015097-eng.htm" TargetMode="External"/><Relationship Id="rId2811" Type="http://schemas.openxmlformats.org/officeDocument/2006/relationships/hyperlink" Target="https://www150.statcan.gc.ca/n1/pub/85-002-x/2018001/article/54981-eng.htm" TargetMode="External"/><Relationship Id="rId52" Type="http://schemas.openxmlformats.org/officeDocument/2006/relationships/hyperlink" Target="https://www150.statcan.gc.ca/n1/pub/89-657-x/89-657-x2017003-eng.htm" TargetMode="External"/><Relationship Id="rId1206" Type="http://schemas.openxmlformats.org/officeDocument/2006/relationships/hyperlink" Target="https://www150.statcan.gc.ca/n1/pub/91-551-x/91-551-x2017001-eng.htm" TargetMode="External"/><Relationship Id="rId1413" Type="http://schemas.openxmlformats.org/officeDocument/2006/relationships/hyperlink" Target="https://www150.statcan.gc.ca/n1/pub/85-002-x/2017001/article/14700-eng.htm" TargetMode="External"/><Relationship Id="rId1620" Type="http://schemas.openxmlformats.org/officeDocument/2006/relationships/hyperlink" Target="https://www150.statcan.gc.ca/n1/pub/89-503-x/2015001/article/14316-eng.htm" TargetMode="External"/><Relationship Id="rId1718" Type="http://schemas.openxmlformats.org/officeDocument/2006/relationships/hyperlink" Target="https://www150.statcan.gc.ca/n1/pub/89-653-x/89-653-x2015006-eng.htm" TargetMode="External"/><Relationship Id="rId1925" Type="http://schemas.openxmlformats.org/officeDocument/2006/relationships/hyperlink" Target="https://www150.statcan.gc.ca/n1/pub/85-002-x/2019001/article/00013-eng.htm" TargetMode="External"/><Relationship Id="rId299" Type="http://schemas.openxmlformats.org/officeDocument/2006/relationships/hyperlink" Target="https://www150.statcan.gc.ca/n1/pub/82-003-x/2015002/article/14139-eng.htm" TargetMode="External"/><Relationship Id="rId2187" Type="http://schemas.openxmlformats.org/officeDocument/2006/relationships/hyperlink" Target="https://www150.statcan.gc.ca/n1/pub/82-003-x/2018008/article/00001-eng.htm" TargetMode="External"/><Relationship Id="rId2394" Type="http://schemas.openxmlformats.org/officeDocument/2006/relationships/hyperlink" Target="https://www150.statcan.gc.ca/n1/pub/82-003-x/2016004/article/14489-eng.htm" TargetMode="External"/><Relationship Id="rId159" Type="http://schemas.openxmlformats.org/officeDocument/2006/relationships/hyperlink" Target="https://www150.statcan.gc.ca/n1/pub/11f0019m/11f0019m2020006-eng.htm" TargetMode="External"/><Relationship Id="rId366" Type="http://schemas.openxmlformats.org/officeDocument/2006/relationships/hyperlink" Target="https://www150.statcan.gc.ca/n1/pub/82-003-x/2018009/article/00001-eng.htm" TargetMode="External"/><Relationship Id="rId573" Type="http://schemas.openxmlformats.org/officeDocument/2006/relationships/hyperlink" Target="https://www150.statcan.gc.ca/n1/pub/11f0019m/11f0019m2016375-eng.htm" TargetMode="External"/><Relationship Id="rId780" Type="http://schemas.openxmlformats.org/officeDocument/2006/relationships/hyperlink" Target="https://www150.statcan.gc.ca/n1/pub/89-503-x/2015001/article/14315-eng.htm" TargetMode="External"/><Relationship Id="rId2047" Type="http://schemas.openxmlformats.org/officeDocument/2006/relationships/hyperlink" Target="https://www150.statcan.gc.ca/n1/pub/75f0002m/75f0002m2020003-eng.htm" TargetMode="External"/><Relationship Id="rId2254" Type="http://schemas.openxmlformats.org/officeDocument/2006/relationships/hyperlink" Target="https://www150.statcan.gc.ca/n1/pub/85-002-x/2016001/article/14303-eng.htm" TargetMode="External"/><Relationship Id="rId2461" Type="http://schemas.openxmlformats.org/officeDocument/2006/relationships/hyperlink" Target="https://www150.statcan.gc.ca/n1/pub/85-002-x/2020001/article/00005-eng.htm" TargetMode="External"/><Relationship Id="rId2699" Type="http://schemas.openxmlformats.org/officeDocument/2006/relationships/hyperlink" Target="https://www150.statcan.gc.ca/n1/pub/11f0019m/11f0019m2016383-eng.htm" TargetMode="External"/><Relationship Id="rId226" Type="http://schemas.openxmlformats.org/officeDocument/2006/relationships/hyperlink" Target="https://www150.statcan.gc.ca/n1/pub/82-003-x/2016004/article/14490-eng.htm" TargetMode="External"/><Relationship Id="rId433" Type="http://schemas.openxmlformats.org/officeDocument/2006/relationships/hyperlink" Target="https://www150.statcan.gc.ca/n1/pub/89-657-x/89-657-x2016002-eng.htm" TargetMode="External"/><Relationship Id="rId878" Type="http://schemas.openxmlformats.org/officeDocument/2006/relationships/hyperlink" Target="https://www150.statcan.gc.ca/n1/pub/11f0019m/11f0019m2020017-eng.htm" TargetMode="External"/><Relationship Id="rId1063" Type="http://schemas.openxmlformats.org/officeDocument/2006/relationships/hyperlink" Target="https://www150.statcan.gc.ca/n1/pub/85-002-x/2020001/article/00009-eng.htm" TargetMode="External"/><Relationship Id="rId1270" Type="http://schemas.openxmlformats.org/officeDocument/2006/relationships/hyperlink" Target="https://www150.statcan.gc.ca/n1/pub/11f0019m/11f0019m2016386-eng.htm" TargetMode="External"/><Relationship Id="rId2114" Type="http://schemas.openxmlformats.org/officeDocument/2006/relationships/hyperlink" Target="https://www150.statcan.gc.ca/n1/pub/85-002-x/2020001/article/00013-eng.htm" TargetMode="External"/><Relationship Id="rId2559" Type="http://schemas.openxmlformats.org/officeDocument/2006/relationships/hyperlink" Target="https://www150.statcan.gc.ca/n1/pub/11-626-x/11-626-x2019010-eng.htm" TargetMode="External"/><Relationship Id="rId2766" Type="http://schemas.openxmlformats.org/officeDocument/2006/relationships/hyperlink" Target="https://www150.statcan.gc.ca/n1/pub/85-002-x/2016001/article/14470-eng.htm" TargetMode="External"/><Relationship Id="rId640" Type="http://schemas.openxmlformats.org/officeDocument/2006/relationships/hyperlink" Target="https://www150.statcan.gc.ca/n1/pub/75f0002m/75f0002m2019011-eng.htm" TargetMode="External"/><Relationship Id="rId738" Type="http://schemas.openxmlformats.org/officeDocument/2006/relationships/hyperlink" Target="https://www150.statcan.gc.ca/n1/pub/85-002-x/2020001/article/00003-eng.htm" TargetMode="External"/><Relationship Id="rId945" Type="http://schemas.openxmlformats.org/officeDocument/2006/relationships/hyperlink" Target="https://www150.statcan.gc.ca/n1/pub/75-006-x/2019001/article/00017-eng.htm" TargetMode="External"/><Relationship Id="rId1368" Type="http://schemas.openxmlformats.org/officeDocument/2006/relationships/hyperlink" Target="https://www150.statcan.gc.ca/n1/pub/11f0019m/11f0019m2020003-eng.htm" TargetMode="External"/><Relationship Id="rId1575" Type="http://schemas.openxmlformats.org/officeDocument/2006/relationships/hyperlink" Target="https://www150.statcan.gc.ca/n1/pub/89-503-x/2015001/article/14695-eng.htm" TargetMode="External"/><Relationship Id="rId1782" Type="http://schemas.openxmlformats.org/officeDocument/2006/relationships/hyperlink" Target="https://www150.statcan.gc.ca/n1/pub/85-002-x/2017001/article/54866-eng.htm" TargetMode="External"/><Relationship Id="rId2321" Type="http://schemas.openxmlformats.org/officeDocument/2006/relationships/hyperlink" Target="https://www150.statcan.gc.ca/n1/pub/75-006-x/2019001/article/00011-eng.htm" TargetMode="External"/><Relationship Id="rId2419" Type="http://schemas.openxmlformats.org/officeDocument/2006/relationships/hyperlink" Target="https://www150.statcan.gc.ca/n1/pub/85-002-x/2019001/article/00009-eng.htm" TargetMode="External"/><Relationship Id="rId2626" Type="http://schemas.openxmlformats.org/officeDocument/2006/relationships/hyperlink" Target="https://www150.statcan.gc.ca/n1/pub/89-652-x/89-652-x2015007-eng.htm" TargetMode="External"/><Relationship Id="rId74" Type="http://schemas.openxmlformats.org/officeDocument/2006/relationships/hyperlink" Target="https://www150.statcan.gc.ca/n1/pub/89-657-x/89-657-x2017004-eng.htm" TargetMode="External"/><Relationship Id="rId500" Type="http://schemas.openxmlformats.org/officeDocument/2006/relationships/hyperlink" Target="https://www150.statcan.gc.ca/n1/pub/91-209-x/2018001/article/54956-eng.htm" TargetMode="External"/><Relationship Id="rId805" Type="http://schemas.openxmlformats.org/officeDocument/2006/relationships/hyperlink" Target="https://www150.statcan.gc.ca/n1/pub/11-626-x/11-626-x2016055-eng.htm" TargetMode="External"/><Relationship Id="rId1130" Type="http://schemas.openxmlformats.org/officeDocument/2006/relationships/hyperlink" Target="https://www150.statcan.gc.ca/n1/pub/85-002-x/2015001/article/14233-eng.htm" TargetMode="External"/><Relationship Id="rId1228" Type="http://schemas.openxmlformats.org/officeDocument/2006/relationships/hyperlink" Target="https://www150.statcan.gc.ca/n1/pub/11-633-x/11-633-x2020004-eng.htm" TargetMode="External"/><Relationship Id="rId1435" Type="http://schemas.openxmlformats.org/officeDocument/2006/relationships/hyperlink" Target="https://www150.statcan.gc.ca/n1/pub/11f0019m/11f0019m2019010-eng.htm" TargetMode="External"/><Relationship Id="rId1642" Type="http://schemas.openxmlformats.org/officeDocument/2006/relationships/hyperlink" Target="https://www150.statcan.gc.ca/n1/pub/85-002-x/2016001/article/14633-eng.htm" TargetMode="External"/><Relationship Id="rId1947" Type="http://schemas.openxmlformats.org/officeDocument/2006/relationships/hyperlink" Target="https://www150.statcan.gc.ca/n1/pub/85-002-x/2019001/article/00016-eng.htm" TargetMode="External"/><Relationship Id="rId1502" Type="http://schemas.openxmlformats.org/officeDocument/2006/relationships/hyperlink" Target="https://www150.statcan.gc.ca/n1/pub/82-003-x/2020004/article/00002-eng.htm" TargetMode="External"/><Relationship Id="rId1807" Type="http://schemas.openxmlformats.org/officeDocument/2006/relationships/hyperlink" Target="https://www150.statcan.gc.ca/n1/pub/75-004-m/75-004-m2016001-eng.htm" TargetMode="External"/><Relationship Id="rId290" Type="http://schemas.openxmlformats.org/officeDocument/2006/relationships/hyperlink" Target="https://www150.statcan.gc.ca/n1/pub/75-006-x/2018001/article/54978-eng.htm" TargetMode="External"/><Relationship Id="rId388" Type="http://schemas.openxmlformats.org/officeDocument/2006/relationships/hyperlink" Target="https://www150.statcan.gc.ca/n1/pub/89-654-x/89-654-x2015001-eng.htm" TargetMode="External"/><Relationship Id="rId2069" Type="http://schemas.openxmlformats.org/officeDocument/2006/relationships/hyperlink" Target="https://www150.statcan.gc.ca/n1/pub/85-002-x/2019001/article/00001-eng.htm" TargetMode="External"/><Relationship Id="rId150" Type="http://schemas.openxmlformats.org/officeDocument/2006/relationships/hyperlink" Target="https://www150.statcan.gc.ca/n1/pub/11f0019m/11f0019m2020009-eng.htm" TargetMode="External"/><Relationship Id="rId595" Type="http://schemas.openxmlformats.org/officeDocument/2006/relationships/hyperlink" Target="https://www150.statcan.gc.ca/n1/pub/71-222-x/71-222-x2019003-eng.htm" TargetMode="External"/><Relationship Id="rId2276" Type="http://schemas.openxmlformats.org/officeDocument/2006/relationships/hyperlink" Target="https://www150.statcan.gc.ca/n1/pub/85-002-x/2016001/article/14303-eng.htm" TargetMode="External"/><Relationship Id="rId2483" Type="http://schemas.openxmlformats.org/officeDocument/2006/relationships/hyperlink" Target="https://www150.statcan.gc.ca/n1/pub/75-006-x/2015001/article/14142-eng.htm" TargetMode="External"/><Relationship Id="rId2690" Type="http://schemas.openxmlformats.org/officeDocument/2006/relationships/hyperlink" Target="https://www150.statcan.gc.ca/n1/pub/89-653-x/89-653-x2019001-eng.htm" TargetMode="External"/><Relationship Id="rId248" Type="http://schemas.openxmlformats.org/officeDocument/2006/relationships/hyperlink" Target="https://www150.statcan.gc.ca/n1/pub/75-006-x/2019001/article/00001-eng.htm" TargetMode="External"/><Relationship Id="rId455" Type="http://schemas.openxmlformats.org/officeDocument/2006/relationships/hyperlink" Target="https://www150.statcan.gc.ca/n1/pub/85-603-x/85-603-x2019002-eng.htm" TargetMode="External"/><Relationship Id="rId662" Type="http://schemas.openxmlformats.org/officeDocument/2006/relationships/hyperlink" Target="https://www150.statcan.gc.ca/n1/pub/85-002-x/2019001/article/00005-eng.htm" TargetMode="External"/><Relationship Id="rId1085" Type="http://schemas.openxmlformats.org/officeDocument/2006/relationships/hyperlink" Target="https://www150.statcan.gc.ca/n1/pub/75-006-x/2018001/article/54917-eng.htm" TargetMode="External"/><Relationship Id="rId1292" Type="http://schemas.openxmlformats.org/officeDocument/2006/relationships/hyperlink" Target="https://www150.statcan.gc.ca/n1/pub/89-652-x/89-652-x2015003-eng.htm" TargetMode="External"/><Relationship Id="rId2136" Type="http://schemas.openxmlformats.org/officeDocument/2006/relationships/hyperlink" Target="https://www150.statcan.gc.ca/n1/pub/11-633-x/11-633-x2021001-eng.htm" TargetMode="External"/><Relationship Id="rId2343" Type="http://schemas.openxmlformats.org/officeDocument/2006/relationships/hyperlink" Target="https://www150.statcan.gc.ca/n1/pub/11f0019m/11f0019m2019002-eng.htm" TargetMode="External"/><Relationship Id="rId2550" Type="http://schemas.openxmlformats.org/officeDocument/2006/relationships/hyperlink" Target="https://www150.statcan.gc.ca/n1/pub/89-652-x/89-652-x2015008-eng.htm" TargetMode="External"/><Relationship Id="rId2788" Type="http://schemas.openxmlformats.org/officeDocument/2006/relationships/hyperlink" Target="https://www150.statcan.gc.ca/n1/pub/82-003-x/2017002/article/14772-eng.htm" TargetMode="External"/><Relationship Id="rId108" Type="http://schemas.openxmlformats.org/officeDocument/2006/relationships/hyperlink" Target="https://www150.statcan.gc.ca/n1/pub/75-006-x/2017001/article/14774-eng.htm" TargetMode="External"/><Relationship Id="rId315" Type="http://schemas.openxmlformats.org/officeDocument/2006/relationships/hyperlink" Target="https://www150.statcan.gc.ca/n1/pub/82-003-x/2016012/article/14687-eng.htm" TargetMode="External"/><Relationship Id="rId522" Type="http://schemas.openxmlformats.org/officeDocument/2006/relationships/hyperlink" Target="https://www150.statcan.gc.ca/n1/pub/82-003-x/2018007/article/00002-eng.htm" TargetMode="External"/><Relationship Id="rId967" Type="http://schemas.openxmlformats.org/officeDocument/2006/relationships/hyperlink" Target="https://www150.statcan.gc.ca/n1/pub/82-003-x/2020001/article/00002-eng.htm" TargetMode="External"/><Relationship Id="rId1152" Type="http://schemas.openxmlformats.org/officeDocument/2006/relationships/hyperlink" Target="https://www150.statcan.gc.ca/n1/pub/89-652-x/89-652-x2015002-eng.htm" TargetMode="External"/><Relationship Id="rId1597" Type="http://schemas.openxmlformats.org/officeDocument/2006/relationships/hyperlink" Target="https://www150.statcan.gc.ca/n1/pub/81-595-m/81-595-m2020001-eng.htm" TargetMode="External"/><Relationship Id="rId2203" Type="http://schemas.openxmlformats.org/officeDocument/2006/relationships/hyperlink" Target="https://www150.statcan.gc.ca/n1/pub/11f0019m/11f0019m2018406-eng.htm" TargetMode="External"/><Relationship Id="rId2410" Type="http://schemas.openxmlformats.org/officeDocument/2006/relationships/hyperlink" Target="https://www150.statcan.gc.ca/n1/pub/82-003-x/2016012/article/14688-eng.htm" TargetMode="External"/><Relationship Id="rId2648" Type="http://schemas.openxmlformats.org/officeDocument/2006/relationships/hyperlink" Target="https://www150.statcan.gc.ca/n1/pub/11-633-x/11-633-x2016002-eng.htm" TargetMode="External"/><Relationship Id="rId96" Type="http://schemas.openxmlformats.org/officeDocument/2006/relationships/hyperlink" Target="https://www150.statcan.gc.ca/n1/pub/89-657-x/89-657-x2017005-eng.htm" TargetMode="External"/><Relationship Id="rId827" Type="http://schemas.openxmlformats.org/officeDocument/2006/relationships/hyperlink" Target="https://www150.statcan.gc.ca/n1/pub/75-006-x/2015001/article/14247-eng.htm" TargetMode="External"/><Relationship Id="rId1012" Type="http://schemas.openxmlformats.org/officeDocument/2006/relationships/hyperlink" Target="https://www150.statcan.gc.ca/n1/pub/89-657-x/89-657-x2020001-eng.htm" TargetMode="External"/><Relationship Id="rId1457" Type="http://schemas.openxmlformats.org/officeDocument/2006/relationships/hyperlink" Target="https://www150.statcan.gc.ca/n1/pub/85-002-x/2017001/article/54889-eng.htm" TargetMode="External"/><Relationship Id="rId1664" Type="http://schemas.openxmlformats.org/officeDocument/2006/relationships/hyperlink" Target="https://www150.statcan.gc.ca/n1/pub/85-002-x/2018001/article/54980-eng.htm" TargetMode="External"/><Relationship Id="rId1871" Type="http://schemas.openxmlformats.org/officeDocument/2006/relationships/hyperlink" Target="https://www150.statcan.gc.ca/n1/pub/82-003-x/2019011/article/00001-eng.htm" TargetMode="External"/><Relationship Id="rId2508" Type="http://schemas.openxmlformats.org/officeDocument/2006/relationships/hyperlink" Target="https://www150.statcan.gc.ca/n1/pub/82-003-x/2017005/article/14792-eng.htm" TargetMode="External"/><Relationship Id="rId2715" Type="http://schemas.openxmlformats.org/officeDocument/2006/relationships/hyperlink" Target="https://www150.statcan.gc.ca/n1/pub/82-003-x/2015006/article/14196-eng.htm" TargetMode="External"/><Relationship Id="rId1317" Type="http://schemas.openxmlformats.org/officeDocument/2006/relationships/hyperlink" Target="https://www150.statcan.gc.ca/n1/pub/75-006-x/2018001/article/54981-eng.htm" TargetMode="External"/><Relationship Id="rId1524" Type="http://schemas.openxmlformats.org/officeDocument/2006/relationships/hyperlink" Target="https://www150.statcan.gc.ca/n1/pub/82-003-x/2020009/article/00001-eng.htm" TargetMode="External"/><Relationship Id="rId1731" Type="http://schemas.openxmlformats.org/officeDocument/2006/relationships/hyperlink" Target="https://www150.statcan.gc.ca/n1/pub/11-626-x/11-626-x2020023-eng.htm" TargetMode="External"/><Relationship Id="rId1969" Type="http://schemas.openxmlformats.org/officeDocument/2006/relationships/hyperlink" Target="https://www150.statcan.gc.ca/n1/pub/85-002-x/2018001/article/54974-eng.htm" TargetMode="External"/><Relationship Id="rId23" Type="http://schemas.openxmlformats.org/officeDocument/2006/relationships/hyperlink" Target="https://www150.statcan.gc.ca/n1/pub/82-003-x/2018005/article/54965-eng.htm" TargetMode="External"/><Relationship Id="rId1829" Type="http://schemas.openxmlformats.org/officeDocument/2006/relationships/hyperlink" Target="https://www150.statcan.gc.ca/n1/pub/89-657-x/89-657-x2019018-eng.htm" TargetMode="External"/><Relationship Id="rId2298" Type="http://schemas.openxmlformats.org/officeDocument/2006/relationships/hyperlink" Target="https://www150.statcan.gc.ca/n1/pub/89-503-x/2015001/article/14640-eng.htm" TargetMode="External"/><Relationship Id="rId172" Type="http://schemas.openxmlformats.org/officeDocument/2006/relationships/hyperlink" Target="https://www150.statcan.gc.ca/n1/pub/11f0019m/11f0019m2020005-eng.htm" TargetMode="External"/><Relationship Id="rId477" Type="http://schemas.openxmlformats.org/officeDocument/2006/relationships/hyperlink" Target="https://www150.statcan.gc.ca/n1/pub/75-006-x/2017001/article/54854-eng.htm" TargetMode="External"/><Relationship Id="rId684" Type="http://schemas.openxmlformats.org/officeDocument/2006/relationships/hyperlink" Target="https://www150.statcan.gc.ca/n1/pub/11f0019m/11f0019m2016381-eng.htm" TargetMode="External"/><Relationship Id="rId2060" Type="http://schemas.openxmlformats.org/officeDocument/2006/relationships/hyperlink" Target="https://www150.statcan.gc.ca/n1/pub/11f0019m/11f0019m2019008-eng.htm" TargetMode="External"/><Relationship Id="rId2158" Type="http://schemas.openxmlformats.org/officeDocument/2006/relationships/hyperlink" Target="https://www150.statcan.gc.ca/n1/pub/11f0027m/11f0027m2015099-eng.htm" TargetMode="External"/><Relationship Id="rId2365" Type="http://schemas.openxmlformats.org/officeDocument/2006/relationships/hyperlink" Target="https://www150.statcan.gc.ca/n1/pub/82-003-x/2020003/article/00003-eng.htm" TargetMode="External"/><Relationship Id="rId337" Type="http://schemas.openxmlformats.org/officeDocument/2006/relationships/hyperlink" Target="https://www150.statcan.gc.ca/n1/pub/89-503-x/2015001/article/14785-eng.htm" TargetMode="External"/><Relationship Id="rId891" Type="http://schemas.openxmlformats.org/officeDocument/2006/relationships/hyperlink" Target="https://www150.statcan.gc.ca/n1/pub/13-605-x/2019001/article/00013-eng.htm" TargetMode="External"/><Relationship Id="rId989" Type="http://schemas.openxmlformats.org/officeDocument/2006/relationships/hyperlink" Target="https://www150.statcan.gc.ca/n1/pub/75-006-x/2020001/article/00002-eng.htm" TargetMode="External"/><Relationship Id="rId2018" Type="http://schemas.openxmlformats.org/officeDocument/2006/relationships/hyperlink" Target="https://www150.statcan.gc.ca/n1/pub/85-002-x/2015001/article/14234-eng.htm" TargetMode="External"/><Relationship Id="rId2572" Type="http://schemas.openxmlformats.org/officeDocument/2006/relationships/hyperlink" Target="https://www150.statcan.gc.ca/n1/pub/75f0002m/75f0002m2019004-eng.htm" TargetMode="External"/><Relationship Id="rId544" Type="http://schemas.openxmlformats.org/officeDocument/2006/relationships/hyperlink" Target="https://www150.statcan.gc.ca/n1/pub/82-003-x/2019011/article/00002-eng.htm" TargetMode="External"/><Relationship Id="rId751" Type="http://schemas.openxmlformats.org/officeDocument/2006/relationships/hyperlink" Target="https://www150.statcan.gc.ca/n1/pub/89-503-x/2015001/article/14315-eng.htm" TargetMode="External"/><Relationship Id="rId849" Type="http://schemas.openxmlformats.org/officeDocument/2006/relationships/hyperlink" Target="https://www150.statcan.gc.ca/n1/pub/81-595-m/81-595-m2020002-eng.htm" TargetMode="External"/><Relationship Id="rId1174" Type="http://schemas.openxmlformats.org/officeDocument/2006/relationships/hyperlink" Target="https://www150.statcan.gc.ca/n1/pub/85-002-x/2019001/article/00010-eng.htm" TargetMode="External"/><Relationship Id="rId1381" Type="http://schemas.openxmlformats.org/officeDocument/2006/relationships/hyperlink" Target="https://www150.statcan.gc.ca/n1/pub/82-003-x/2016001/article/14307-eng.htm" TargetMode="External"/><Relationship Id="rId1479" Type="http://schemas.openxmlformats.org/officeDocument/2006/relationships/hyperlink" Target="https://www150.statcan.gc.ca/n1/pub/11-626-x/11-626-x2015044-eng.htm" TargetMode="External"/><Relationship Id="rId1686" Type="http://schemas.openxmlformats.org/officeDocument/2006/relationships/hyperlink" Target="https://www150.statcan.gc.ca/n1/pub/89-503-x/2015001/article/14694-eng.htm" TargetMode="External"/><Relationship Id="rId2225" Type="http://schemas.openxmlformats.org/officeDocument/2006/relationships/hyperlink" Target="https://www150.statcan.gc.ca/n1/pub/85-002-x/2018001/article/54910-eng.htm" TargetMode="External"/><Relationship Id="rId2432" Type="http://schemas.openxmlformats.org/officeDocument/2006/relationships/hyperlink" Target="https://www150.statcan.gc.ca/n1/pub/11f0019m/11f0019m2019007-eng.htm" TargetMode="External"/><Relationship Id="rId404" Type="http://schemas.openxmlformats.org/officeDocument/2006/relationships/hyperlink" Target="https://www150.statcan.gc.ca/n1/pub/82-003-x/2017002/article/14773-eng.htm" TargetMode="External"/><Relationship Id="rId611" Type="http://schemas.openxmlformats.org/officeDocument/2006/relationships/hyperlink" Target="https://www150.statcan.gc.ca/n1/pub/89-654-x/89-654-x2018002-eng.htm" TargetMode="External"/><Relationship Id="rId1034" Type="http://schemas.openxmlformats.org/officeDocument/2006/relationships/hyperlink" Target="https://www150.statcan.gc.ca/n1/pub/75-006-x/2017001/article/54869-eng.htm" TargetMode="External"/><Relationship Id="rId1241" Type="http://schemas.openxmlformats.org/officeDocument/2006/relationships/hyperlink" Target="https://www150.statcan.gc.ca/n1/pub/11f0019m/11f0019m2015366-eng.htm" TargetMode="External"/><Relationship Id="rId1339" Type="http://schemas.openxmlformats.org/officeDocument/2006/relationships/hyperlink" Target="https://www150.statcan.gc.ca/n1/pub/85-002-x/2020001/article/00010-eng.htm" TargetMode="External"/><Relationship Id="rId1893" Type="http://schemas.openxmlformats.org/officeDocument/2006/relationships/hyperlink" Target="https://www150.statcan.gc.ca/n1/pub/89-503-x/2015001/article/14313-eng.htm" TargetMode="External"/><Relationship Id="rId2737" Type="http://schemas.openxmlformats.org/officeDocument/2006/relationships/hyperlink" Target="https://www150.statcan.gc.ca/n1/pub/82-003-x/2017010/article/54875-eng.htm" TargetMode="External"/><Relationship Id="rId709" Type="http://schemas.openxmlformats.org/officeDocument/2006/relationships/hyperlink" Target="https://www150.statcan.gc.ca/n1/pub/89-657-x/89-657-x2017002-eng.htm" TargetMode="External"/><Relationship Id="rId916" Type="http://schemas.openxmlformats.org/officeDocument/2006/relationships/hyperlink" Target="https://www150.statcan.gc.ca/n1/pub/85-002-x/2019001/article/00017-eng.htm" TargetMode="External"/><Relationship Id="rId1101" Type="http://schemas.openxmlformats.org/officeDocument/2006/relationships/hyperlink" Target="https://www150.statcan.gc.ca/n1/pub/11-633-x/11-633-x2018014-eng.htm" TargetMode="External"/><Relationship Id="rId1546" Type="http://schemas.openxmlformats.org/officeDocument/2006/relationships/hyperlink" Target="https://www150.statcan.gc.ca/n1/pub/75-006-x/2015001/article/14299-eng.htm" TargetMode="External"/><Relationship Id="rId1753" Type="http://schemas.openxmlformats.org/officeDocument/2006/relationships/hyperlink" Target="https://www150.statcan.gc.ca/n1/pub/89-657-x/89-657-x2019010-eng.htm" TargetMode="External"/><Relationship Id="rId1960" Type="http://schemas.openxmlformats.org/officeDocument/2006/relationships/hyperlink" Target="https://www150.statcan.gc.ca/n1/pub/85-002-x/2018001/article/54974-eng.htm" TargetMode="External"/><Relationship Id="rId2804" Type="http://schemas.openxmlformats.org/officeDocument/2006/relationships/hyperlink" Target="https://www150.statcan.gc.ca/n1/pub/85-603-x/85-603-x2019001-eng.htm" TargetMode="External"/><Relationship Id="rId45" Type="http://schemas.openxmlformats.org/officeDocument/2006/relationships/hyperlink" Target="https://www150.statcan.gc.ca/n1/pub/96-325-x/2017001/article/54874-eng.htm" TargetMode="External"/><Relationship Id="rId1406" Type="http://schemas.openxmlformats.org/officeDocument/2006/relationships/hyperlink" Target="https://www150.statcan.gc.ca/n1/pub/82-003-x/2016008/article/14648-eng.htm" TargetMode="External"/><Relationship Id="rId1613" Type="http://schemas.openxmlformats.org/officeDocument/2006/relationships/hyperlink" Target="https://www150.statcan.gc.ca/n1/pub/82-003-x/2019007/article/00002-eng.htm" TargetMode="External"/><Relationship Id="rId1820" Type="http://schemas.openxmlformats.org/officeDocument/2006/relationships/hyperlink" Target="https://www150.statcan.gc.ca/n1/pub/75-006-x/2018001/article/54947-eng.htm" TargetMode="External"/><Relationship Id="rId194" Type="http://schemas.openxmlformats.org/officeDocument/2006/relationships/hyperlink" Target="https://www150.statcan.gc.ca/n1/pub/18-001-x/18-001-x2019002-eng.htm" TargetMode="External"/><Relationship Id="rId1918" Type="http://schemas.openxmlformats.org/officeDocument/2006/relationships/hyperlink" Target="https://www150.statcan.gc.ca/n1/pub/85-002-x/2019001/article/00013-eng.htm" TargetMode="External"/><Relationship Id="rId2082" Type="http://schemas.openxmlformats.org/officeDocument/2006/relationships/hyperlink" Target="https://www150.statcan.gc.ca/n1/pub/82-003-x/2020012/article/00002-eng.htm" TargetMode="External"/><Relationship Id="rId261" Type="http://schemas.openxmlformats.org/officeDocument/2006/relationships/hyperlink" Target="https://www150.statcan.gc.ca/n1/pub/82-003-x/2016009/article/14652-eng.htm" TargetMode="External"/><Relationship Id="rId499" Type="http://schemas.openxmlformats.org/officeDocument/2006/relationships/hyperlink" Target="https://www150.statcan.gc.ca/n1/pub/18-001-x/18-001-x2019001-eng.htm" TargetMode="External"/><Relationship Id="rId2387" Type="http://schemas.openxmlformats.org/officeDocument/2006/relationships/hyperlink" Target="https://www150.statcan.gc.ca/n1/pub/82-003-x/2018008/article/00002-eng.htm" TargetMode="External"/><Relationship Id="rId2594" Type="http://schemas.openxmlformats.org/officeDocument/2006/relationships/hyperlink" Target="https://www150.statcan.gc.ca/n1/pub/85-002-x/2015001/article/14203-eng.htm" TargetMode="External"/><Relationship Id="rId359" Type="http://schemas.openxmlformats.org/officeDocument/2006/relationships/hyperlink" Target="https://www150.statcan.gc.ca/n1/pub/85-002-x/2018001/article/54912-eng.htm" TargetMode="External"/><Relationship Id="rId566" Type="http://schemas.openxmlformats.org/officeDocument/2006/relationships/hyperlink" Target="https://www150.statcan.gc.ca/n1/pub/75-006-x/2020001/article/00007-eng.htm" TargetMode="External"/><Relationship Id="rId773" Type="http://schemas.openxmlformats.org/officeDocument/2006/relationships/hyperlink" Target="https://www150.statcan.gc.ca/n1/pub/89-503-x/2015001/article/14315-eng.htm" TargetMode="External"/><Relationship Id="rId1196" Type="http://schemas.openxmlformats.org/officeDocument/2006/relationships/hyperlink" Target="https://www150.statcan.gc.ca/n1/pub/91-551-x/91-551-x2017001-eng.htm" TargetMode="External"/><Relationship Id="rId2247" Type="http://schemas.openxmlformats.org/officeDocument/2006/relationships/hyperlink" Target="https://www150.statcan.gc.ca/n1/pub/85-002-x/2016001/article/14303-eng.htm" TargetMode="External"/><Relationship Id="rId2454" Type="http://schemas.openxmlformats.org/officeDocument/2006/relationships/hyperlink" Target="https://www150.statcan.gc.ca/n1/pub/89-648-x/89-648-x2020001-eng.htm" TargetMode="External"/><Relationship Id="rId121" Type="http://schemas.openxmlformats.org/officeDocument/2006/relationships/hyperlink" Target="https://www150.statcan.gc.ca/n1/pub/13-604-m/13-604-m2016081-eng.htm" TargetMode="External"/><Relationship Id="rId219" Type="http://schemas.openxmlformats.org/officeDocument/2006/relationships/hyperlink" Target="https://www150.statcan.gc.ca/n1/pub/11f0019m/11f0019m2019014-eng.htm" TargetMode="External"/><Relationship Id="rId426" Type="http://schemas.openxmlformats.org/officeDocument/2006/relationships/hyperlink" Target="https://www150.statcan.gc.ca/n1/pub/89-657-x/89-657-x2016002-eng.htm" TargetMode="External"/><Relationship Id="rId633" Type="http://schemas.openxmlformats.org/officeDocument/2006/relationships/hyperlink" Target="https://www150.statcan.gc.ca/n1/pub/82-003-x/2016007/article/14646-eng.htm" TargetMode="External"/><Relationship Id="rId980" Type="http://schemas.openxmlformats.org/officeDocument/2006/relationships/hyperlink" Target="https://www150.statcan.gc.ca/n1/pub/11f0019m/11f0019m2017390-eng.htm" TargetMode="External"/><Relationship Id="rId1056" Type="http://schemas.openxmlformats.org/officeDocument/2006/relationships/hyperlink" Target="https://www150.statcan.gc.ca/n1/pub/85-002-x/2020001/article/00009-eng.htm" TargetMode="External"/><Relationship Id="rId1263" Type="http://schemas.openxmlformats.org/officeDocument/2006/relationships/hyperlink" Target="https://www150.statcan.gc.ca/n1/pub/11f0019m/11f0019m2017396-eng.htm" TargetMode="External"/><Relationship Id="rId2107" Type="http://schemas.openxmlformats.org/officeDocument/2006/relationships/hyperlink" Target="https://www150.statcan.gc.ca/n1/pub/85-002-x/2016001/article/14323-eng.htm" TargetMode="External"/><Relationship Id="rId2314" Type="http://schemas.openxmlformats.org/officeDocument/2006/relationships/hyperlink" Target="https://www150.statcan.gc.ca/n1/pub/75-006-x/2019001/article/00011-eng.htm" TargetMode="External"/><Relationship Id="rId2661" Type="http://schemas.openxmlformats.org/officeDocument/2006/relationships/hyperlink" Target="https://www150.statcan.gc.ca/n1/pub/11f0019m/11f0019m2019006-eng.htm" TargetMode="External"/><Relationship Id="rId2759" Type="http://schemas.openxmlformats.org/officeDocument/2006/relationships/hyperlink" Target="https://www150.statcan.gc.ca/n1/pub/46-28-0001/2019001/article/00001-eng.htm" TargetMode="External"/><Relationship Id="rId840" Type="http://schemas.openxmlformats.org/officeDocument/2006/relationships/hyperlink" Target="https://www150.statcan.gc.ca/n1/pub/82-003-x/2017006/article/14827-eng.htm" TargetMode="External"/><Relationship Id="rId938" Type="http://schemas.openxmlformats.org/officeDocument/2006/relationships/hyperlink" Target="https://www150.statcan.gc.ca/n1/pub/82-624-x/2016001/article/14308-eng.htm" TargetMode="External"/><Relationship Id="rId1470" Type="http://schemas.openxmlformats.org/officeDocument/2006/relationships/hyperlink" Target="https://www150.statcan.gc.ca/n1/pub/89-657-x/89-657-x2020003-eng.htm" TargetMode="External"/><Relationship Id="rId1568" Type="http://schemas.openxmlformats.org/officeDocument/2006/relationships/hyperlink" Target="https://www150.statcan.gc.ca/n1/pub/11-633-x/11-633-x2018012-eng.htm" TargetMode="External"/><Relationship Id="rId1775" Type="http://schemas.openxmlformats.org/officeDocument/2006/relationships/hyperlink" Target="https://www150.statcan.gc.ca/n1/pub/89-657-x/89-657-x2019010-eng.htm" TargetMode="External"/><Relationship Id="rId2521" Type="http://schemas.openxmlformats.org/officeDocument/2006/relationships/hyperlink" Target="https://www150.statcan.gc.ca/n1/pub/85-002-x/2017001/article/54844-eng.htm" TargetMode="External"/><Relationship Id="rId2619" Type="http://schemas.openxmlformats.org/officeDocument/2006/relationships/hyperlink" Target="https://www150.statcan.gc.ca/n1/pub/89-652-x/89-652-x2015005-eng.htm" TargetMode="External"/><Relationship Id="rId2826" Type="http://schemas.openxmlformats.org/officeDocument/2006/relationships/hyperlink" Target="https://www150.statcan.gc.ca/n1/pub/11f0019m/11f0019m2018411-eng.htm" TargetMode="External"/><Relationship Id="rId67" Type="http://schemas.openxmlformats.org/officeDocument/2006/relationships/hyperlink" Target="https://www150.statcan.gc.ca/n1/pub/89-657-x/89-657-x2017003-eng.htm" TargetMode="External"/><Relationship Id="rId700" Type="http://schemas.openxmlformats.org/officeDocument/2006/relationships/hyperlink" Target="https://www150.statcan.gc.ca/n1/pub/89-648-x/89-648-x2020002-eng.htm" TargetMode="External"/><Relationship Id="rId1123" Type="http://schemas.openxmlformats.org/officeDocument/2006/relationships/hyperlink" Target="https://www150.statcan.gc.ca/n1/pub/11-633-x/11-633-x2018016-eng.htm" TargetMode="External"/><Relationship Id="rId1330" Type="http://schemas.openxmlformats.org/officeDocument/2006/relationships/hyperlink" Target="https://www150.statcan.gc.ca/n1/pub/45-20-0002/452000022019001-eng.htm" TargetMode="External"/><Relationship Id="rId1428" Type="http://schemas.openxmlformats.org/officeDocument/2006/relationships/hyperlink" Target="https://www150.statcan.gc.ca/n1/pub/81-599-x/81-599-x2020001-eng.htm" TargetMode="External"/><Relationship Id="rId1635" Type="http://schemas.openxmlformats.org/officeDocument/2006/relationships/hyperlink" Target="https://www150.statcan.gc.ca/n1/pub/89-503-x/2015001/article/14316-eng.htm" TargetMode="External"/><Relationship Id="rId1982" Type="http://schemas.openxmlformats.org/officeDocument/2006/relationships/hyperlink" Target="https://www150.statcan.gc.ca/n1/pub/75-004-m/75-004-m2015002-eng.htm" TargetMode="External"/><Relationship Id="rId1842" Type="http://schemas.openxmlformats.org/officeDocument/2006/relationships/hyperlink" Target="https://www150.statcan.gc.ca/n1/pub/11f0019m/11f0019m2016374-eng.htm" TargetMode="External"/><Relationship Id="rId1702" Type="http://schemas.openxmlformats.org/officeDocument/2006/relationships/hyperlink" Target="https://www150.statcan.gc.ca/n1/pub/11-626-x/11-626-x2017076-eng.htm" TargetMode="External"/><Relationship Id="rId283" Type="http://schemas.openxmlformats.org/officeDocument/2006/relationships/hyperlink" Target="https://www150.statcan.gc.ca/n1/pub/11f0019m/11f0019m2017392-eng.htm" TargetMode="External"/><Relationship Id="rId490" Type="http://schemas.openxmlformats.org/officeDocument/2006/relationships/hyperlink" Target="https://www150.statcan.gc.ca/n1/pub/82-003-x/2019001/article/00001-eng.htm" TargetMode="External"/><Relationship Id="rId2171" Type="http://schemas.openxmlformats.org/officeDocument/2006/relationships/hyperlink" Target="https://www150.statcan.gc.ca/n1/pub/99-011-x/99-011-x2019001-eng.htm" TargetMode="External"/><Relationship Id="rId143" Type="http://schemas.openxmlformats.org/officeDocument/2006/relationships/hyperlink" Target="https://www150.statcan.gc.ca/n1/pub/11f0019m/11f0019m2020010-eng.htm" TargetMode="External"/><Relationship Id="rId350" Type="http://schemas.openxmlformats.org/officeDocument/2006/relationships/hyperlink" Target="https://www150.statcan.gc.ca/n1/pub/89-503-x/2015001/article/14785-eng.htm" TargetMode="External"/><Relationship Id="rId588" Type="http://schemas.openxmlformats.org/officeDocument/2006/relationships/hyperlink" Target="https://www150.statcan.gc.ca/n1/pub/11f0019m/11f0019m2016375-eng.htm" TargetMode="External"/><Relationship Id="rId795" Type="http://schemas.openxmlformats.org/officeDocument/2006/relationships/hyperlink" Target="https://www150.statcan.gc.ca/n1/pub/89-648-x/89-648-x2020004-eng.htm" TargetMode="External"/><Relationship Id="rId2031" Type="http://schemas.openxmlformats.org/officeDocument/2006/relationships/hyperlink" Target="https://www150.statcan.gc.ca/n1/pub/11f0019m/11f0019m2017389-eng.htm" TargetMode="External"/><Relationship Id="rId2269" Type="http://schemas.openxmlformats.org/officeDocument/2006/relationships/hyperlink" Target="https://www150.statcan.gc.ca/n1/pub/85-002-x/2016001/article/14303-eng.htm" TargetMode="External"/><Relationship Id="rId2476" Type="http://schemas.openxmlformats.org/officeDocument/2006/relationships/hyperlink" Target="https://www150.statcan.gc.ca/n1/pub/82-003-x/2016011/article/14672-eng.htm" TargetMode="External"/><Relationship Id="rId2683" Type="http://schemas.openxmlformats.org/officeDocument/2006/relationships/hyperlink" Target="https://www150.statcan.gc.ca/n1/pub/89-653-x/89-653-x2019001-eng.htm" TargetMode="External"/><Relationship Id="rId9" Type="http://schemas.openxmlformats.org/officeDocument/2006/relationships/hyperlink" Target="https://www150.statcan.gc.ca/n1/pub/82-003-x/2019007/article/00003-eng.htm" TargetMode="External"/><Relationship Id="rId210" Type="http://schemas.openxmlformats.org/officeDocument/2006/relationships/hyperlink" Target="https://www150.statcan.gc.ca/n1/pub/11f0019m/11f0019m2019014-eng.htm" TargetMode="External"/><Relationship Id="rId448" Type="http://schemas.openxmlformats.org/officeDocument/2006/relationships/hyperlink" Target="https://www150.statcan.gc.ca/n1/pub/11-626-x/11-626-x2019005-eng.htm" TargetMode="External"/><Relationship Id="rId655" Type="http://schemas.openxmlformats.org/officeDocument/2006/relationships/hyperlink" Target="https://www150.statcan.gc.ca/n1/pub/75-006-x/2016001/article/14678-eng.htm" TargetMode="External"/><Relationship Id="rId862" Type="http://schemas.openxmlformats.org/officeDocument/2006/relationships/hyperlink" Target="https://www150.statcan.gc.ca/n1/pub/85-002-x/2018001/article/54915-eng.htm" TargetMode="External"/><Relationship Id="rId1078" Type="http://schemas.openxmlformats.org/officeDocument/2006/relationships/hyperlink" Target="https://www150.statcan.gc.ca/n1/pub/18-001-x/18-001-x2018001-eng.htm" TargetMode="External"/><Relationship Id="rId1285" Type="http://schemas.openxmlformats.org/officeDocument/2006/relationships/hyperlink" Target="https://www150.statcan.gc.ca/n1/pub/82-003-x/2018004/article/54951-eng.htm" TargetMode="External"/><Relationship Id="rId1492" Type="http://schemas.openxmlformats.org/officeDocument/2006/relationships/hyperlink" Target="https://www150.statcan.gc.ca/n1/pub/85-002-x/2015001/article/14191-eng.htm" TargetMode="External"/><Relationship Id="rId2129" Type="http://schemas.openxmlformats.org/officeDocument/2006/relationships/hyperlink" Target="https://www150.statcan.gc.ca/n1/pub/82-003-x/2019005/article/00002-eng.htm" TargetMode="External"/><Relationship Id="rId2336" Type="http://schemas.openxmlformats.org/officeDocument/2006/relationships/hyperlink" Target="https://www150.statcan.gc.ca/n1/pub/13-605-x/2019001/article/00010-eng.htm" TargetMode="External"/><Relationship Id="rId2543" Type="http://schemas.openxmlformats.org/officeDocument/2006/relationships/hyperlink" Target="https://www150.statcan.gc.ca/n1/pub/85-002-x/2017001/article/14699-eng.htm" TargetMode="External"/><Relationship Id="rId2750" Type="http://schemas.openxmlformats.org/officeDocument/2006/relationships/hyperlink" Target="https://www150.statcan.gc.ca/n1/pub/89-503-x/2015001/article/14680-eng.htm" TargetMode="External"/><Relationship Id="rId308" Type="http://schemas.openxmlformats.org/officeDocument/2006/relationships/hyperlink" Target="https://www150.statcan.gc.ca/n1/pub/75-004-m/75-004-m2020002-eng.htm" TargetMode="External"/><Relationship Id="rId515" Type="http://schemas.openxmlformats.org/officeDocument/2006/relationships/hyperlink" Target="https://www150.statcan.gc.ca/n1/pub/85-002-x/2018001/article/54977-eng.htm" TargetMode="External"/><Relationship Id="rId722" Type="http://schemas.openxmlformats.org/officeDocument/2006/relationships/hyperlink" Target="https://www150.statcan.gc.ca/pub/82-003-x/2019006/article/00001-eng.htm" TargetMode="External"/><Relationship Id="rId1145" Type="http://schemas.openxmlformats.org/officeDocument/2006/relationships/hyperlink" Target="https://www150.statcan.gc.ca/n1/pub/75-006-x/2019001/article/00012-eng.htm" TargetMode="External"/><Relationship Id="rId1352" Type="http://schemas.openxmlformats.org/officeDocument/2006/relationships/hyperlink" Target="https://www150.statcan.gc.ca/n1/pub/85-002-x/2019001/article/00012-eng.htm" TargetMode="External"/><Relationship Id="rId1797" Type="http://schemas.openxmlformats.org/officeDocument/2006/relationships/hyperlink" Target="https://www150.statcan.gc.ca/n1/pub/85-002-x/2016001/article/14668-eng.htm" TargetMode="External"/><Relationship Id="rId2403" Type="http://schemas.openxmlformats.org/officeDocument/2006/relationships/hyperlink" Target="https://www150.statcan.gc.ca/n1/pub/89-657-x/89-657-x2019008-eng.htm" TargetMode="External"/><Relationship Id="rId89" Type="http://schemas.openxmlformats.org/officeDocument/2006/relationships/hyperlink" Target="https://www150.statcan.gc.ca/n1/pub/89-657-x/89-657-x2017005-eng.htm" TargetMode="External"/><Relationship Id="rId1005" Type="http://schemas.openxmlformats.org/officeDocument/2006/relationships/hyperlink" Target="https://www150.statcan.gc.ca/n1/pub/89-657-x/89-657-x2020001-eng.htm" TargetMode="External"/><Relationship Id="rId1212" Type="http://schemas.openxmlformats.org/officeDocument/2006/relationships/hyperlink" Target="https://www150.statcan.gc.ca/n1/pub/82-003-x/2017008/article/54853-eng.htm" TargetMode="External"/><Relationship Id="rId1657" Type="http://schemas.openxmlformats.org/officeDocument/2006/relationships/hyperlink" Target="https://www150.statcan.gc.ca/n1/pub/75-006-x/2020001/article/00001-eng.htm" TargetMode="External"/><Relationship Id="rId1864" Type="http://schemas.openxmlformats.org/officeDocument/2006/relationships/hyperlink" Target="https://www150.statcan.gc.ca/n1/pub/11-626-x/11-626-x2015047-eng.htm" TargetMode="External"/><Relationship Id="rId2610" Type="http://schemas.openxmlformats.org/officeDocument/2006/relationships/hyperlink" Target="https://www150.statcan.gc.ca/n1/pub/11-626-x/11-626-x2016060-eng.htm" TargetMode="External"/><Relationship Id="rId2708" Type="http://schemas.openxmlformats.org/officeDocument/2006/relationships/hyperlink" Target="https://www150.statcan.gc.ca/n1/pub/82-003-x/2015008/article/14215-eng.htm" TargetMode="External"/><Relationship Id="rId1517" Type="http://schemas.openxmlformats.org/officeDocument/2006/relationships/hyperlink" Target="https://www150.statcan.gc.ca/n1/pub/13-605-x/2016002/article/14685-eng.htm" TargetMode="External"/><Relationship Id="rId1724" Type="http://schemas.openxmlformats.org/officeDocument/2006/relationships/hyperlink" Target="https://www150.statcan.gc.ca/n1/pub/75f0002m/75f0002m2019010-eng.htm" TargetMode="External"/><Relationship Id="rId16" Type="http://schemas.openxmlformats.org/officeDocument/2006/relationships/hyperlink" Target="https://www150.statcan.gc.ca/n1/pub/82-003-x/2019001/article/00002-eng.htm" TargetMode="External"/><Relationship Id="rId1931" Type="http://schemas.openxmlformats.org/officeDocument/2006/relationships/hyperlink" Target="https://www150.statcan.gc.ca/n1/pub/11f0019m/11f0019m2016379-eng.htm" TargetMode="External"/><Relationship Id="rId2193" Type="http://schemas.openxmlformats.org/officeDocument/2006/relationships/hyperlink" Target="https://www150.statcan.gc.ca/n1/pub/82-003-x/2015010/article/14227-eng.htm" TargetMode="External"/><Relationship Id="rId2498" Type="http://schemas.openxmlformats.org/officeDocument/2006/relationships/hyperlink" Target="https://www150.statcan.gc.ca/n1/pub/11-633-x/11-633-x2018017-eng.htm" TargetMode="External"/><Relationship Id="rId165" Type="http://schemas.openxmlformats.org/officeDocument/2006/relationships/hyperlink" Target="https://www150.statcan.gc.ca/n1/pub/11f0019m/11f0019m2020007-eng.htm" TargetMode="External"/><Relationship Id="rId372" Type="http://schemas.openxmlformats.org/officeDocument/2006/relationships/hyperlink" Target="https://www150.statcan.gc.ca/n1/pub/11f0019m/11f0019m2018410-eng.htm" TargetMode="External"/><Relationship Id="rId677" Type="http://schemas.openxmlformats.org/officeDocument/2006/relationships/hyperlink" Target="https://www150.statcan.gc.ca/n1/pub/75f0002m/75f0002m2020002-eng.htm" TargetMode="External"/><Relationship Id="rId2053" Type="http://schemas.openxmlformats.org/officeDocument/2006/relationships/hyperlink" Target="https://www150.statcan.gc.ca/n1/pub/11f0019m/11f0019m2019023-eng.htm" TargetMode="External"/><Relationship Id="rId2260" Type="http://schemas.openxmlformats.org/officeDocument/2006/relationships/hyperlink" Target="https://www150.statcan.gc.ca/n1/pub/85-002-x/2016001/article/14303-eng.htm" TargetMode="External"/><Relationship Id="rId2358" Type="http://schemas.openxmlformats.org/officeDocument/2006/relationships/hyperlink" Target="https://www150.statcan.gc.ca/n1/pub/11f0019m/11f0019m2017397-eng.htm" TargetMode="External"/><Relationship Id="rId232" Type="http://schemas.openxmlformats.org/officeDocument/2006/relationships/hyperlink" Target="https://www150.statcan.gc.ca/n1/pub/75-006-x/2016001/article/14643-eng.htm" TargetMode="External"/><Relationship Id="rId884" Type="http://schemas.openxmlformats.org/officeDocument/2006/relationships/hyperlink" Target="https://www150.statcan.gc.ca/n1/pub/11f0019m/11f0019m2020017-eng.htm" TargetMode="External"/><Relationship Id="rId2120" Type="http://schemas.openxmlformats.org/officeDocument/2006/relationships/hyperlink" Target="https://www150.statcan.gc.ca/n1/pub/11-626-x/11-626-x2018079-eng.htm" TargetMode="External"/><Relationship Id="rId2565" Type="http://schemas.openxmlformats.org/officeDocument/2006/relationships/hyperlink" Target="https://www150.statcan.gc.ca/n1/pub/82-624-x/2015001/article/14095-eng.htm" TargetMode="External"/><Relationship Id="rId2772" Type="http://schemas.openxmlformats.org/officeDocument/2006/relationships/hyperlink" Target="https://www150.statcan.gc.ca/n1/pub/85-002-x/2016001/article/14470-eng.htm" TargetMode="External"/><Relationship Id="rId537" Type="http://schemas.openxmlformats.org/officeDocument/2006/relationships/hyperlink" Target="https://www150.statcan.gc.ca/n1/pub/89-652-x/89-652-x2015001-eng.htm" TargetMode="External"/><Relationship Id="rId744" Type="http://schemas.openxmlformats.org/officeDocument/2006/relationships/hyperlink" Target="https://www150.statcan.gc.ca/n1/pub/85-002-x/2020001/article/00003-eng.htm" TargetMode="External"/><Relationship Id="rId951" Type="http://schemas.openxmlformats.org/officeDocument/2006/relationships/hyperlink" Target="https://www150.statcan.gc.ca/n1/pub/11f0019m/11f0019m2020014-eng.htm" TargetMode="External"/><Relationship Id="rId1167" Type="http://schemas.openxmlformats.org/officeDocument/2006/relationships/hyperlink" Target="https://www150.statcan.gc.ca/n1/pub/11f0019m/11f0019m2019022-eng.htm" TargetMode="External"/><Relationship Id="rId1374" Type="http://schemas.openxmlformats.org/officeDocument/2006/relationships/hyperlink" Target="https://www150.statcan.gc.ca/n1/pub/11f0019m/11f0019m2020003-eng.htm" TargetMode="External"/><Relationship Id="rId1581" Type="http://schemas.openxmlformats.org/officeDocument/2006/relationships/hyperlink" Target="https://www150.statcan.gc.ca/n1/pub/89-503-x/2015001/article/14695-eng.htm" TargetMode="External"/><Relationship Id="rId1679" Type="http://schemas.openxmlformats.org/officeDocument/2006/relationships/hyperlink" Target="https://www150.statcan.gc.ca/n1/pub/11f0019m/11f0019m2015367-eng.htm" TargetMode="External"/><Relationship Id="rId2218" Type="http://schemas.openxmlformats.org/officeDocument/2006/relationships/hyperlink" Target="https://www150.statcan.gc.ca/n1/pub/11f0019m/11f0019m2020016-eng.htm" TargetMode="External"/><Relationship Id="rId2425" Type="http://schemas.openxmlformats.org/officeDocument/2006/relationships/hyperlink" Target="https://www150.statcan.gc.ca/n1/pub/11f0019m/11f0019m2020015-eng.htm" TargetMode="External"/><Relationship Id="rId2632" Type="http://schemas.openxmlformats.org/officeDocument/2006/relationships/hyperlink" Target="https://www150.statcan.gc.ca/n1/pub/89-652-x/89-652-x2015007-eng.htm" TargetMode="External"/><Relationship Id="rId80" Type="http://schemas.openxmlformats.org/officeDocument/2006/relationships/hyperlink" Target="https://www150.statcan.gc.ca/n1/pub/89-657-x/89-657-x2017004-eng.htm" TargetMode="External"/><Relationship Id="rId604" Type="http://schemas.openxmlformats.org/officeDocument/2006/relationships/hyperlink" Target="https://www150.statcan.gc.ca/n1/pub/89-28-0001/2018001/article/00016-eng.htm" TargetMode="External"/><Relationship Id="rId811" Type="http://schemas.openxmlformats.org/officeDocument/2006/relationships/hyperlink" Target="https://www150.statcan.gc.ca/n1/pub/82-003-x/2015006/article/14195-eng.htm" TargetMode="External"/><Relationship Id="rId1027" Type="http://schemas.openxmlformats.org/officeDocument/2006/relationships/hyperlink" Target="https://www150.statcan.gc.ca/n1/pub/11f0019m/11f0019m2016378-eng.htm" TargetMode="External"/><Relationship Id="rId1234" Type="http://schemas.openxmlformats.org/officeDocument/2006/relationships/hyperlink" Target="https://www150.statcan.gc.ca/n1/pub/85-002-x/2020001/article/00002-eng.htm" TargetMode="External"/><Relationship Id="rId1441" Type="http://schemas.openxmlformats.org/officeDocument/2006/relationships/hyperlink" Target="https://www150.statcan.gc.ca/n1/pub/11f0019m/11f0019m2019010-eng.htm" TargetMode="External"/><Relationship Id="rId1886" Type="http://schemas.openxmlformats.org/officeDocument/2006/relationships/hyperlink" Target="https://www150.statcan.gc.ca/n1/pub/11-633-x/11-633-x2019004-eng.htm" TargetMode="External"/><Relationship Id="rId909" Type="http://schemas.openxmlformats.org/officeDocument/2006/relationships/hyperlink" Target="https://www150.statcan.gc.ca/n1/pub/11f0019m/11f0019m2018409-eng.htm" TargetMode="External"/><Relationship Id="rId1301" Type="http://schemas.openxmlformats.org/officeDocument/2006/relationships/hyperlink" Target="https://www150.statcan.gc.ca/n1/pub/75-006-x/2017001/article/54877-eng.htm" TargetMode="External"/><Relationship Id="rId1539" Type="http://schemas.openxmlformats.org/officeDocument/2006/relationships/hyperlink" Target="https://www150.statcan.gc.ca/n1/pub/13-605-x/2017001/article/54883-eng.htm" TargetMode="External"/><Relationship Id="rId1746" Type="http://schemas.openxmlformats.org/officeDocument/2006/relationships/hyperlink" Target="https://www150.statcan.gc.ca/n1/pub/75-006-x/2019001/article/00002-eng.htm" TargetMode="External"/><Relationship Id="rId1953" Type="http://schemas.openxmlformats.org/officeDocument/2006/relationships/hyperlink" Target="https://www150.statcan.gc.ca/n1/pub/85-002-x/2017001/article/54879-eng.htm" TargetMode="External"/><Relationship Id="rId38" Type="http://schemas.openxmlformats.org/officeDocument/2006/relationships/hyperlink" Target="https://www150.statcan.gc.ca/n1/pub/96-325-x/2017001/article/54873-eng.htm" TargetMode="External"/><Relationship Id="rId1606" Type="http://schemas.openxmlformats.org/officeDocument/2006/relationships/hyperlink" Target="https://www150.statcan.gc.ca/n1/pub/82-003-x/2018011/article/00001-eng.htm" TargetMode="External"/><Relationship Id="rId1813" Type="http://schemas.openxmlformats.org/officeDocument/2006/relationships/hyperlink" Target="https://www150.statcan.gc.ca/n1/pub/82-003-x/2018009/article/00002-eng.htm" TargetMode="External"/><Relationship Id="rId187" Type="http://schemas.openxmlformats.org/officeDocument/2006/relationships/hyperlink" Target="https://www150.statcan.gc.ca/n1/pub/18-001-x/18-001-x2019002-eng.htm" TargetMode="External"/><Relationship Id="rId394" Type="http://schemas.openxmlformats.org/officeDocument/2006/relationships/hyperlink" Target="https://www150.statcan.gc.ca/n1/pub/13-605-x/2018001/article/54964-eng.htm" TargetMode="External"/><Relationship Id="rId2075" Type="http://schemas.openxmlformats.org/officeDocument/2006/relationships/hyperlink" Target="https://www150.statcan.gc.ca/n1/pub/11f0019m/11f0019m2018404-eng.htm" TargetMode="External"/><Relationship Id="rId2282" Type="http://schemas.openxmlformats.org/officeDocument/2006/relationships/hyperlink" Target="https://www150.statcan.gc.ca/n1/pub/85-002-x/2016001/article/14303-eng.htm" TargetMode="External"/><Relationship Id="rId254" Type="http://schemas.openxmlformats.org/officeDocument/2006/relationships/hyperlink" Target="https://www150.statcan.gc.ca/n1/pub/91-209-x/2016001/article/14650-eng.htm" TargetMode="External"/><Relationship Id="rId699" Type="http://schemas.openxmlformats.org/officeDocument/2006/relationships/hyperlink" Target="https://www150.statcan.gc.ca/n1/pub/89-648-x/89-648-x2020002-eng.htm" TargetMode="External"/><Relationship Id="rId1091" Type="http://schemas.openxmlformats.org/officeDocument/2006/relationships/hyperlink" Target="https://www150.statcan.gc.ca/n1/pub/75-006-x/2016001/article/14651-eng.htm" TargetMode="External"/><Relationship Id="rId2587" Type="http://schemas.openxmlformats.org/officeDocument/2006/relationships/hyperlink" Target="https://www150.statcan.gc.ca/n1/pub/85-002-x/2015001/article/14203-eng.htm" TargetMode="External"/><Relationship Id="rId2794" Type="http://schemas.openxmlformats.org/officeDocument/2006/relationships/hyperlink" Target="https://www150.statcan.gc.ca/n1/pub/11f0019m/11f0019m2020004-eng.htm" TargetMode="External"/><Relationship Id="rId114" Type="http://schemas.openxmlformats.org/officeDocument/2006/relationships/hyperlink" Target="https://www150.statcan.gc.ca/n1/pub/16-002-x/2015002/article/14133-eng.htm" TargetMode="External"/><Relationship Id="rId461" Type="http://schemas.openxmlformats.org/officeDocument/2006/relationships/hyperlink" Target="https://www150.statcan.gc.ca/n1/pub/11f0019m/11f0019m2017391-eng.htm" TargetMode="External"/><Relationship Id="rId559" Type="http://schemas.openxmlformats.org/officeDocument/2006/relationships/hyperlink" Target="https://www150.statcan.gc.ca/n1/pub/13-605-x/2020001/article/00008-eng.htm" TargetMode="External"/><Relationship Id="rId766" Type="http://schemas.openxmlformats.org/officeDocument/2006/relationships/hyperlink" Target="https://www150.statcan.gc.ca/n1/pub/89-503-x/2015001/article/14315-eng.htm" TargetMode="External"/><Relationship Id="rId1189" Type="http://schemas.openxmlformats.org/officeDocument/2006/relationships/hyperlink" Target="https://www150.statcan.gc.ca/n1/pub/13-605-x/2015011/article/14298-eng.htm" TargetMode="External"/><Relationship Id="rId1396" Type="http://schemas.openxmlformats.org/officeDocument/2006/relationships/hyperlink" Target="https://www150.statcan.gc.ca/n1/pub/85-002-x/2020001/article/00011-eng.htm" TargetMode="External"/><Relationship Id="rId2142" Type="http://schemas.openxmlformats.org/officeDocument/2006/relationships/hyperlink" Target="https://www150.statcan.gc.ca/n1/pub/11-633-x/11-633-x2021001-eng.htm" TargetMode="External"/><Relationship Id="rId2447" Type="http://schemas.openxmlformats.org/officeDocument/2006/relationships/hyperlink" Target="https://www150.statcan.gc.ca/n1/pub/11f0019m/11f0019m2019004-eng.htm" TargetMode="External"/><Relationship Id="rId321" Type="http://schemas.openxmlformats.org/officeDocument/2006/relationships/hyperlink" Target="https://www150.statcan.gc.ca/n1/pub/75-006-x/2015001/article/14167-eng.htm" TargetMode="External"/><Relationship Id="rId419" Type="http://schemas.openxmlformats.org/officeDocument/2006/relationships/hyperlink" Target="https://www150.statcan.gc.ca/n1/pub/89-28-0001/2018001/article/00013-eng.htm" TargetMode="External"/><Relationship Id="rId626" Type="http://schemas.openxmlformats.org/officeDocument/2006/relationships/hyperlink" Target="https://www150.statcan.gc.ca/n1/pub/11-633-x/11-633-x2017006-eng.htm" TargetMode="External"/><Relationship Id="rId973" Type="http://schemas.openxmlformats.org/officeDocument/2006/relationships/hyperlink" Target="https://www150.statcan.gc.ca/n1/pub/13-605-x/2019001/article/00009-eng.htm" TargetMode="External"/><Relationship Id="rId1049" Type="http://schemas.openxmlformats.org/officeDocument/2006/relationships/hyperlink" Target="https://www150.statcan.gc.ca/n1/pub/11-626-x/11-626-x2017069-eng.htm" TargetMode="External"/><Relationship Id="rId1256" Type="http://schemas.openxmlformats.org/officeDocument/2006/relationships/hyperlink" Target="https://www150.statcan.gc.ca/n1/pub/85-002-x/2017001/article/54842-eng.htm" TargetMode="External"/><Relationship Id="rId2002" Type="http://schemas.openxmlformats.org/officeDocument/2006/relationships/hyperlink" Target="https://www150.statcan.gc.ca/n1/pub/85-002-x/2016001/article/14642-eng.htm" TargetMode="External"/><Relationship Id="rId2307" Type="http://schemas.openxmlformats.org/officeDocument/2006/relationships/hyperlink" Target="https://www150.statcan.gc.ca/n1/pub/89-503-x/2015001/article/14640-eng.htm" TargetMode="External"/><Relationship Id="rId2654" Type="http://schemas.openxmlformats.org/officeDocument/2006/relationships/hyperlink" Target="https://www150.statcan.gc.ca/n1/pub/89-654-x/89-654-x2019001-eng.htm" TargetMode="External"/><Relationship Id="rId833" Type="http://schemas.openxmlformats.org/officeDocument/2006/relationships/hyperlink" Target="https://www150.statcan.gc.ca/n1/pub/85-002-x/2020001/article/00007-eng.htm" TargetMode="External"/><Relationship Id="rId1116" Type="http://schemas.openxmlformats.org/officeDocument/2006/relationships/hyperlink" Target="https://www150.statcan.gc.ca/n1/pub/11-633-x/11-633-x2018016-eng.htm" TargetMode="External"/><Relationship Id="rId1463" Type="http://schemas.openxmlformats.org/officeDocument/2006/relationships/hyperlink" Target="https://www150.statcan.gc.ca/n1/pub/82-003-x/2019012/article/00003-eng.htm" TargetMode="External"/><Relationship Id="rId1670" Type="http://schemas.openxmlformats.org/officeDocument/2006/relationships/hyperlink" Target="https://www150.statcan.gc.ca/n1/pub/85-002-x/2018001/article/54980-eng.htm" TargetMode="External"/><Relationship Id="rId1768" Type="http://schemas.openxmlformats.org/officeDocument/2006/relationships/hyperlink" Target="https://www150.statcan.gc.ca/n1/pub/89-657-x/89-657-x2019010-eng.htm" TargetMode="External"/><Relationship Id="rId2514" Type="http://schemas.openxmlformats.org/officeDocument/2006/relationships/hyperlink" Target="https://www150.statcan.gc.ca/n1/pub/82-003-x/2018003/article/54921-eng.htm" TargetMode="External"/><Relationship Id="rId2721" Type="http://schemas.openxmlformats.org/officeDocument/2006/relationships/hyperlink" Target="https://www150.statcan.gc.ca/n1/pub/11-626-x/11-626-x2019004-eng.htm" TargetMode="External"/><Relationship Id="rId2819" Type="http://schemas.openxmlformats.org/officeDocument/2006/relationships/hyperlink" Target="https://www150.statcan.gc.ca/n1/pub/85-002-x/2018001/article/54981-eng.htm" TargetMode="External"/><Relationship Id="rId900" Type="http://schemas.openxmlformats.org/officeDocument/2006/relationships/hyperlink" Target="https://www150.statcan.gc.ca/n1/pub/89-653-x/89-653-x2016009-eng.htm" TargetMode="External"/><Relationship Id="rId1323" Type="http://schemas.openxmlformats.org/officeDocument/2006/relationships/hyperlink" Target="https://www150.statcan.gc.ca/n1/pub/13-605-x/2018001/article/54961-eng.htm" TargetMode="External"/><Relationship Id="rId1530" Type="http://schemas.openxmlformats.org/officeDocument/2006/relationships/hyperlink" Target="https://www150.statcan.gc.ca/n1/pub/11f0019m/11f0019m2016377-eng.htm" TargetMode="External"/><Relationship Id="rId1628" Type="http://schemas.openxmlformats.org/officeDocument/2006/relationships/hyperlink" Target="https://www150.statcan.gc.ca/n1/pub/89-503-x/2015001/article/14316-eng.htm" TargetMode="External"/><Relationship Id="rId1975" Type="http://schemas.openxmlformats.org/officeDocument/2006/relationships/hyperlink" Target="https://www150.statcan.gc.ca/n1/pub/11f0019m/11f0019m2015368-eng.htm" TargetMode="External"/><Relationship Id="rId1835" Type="http://schemas.openxmlformats.org/officeDocument/2006/relationships/hyperlink" Target="https://www150.statcan.gc.ca/n1/pub/11-626-x/11-626-x2018082-eng.htm" TargetMode="External"/><Relationship Id="rId1902" Type="http://schemas.openxmlformats.org/officeDocument/2006/relationships/hyperlink" Target="https://www150.statcan.gc.ca/n1/pub/89-503-x/2015001/article/14313-eng.htm" TargetMode="External"/><Relationship Id="rId2097" Type="http://schemas.openxmlformats.org/officeDocument/2006/relationships/hyperlink" Target="https://www150.statcan.gc.ca/n1/pub/89-503-x/2015001/article/14235-eng.htm" TargetMode="External"/><Relationship Id="rId276" Type="http://schemas.openxmlformats.org/officeDocument/2006/relationships/hyperlink" Target="https://www150.statcan.gc.ca/n1/pub/85-002-x/2015001/article/14146-eng.htm" TargetMode="External"/><Relationship Id="rId483" Type="http://schemas.openxmlformats.org/officeDocument/2006/relationships/hyperlink" Target="https://www150.statcan.gc.ca/n1/pub/82-003-x/2015011/article/14243-eng.htm" TargetMode="External"/><Relationship Id="rId690" Type="http://schemas.openxmlformats.org/officeDocument/2006/relationships/hyperlink" Target="https://www150.statcan.gc.ca/n1/pub/75-006-x/2019001/article/00018-eng.htm" TargetMode="External"/><Relationship Id="rId2164" Type="http://schemas.openxmlformats.org/officeDocument/2006/relationships/hyperlink" Target="https://www150.statcan.gc.ca/n1/pub/89-653-x/89-653-x2019005-eng.htm" TargetMode="External"/><Relationship Id="rId2371" Type="http://schemas.openxmlformats.org/officeDocument/2006/relationships/hyperlink" Target="https://www150.statcan.gc.ca/n1/pub/82-003-x/2015002/article/14140-eng.htm" TargetMode="External"/><Relationship Id="rId136" Type="http://schemas.openxmlformats.org/officeDocument/2006/relationships/hyperlink" Target="https://www150.statcan.gc.ca/n1/pub/11f0019m/11f0019m2020013-eng.htm" TargetMode="External"/><Relationship Id="rId343" Type="http://schemas.openxmlformats.org/officeDocument/2006/relationships/hyperlink" Target="https://www150.statcan.gc.ca/n1/pub/89-503-x/2015001/article/14785-eng.htm" TargetMode="External"/><Relationship Id="rId550" Type="http://schemas.openxmlformats.org/officeDocument/2006/relationships/hyperlink" Target="https://www150.statcan.gc.ca/n1/pub/11f0019m/11f0019m2019009-eng.htm" TargetMode="External"/><Relationship Id="rId788" Type="http://schemas.openxmlformats.org/officeDocument/2006/relationships/hyperlink" Target="https://www150.statcan.gc.ca/n1/pub/89-503-x/2015001/article/14152-eng.htm" TargetMode="External"/><Relationship Id="rId995" Type="http://schemas.openxmlformats.org/officeDocument/2006/relationships/hyperlink" Target="https://www150.statcan.gc.ca/n1/pub/11f0019m/11f0019m2017394-eng.htm" TargetMode="External"/><Relationship Id="rId1180" Type="http://schemas.openxmlformats.org/officeDocument/2006/relationships/hyperlink" Target="https://www150.statcan.gc.ca/n1/pub/85-002-x/2019001/article/00010-eng.htm" TargetMode="External"/><Relationship Id="rId2024" Type="http://schemas.openxmlformats.org/officeDocument/2006/relationships/hyperlink" Target="https://www150.statcan.gc.ca/n1/pub/82-003-x/2020003/article/00001-eng.htm" TargetMode="External"/><Relationship Id="rId2231" Type="http://schemas.openxmlformats.org/officeDocument/2006/relationships/hyperlink" Target="https://www150.statcan.gc.ca/n1/pub/85-002-x/2018001/article/54910-eng.htm" TargetMode="External"/><Relationship Id="rId2469" Type="http://schemas.openxmlformats.org/officeDocument/2006/relationships/hyperlink" Target="https://www150.statcan.gc.ca/n1/pub/85-002-x/2020001/article/00005-eng.htm" TargetMode="External"/><Relationship Id="rId2676" Type="http://schemas.openxmlformats.org/officeDocument/2006/relationships/hyperlink" Target="https://www150.statcan.gc.ca/n1/pub/85-002-x/2015001/article/14241-eng.htm" TargetMode="External"/><Relationship Id="rId203" Type="http://schemas.openxmlformats.org/officeDocument/2006/relationships/hyperlink" Target="https://www150.statcan.gc.ca/n1/pub/18-001-x/18-001-x2019002-eng.htm" TargetMode="External"/><Relationship Id="rId648" Type="http://schemas.openxmlformats.org/officeDocument/2006/relationships/hyperlink" Target="https://www150.statcan.gc.ca/n1/pub/82-003-x/2016003/article/14339-eng.htm" TargetMode="External"/><Relationship Id="rId855" Type="http://schemas.openxmlformats.org/officeDocument/2006/relationships/hyperlink" Target="https://www150.statcan.gc.ca/n1/pub/89-657-x/89-657-x2019007-eng.htm" TargetMode="External"/><Relationship Id="rId1040" Type="http://schemas.openxmlformats.org/officeDocument/2006/relationships/hyperlink" Target="https://www150.statcan.gc.ca/n1/pub/82-003-x/2020002/article/00002-eng.htm" TargetMode="External"/><Relationship Id="rId1278" Type="http://schemas.openxmlformats.org/officeDocument/2006/relationships/hyperlink" Target="https://www150.statcan.gc.ca/n1/pub/82-625-x/2019001/article/00011-eng.htm" TargetMode="External"/><Relationship Id="rId1485" Type="http://schemas.openxmlformats.org/officeDocument/2006/relationships/hyperlink" Target="https://www150.statcan.gc.ca/n1/pub/85-002-x/2020001/article/00012-eng.htm" TargetMode="External"/><Relationship Id="rId1692" Type="http://schemas.openxmlformats.org/officeDocument/2006/relationships/hyperlink" Target="https://www150.statcan.gc.ca/n1/pub/11f0019m/11f0019m2015371-eng.htm" TargetMode="External"/><Relationship Id="rId2329" Type="http://schemas.openxmlformats.org/officeDocument/2006/relationships/hyperlink" Target="https://www150.statcan.gc.ca/n1/pub/85-002-x/2020001/article/00008-eng.htm" TargetMode="External"/><Relationship Id="rId2536" Type="http://schemas.openxmlformats.org/officeDocument/2006/relationships/hyperlink" Target="https://www150.statcan.gc.ca/n1/pub/89-653-x/89-653-x2016010-eng.htm" TargetMode="External"/><Relationship Id="rId2743" Type="http://schemas.openxmlformats.org/officeDocument/2006/relationships/hyperlink" Target="https://www150.statcan.gc.ca/n1/pub/89-503-x/2015001/article/14680-eng.htm" TargetMode="External"/><Relationship Id="rId410" Type="http://schemas.openxmlformats.org/officeDocument/2006/relationships/hyperlink" Target="https://www150.statcan.gc.ca/n1/pub/13-604-m/13-604-m2020002-eng.htm" TargetMode="External"/><Relationship Id="rId508" Type="http://schemas.openxmlformats.org/officeDocument/2006/relationships/hyperlink" Target="https://www150.statcan.gc.ca/n1/pub/82-003-x/2016008/article/14647-eng.htm" TargetMode="External"/><Relationship Id="rId715" Type="http://schemas.openxmlformats.org/officeDocument/2006/relationships/hyperlink" Target="https://www150.statcan.gc.ca/n1/pub/18-001-x/18-001-x2017002-eng.htm" TargetMode="External"/><Relationship Id="rId922" Type="http://schemas.openxmlformats.org/officeDocument/2006/relationships/hyperlink" Target="https://www150.statcan.gc.ca/n1/pub/85-002-x/2019001/article/00017-eng.htm" TargetMode="External"/><Relationship Id="rId1138" Type="http://schemas.openxmlformats.org/officeDocument/2006/relationships/hyperlink" Target="https://www150.statcan.gc.ca/n1/pub/11-633-x/11-633-x2017009-eng.htm" TargetMode="External"/><Relationship Id="rId1345" Type="http://schemas.openxmlformats.org/officeDocument/2006/relationships/hyperlink" Target="https://www150.statcan.gc.ca/n1/pub/85-002-x/2020001/article/00010-eng.htm" TargetMode="External"/><Relationship Id="rId1552" Type="http://schemas.openxmlformats.org/officeDocument/2006/relationships/hyperlink" Target="https://www150.statcan.gc.ca/n1/pub/75-006-x/2015001/article/14175-eng.htm" TargetMode="External"/><Relationship Id="rId1997" Type="http://schemas.openxmlformats.org/officeDocument/2006/relationships/hyperlink" Target="https://www150.statcan.gc.ca/n1/pub/85-002-x/2016001/article/14642-eng.htm" TargetMode="External"/><Relationship Id="rId2603" Type="http://schemas.openxmlformats.org/officeDocument/2006/relationships/hyperlink" Target="https://www150.statcan.gc.ca/n1/pub/11f0027m/11f0027m2015097-eng.htm" TargetMode="External"/><Relationship Id="rId1205" Type="http://schemas.openxmlformats.org/officeDocument/2006/relationships/hyperlink" Target="https://www150.statcan.gc.ca/n1/pub/91-551-x/91-551-x2017001-eng.htm" TargetMode="External"/><Relationship Id="rId1857" Type="http://schemas.openxmlformats.org/officeDocument/2006/relationships/hyperlink" Target="https://www150.statcan.gc.ca/n1/pub/82-003-x/2020005/article/00002-eng.htm" TargetMode="External"/><Relationship Id="rId2810" Type="http://schemas.openxmlformats.org/officeDocument/2006/relationships/hyperlink" Target="https://www150.statcan.gc.ca/n1/pub/85-002-x/2018001/article/54981-eng.htm" TargetMode="External"/><Relationship Id="rId51" Type="http://schemas.openxmlformats.org/officeDocument/2006/relationships/hyperlink" Target="https://www150.statcan.gc.ca/n1/pub/89-657-x/89-657-x2017003-eng.htm" TargetMode="External"/><Relationship Id="rId1412" Type="http://schemas.openxmlformats.org/officeDocument/2006/relationships/hyperlink" Target="https://www150.statcan.gc.ca/n1/pub/85-002-x/2017001/article/14700-eng.htm" TargetMode="External"/><Relationship Id="rId1717" Type="http://schemas.openxmlformats.org/officeDocument/2006/relationships/hyperlink" Target="https://www150.statcan.gc.ca/n1/pub/89-653-x/89-653-x2015006-eng.htm" TargetMode="External"/><Relationship Id="rId1924" Type="http://schemas.openxmlformats.org/officeDocument/2006/relationships/hyperlink" Target="https://www150.statcan.gc.ca/n1/pub/85-002-x/2019001/article/00013-eng.htm" TargetMode="External"/><Relationship Id="rId298" Type="http://schemas.openxmlformats.org/officeDocument/2006/relationships/hyperlink" Target="https://www150.statcan.gc.ca/n1/pub/82-003-x/2015002/article/14139-eng.htm" TargetMode="External"/><Relationship Id="rId158" Type="http://schemas.openxmlformats.org/officeDocument/2006/relationships/hyperlink" Target="https://www150.statcan.gc.ca/n1/pub/11f0019m/11f0019m2020006-eng.htm" TargetMode="External"/><Relationship Id="rId2186" Type="http://schemas.openxmlformats.org/officeDocument/2006/relationships/hyperlink" Target="https://www150.statcan.gc.ca/n1/pub/82-003-x/2018008/article/00001-eng.htm" TargetMode="External"/><Relationship Id="rId2393" Type="http://schemas.openxmlformats.org/officeDocument/2006/relationships/hyperlink" Target="https://www150.statcan.gc.ca/n1/pub/82-003-x/2016004/article/14489-eng.htm" TargetMode="External"/><Relationship Id="rId2698" Type="http://schemas.openxmlformats.org/officeDocument/2006/relationships/hyperlink" Target="https://www150.statcan.gc.ca/n1/pub/11f0019m/11f0019m2018412-eng.htm" TargetMode="External"/><Relationship Id="rId365" Type="http://schemas.openxmlformats.org/officeDocument/2006/relationships/hyperlink" Target="https://www150.statcan.gc.ca/n1/pub/82-003-x/2019012/article/00001-eng.htm" TargetMode="External"/><Relationship Id="rId572" Type="http://schemas.openxmlformats.org/officeDocument/2006/relationships/hyperlink" Target="https://www150.statcan.gc.ca/n1/pub/11f0019m/11f0019m2016375-eng.htm" TargetMode="External"/><Relationship Id="rId2046" Type="http://schemas.openxmlformats.org/officeDocument/2006/relationships/hyperlink" Target="https://www150.statcan.gc.ca/n1/pub/75f0002m/75f0002m2020003-eng.htm" TargetMode="External"/><Relationship Id="rId2253" Type="http://schemas.openxmlformats.org/officeDocument/2006/relationships/hyperlink" Target="https://www150.statcan.gc.ca/n1/pub/85-002-x/2016001/article/14303-eng.htm" TargetMode="External"/><Relationship Id="rId2460" Type="http://schemas.openxmlformats.org/officeDocument/2006/relationships/hyperlink" Target="https://www150.statcan.gc.ca/n1/pub/85-002-x/2020001/article/00005-eng.htm" TargetMode="External"/><Relationship Id="rId225" Type="http://schemas.openxmlformats.org/officeDocument/2006/relationships/hyperlink" Target="https://www150.statcan.gc.ca/n1/pub/82-003-x/2016004/article/14490-eng.htm" TargetMode="External"/><Relationship Id="rId432" Type="http://schemas.openxmlformats.org/officeDocument/2006/relationships/hyperlink" Target="https://www150.statcan.gc.ca/n1/pub/89-657-x/89-657-x2016002-eng.htm" TargetMode="External"/><Relationship Id="rId877" Type="http://schemas.openxmlformats.org/officeDocument/2006/relationships/hyperlink" Target="https://www150.statcan.gc.ca/n1/pub/11f0019m/11f0019m2020017-eng.htm" TargetMode="External"/><Relationship Id="rId1062" Type="http://schemas.openxmlformats.org/officeDocument/2006/relationships/hyperlink" Target="https://www150.statcan.gc.ca/n1/pub/85-002-x/2020001/article/00009-eng.htm" TargetMode="External"/><Relationship Id="rId2113" Type="http://schemas.openxmlformats.org/officeDocument/2006/relationships/hyperlink" Target="https://www150.statcan.gc.ca/n1/pub/85-002-x/2020001/article/00013-eng.htm" TargetMode="External"/><Relationship Id="rId2320" Type="http://schemas.openxmlformats.org/officeDocument/2006/relationships/hyperlink" Target="https://www150.statcan.gc.ca/n1/pub/75-006-x/2019001/article/00011-eng.htm" TargetMode="External"/><Relationship Id="rId2558" Type="http://schemas.openxmlformats.org/officeDocument/2006/relationships/hyperlink" Target="https://www150.statcan.gc.ca/n1/pub/75-006-x/2015001/article/14232-eng.htm" TargetMode="External"/><Relationship Id="rId2765" Type="http://schemas.openxmlformats.org/officeDocument/2006/relationships/hyperlink" Target="https://www150.statcan.gc.ca/n1/pub/85-002-x/2016001/article/14470-eng.htm" TargetMode="External"/><Relationship Id="rId737" Type="http://schemas.openxmlformats.org/officeDocument/2006/relationships/hyperlink" Target="https://www150.statcan.gc.ca/n1/pub/82-003-x/2020006/article/00001-eng.htm" TargetMode="External"/><Relationship Id="rId944" Type="http://schemas.openxmlformats.org/officeDocument/2006/relationships/hyperlink" Target="https://www150.statcan.gc.ca/n1/pub/75-006-x/2019001/article/00017-eng.htm" TargetMode="External"/><Relationship Id="rId1367" Type="http://schemas.openxmlformats.org/officeDocument/2006/relationships/hyperlink" Target="https://www150.statcan.gc.ca/n1/pub/11f0019m/11f0019m2020003-eng.htm" TargetMode="External"/><Relationship Id="rId1574" Type="http://schemas.openxmlformats.org/officeDocument/2006/relationships/hyperlink" Target="https://www150.statcan.gc.ca/n1/pub/89-503-x/2015001/article/14695-eng.htm" TargetMode="External"/><Relationship Id="rId1781" Type="http://schemas.openxmlformats.org/officeDocument/2006/relationships/hyperlink" Target="https://www150.statcan.gc.ca/n1/pub/85-002-x/2017001/article/54866-eng.htm" TargetMode="External"/><Relationship Id="rId2418" Type="http://schemas.openxmlformats.org/officeDocument/2006/relationships/hyperlink" Target="https://www150.statcan.gc.ca/n1/pub/91-209-x/2017001/article/14793-eng.htm" TargetMode="External"/><Relationship Id="rId2625" Type="http://schemas.openxmlformats.org/officeDocument/2006/relationships/hyperlink" Target="https://www150.statcan.gc.ca/n1/pub/89-652-x/89-652-x2015007-eng.htm" TargetMode="External"/><Relationship Id="rId73" Type="http://schemas.openxmlformats.org/officeDocument/2006/relationships/hyperlink" Target="https://www150.statcan.gc.ca/n1/pub/89-657-x/89-657-x2017004-eng.htm" TargetMode="External"/><Relationship Id="rId804" Type="http://schemas.openxmlformats.org/officeDocument/2006/relationships/hyperlink" Target="https://www150.statcan.gc.ca/n1/pub/82-003-x/2018006/article/54971-eng.htm" TargetMode="External"/><Relationship Id="rId1227" Type="http://schemas.openxmlformats.org/officeDocument/2006/relationships/hyperlink" Target="https://www150.statcan.gc.ca/n1/pub/85-002-x/2017001/article/14777-eng.htm" TargetMode="External"/><Relationship Id="rId1434" Type="http://schemas.openxmlformats.org/officeDocument/2006/relationships/hyperlink" Target="https://www150.statcan.gc.ca/n1/pub/11f0019m/11f0019m2019010-eng.htm" TargetMode="External"/><Relationship Id="rId1641" Type="http://schemas.openxmlformats.org/officeDocument/2006/relationships/hyperlink" Target="https://www150.statcan.gc.ca/n1/pub/85-002-x/2016001/article/14633-eng.htm" TargetMode="External"/><Relationship Id="rId1879" Type="http://schemas.openxmlformats.org/officeDocument/2006/relationships/hyperlink" Target="https://www150.statcan.gc.ca/n1/pub/13-605-x/2016001/article/14627-eng.htm" TargetMode="External"/><Relationship Id="rId1501" Type="http://schemas.openxmlformats.org/officeDocument/2006/relationships/hyperlink" Target="https://www150.statcan.gc.ca/n1/pub/11-633-x/11-633-x2019002-eng.htm" TargetMode="External"/><Relationship Id="rId1739" Type="http://schemas.openxmlformats.org/officeDocument/2006/relationships/hyperlink" Target="https://www150.statcan.gc.ca/n1/pub/11f0019m/11f0019m2018408-eng.htm" TargetMode="External"/><Relationship Id="rId1946" Type="http://schemas.openxmlformats.org/officeDocument/2006/relationships/hyperlink" Target="https://www150.statcan.gc.ca/n1/pub/85-002-x/2019001/article/00016-eng.htm" TargetMode="External"/><Relationship Id="rId1806" Type="http://schemas.openxmlformats.org/officeDocument/2006/relationships/hyperlink" Target="https://www150.statcan.gc.ca/n1/pub/75-004-m/75-004-m2016001-eng.htm" TargetMode="External"/><Relationship Id="rId387" Type="http://schemas.openxmlformats.org/officeDocument/2006/relationships/hyperlink" Target="https://www150.statcan.gc.ca/n1/pub/89-654-x/89-654-x2015001-eng.htm" TargetMode="External"/><Relationship Id="rId594" Type="http://schemas.openxmlformats.org/officeDocument/2006/relationships/hyperlink" Target="https://www150.statcan.gc.ca/n1/pub/11f0019m/11f0019m2016375-eng.htm" TargetMode="External"/><Relationship Id="rId2068" Type="http://schemas.openxmlformats.org/officeDocument/2006/relationships/hyperlink" Target="https://www150.statcan.gc.ca/n1/pub/85-002-x/2019001/article/00001-eng.htm" TargetMode="External"/><Relationship Id="rId2275" Type="http://schemas.openxmlformats.org/officeDocument/2006/relationships/hyperlink" Target="https://www150.statcan.gc.ca/n1/pub/85-002-x/2016001/article/14303-eng.htm" TargetMode="External"/><Relationship Id="rId247" Type="http://schemas.openxmlformats.org/officeDocument/2006/relationships/hyperlink" Target="https://www150.statcan.gc.ca/n1/pub/75-006-x/2019001/article/00001-eng.htm" TargetMode="External"/><Relationship Id="rId899" Type="http://schemas.openxmlformats.org/officeDocument/2006/relationships/hyperlink" Target="https://www150.statcan.gc.ca/n1/pub/75-006-x/2016001/article/14669-eng.htm" TargetMode="External"/><Relationship Id="rId1084" Type="http://schemas.openxmlformats.org/officeDocument/2006/relationships/hyperlink" Target="https://www150.statcan.gc.ca/n1/pub/75-006-x/2018001/article/54917-eng.htm" TargetMode="External"/><Relationship Id="rId2482" Type="http://schemas.openxmlformats.org/officeDocument/2006/relationships/hyperlink" Target="https://www150.statcan.gc.ca/n1/pub/75-006-x/2015001/article/14142-eng.htm" TargetMode="External"/><Relationship Id="rId2787" Type="http://schemas.openxmlformats.org/officeDocument/2006/relationships/hyperlink" Target="https://www150.statcan.gc.ca/n1/pub/82-003-x/2017002/article/14772-eng.htm" TargetMode="External"/><Relationship Id="rId107" Type="http://schemas.openxmlformats.org/officeDocument/2006/relationships/hyperlink" Target="https://www150.statcan.gc.ca/n1/pub/89-657-x/89-657-x2017006-eng.htm" TargetMode="External"/><Relationship Id="rId454" Type="http://schemas.openxmlformats.org/officeDocument/2006/relationships/hyperlink" Target="https://www150.statcan.gc.ca/n1/pub/85-603-x/85-603-x2019002-eng.htm" TargetMode="External"/><Relationship Id="rId661" Type="http://schemas.openxmlformats.org/officeDocument/2006/relationships/hyperlink" Target="https://www150.statcan.gc.ca/n1/pub/85-002-x/2019001/article/00005-eng.htm" TargetMode="External"/><Relationship Id="rId759" Type="http://schemas.openxmlformats.org/officeDocument/2006/relationships/hyperlink" Target="https://www150.statcan.gc.ca/n1/pub/89-503-x/2015001/article/14315-eng.htm" TargetMode="External"/><Relationship Id="rId966" Type="http://schemas.openxmlformats.org/officeDocument/2006/relationships/hyperlink" Target="https://www150.statcan.gc.ca/n1/pub/82-003-x/2020001/article/00002-eng.htm" TargetMode="External"/><Relationship Id="rId1291" Type="http://schemas.openxmlformats.org/officeDocument/2006/relationships/hyperlink" Target="https://www150.statcan.gc.ca/n1/pub/89-652-x/89-652-x2015003-eng.htm" TargetMode="External"/><Relationship Id="rId1389" Type="http://schemas.openxmlformats.org/officeDocument/2006/relationships/hyperlink" Target="https://www150.statcan.gc.ca/n1/pub/15-206-x/15-206-x2015039-eng.htm" TargetMode="External"/><Relationship Id="rId1596" Type="http://schemas.openxmlformats.org/officeDocument/2006/relationships/hyperlink" Target="https://www150.statcan.gc.ca/n1/pub/81-595-m/81-595-m2020001-eng.htm" TargetMode="External"/><Relationship Id="rId2135" Type="http://schemas.openxmlformats.org/officeDocument/2006/relationships/hyperlink" Target="https://www150.statcan.gc.ca/n1/pub/11-633-x/11-633-x2021001-eng.htm" TargetMode="External"/><Relationship Id="rId2342" Type="http://schemas.openxmlformats.org/officeDocument/2006/relationships/hyperlink" Target="https://www150.statcan.gc.ca/n1/pub/11f0019m/11f0019m2019002-eng.htm" TargetMode="External"/><Relationship Id="rId2647" Type="http://schemas.openxmlformats.org/officeDocument/2006/relationships/hyperlink" Target="https://www150.statcan.gc.ca/n1/pub/11-633-x/11-633-x2016002-eng.htm" TargetMode="External"/><Relationship Id="rId314" Type="http://schemas.openxmlformats.org/officeDocument/2006/relationships/hyperlink" Target="https://www150.statcan.gc.ca/n1/pub/82-003-x/2016012/article/14687-eng.htm" TargetMode="External"/><Relationship Id="rId521" Type="http://schemas.openxmlformats.org/officeDocument/2006/relationships/hyperlink" Target="https://www150.statcan.gc.ca/n1/pub/82-003-x/2018007/article/00002-eng.htm" TargetMode="External"/><Relationship Id="rId619" Type="http://schemas.openxmlformats.org/officeDocument/2006/relationships/hyperlink" Target="https://www150.statcan.gc.ca/n1/pub/89-654-x/89-654-x2018002-eng.htm" TargetMode="External"/><Relationship Id="rId1151" Type="http://schemas.openxmlformats.org/officeDocument/2006/relationships/hyperlink" Target="https://www150.statcan.gc.ca/n1/pub/89-652-x/89-652-x2015002-eng.htm" TargetMode="External"/><Relationship Id="rId1249" Type="http://schemas.openxmlformats.org/officeDocument/2006/relationships/hyperlink" Target="https://www150.statcan.gc.ca/n1/pub/85-002-x/2017001/article/54842-eng.htm" TargetMode="External"/><Relationship Id="rId2202" Type="http://schemas.openxmlformats.org/officeDocument/2006/relationships/hyperlink" Target="https://www150.statcan.gc.ca/n1/pub/11f0019m/11f0019m2018406-eng.htm" TargetMode="External"/><Relationship Id="rId95" Type="http://schemas.openxmlformats.org/officeDocument/2006/relationships/hyperlink" Target="https://www150.statcan.gc.ca/n1/pub/89-657-x/89-657-x2017005-eng.htm" TargetMode="External"/><Relationship Id="rId826" Type="http://schemas.openxmlformats.org/officeDocument/2006/relationships/hyperlink" Target="https://www150.statcan.gc.ca/n1/pub/89-653-x/89-653-x2015007-eng.htm" TargetMode="External"/><Relationship Id="rId1011" Type="http://schemas.openxmlformats.org/officeDocument/2006/relationships/hyperlink" Target="https://www150.statcan.gc.ca/n1/pub/89-657-x/89-657-x2020001-eng.htm" TargetMode="External"/><Relationship Id="rId1109" Type="http://schemas.openxmlformats.org/officeDocument/2006/relationships/hyperlink" Target="https://www150.statcan.gc.ca/n1/pub/82-003-x/2018001/article/54902-eng.htm" TargetMode="External"/><Relationship Id="rId1456" Type="http://schemas.openxmlformats.org/officeDocument/2006/relationships/hyperlink" Target="https://www150.statcan.gc.ca/n1/pub/85-002-x/2017001/article/54889-eng.htm" TargetMode="External"/><Relationship Id="rId1663" Type="http://schemas.openxmlformats.org/officeDocument/2006/relationships/hyperlink" Target="https://www150.statcan.gc.ca/n1/pub/85-002-x/2018001/article/54980-eng.htm" TargetMode="External"/><Relationship Id="rId1870" Type="http://schemas.openxmlformats.org/officeDocument/2006/relationships/hyperlink" Target="https://www150.statcan.gc.ca/n1/pub/91-209-x/2018001/article/54957-eng.htm" TargetMode="External"/><Relationship Id="rId1968" Type="http://schemas.openxmlformats.org/officeDocument/2006/relationships/hyperlink" Target="https://www150.statcan.gc.ca/n1/pub/85-002-x/2018001/article/54974-eng.htm" TargetMode="External"/><Relationship Id="rId2507" Type="http://schemas.openxmlformats.org/officeDocument/2006/relationships/hyperlink" Target="https://www150.statcan.gc.ca/n1/pub/82-003-x/2017005/article/14792-eng.htm" TargetMode="External"/><Relationship Id="rId2714" Type="http://schemas.openxmlformats.org/officeDocument/2006/relationships/hyperlink" Target="https://www150.statcan.gc.ca/n1/pub/82-003-x/2015006/article/14196-eng.htm" TargetMode="External"/><Relationship Id="rId1316" Type="http://schemas.openxmlformats.org/officeDocument/2006/relationships/hyperlink" Target="https://www150.statcan.gc.ca/n1/pub/75-006-x/2018001/article/54981-eng.htm" TargetMode="External"/><Relationship Id="rId1523" Type="http://schemas.openxmlformats.org/officeDocument/2006/relationships/hyperlink" Target="https://www150.statcan.gc.ca/n1/pub/82-003-x/2020009/article/00001-eng.htm" TargetMode="External"/><Relationship Id="rId1730" Type="http://schemas.openxmlformats.org/officeDocument/2006/relationships/hyperlink" Target="https://www150.statcan.gc.ca/n1/pub/75-006-x/2018001/article/54974-eng.htm" TargetMode="External"/><Relationship Id="rId22" Type="http://schemas.openxmlformats.org/officeDocument/2006/relationships/hyperlink" Target="https://www150.statcan.gc.ca/n1/pub/21-004-x/2018001/article/00001-eng.htm" TargetMode="External"/><Relationship Id="rId1828" Type="http://schemas.openxmlformats.org/officeDocument/2006/relationships/hyperlink" Target="https://www150.statcan.gc.ca/n1/pub/89-657-x/89-657-x2019018-eng.htm" TargetMode="External"/><Relationship Id="rId171" Type="http://schemas.openxmlformats.org/officeDocument/2006/relationships/hyperlink" Target="https://www150.statcan.gc.ca/n1/pub/11f0019m/11f0019m2020005-eng.htm" TargetMode="External"/><Relationship Id="rId2297" Type="http://schemas.openxmlformats.org/officeDocument/2006/relationships/hyperlink" Target="https://www150.statcan.gc.ca/n1/pub/89-503-x/2015001/article/14640-eng.htm" TargetMode="External"/><Relationship Id="rId269" Type="http://schemas.openxmlformats.org/officeDocument/2006/relationships/hyperlink" Target="https://www150.statcan.gc.ca/n1/pub/82-003-x/2015010/article/14228-eng.htm" TargetMode="External"/><Relationship Id="rId476" Type="http://schemas.openxmlformats.org/officeDocument/2006/relationships/hyperlink" Target="https://www150.statcan.gc.ca/n1/pub/75-006-x/2017001/article/54854-eng.htm" TargetMode="External"/><Relationship Id="rId683" Type="http://schemas.openxmlformats.org/officeDocument/2006/relationships/hyperlink" Target="https://www150.statcan.gc.ca/n1/pub/11f0019m/11f0019m2016381-eng.htm" TargetMode="External"/><Relationship Id="rId890" Type="http://schemas.openxmlformats.org/officeDocument/2006/relationships/hyperlink" Target="https://www150.statcan.gc.ca/n1/pub/13-605-x/2019001/article/00013-eng.htm" TargetMode="External"/><Relationship Id="rId2157" Type="http://schemas.openxmlformats.org/officeDocument/2006/relationships/hyperlink" Target="https://www150.statcan.gc.ca/n1/pub/11f0027m/11f0027m2015099-eng.htm" TargetMode="External"/><Relationship Id="rId2364" Type="http://schemas.openxmlformats.org/officeDocument/2006/relationships/hyperlink" Target="https://www150.statcan.gc.ca/n1/pub/11f0019m/11f0019m2017397-eng.htm" TargetMode="External"/><Relationship Id="rId2571" Type="http://schemas.openxmlformats.org/officeDocument/2006/relationships/hyperlink" Target="https://www150.statcan.gc.ca/n1/pub/75f0002m/75f0002m2019004-eng.htm" TargetMode="External"/><Relationship Id="rId129" Type="http://schemas.openxmlformats.org/officeDocument/2006/relationships/hyperlink" Target="https://www150.statcan.gc.ca/n1/pub/45-28-0001/2020001/article/00090-eng.htm" TargetMode="External"/><Relationship Id="rId336" Type="http://schemas.openxmlformats.org/officeDocument/2006/relationships/hyperlink" Target="https://www150.statcan.gc.ca/n1/pub/89-503-x/2015001/article/14785-eng.htm" TargetMode="External"/><Relationship Id="rId543" Type="http://schemas.openxmlformats.org/officeDocument/2006/relationships/hyperlink" Target="https://www150.statcan.gc.ca/n1/pub/82-003-x/2019011/article/00002-eng.htm" TargetMode="External"/><Relationship Id="rId988" Type="http://schemas.openxmlformats.org/officeDocument/2006/relationships/hyperlink" Target="https://www150.statcan.gc.ca/n1/pub/75-006-x/2020001/article/00002-eng.htm" TargetMode="External"/><Relationship Id="rId1173" Type="http://schemas.openxmlformats.org/officeDocument/2006/relationships/hyperlink" Target="https://www150.statcan.gc.ca/n1/pub/85-002-x/2019001/article/00010-eng.htm" TargetMode="External"/><Relationship Id="rId1380" Type="http://schemas.openxmlformats.org/officeDocument/2006/relationships/hyperlink" Target="https://www150.statcan.gc.ca/n1/pub/82-003-x/2016001/article/14307-eng.htm" TargetMode="External"/><Relationship Id="rId2017" Type="http://schemas.openxmlformats.org/officeDocument/2006/relationships/hyperlink" Target="https://www150.statcan.gc.ca/n1/pub/85-002-x/2015001/article/14234-eng.htm" TargetMode="External"/><Relationship Id="rId2224" Type="http://schemas.openxmlformats.org/officeDocument/2006/relationships/hyperlink" Target="https://www150.statcan.gc.ca/n1/pub/85-002-x/2018001/article/54910-eng.htm" TargetMode="External"/><Relationship Id="rId2669" Type="http://schemas.openxmlformats.org/officeDocument/2006/relationships/hyperlink" Target="https://www150.statcan.gc.ca/n1/pub/82-003-x/2020005/article/00001-eng.htm" TargetMode="External"/><Relationship Id="rId403" Type="http://schemas.openxmlformats.org/officeDocument/2006/relationships/hyperlink" Target="https://www150.statcan.gc.ca/n1/pub/82-003-x/2017002/article/14773-eng.htm" TargetMode="External"/><Relationship Id="rId750" Type="http://schemas.openxmlformats.org/officeDocument/2006/relationships/hyperlink" Target="https://www150.statcan.gc.ca/n1/pub/89-503-x/2015001/article/14315-eng.htm" TargetMode="External"/><Relationship Id="rId848" Type="http://schemas.openxmlformats.org/officeDocument/2006/relationships/hyperlink" Target="https://www150.statcan.gc.ca/n1/pub/81-595-m/81-595-m2020002-eng.htm" TargetMode="External"/><Relationship Id="rId1033" Type="http://schemas.openxmlformats.org/officeDocument/2006/relationships/hyperlink" Target="https://www150.statcan.gc.ca/n1/pub/85-002-x/2015001/article/14163-eng.htm" TargetMode="External"/><Relationship Id="rId1478" Type="http://schemas.openxmlformats.org/officeDocument/2006/relationships/hyperlink" Target="https://www150.statcan.gc.ca/n1/pub/11-626-x/11-626-x2015044-eng.htm" TargetMode="External"/><Relationship Id="rId1685" Type="http://schemas.openxmlformats.org/officeDocument/2006/relationships/hyperlink" Target="https://www150.statcan.gc.ca/n1/pub/89-503-x/2015001/article/14694-eng.htm" TargetMode="External"/><Relationship Id="rId1892" Type="http://schemas.openxmlformats.org/officeDocument/2006/relationships/hyperlink" Target="https://www150.statcan.gc.ca/n1/pub/89-503-x/2015001/article/14313-eng.htm" TargetMode="External"/><Relationship Id="rId2431" Type="http://schemas.openxmlformats.org/officeDocument/2006/relationships/hyperlink" Target="https://www150.statcan.gc.ca/n1/pub/11f0019m/11f0019m2019007-eng.htm" TargetMode="External"/><Relationship Id="rId2529" Type="http://schemas.openxmlformats.org/officeDocument/2006/relationships/hyperlink" Target="https://www150.statcan.gc.ca/n1/pub/82-003-x/2016004/article/14491-eng.htm" TargetMode="External"/><Relationship Id="rId2736" Type="http://schemas.openxmlformats.org/officeDocument/2006/relationships/hyperlink" Target="https://www150.statcan.gc.ca/n1/pub/82-003-x/2017010/article/54875-eng.htm" TargetMode="External"/><Relationship Id="rId610" Type="http://schemas.openxmlformats.org/officeDocument/2006/relationships/hyperlink" Target="https://www150.statcan.gc.ca/n1/pub/75-006-x/2017001/article/14824-eng.htm" TargetMode="External"/><Relationship Id="rId708" Type="http://schemas.openxmlformats.org/officeDocument/2006/relationships/hyperlink" Target="https://www150.statcan.gc.ca/n1/pub/89-657-x/89-657-x2017002-eng.htm" TargetMode="External"/><Relationship Id="rId915" Type="http://schemas.openxmlformats.org/officeDocument/2006/relationships/hyperlink" Target="https://www150.statcan.gc.ca/n1/pub/85-002-x/2019001/article/00017-eng.htm" TargetMode="External"/><Relationship Id="rId1240" Type="http://schemas.openxmlformats.org/officeDocument/2006/relationships/hyperlink" Target="https://www150.statcan.gc.ca/n1/pub/11f0019m/11f0019m2015366-eng.htm" TargetMode="External"/><Relationship Id="rId1338" Type="http://schemas.openxmlformats.org/officeDocument/2006/relationships/hyperlink" Target="https://www150.statcan.gc.ca/n1/pub/85-002-x/2020001/article/00010-eng.htm" TargetMode="External"/><Relationship Id="rId1545" Type="http://schemas.openxmlformats.org/officeDocument/2006/relationships/hyperlink" Target="https://www150.statcan.gc.ca/n1/pub/75-006-x/2018001/article/54975-eng.htm" TargetMode="External"/><Relationship Id="rId1100" Type="http://schemas.openxmlformats.org/officeDocument/2006/relationships/hyperlink" Target="https://www150.statcan.gc.ca/n1/pub/11-633-x/11-633-x2018014-eng.htm" TargetMode="External"/><Relationship Id="rId1405" Type="http://schemas.openxmlformats.org/officeDocument/2006/relationships/hyperlink" Target="https://www150.statcan.gc.ca/n1/pub/82-003-x/2016008/article/14648-eng.htm" TargetMode="External"/><Relationship Id="rId1752" Type="http://schemas.openxmlformats.org/officeDocument/2006/relationships/hyperlink" Target="https://www150.statcan.gc.ca/n1/pub/89-657-x/89-657-x2019010-eng.htm" TargetMode="External"/><Relationship Id="rId2803" Type="http://schemas.openxmlformats.org/officeDocument/2006/relationships/hyperlink" Target="https://www150.statcan.gc.ca/n1/pub/85-603-x/85-603-x2019001-eng.htm" TargetMode="External"/><Relationship Id="rId44" Type="http://schemas.openxmlformats.org/officeDocument/2006/relationships/hyperlink" Target="https://www150.statcan.gc.ca/n1/pub/96-325-x/2017001/article/54874-eng.htm" TargetMode="External"/><Relationship Id="rId1612" Type="http://schemas.openxmlformats.org/officeDocument/2006/relationships/hyperlink" Target="https://www150.statcan.gc.ca/n1/pub/82-003-x/2019007/article/00002-eng.htm" TargetMode="External"/><Relationship Id="rId1917" Type="http://schemas.openxmlformats.org/officeDocument/2006/relationships/hyperlink" Target="https://www150.statcan.gc.ca/n1/pub/85-002-x/2016001/article/14656-eng.htm" TargetMode="External"/><Relationship Id="rId193" Type="http://schemas.openxmlformats.org/officeDocument/2006/relationships/hyperlink" Target="https://www150.statcan.gc.ca/n1/pub/18-001-x/18-001-x2019002-eng.htm" TargetMode="External"/><Relationship Id="rId498" Type="http://schemas.openxmlformats.org/officeDocument/2006/relationships/hyperlink" Target="https://www150.statcan.gc.ca/n1/pub/18-001-x/18-001-x2019001-eng.htm" TargetMode="External"/><Relationship Id="rId2081" Type="http://schemas.openxmlformats.org/officeDocument/2006/relationships/hyperlink" Target="https://www150.statcan.gc.ca/n1/pub/82-003-x/2020012/article/00002-eng.htm" TargetMode="External"/><Relationship Id="rId2179" Type="http://schemas.openxmlformats.org/officeDocument/2006/relationships/hyperlink" Target="https://www150.statcan.gc.ca/n1/pub/75-006-x/2015001/article/14221-eng.htm" TargetMode="External"/><Relationship Id="rId260" Type="http://schemas.openxmlformats.org/officeDocument/2006/relationships/hyperlink" Target="https://www150.statcan.gc.ca/n1/pub/11f0019m/11f0019m2018402-eng.htm" TargetMode="External"/><Relationship Id="rId2386" Type="http://schemas.openxmlformats.org/officeDocument/2006/relationships/hyperlink" Target="https://www150.statcan.gc.ca/n1/pub/82-003-x/2018010/article/00003-eng.htm" TargetMode="External"/><Relationship Id="rId2593" Type="http://schemas.openxmlformats.org/officeDocument/2006/relationships/hyperlink" Target="https://www150.statcan.gc.ca/n1/pub/85-002-x/2015001/article/14203-eng.htm" TargetMode="External"/><Relationship Id="rId120" Type="http://schemas.openxmlformats.org/officeDocument/2006/relationships/hyperlink" Target="https://www150.statcan.gc.ca/n1/pub/13-604-m/13-604-m2016081-eng.htm" TargetMode="External"/><Relationship Id="rId358" Type="http://schemas.openxmlformats.org/officeDocument/2006/relationships/hyperlink" Target="https://www150.statcan.gc.ca/n1/pub/85-002-x/2018001/article/54912-eng.htm" TargetMode="External"/><Relationship Id="rId565" Type="http://schemas.openxmlformats.org/officeDocument/2006/relationships/hyperlink" Target="https://www150.statcan.gc.ca/n1/pub/82-003-x/2018011/article/00003-eng.htm" TargetMode="External"/><Relationship Id="rId772" Type="http://schemas.openxmlformats.org/officeDocument/2006/relationships/hyperlink" Target="https://www150.statcan.gc.ca/n1/pub/89-503-x/2015001/article/14315-eng.htm" TargetMode="External"/><Relationship Id="rId1195" Type="http://schemas.openxmlformats.org/officeDocument/2006/relationships/hyperlink" Target="https://www150.statcan.gc.ca/n1/pub/89-503-x/2015001/article/54930-eng.htm" TargetMode="External"/><Relationship Id="rId2039" Type="http://schemas.openxmlformats.org/officeDocument/2006/relationships/hyperlink" Target="https://www150.statcan.gc.ca/n1/pub/11f0019m/11f0019m2016373-eng.htm" TargetMode="External"/><Relationship Id="rId2246" Type="http://schemas.openxmlformats.org/officeDocument/2006/relationships/hyperlink" Target="https://www150.statcan.gc.ca/n1/pub/85-002-x/2016001/article/14303-eng.htm" TargetMode="External"/><Relationship Id="rId2453" Type="http://schemas.openxmlformats.org/officeDocument/2006/relationships/hyperlink" Target="https://www150.statcan.gc.ca/n1/pub/89-648-x/89-648-x2020001-eng.htm" TargetMode="External"/><Relationship Id="rId2660" Type="http://schemas.openxmlformats.org/officeDocument/2006/relationships/hyperlink" Target="https://www150.statcan.gc.ca/n1/pub/11f0019m/11f0019m2019006-eng.htm" TargetMode="External"/><Relationship Id="rId218" Type="http://schemas.openxmlformats.org/officeDocument/2006/relationships/hyperlink" Target="https://www150.statcan.gc.ca/n1/pub/11f0019m/11f0019m2019014-eng.htm" TargetMode="External"/><Relationship Id="rId425" Type="http://schemas.openxmlformats.org/officeDocument/2006/relationships/hyperlink" Target="https://www150.statcan.gc.ca/n1/pub/89-657-x/89-657-x2016002-eng.htm" TargetMode="External"/><Relationship Id="rId632" Type="http://schemas.openxmlformats.org/officeDocument/2006/relationships/hyperlink" Target="https://www150.statcan.gc.ca/n1/pub/82-003-x/2015012/article/14295-eng.htm" TargetMode="External"/><Relationship Id="rId1055" Type="http://schemas.openxmlformats.org/officeDocument/2006/relationships/hyperlink" Target="https://www150.statcan.gc.ca/n1/pub/85-002-x/2020001/article/00009-eng.htm" TargetMode="External"/><Relationship Id="rId1262" Type="http://schemas.openxmlformats.org/officeDocument/2006/relationships/hyperlink" Target="https://www150.statcan.gc.ca/n1/pub/13-605-x/2015001/article/14141-eng.htm" TargetMode="External"/><Relationship Id="rId2106" Type="http://schemas.openxmlformats.org/officeDocument/2006/relationships/hyperlink" Target="https://www150.statcan.gc.ca/n1/pub/82-003-x/2017012/article/54891-eng.htm" TargetMode="External"/><Relationship Id="rId2313" Type="http://schemas.openxmlformats.org/officeDocument/2006/relationships/hyperlink" Target="https://www150.statcan.gc.ca/n1/pub/62f0014m/62f0014m2019008-eng.htm" TargetMode="External"/><Relationship Id="rId2520" Type="http://schemas.openxmlformats.org/officeDocument/2006/relationships/hyperlink" Target="https://www150.statcan.gc.ca/n1/pub/85-002-x/2017001/article/54844-eng.htm" TargetMode="External"/><Relationship Id="rId2758" Type="http://schemas.openxmlformats.org/officeDocument/2006/relationships/hyperlink" Target="https://www150.statcan.gc.ca/n1/pub/46-28-0001/2019001/article/00001-eng.htm" TargetMode="External"/><Relationship Id="rId937" Type="http://schemas.openxmlformats.org/officeDocument/2006/relationships/hyperlink" Target="https://www150.statcan.gc.ca/n1/pub/85-002-x/2015001/article/14201-eng.htm" TargetMode="External"/><Relationship Id="rId1122" Type="http://schemas.openxmlformats.org/officeDocument/2006/relationships/hyperlink" Target="https://www150.statcan.gc.ca/n1/pub/11-633-x/11-633-x2018016-eng.htm" TargetMode="External"/><Relationship Id="rId1567" Type="http://schemas.openxmlformats.org/officeDocument/2006/relationships/hyperlink" Target="https://www150.statcan.gc.ca/n1/pub/11-633-x/11-633-x2018012-eng.htm" TargetMode="External"/><Relationship Id="rId1774" Type="http://schemas.openxmlformats.org/officeDocument/2006/relationships/hyperlink" Target="https://www150.statcan.gc.ca/n1/pub/89-657-x/89-657-x2019010-eng.htm" TargetMode="External"/><Relationship Id="rId1981" Type="http://schemas.openxmlformats.org/officeDocument/2006/relationships/hyperlink" Target="https://www150.statcan.gc.ca/n1/pub/75-004-m/75-004-m2015002-eng.htm" TargetMode="External"/><Relationship Id="rId2618" Type="http://schemas.openxmlformats.org/officeDocument/2006/relationships/hyperlink" Target="https://www150.statcan.gc.ca/n1/pub/89-652-x/89-652-x2015005-eng.htm" TargetMode="External"/><Relationship Id="rId2825" Type="http://schemas.openxmlformats.org/officeDocument/2006/relationships/hyperlink" Target="https://www150.statcan.gc.ca/n1/pub/11f0019m/11f0019m2018411-eng.htm" TargetMode="External"/><Relationship Id="rId66" Type="http://schemas.openxmlformats.org/officeDocument/2006/relationships/hyperlink" Target="https://www150.statcan.gc.ca/n1/pub/89-657-x/89-657-x2017003-eng.htm" TargetMode="External"/><Relationship Id="rId1427" Type="http://schemas.openxmlformats.org/officeDocument/2006/relationships/hyperlink" Target="https://www150.statcan.gc.ca/n1/pub/11f0019m/11f0019m2019011-eng.htm" TargetMode="External"/><Relationship Id="rId1634" Type="http://schemas.openxmlformats.org/officeDocument/2006/relationships/hyperlink" Target="https://www150.statcan.gc.ca/n1/pub/89-503-x/2015001/article/14316-eng.htm" TargetMode="External"/><Relationship Id="rId1841" Type="http://schemas.openxmlformats.org/officeDocument/2006/relationships/hyperlink" Target="https://www150.statcan.gc.ca/n1/pub/11f0019m/11f0019m2016374-eng.htm" TargetMode="External"/><Relationship Id="rId1939" Type="http://schemas.openxmlformats.org/officeDocument/2006/relationships/hyperlink" Target="https://www150.statcan.gc.ca/n1/pub/89-653-x/89-653-x2019002-eng.htm" TargetMode="External"/><Relationship Id="rId1701" Type="http://schemas.openxmlformats.org/officeDocument/2006/relationships/hyperlink" Target="https://www150.statcan.gc.ca/n1/pub/11-626-x/11-626-x2017076-eng.htm" TargetMode="External"/><Relationship Id="rId282" Type="http://schemas.openxmlformats.org/officeDocument/2006/relationships/hyperlink" Target="https://www150.statcan.gc.ca/n1/pub/75-006-x/2017001/article/54898-eng.htm" TargetMode="External"/><Relationship Id="rId587" Type="http://schemas.openxmlformats.org/officeDocument/2006/relationships/hyperlink" Target="https://www150.statcan.gc.ca/n1/pub/11f0019m/11f0019m2016375-eng.htm" TargetMode="External"/><Relationship Id="rId2170" Type="http://schemas.openxmlformats.org/officeDocument/2006/relationships/hyperlink" Target="https://www150.statcan.gc.ca/n1/pub/99-011-x/99-011-x2019001-eng.htm" TargetMode="External"/><Relationship Id="rId2268" Type="http://schemas.openxmlformats.org/officeDocument/2006/relationships/hyperlink" Target="https://www150.statcan.gc.ca/n1/pub/85-002-x/2016001/article/14303-eng.htm" TargetMode="External"/><Relationship Id="rId8" Type="http://schemas.openxmlformats.org/officeDocument/2006/relationships/hyperlink" Target="https://www150.statcan.gc.ca/n1/pub/82-003-x/2019007/article/00003-eng.htm" TargetMode="External"/><Relationship Id="rId142" Type="http://schemas.openxmlformats.org/officeDocument/2006/relationships/hyperlink" Target="https://www150.statcan.gc.ca/n1/pub/11-626-x/11-626-x2020014-eng.htm" TargetMode="External"/><Relationship Id="rId447" Type="http://schemas.openxmlformats.org/officeDocument/2006/relationships/hyperlink" Target="https://www150.statcan.gc.ca/n1/pub/11-626-x/11-626-x2019005-eng.htm" TargetMode="External"/><Relationship Id="rId794" Type="http://schemas.openxmlformats.org/officeDocument/2006/relationships/hyperlink" Target="https://www150.statcan.gc.ca/n1/pub/89-648-x/89-648-x2020004-eng.htm" TargetMode="External"/><Relationship Id="rId1077" Type="http://schemas.openxmlformats.org/officeDocument/2006/relationships/hyperlink" Target="https://www150.statcan.gc.ca/n1/pub/82-003-x/2018010/article/00001-eng.htm" TargetMode="External"/><Relationship Id="rId2030" Type="http://schemas.openxmlformats.org/officeDocument/2006/relationships/hyperlink" Target="https://www150.statcan.gc.ca/n1/pub/11-626-x/11-626-x2020025-eng.htm" TargetMode="External"/><Relationship Id="rId2128" Type="http://schemas.openxmlformats.org/officeDocument/2006/relationships/hyperlink" Target="https://www150.statcan.gc.ca/n1/pub/82-003-x/2015004/article/14157-eng.htm" TargetMode="External"/><Relationship Id="rId2475" Type="http://schemas.openxmlformats.org/officeDocument/2006/relationships/hyperlink" Target="https://www150.statcan.gc.ca/n1/pub/85-002-x/2020001/article/00005-eng.htm" TargetMode="External"/><Relationship Id="rId2682" Type="http://schemas.openxmlformats.org/officeDocument/2006/relationships/hyperlink" Target="https://www150.statcan.gc.ca/n1/pub/89-653-x/89-653-x2019001-eng.htm" TargetMode="External"/><Relationship Id="rId654" Type="http://schemas.openxmlformats.org/officeDocument/2006/relationships/hyperlink" Target="https://www150.statcan.gc.ca/n1/pub/89-653-x/89-653-x2017013-eng.htm" TargetMode="External"/><Relationship Id="rId861" Type="http://schemas.openxmlformats.org/officeDocument/2006/relationships/hyperlink" Target="https://www150.statcan.gc.ca/n1/pub/89-657-x/89-657-x2019007-eng.htm" TargetMode="External"/><Relationship Id="rId959" Type="http://schemas.openxmlformats.org/officeDocument/2006/relationships/hyperlink" Target="https://www150.statcan.gc.ca/n1/pub/85-002-x/2020001/article/00016-eng.htm" TargetMode="External"/><Relationship Id="rId1284" Type="http://schemas.openxmlformats.org/officeDocument/2006/relationships/hyperlink" Target="https://www150.statcan.gc.ca/n1/pub/62f0014m/62f0014m2020006-eng.htm" TargetMode="External"/><Relationship Id="rId1491" Type="http://schemas.openxmlformats.org/officeDocument/2006/relationships/hyperlink" Target="https://www150.statcan.gc.ca/n1/pub/85-002-x/2015001/article/14191-eng.htm" TargetMode="External"/><Relationship Id="rId1589" Type="http://schemas.openxmlformats.org/officeDocument/2006/relationships/hyperlink" Target="https://www150.statcan.gc.ca/n1/pub/11f0019m/11f0019m2015370-eng.htm" TargetMode="External"/><Relationship Id="rId2335" Type="http://schemas.openxmlformats.org/officeDocument/2006/relationships/hyperlink" Target="https://www150.statcan.gc.ca/n1/pub/82-003-x/2016009/article/14653-eng.htm" TargetMode="External"/><Relationship Id="rId2542" Type="http://schemas.openxmlformats.org/officeDocument/2006/relationships/hyperlink" Target="https://www150.statcan.gc.ca/n1/pub/85-002-x/2017001/article/14699-eng.htm" TargetMode="External"/><Relationship Id="rId307" Type="http://schemas.openxmlformats.org/officeDocument/2006/relationships/hyperlink" Target="https://www150.statcan.gc.ca/n1/pub/82-003-x/2015010/article/14222-eng.htm" TargetMode="External"/><Relationship Id="rId514" Type="http://schemas.openxmlformats.org/officeDocument/2006/relationships/hyperlink" Target="https://www150.statcan.gc.ca/n1/pub/75-006-x/2020001/article/00008-eng.htm" TargetMode="External"/><Relationship Id="rId721" Type="http://schemas.openxmlformats.org/officeDocument/2006/relationships/hyperlink" Target="https://www150.statcan.gc.ca/n1/pub/82-624-x/2015001/article/14213-eng.htm" TargetMode="External"/><Relationship Id="rId1144" Type="http://schemas.openxmlformats.org/officeDocument/2006/relationships/hyperlink" Target="https://www150.statcan.gc.ca/n1/pub/75-006-x/2019001/article/00012-eng.htm" TargetMode="External"/><Relationship Id="rId1351" Type="http://schemas.openxmlformats.org/officeDocument/2006/relationships/hyperlink" Target="https://www150.statcan.gc.ca/n1/pub/85-002-x/2019001/article/00012-eng.htm" TargetMode="External"/><Relationship Id="rId1449" Type="http://schemas.openxmlformats.org/officeDocument/2006/relationships/hyperlink" Target="https://www150.statcan.gc.ca/n1/pub/82-003-x/2017001/article/14697-eng.htm" TargetMode="External"/><Relationship Id="rId1796" Type="http://schemas.openxmlformats.org/officeDocument/2006/relationships/hyperlink" Target="https://www150.statcan.gc.ca/n1/pub/85-002-x/2016001/article/14668-eng.htm" TargetMode="External"/><Relationship Id="rId2402" Type="http://schemas.openxmlformats.org/officeDocument/2006/relationships/hyperlink" Target="https://www150.statcan.gc.ca/n1/pub/89-657-x/89-657-x2019008-eng.htm" TargetMode="External"/><Relationship Id="rId88" Type="http://schemas.openxmlformats.org/officeDocument/2006/relationships/hyperlink" Target="https://www150.statcan.gc.ca/n1/pub/89-657-x/89-657-x2017005-eng.htm" TargetMode="External"/><Relationship Id="rId819" Type="http://schemas.openxmlformats.org/officeDocument/2006/relationships/hyperlink" Target="https://www150.statcan.gc.ca/n1/pub/11f0019m/11f0019m2017398-eng.htm" TargetMode="External"/><Relationship Id="rId1004" Type="http://schemas.openxmlformats.org/officeDocument/2006/relationships/hyperlink" Target="https://www150.statcan.gc.ca/n1/pub/89-657-x/89-657-x2020001-eng.htm" TargetMode="External"/><Relationship Id="rId1211" Type="http://schemas.openxmlformats.org/officeDocument/2006/relationships/hyperlink" Target="https://www150.statcan.gc.ca/n1/pub/13-605-x/2018001/article/54949-eng.htm" TargetMode="External"/><Relationship Id="rId1656" Type="http://schemas.openxmlformats.org/officeDocument/2006/relationships/hyperlink" Target="https://www150.statcan.gc.ca/n1/pub/75-006-x/2020001/article/00001-eng.htm" TargetMode="External"/><Relationship Id="rId1863" Type="http://schemas.openxmlformats.org/officeDocument/2006/relationships/hyperlink" Target="https://www150.statcan.gc.ca/n1/pub/11-626-x/11-626-x2015047-eng.htm" TargetMode="External"/><Relationship Id="rId2707" Type="http://schemas.openxmlformats.org/officeDocument/2006/relationships/hyperlink" Target="https://www150.statcan.gc.ca/n1/pub/13-605-x/2018001/article/54963-eng.htm" TargetMode="External"/><Relationship Id="rId1309" Type="http://schemas.openxmlformats.org/officeDocument/2006/relationships/hyperlink" Target="https://www150.statcan.gc.ca/n1/pub/85-002-x/2019001/article/00011-eng.htm" TargetMode="External"/><Relationship Id="rId1516" Type="http://schemas.openxmlformats.org/officeDocument/2006/relationships/hyperlink" Target="https://www150.statcan.gc.ca/n1/pub/13-605-x/2016002/article/14685-eng.htm" TargetMode="External"/><Relationship Id="rId1723" Type="http://schemas.openxmlformats.org/officeDocument/2006/relationships/hyperlink" Target="https://www150.statcan.gc.ca/n1/pub/75f0002m/75f0002m2019010-eng.htm" TargetMode="External"/><Relationship Id="rId1930" Type="http://schemas.openxmlformats.org/officeDocument/2006/relationships/hyperlink" Target="https://www150.statcan.gc.ca/n1/pub/85-002-x/2019001/article/00013-eng.htm" TargetMode="External"/><Relationship Id="rId15" Type="http://schemas.openxmlformats.org/officeDocument/2006/relationships/hyperlink" Target="https://www150.statcan.gc.ca/n1/pub/82-003-x/2019001/article/00002-eng.htm" TargetMode="External"/><Relationship Id="rId2192" Type="http://schemas.openxmlformats.org/officeDocument/2006/relationships/hyperlink" Target="https://www150.statcan.gc.ca/n1/pub/11f0019m/11f0019m2015365-eng.htm" TargetMode="External"/><Relationship Id="rId164" Type="http://schemas.openxmlformats.org/officeDocument/2006/relationships/hyperlink" Target="https://www150.statcan.gc.ca/n1/pub/11f0019m/11f0019m2020007-eng.htm" TargetMode="External"/><Relationship Id="rId371" Type="http://schemas.openxmlformats.org/officeDocument/2006/relationships/hyperlink" Target="https://www150.statcan.gc.ca/n1/pub/11f0019m/11f0019m2018410-eng.htm" TargetMode="External"/><Relationship Id="rId2052" Type="http://schemas.openxmlformats.org/officeDocument/2006/relationships/hyperlink" Target="https://www150.statcan.gc.ca/n1/pub/75f0002m/75f0002m2020003-eng.htm" TargetMode="External"/><Relationship Id="rId2497" Type="http://schemas.openxmlformats.org/officeDocument/2006/relationships/hyperlink" Target="https://www150.statcan.gc.ca/n1/pub/11-633-x/11-633-x2018017-eng.htm" TargetMode="External"/><Relationship Id="rId469" Type="http://schemas.openxmlformats.org/officeDocument/2006/relationships/hyperlink" Target="https://www150.statcan.gc.ca/n1/pub/82-003-x/2015008/article/14216-eng.htm" TargetMode="External"/><Relationship Id="rId676" Type="http://schemas.openxmlformats.org/officeDocument/2006/relationships/hyperlink" Target="https://www150.statcan.gc.ca/n1/pub/75f0002m/75f0002m2020002-eng.htm" TargetMode="External"/><Relationship Id="rId883" Type="http://schemas.openxmlformats.org/officeDocument/2006/relationships/hyperlink" Target="https://www150.statcan.gc.ca/n1/pub/11f0019m/11f0019m2020017-eng.htm" TargetMode="External"/><Relationship Id="rId1099" Type="http://schemas.openxmlformats.org/officeDocument/2006/relationships/hyperlink" Target="https://www150.statcan.gc.ca/n1/pub/11-633-x/11-633-x2018014-eng.htm" TargetMode="External"/><Relationship Id="rId2357" Type="http://schemas.openxmlformats.org/officeDocument/2006/relationships/hyperlink" Target="https://www150.statcan.gc.ca/n1/pub/11f0019m/11f0019m2017397-eng.htm" TargetMode="External"/><Relationship Id="rId2564" Type="http://schemas.openxmlformats.org/officeDocument/2006/relationships/hyperlink" Target="https://www150.statcan.gc.ca/n1/pub/11f0019m/11f0019m2019001-eng.htm" TargetMode="External"/><Relationship Id="rId231" Type="http://schemas.openxmlformats.org/officeDocument/2006/relationships/hyperlink" Target="https://www150.statcan.gc.ca/n1/pub/11-626-x/11-626-x2017074-eng.htm" TargetMode="External"/><Relationship Id="rId329" Type="http://schemas.openxmlformats.org/officeDocument/2006/relationships/hyperlink" Target="https://www150.statcan.gc.ca/n1/pub/91-209-x/2018001/article/54958-eng.htm" TargetMode="External"/><Relationship Id="rId536" Type="http://schemas.openxmlformats.org/officeDocument/2006/relationships/hyperlink" Target="https://www150.statcan.gc.ca/n1/pub/89-652-x/89-652-x2015001-eng.htm" TargetMode="External"/><Relationship Id="rId1166" Type="http://schemas.openxmlformats.org/officeDocument/2006/relationships/hyperlink" Target="https://www150.statcan.gc.ca/n1/pub/11f0019m/11f0019m2019022-eng.htm" TargetMode="External"/><Relationship Id="rId1373" Type="http://schemas.openxmlformats.org/officeDocument/2006/relationships/hyperlink" Target="https://www150.statcan.gc.ca/n1/pub/11f0019m/11f0019m2020003-eng.htm" TargetMode="External"/><Relationship Id="rId2217" Type="http://schemas.openxmlformats.org/officeDocument/2006/relationships/hyperlink" Target="https://www150.statcan.gc.ca/n1/pub/11f0019m/11f0019m2020016-eng.htm" TargetMode="External"/><Relationship Id="rId2771" Type="http://schemas.openxmlformats.org/officeDocument/2006/relationships/hyperlink" Target="https://www150.statcan.gc.ca/n1/pub/85-002-x/2016001/article/14470-eng.htm" TargetMode="External"/><Relationship Id="rId743" Type="http://schemas.openxmlformats.org/officeDocument/2006/relationships/hyperlink" Target="https://www150.statcan.gc.ca/n1/pub/85-002-x/2020001/article/00003-eng.htm" TargetMode="External"/><Relationship Id="rId950" Type="http://schemas.openxmlformats.org/officeDocument/2006/relationships/hyperlink" Target="https://www150.statcan.gc.ca/n1/pub/11f0019m/11f0019m2020014-eng.htm" TargetMode="External"/><Relationship Id="rId1026" Type="http://schemas.openxmlformats.org/officeDocument/2006/relationships/hyperlink" Target="https://www150.statcan.gc.ca/n1/pub/82-003-x/2018012/article/00002-eng.htm" TargetMode="External"/><Relationship Id="rId1580" Type="http://schemas.openxmlformats.org/officeDocument/2006/relationships/hyperlink" Target="https://www150.statcan.gc.ca/n1/pub/89-503-x/2015001/article/14695-eng.htm" TargetMode="External"/><Relationship Id="rId1678" Type="http://schemas.openxmlformats.org/officeDocument/2006/relationships/hyperlink" Target="https://www150.statcan.gc.ca/n1/pub/11f0019m/11f0019m2015367-eng.htm" TargetMode="External"/><Relationship Id="rId1885" Type="http://schemas.openxmlformats.org/officeDocument/2006/relationships/hyperlink" Target="https://www150.statcan.gc.ca/n1/pub/11-633-x/11-633-x2019004-eng.htm" TargetMode="External"/><Relationship Id="rId2424" Type="http://schemas.openxmlformats.org/officeDocument/2006/relationships/hyperlink" Target="https://www150.statcan.gc.ca/n1/pub/11f0019m/11f0019m2020015-eng.htm" TargetMode="External"/><Relationship Id="rId2631" Type="http://schemas.openxmlformats.org/officeDocument/2006/relationships/hyperlink" Target="https://www150.statcan.gc.ca/n1/pub/89-652-x/89-652-x2015007-eng.htm" TargetMode="External"/><Relationship Id="rId2729" Type="http://schemas.openxmlformats.org/officeDocument/2006/relationships/hyperlink" Target="https://www150.statcan.gc.ca/n1/pub/82-003-x/2018007/article/00001-eng.htm" TargetMode="External"/><Relationship Id="rId603" Type="http://schemas.openxmlformats.org/officeDocument/2006/relationships/hyperlink" Target="https://www150.statcan.gc.ca/n1/pub/89-28-0001/2018001/article/00016-eng.htm" TargetMode="External"/><Relationship Id="rId810" Type="http://schemas.openxmlformats.org/officeDocument/2006/relationships/hyperlink" Target="https://www150.statcan.gc.ca/n1/pub/82-003-x/2015006/article/14195-eng.htm" TargetMode="External"/><Relationship Id="rId908" Type="http://schemas.openxmlformats.org/officeDocument/2006/relationships/hyperlink" Target="https://www150.statcan.gc.ca/n1/pub/11f0019m/11f0019m2018409-eng.htm" TargetMode="External"/><Relationship Id="rId1233" Type="http://schemas.openxmlformats.org/officeDocument/2006/relationships/hyperlink" Target="https://www150.statcan.gc.ca/n1/pub/85-002-x/2020001/article/00002-eng.htm" TargetMode="External"/><Relationship Id="rId1440" Type="http://schemas.openxmlformats.org/officeDocument/2006/relationships/hyperlink" Target="https://www150.statcan.gc.ca/n1/pub/11f0019m/11f0019m2019010-eng.htm" TargetMode="External"/><Relationship Id="rId1538" Type="http://schemas.openxmlformats.org/officeDocument/2006/relationships/hyperlink" Target="https://www150.statcan.gc.ca/n1/pub/82-003-x/2017007/article/14843-eng.htm" TargetMode="External"/><Relationship Id="rId1300" Type="http://schemas.openxmlformats.org/officeDocument/2006/relationships/hyperlink" Target="https://www150.statcan.gc.ca/n1/pub/75-006-x/2017001/article/54877-eng.htm" TargetMode="External"/><Relationship Id="rId1745" Type="http://schemas.openxmlformats.org/officeDocument/2006/relationships/hyperlink" Target="https://www150.statcan.gc.ca/n1/pub/75-006-x/2019001/article/00002-eng.htm" TargetMode="External"/><Relationship Id="rId1952" Type="http://schemas.openxmlformats.org/officeDocument/2006/relationships/hyperlink" Target="https://www150.statcan.gc.ca/n1/pub/85-002-x/2017001/article/54879-eng.htm" TargetMode="External"/><Relationship Id="rId37" Type="http://schemas.openxmlformats.org/officeDocument/2006/relationships/hyperlink" Target="https://www150.statcan.gc.ca/n1/pub/96-325-x/2017001/article/54873-eng.htm" TargetMode="External"/><Relationship Id="rId1605" Type="http://schemas.openxmlformats.org/officeDocument/2006/relationships/hyperlink" Target="https://www150.statcan.gc.ca/n1/pub/71-588-x/71-588-x2017001-eng.htm" TargetMode="External"/><Relationship Id="rId1812" Type="http://schemas.openxmlformats.org/officeDocument/2006/relationships/hyperlink" Target="https://www150.statcan.gc.ca/n1/pub/82-003-x/2018009/article/00002-eng.htm" TargetMode="External"/><Relationship Id="rId186" Type="http://schemas.openxmlformats.org/officeDocument/2006/relationships/hyperlink" Target="https://www150.statcan.gc.ca/n1/pub/18-001-x/18-001-x2019002-eng.htm" TargetMode="External"/><Relationship Id="rId393" Type="http://schemas.openxmlformats.org/officeDocument/2006/relationships/hyperlink" Target="https://www150.statcan.gc.ca/n1/pub/13-605-x/2018001/article/54964-eng.htm" TargetMode="External"/><Relationship Id="rId2074" Type="http://schemas.openxmlformats.org/officeDocument/2006/relationships/hyperlink" Target="https://www150.statcan.gc.ca/n1/pub/11f0019m/11f0019m2019021-eng.htm" TargetMode="External"/><Relationship Id="rId2281" Type="http://schemas.openxmlformats.org/officeDocument/2006/relationships/hyperlink" Target="https://www150.statcan.gc.ca/n1/pub/85-002-x/2016001/article/14303-eng.htm" TargetMode="External"/><Relationship Id="rId253" Type="http://schemas.openxmlformats.org/officeDocument/2006/relationships/hyperlink" Target="https://www150.statcan.gc.ca/n1/pub/91-209-x/2016001/article/14650-eng.htm" TargetMode="External"/><Relationship Id="rId460" Type="http://schemas.openxmlformats.org/officeDocument/2006/relationships/hyperlink" Target="https://www150.statcan.gc.ca/n1/pub/85-603-x/85-603-x2019002-eng.htm" TargetMode="External"/><Relationship Id="rId698" Type="http://schemas.openxmlformats.org/officeDocument/2006/relationships/hyperlink" Target="https://www150.statcan.gc.ca/n1/pub/89-648-x/89-648-x2020002-eng.htm" TargetMode="External"/><Relationship Id="rId1090" Type="http://schemas.openxmlformats.org/officeDocument/2006/relationships/hyperlink" Target="https://www150.statcan.gc.ca/n1/pub/75-006-x/2016001/article/14651-eng.htm" TargetMode="External"/><Relationship Id="rId2141" Type="http://schemas.openxmlformats.org/officeDocument/2006/relationships/hyperlink" Target="https://www150.statcan.gc.ca/n1/pub/11-633-x/11-633-x2021001-eng.htm" TargetMode="External"/><Relationship Id="rId2379" Type="http://schemas.openxmlformats.org/officeDocument/2006/relationships/hyperlink" Target="https://www150.statcan.gc.ca/n1/pub/75f0002m/75f0002m2019001-eng.htm" TargetMode="External"/><Relationship Id="rId2586" Type="http://schemas.openxmlformats.org/officeDocument/2006/relationships/hyperlink" Target="https://www150.statcan.gc.ca/n1/pub/85-002-x/2015001/article/14203-eng.htm" TargetMode="External"/><Relationship Id="rId2793" Type="http://schemas.openxmlformats.org/officeDocument/2006/relationships/hyperlink" Target="https://www150.statcan.gc.ca/n1/pub/11-626-x/11-626-x2015046-eng.htm" TargetMode="External"/><Relationship Id="rId113" Type="http://schemas.openxmlformats.org/officeDocument/2006/relationships/hyperlink" Target="https://www150.statcan.gc.ca/n1/pub/16-002-x/2015002/article/14133-eng.htm" TargetMode="External"/><Relationship Id="rId320" Type="http://schemas.openxmlformats.org/officeDocument/2006/relationships/hyperlink" Target="https://www150.statcan.gc.ca/n1/pub/75-006-x/2015001/article/14167-eng.htm" TargetMode="External"/><Relationship Id="rId558" Type="http://schemas.openxmlformats.org/officeDocument/2006/relationships/hyperlink" Target="https://www150.statcan.gc.ca/n1/pub/82-003-x/2017001/article/14696-eng.htm" TargetMode="External"/><Relationship Id="rId765" Type="http://schemas.openxmlformats.org/officeDocument/2006/relationships/hyperlink" Target="https://www150.statcan.gc.ca/n1/pub/89-503-x/2015001/article/14315-eng.htm" TargetMode="External"/><Relationship Id="rId972" Type="http://schemas.openxmlformats.org/officeDocument/2006/relationships/hyperlink" Target="https://www150.statcan.gc.ca/n1/pub/13-605-x/2019001/article/00009-eng.htm" TargetMode="External"/><Relationship Id="rId1188" Type="http://schemas.openxmlformats.org/officeDocument/2006/relationships/hyperlink" Target="https://www150.statcan.gc.ca/n1/pub/13-605-x/2015011/article/14298-eng.htm" TargetMode="External"/><Relationship Id="rId1395" Type="http://schemas.openxmlformats.org/officeDocument/2006/relationships/hyperlink" Target="https://www150.statcan.gc.ca/n1/pub/85-002-x/2020001/article/00011-eng.htm" TargetMode="External"/><Relationship Id="rId2001" Type="http://schemas.openxmlformats.org/officeDocument/2006/relationships/hyperlink" Target="https://www150.statcan.gc.ca/n1/pub/85-002-x/2016001/article/14642-eng.htm" TargetMode="External"/><Relationship Id="rId2239" Type="http://schemas.openxmlformats.org/officeDocument/2006/relationships/hyperlink" Target="https://www150.statcan.gc.ca/n1/pub/82-003-x/2016001/article/14305-eng.htm" TargetMode="External"/><Relationship Id="rId2446" Type="http://schemas.openxmlformats.org/officeDocument/2006/relationships/hyperlink" Target="https://www150.statcan.gc.ca/n1/pub/11f0019m/11f0019m2019004-eng.htm" TargetMode="External"/><Relationship Id="rId2653" Type="http://schemas.openxmlformats.org/officeDocument/2006/relationships/hyperlink" Target="https://www150.statcan.gc.ca/n1/pub/89-654-x/89-654-x2019001-eng.htm" TargetMode="External"/><Relationship Id="rId418" Type="http://schemas.openxmlformats.org/officeDocument/2006/relationships/hyperlink" Target="https://www150.statcan.gc.ca/n1/pub/75-006-x/2016001/article/14692-eng.htm" TargetMode="External"/><Relationship Id="rId625" Type="http://schemas.openxmlformats.org/officeDocument/2006/relationships/hyperlink" Target="https://www150.statcan.gc.ca/n1/pub/89-654-x/89-654-x2018002-eng.htm" TargetMode="External"/><Relationship Id="rId832" Type="http://schemas.openxmlformats.org/officeDocument/2006/relationships/hyperlink" Target="https://www150.statcan.gc.ca/n1/pub/85-002-x/2020001/article/00007-eng.htm" TargetMode="External"/><Relationship Id="rId1048" Type="http://schemas.openxmlformats.org/officeDocument/2006/relationships/hyperlink" Target="https://www150.statcan.gc.ca/n1/pub/11-626-x/11-626-x2017069-eng.htm" TargetMode="External"/><Relationship Id="rId1255" Type="http://schemas.openxmlformats.org/officeDocument/2006/relationships/hyperlink" Target="https://www150.statcan.gc.ca/n1/pub/85-002-x/2017001/article/54842-eng.htm" TargetMode="External"/><Relationship Id="rId1462" Type="http://schemas.openxmlformats.org/officeDocument/2006/relationships/hyperlink" Target="https://www150.statcan.gc.ca/n1/pub/82-003-x/2019012/article/00003-eng.htm" TargetMode="External"/><Relationship Id="rId2306" Type="http://schemas.openxmlformats.org/officeDocument/2006/relationships/hyperlink" Target="https://www150.statcan.gc.ca/n1/pub/89-503-x/2015001/article/14640-eng.htm" TargetMode="External"/><Relationship Id="rId2513" Type="http://schemas.openxmlformats.org/officeDocument/2006/relationships/hyperlink" Target="https://www150.statcan.gc.ca/n1/pub/82-003-x/2018003/article/54921-eng.htm" TargetMode="External"/><Relationship Id="rId1115" Type="http://schemas.openxmlformats.org/officeDocument/2006/relationships/hyperlink" Target="https://www150.statcan.gc.ca/n1/pub/11-633-x/11-633-x2018016-eng.htm" TargetMode="External"/><Relationship Id="rId1322" Type="http://schemas.openxmlformats.org/officeDocument/2006/relationships/hyperlink" Target="https://www150.statcan.gc.ca/n1/pub/13-605-x/2018001/article/54961-eng.htm" TargetMode="External"/><Relationship Id="rId1767" Type="http://schemas.openxmlformats.org/officeDocument/2006/relationships/hyperlink" Target="https://www150.statcan.gc.ca/n1/pub/89-657-x/89-657-x2019010-eng.htm" TargetMode="External"/><Relationship Id="rId1974" Type="http://schemas.openxmlformats.org/officeDocument/2006/relationships/hyperlink" Target="https://www150.statcan.gc.ca/n1/pub/11f0019m/11f0019m2015368-eng.htm" TargetMode="External"/><Relationship Id="rId2720" Type="http://schemas.openxmlformats.org/officeDocument/2006/relationships/hyperlink" Target="https://www150.statcan.gc.ca/n1/pub/11-626-x/11-626-x2019004-eng.htm" TargetMode="External"/><Relationship Id="rId2818" Type="http://schemas.openxmlformats.org/officeDocument/2006/relationships/hyperlink" Target="https://www150.statcan.gc.ca/n1/pub/85-002-x/2018001/article/54981-eng.htm" TargetMode="External"/><Relationship Id="rId59" Type="http://schemas.openxmlformats.org/officeDocument/2006/relationships/hyperlink" Target="https://www150.statcan.gc.ca/n1/pub/89-657-x/89-657-x2017003-eng.htm" TargetMode="External"/><Relationship Id="rId1627" Type="http://schemas.openxmlformats.org/officeDocument/2006/relationships/hyperlink" Target="https://www150.statcan.gc.ca/n1/pub/89-503-x/2015001/article/14316-eng.htm" TargetMode="External"/><Relationship Id="rId1834" Type="http://schemas.openxmlformats.org/officeDocument/2006/relationships/hyperlink" Target="https://www150.statcan.gc.ca/n1/pub/11-626-x/11-626-x2018082-eng.htm" TargetMode="External"/><Relationship Id="rId2096" Type="http://schemas.openxmlformats.org/officeDocument/2006/relationships/hyperlink" Target="https://www150.statcan.gc.ca/n1/pub/89-503-x/2015001/article/14235-eng.htm" TargetMode="External"/><Relationship Id="rId1901" Type="http://schemas.openxmlformats.org/officeDocument/2006/relationships/hyperlink" Target="https://www150.statcan.gc.ca/n1/pub/89-503-x/2015001/article/14313-eng.htm" TargetMode="External"/><Relationship Id="rId275" Type="http://schemas.openxmlformats.org/officeDocument/2006/relationships/hyperlink" Target="https://www150.statcan.gc.ca/n1/pub/85-002-x/2015001/article/14146-eng.htm" TargetMode="External"/><Relationship Id="rId482" Type="http://schemas.openxmlformats.org/officeDocument/2006/relationships/hyperlink" Target="https://www150.statcan.gc.ca/n1/pub/82-003-x/2015004/article/14158-eng.htm" TargetMode="External"/><Relationship Id="rId2163" Type="http://schemas.openxmlformats.org/officeDocument/2006/relationships/hyperlink" Target="https://www150.statcan.gc.ca/n1/pub/75f0002m/75f0002m2019007-eng.htm" TargetMode="External"/><Relationship Id="rId2370" Type="http://schemas.openxmlformats.org/officeDocument/2006/relationships/hyperlink" Target="https://www150.statcan.gc.ca/n1/pub/82-003-x/2015002/article/14140-eng.htm" TargetMode="External"/><Relationship Id="rId135" Type="http://schemas.openxmlformats.org/officeDocument/2006/relationships/hyperlink" Target="https://www150.statcan.gc.ca/n1/pub/11f0019m/11f0019m2020019-eng.htm" TargetMode="External"/><Relationship Id="rId342" Type="http://schemas.openxmlformats.org/officeDocument/2006/relationships/hyperlink" Target="https://www150.statcan.gc.ca/n1/pub/89-503-x/2015001/article/14785-eng.htm" TargetMode="External"/><Relationship Id="rId787" Type="http://schemas.openxmlformats.org/officeDocument/2006/relationships/hyperlink" Target="https://www150.statcan.gc.ca/n1/pub/89-503-x/2015001/article/14152-eng.htm" TargetMode="External"/><Relationship Id="rId994" Type="http://schemas.openxmlformats.org/officeDocument/2006/relationships/hyperlink" Target="https://www150.statcan.gc.ca/n1/pub/11f0019m/11f0019m2017394-eng.htm" TargetMode="External"/><Relationship Id="rId2023" Type="http://schemas.openxmlformats.org/officeDocument/2006/relationships/hyperlink" Target="https://www150.statcan.gc.ca/n1/pub/82-003-x/2020003/article/00001-eng.htm" TargetMode="External"/><Relationship Id="rId2230" Type="http://schemas.openxmlformats.org/officeDocument/2006/relationships/hyperlink" Target="https://www150.statcan.gc.ca/n1/pub/85-002-x/2018001/article/54910-eng.htm" TargetMode="External"/><Relationship Id="rId2468" Type="http://schemas.openxmlformats.org/officeDocument/2006/relationships/hyperlink" Target="https://www150.statcan.gc.ca/n1/pub/85-002-x/2020001/article/00005-eng.htm" TargetMode="External"/><Relationship Id="rId2675" Type="http://schemas.openxmlformats.org/officeDocument/2006/relationships/hyperlink" Target="https://www150.statcan.gc.ca/n1/pub/85-002-x/2015001/article/14241-eng.htm" TargetMode="External"/><Relationship Id="rId202" Type="http://schemas.openxmlformats.org/officeDocument/2006/relationships/hyperlink" Target="https://www150.statcan.gc.ca/n1/pub/18-001-x/18-001-x2019002-eng.htm" TargetMode="External"/><Relationship Id="rId647" Type="http://schemas.openxmlformats.org/officeDocument/2006/relationships/hyperlink" Target="https://www150.statcan.gc.ca/n1/pub/82-003-x/2016003/article/14339-eng.htm" TargetMode="External"/><Relationship Id="rId854" Type="http://schemas.openxmlformats.org/officeDocument/2006/relationships/hyperlink" Target="https://www150.statcan.gc.ca/n1/pub/89-657-x/89-657-x2019007-eng.htm" TargetMode="External"/><Relationship Id="rId1277" Type="http://schemas.openxmlformats.org/officeDocument/2006/relationships/hyperlink" Target="https://www150.statcan.gc.ca/n1/pub/11f0019m/11f0019m2016386-eng.htm" TargetMode="External"/><Relationship Id="rId1484" Type="http://schemas.openxmlformats.org/officeDocument/2006/relationships/hyperlink" Target="https://www150.statcan.gc.ca/n1/pub/85-002-x/2020001/article/00012-eng.htm" TargetMode="External"/><Relationship Id="rId1691" Type="http://schemas.openxmlformats.org/officeDocument/2006/relationships/hyperlink" Target="https://www150.statcan.gc.ca/n1/pub/89-503-x/2015001/article/14694-eng.htm" TargetMode="External"/><Relationship Id="rId2328" Type="http://schemas.openxmlformats.org/officeDocument/2006/relationships/hyperlink" Target="https://www150.statcan.gc.ca/n1/pub/85-002-x/2020001/article/00008-eng.htm" TargetMode="External"/><Relationship Id="rId2535" Type="http://schemas.openxmlformats.org/officeDocument/2006/relationships/hyperlink" Target="https://www150.statcan.gc.ca/n1/pub/89-653-x/89-653-x2016010-eng.htm" TargetMode="External"/><Relationship Id="rId2742" Type="http://schemas.openxmlformats.org/officeDocument/2006/relationships/hyperlink" Target="https://www150.statcan.gc.ca/n1/pub/89-503-x/2015001/article/14680-eng.htm" TargetMode="External"/><Relationship Id="rId507" Type="http://schemas.openxmlformats.org/officeDocument/2006/relationships/hyperlink" Target="https://www150.statcan.gc.ca/n1/pub/82-003-x/2019008/article/00002-eng.htm" TargetMode="External"/><Relationship Id="rId714" Type="http://schemas.openxmlformats.org/officeDocument/2006/relationships/hyperlink" Target="https://www150.statcan.gc.ca/n1/pub/89-503-x/2015001/article/14217-eng.htm" TargetMode="External"/><Relationship Id="rId921" Type="http://schemas.openxmlformats.org/officeDocument/2006/relationships/hyperlink" Target="https://www150.statcan.gc.ca/n1/pub/85-002-x/2019001/article/00017-eng.htm" TargetMode="External"/><Relationship Id="rId1137" Type="http://schemas.openxmlformats.org/officeDocument/2006/relationships/hyperlink" Target="https://www150.statcan.gc.ca/n1/pub/75-006-x/2019001/article/00009-eng.htm" TargetMode="External"/><Relationship Id="rId1344" Type="http://schemas.openxmlformats.org/officeDocument/2006/relationships/hyperlink" Target="https://www150.statcan.gc.ca/n1/pub/85-002-x/2020001/article/00010-eng.htm" TargetMode="External"/><Relationship Id="rId1551" Type="http://schemas.openxmlformats.org/officeDocument/2006/relationships/hyperlink" Target="https://www150.statcan.gc.ca/n1/pub/82-003-x/2017004/article/14788-eng.htm" TargetMode="External"/><Relationship Id="rId1789" Type="http://schemas.openxmlformats.org/officeDocument/2006/relationships/hyperlink" Target="https://www150.statcan.gc.ca/n1/pub/85-002-x/2016001/article/14631-eng.htm" TargetMode="External"/><Relationship Id="rId1996" Type="http://schemas.openxmlformats.org/officeDocument/2006/relationships/hyperlink" Target="https://www150.statcan.gc.ca/n1/pub/85-002-x/2016001/article/14642-eng.htm" TargetMode="External"/><Relationship Id="rId2602" Type="http://schemas.openxmlformats.org/officeDocument/2006/relationships/hyperlink" Target="https://www150.statcan.gc.ca/n1/pub/82-003-x/2017005/article/14790-eng.htm" TargetMode="External"/><Relationship Id="rId50" Type="http://schemas.openxmlformats.org/officeDocument/2006/relationships/hyperlink" Target="https://www150.statcan.gc.ca/n1/pub/89-657-x/89-657-x2017003-eng.htm" TargetMode="External"/><Relationship Id="rId1204" Type="http://schemas.openxmlformats.org/officeDocument/2006/relationships/hyperlink" Target="https://www150.statcan.gc.ca/n1/pub/91-551-x/91-551-x2017001-eng.htm" TargetMode="External"/><Relationship Id="rId1411" Type="http://schemas.openxmlformats.org/officeDocument/2006/relationships/hyperlink" Target="https://www150.statcan.gc.ca/n1/pub/85-002-x/2017001/article/14700-eng.htm" TargetMode="External"/><Relationship Id="rId1649" Type="http://schemas.openxmlformats.org/officeDocument/2006/relationships/hyperlink" Target="https://www150.statcan.gc.ca/n1/pub/11f0019m/11f0019m2019016-eng.htm" TargetMode="External"/><Relationship Id="rId1856" Type="http://schemas.openxmlformats.org/officeDocument/2006/relationships/hyperlink" Target="https://www150.statcan.gc.ca/n1/pub/82-003-x/2020005/article/00002-eng.htm" TargetMode="External"/><Relationship Id="rId1509" Type="http://schemas.openxmlformats.org/officeDocument/2006/relationships/hyperlink" Target="https://www150.statcan.gc.ca/n1/pub/85-002-x/2017001/article/14842-eng.htm" TargetMode="External"/><Relationship Id="rId1716" Type="http://schemas.openxmlformats.org/officeDocument/2006/relationships/hyperlink" Target="https://www150.statcan.gc.ca/n1/pub/89-653-x/89-653-x2015006-eng.htm" TargetMode="External"/><Relationship Id="rId1923" Type="http://schemas.openxmlformats.org/officeDocument/2006/relationships/hyperlink" Target="https://www150.statcan.gc.ca/n1/pub/85-002-x/2019001/article/00013-eng.htm" TargetMode="External"/><Relationship Id="rId297" Type="http://schemas.openxmlformats.org/officeDocument/2006/relationships/hyperlink" Target="https://www150.statcan.gc.ca/n1/pub/82-003-x/2015002/article/14139-eng.htm" TargetMode="External"/><Relationship Id="rId2185" Type="http://schemas.openxmlformats.org/officeDocument/2006/relationships/hyperlink" Target="https://www150.statcan.gc.ca/n1/pub/89-653-x/89-653-x2019003-eng.htm" TargetMode="External"/><Relationship Id="rId2392" Type="http://schemas.openxmlformats.org/officeDocument/2006/relationships/hyperlink" Target="https://www150.statcan.gc.ca/n1/pub/75-006-x/2020001/article/00006-eng.htm" TargetMode="External"/><Relationship Id="rId157" Type="http://schemas.openxmlformats.org/officeDocument/2006/relationships/hyperlink" Target="https://www150.statcan.gc.ca/n1/pub/11f0019m/11f0019m2020006-eng.htm" TargetMode="External"/><Relationship Id="rId364" Type="http://schemas.openxmlformats.org/officeDocument/2006/relationships/hyperlink" Target="https://www150.statcan.gc.ca/n1/pub/82-003-x/2019012/article/00001-eng.htm" TargetMode="External"/><Relationship Id="rId2045" Type="http://schemas.openxmlformats.org/officeDocument/2006/relationships/hyperlink" Target="https://www150.statcan.gc.ca/n1/pub/11f0019m/11f0019m2020012-eng.htm" TargetMode="External"/><Relationship Id="rId2697" Type="http://schemas.openxmlformats.org/officeDocument/2006/relationships/hyperlink" Target="https://www150.statcan.gc.ca/n1/pub/11f0019m/11f0019m2018412-eng.htm" TargetMode="External"/><Relationship Id="rId571" Type="http://schemas.openxmlformats.org/officeDocument/2006/relationships/hyperlink" Target="https://www150.statcan.gc.ca/n1/pub/11f0019m/11f0019m2016375-eng.htm" TargetMode="External"/><Relationship Id="rId669" Type="http://schemas.openxmlformats.org/officeDocument/2006/relationships/hyperlink" Target="https://www150.statcan.gc.ca/n1/pub/11f0019m/11f0019m2017395-eng.htm" TargetMode="External"/><Relationship Id="rId876" Type="http://schemas.openxmlformats.org/officeDocument/2006/relationships/hyperlink" Target="https://www150.statcan.gc.ca/n1/pub/11-633-x/11-633-x2020001-eng.htm" TargetMode="External"/><Relationship Id="rId1299" Type="http://schemas.openxmlformats.org/officeDocument/2006/relationships/hyperlink" Target="https://www150.statcan.gc.ca/n1/pub/11-633-x/11-633-x2016004-eng.htm" TargetMode="External"/><Relationship Id="rId2252" Type="http://schemas.openxmlformats.org/officeDocument/2006/relationships/hyperlink" Target="https://www150.statcan.gc.ca/n1/pub/85-002-x/2016001/article/14303-eng.htm" TargetMode="External"/><Relationship Id="rId2557" Type="http://schemas.openxmlformats.org/officeDocument/2006/relationships/hyperlink" Target="https://www150.statcan.gc.ca/n1/pub/75-006-x/2015001/article/14232-eng.htm" TargetMode="External"/><Relationship Id="rId224" Type="http://schemas.openxmlformats.org/officeDocument/2006/relationships/hyperlink" Target="https://www150.statcan.gc.ca/n1/pub/82-003-x/2016004/article/14490-eng.htm" TargetMode="External"/><Relationship Id="rId431" Type="http://schemas.openxmlformats.org/officeDocument/2006/relationships/hyperlink" Target="https://www150.statcan.gc.ca/n1/pub/89-657-x/89-657-x2016002-eng.htm" TargetMode="External"/><Relationship Id="rId529" Type="http://schemas.openxmlformats.org/officeDocument/2006/relationships/hyperlink" Target="https://www150.statcan.gc.ca/n1/pub/82-003-x/2017011/article/54885-eng.htm" TargetMode="External"/><Relationship Id="rId736" Type="http://schemas.openxmlformats.org/officeDocument/2006/relationships/hyperlink" Target="https://www150.statcan.gc.ca/n1/pub/82-003-x/2020006/article/00001-eng.htm" TargetMode="External"/><Relationship Id="rId1061" Type="http://schemas.openxmlformats.org/officeDocument/2006/relationships/hyperlink" Target="https://www150.statcan.gc.ca/n1/pub/85-002-x/2020001/article/00009-eng.htm" TargetMode="External"/><Relationship Id="rId1159" Type="http://schemas.openxmlformats.org/officeDocument/2006/relationships/hyperlink" Target="https://www150.statcan.gc.ca/n1/pub/89-652-x/89-652-x2015002-eng.htm" TargetMode="External"/><Relationship Id="rId1366" Type="http://schemas.openxmlformats.org/officeDocument/2006/relationships/hyperlink" Target="https://www150.statcan.gc.ca/n1/pub/11f0019m/11f0019m2020003-eng.htm" TargetMode="External"/><Relationship Id="rId2112" Type="http://schemas.openxmlformats.org/officeDocument/2006/relationships/hyperlink" Target="https://www150.statcan.gc.ca/n1/pub/85-002-x/2016001/article/14323-eng.htm" TargetMode="External"/><Relationship Id="rId2417" Type="http://schemas.openxmlformats.org/officeDocument/2006/relationships/hyperlink" Target="https://www150.statcan.gc.ca/n1/pub/91-209-x/2017001/article/14793-eng.htm" TargetMode="External"/><Relationship Id="rId2764" Type="http://schemas.openxmlformats.org/officeDocument/2006/relationships/hyperlink" Target="https://www150.statcan.gc.ca/n1/pub/85-002-x/2016001/article/14470-eng.htm" TargetMode="External"/><Relationship Id="rId943" Type="http://schemas.openxmlformats.org/officeDocument/2006/relationships/hyperlink" Target="https://www150.statcan.gc.ca/n1/pub/75-006-x/2019001/article/00017-eng.htm" TargetMode="External"/><Relationship Id="rId1019" Type="http://schemas.openxmlformats.org/officeDocument/2006/relationships/hyperlink" Target="https://www150.statcan.gc.ca/n1/pub/85-002-x/2019001/article/00015-eng.htm" TargetMode="External"/><Relationship Id="rId1573" Type="http://schemas.openxmlformats.org/officeDocument/2006/relationships/hyperlink" Target="https://www150.statcan.gc.ca/n1/pub/89-503-x/2015001/article/14695-eng.htm" TargetMode="External"/><Relationship Id="rId1780" Type="http://schemas.openxmlformats.org/officeDocument/2006/relationships/hyperlink" Target="https://www150.statcan.gc.ca/n1/pub/85-002-x/2017001/article/54866-eng.htm" TargetMode="External"/><Relationship Id="rId1878" Type="http://schemas.openxmlformats.org/officeDocument/2006/relationships/hyperlink" Target="https://www150.statcan.gc.ca/n1/pub/11-621-m/11-621-m2015097-eng.htm" TargetMode="External"/><Relationship Id="rId2624" Type="http://schemas.openxmlformats.org/officeDocument/2006/relationships/hyperlink" Target="https://www150.statcan.gc.ca/n1/pub/89-652-x/89-652-x2015007-eng.htm" TargetMode="External"/><Relationship Id="rId72" Type="http://schemas.openxmlformats.org/officeDocument/2006/relationships/hyperlink" Target="https://www150.statcan.gc.ca/n1/pub/89-657-x/89-657-x2017004-eng.htm" TargetMode="External"/><Relationship Id="rId803" Type="http://schemas.openxmlformats.org/officeDocument/2006/relationships/hyperlink" Target="https://www150.statcan.gc.ca/n1/pub/82-003-x/2018006/article/54971-eng.htm" TargetMode="External"/><Relationship Id="rId1226" Type="http://schemas.openxmlformats.org/officeDocument/2006/relationships/hyperlink" Target="https://www150.statcan.gc.ca/n1/pub/85-002-x/2017001/article/14777-eng.htm" TargetMode="External"/><Relationship Id="rId1433" Type="http://schemas.openxmlformats.org/officeDocument/2006/relationships/hyperlink" Target="https://www150.statcan.gc.ca/n1/pub/11f0019m/11f0019m2019010-eng.htm" TargetMode="External"/><Relationship Id="rId1640" Type="http://schemas.openxmlformats.org/officeDocument/2006/relationships/hyperlink" Target="https://www150.statcan.gc.ca/n1/pub/89-652-x/89-652-x2017001-eng.htm" TargetMode="External"/><Relationship Id="rId1738" Type="http://schemas.openxmlformats.org/officeDocument/2006/relationships/hyperlink" Target="https://www150.statcan.gc.ca/n1/pub/11f0019m/11f0019m2018408-eng.htm" TargetMode="External"/><Relationship Id="rId1500" Type="http://schemas.openxmlformats.org/officeDocument/2006/relationships/hyperlink" Target="https://www150.statcan.gc.ca/n1/pub/11-633-x/11-633-x2019002-eng.htm" TargetMode="External"/><Relationship Id="rId1945" Type="http://schemas.openxmlformats.org/officeDocument/2006/relationships/hyperlink" Target="https://www150.statcan.gc.ca/n1/pub/85-002-x/2019001/article/00016-eng.htm" TargetMode="External"/><Relationship Id="rId1805" Type="http://schemas.openxmlformats.org/officeDocument/2006/relationships/hyperlink" Target="https://www150.statcan.gc.ca/n1/pub/75-004-m/75-004-m2016001-eng.htm" TargetMode="External"/><Relationship Id="rId179" Type="http://schemas.openxmlformats.org/officeDocument/2006/relationships/hyperlink" Target="https://www150.statcan.gc.ca/n1/pub/11f0019m/11f0019m2020002-eng.htm" TargetMode="External"/><Relationship Id="rId386" Type="http://schemas.openxmlformats.org/officeDocument/2006/relationships/hyperlink" Target="https://www150.statcan.gc.ca/n1/pub/89-654-x/89-654-x2015001-eng.htm" TargetMode="External"/><Relationship Id="rId593" Type="http://schemas.openxmlformats.org/officeDocument/2006/relationships/hyperlink" Target="https://www150.statcan.gc.ca/n1/pub/11f0019m/11f0019m2016375-eng.htm" TargetMode="External"/><Relationship Id="rId2067" Type="http://schemas.openxmlformats.org/officeDocument/2006/relationships/hyperlink" Target="https://www150.statcan.gc.ca/n1/pub/85-002-x/2019001/article/00001-eng.htm" TargetMode="External"/><Relationship Id="rId2274" Type="http://schemas.openxmlformats.org/officeDocument/2006/relationships/hyperlink" Target="https://www150.statcan.gc.ca/n1/pub/85-002-x/2016001/article/14303-eng.htm" TargetMode="External"/><Relationship Id="rId2481" Type="http://schemas.openxmlformats.org/officeDocument/2006/relationships/hyperlink" Target="https://www150.statcan.gc.ca/n1/pub/13-605-x/2019001/article/00001-eng.htm" TargetMode="External"/><Relationship Id="rId246" Type="http://schemas.openxmlformats.org/officeDocument/2006/relationships/hyperlink" Target="https://www150.statcan.gc.ca/n1/pub/75-006-x/2019001/article/00001-eng.htm" TargetMode="External"/><Relationship Id="rId453" Type="http://schemas.openxmlformats.org/officeDocument/2006/relationships/hyperlink" Target="https://www150.statcan.gc.ca/n1/pub/85-603-x/85-603-x2019002-eng.htm" TargetMode="External"/><Relationship Id="rId660" Type="http://schemas.openxmlformats.org/officeDocument/2006/relationships/hyperlink" Target="https://www150.statcan.gc.ca/n1/pub/89-657-x/89-657-x2019011-eng.htm" TargetMode="External"/><Relationship Id="rId898" Type="http://schemas.openxmlformats.org/officeDocument/2006/relationships/hyperlink" Target="https://www150.statcan.gc.ca/n1/pub/75-006-x/2016001/article/14669-eng.htm" TargetMode="External"/><Relationship Id="rId1083" Type="http://schemas.openxmlformats.org/officeDocument/2006/relationships/hyperlink" Target="https://www150.statcan.gc.ca/n1/pub/75-006-x/2018001/article/54917-eng.htm" TargetMode="External"/><Relationship Id="rId1290" Type="http://schemas.openxmlformats.org/officeDocument/2006/relationships/hyperlink" Target="https://www150.statcan.gc.ca/n1/pub/89-652-x/89-652-x2015003-eng.htm" TargetMode="External"/><Relationship Id="rId2134" Type="http://schemas.openxmlformats.org/officeDocument/2006/relationships/hyperlink" Target="https://www150.statcan.gc.ca/n1/pub/11-633-x/11-633-x2021001-eng.htm" TargetMode="External"/><Relationship Id="rId2341" Type="http://schemas.openxmlformats.org/officeDocument/2006/relationships/hyperlink" Target="https://www150.statcan.gc.ca/n1/pub/11f0019m/11f0019m2019002-eng.htm" TargetMode="External"/><Relationship Id="rId2579" Type="http://schemas.openxmlformats.org/officeDocument/2006/relationships/hyperlink" Target="https://www150.statcan.gc.ca/n1/pub/75-006-x/2019001/article/00006-eng.htm" TargetMode="External"/><Relationship Id="rId2786" Type="http://schemas.openxmlformats.org/officeDocument/2006/relationships/hyperlink" Target="https://www150.statcan.gc.ca/n1/pub/89-657-x/89-657-x2019002-eng.htm" TargetMode="External"/><Relationship Id="rId106" Type="http://schemas.openxmlformats.org/officeDocument/2006/relationships/hyperlink" Target="https://www150.statcan.gc.ca/n1/pub/89-657-x/89-657-x2017006-eng.htm" TargetMode="External"/><Relationship Id="rId313" Type="http://schemas.openxmlformats.org/officeDocument/2006/relationships/hyperlink" Target="https://www150.statcan.gc.ca/n1/pub/82-003-x/2016012/article/14687-eng.htm" TargetMode="External"/><Relationship Id="rId758" Type="http://schemas.openxmlformats.org/officeDocument/2006/relationships/hyperlink" Target="https://www150.statcan.gc.ca/n1/pub/89-503-x/2015001/article/14315-eng.htm" TargetMode="External"/><Relationship Id="rId965" Type="http://schemas.openxmlformats.org/officeDocument/2006/relationships/hyperlink" Target="https://www150.statcan.gc.ca/n1/pub/82-003-x/2020001/article/00002-eng.htm" TargetMode="External"/><Relationship Id="rId1150" Type="http://schemas.openxmlformats.org/officeDocument/2006/relationships/hyperlink" Target="https://www150.statcan.gc.ca/n1/pub/89-652-x/89-652-x2015002-eng.htm" TargetMode="External"/><Relationship Id="rId1388" Type="http://schemas.openxmlformats.org/officeDocument/2006/relationships/hyperlink" Target="https://www150.statcan.gc.ca/n1/pub/15-206-x/15-206-x2015039-eng.htm" TargetMode="External"/><Relationship Id="rId1595" Type="http://schemas.openxmlformats.org/officeDocument/2006/relationships/hyperlink" Target="https://www150.statcan.gc.ca/n1/pub/81-595-m/81-595-m2020001-eng.htm" TargetMode="External"/><Relationship Id="rId2439" Type="http://schemas.openxmlformats.org/officeDocument/2006/relationships/hyperlink" Target="https://www150.statcan.gc.ca/n1/pub/11-621-m/11-621-m2019005-eng.htm" TargetMode="External"/><Relationship Id="rId2646" Type="http://schemas.openxmlformats.org/officeDocument/2006/relationships/hyperlink" Target="https://www150.statcan.gc.ca/n1/pub/82-003-x/2020007/article/00002-eng.htm" TargetMode="External"/><Relationship Id="rId94" Type="http://schemas.openxmlformats.org/officeDocument/2006/relationships/hyperlink" Target="https://www150.statcan.gc.ca/n1/pub/89-657-x/89-657-x2017005-eng.htm" TargetMode="External"/><Relationship Id="rId520" Type="http://schemas.openxmlformats.org/officeDocument/2006/relationships/hyperlink" Target="https://www150.statcan.gc.ca/n1/pub/85-002-x/2018001/article/54977-eng.htm" TargetMode="External"/><Relationship Id="rId618" Type="http://schemas.openxmlformats.org/officeDocument/2006/relationships/hyperlink" Target="https://www150.statcan.gc.ca/n1/pub/89-654-x/89-654-x2018002-eng.htm" TargetMode="External"/><Relationship Id="rId825" Type="http://schemas.openxmlformats.org/officeDocument/2006/relationships/hyperlink" Target="https://www150.statcan.gc.ca/n1/pub/89-653-x/89-653-x2015007-eng.htm" TargetMode="External"/><Relationship Id="rId1248" Type="http://schemas.openxmlformats.org/officeDocument/2006/relationships/hyperlink" Target="https://www150.statcan.gc.ca/n1/pub/85-002-x/2017001/article/54842-eng.htm" TargetMode="External"/><Relationship Id="rId1455" Type="http://schemas.openxmlformats.org/officeDocument/2006/relationships/hyperlink" Target="https://www150.statcan.gc.ca/n1/pub/85-002-x/2017001/article/54889-eng.htm" TargetMode="External"/><Relationship Id="rId1662" Type="http://schemas.openxmlformats.org/officeDocument/2006/relationships/hyperlink" Target="https://www150.statcan.gc.ca/n1/pub/85-002-x/2018001/article/54980-eng.htm" TargetMode="External"/><Relationship Id="rId2201" Type="http://schemas.openxmlformats.org/officeDocument/2006/relationships/hyperlink" Target="https://www150.statcan.gc.ca/n1/pub/11f0019m/11f0019m2018406-eng.htm" TargetMode="External"/><Relationship Id="rId2506" Type="http://schemas.openxmlformats.org/officeDocument/2006/relationships/hyperlink" Target="https://www150.statcan.gc.ca/n1/pub/75-006-x/2018001/article/54973-eng.htm" TargetMode="External"/><Relationship Id="rId1010" Type="http://schemas.openxmlformats.org/officeDocument/2006/relationships/hyperlink" Target="https://www150.statcan.gc.ca/n1/pub/89-657-x/89-657-x2020001-eng.htm" TargetMode="External"/><Relationship Id="rId1108" Type="http://schemas.openxmlformats.org/officeDocument/2006/relationships/hyperlink" Target="https://www150.statcan.gc.ca/n1/pub/82-003-x/2018001/article/54902-eng.htm" TargetMode="External"/><Relationship Id="rId1315" Type="http://schemas.openxmlformats.org/officeDocument/2006/relationships/hyperlink" Target="https://www150.statcan.gc.ca/n1/pub/82-003-x/2016001/article/14306-eng.htm" TargetMode="External"/><Relationship Id="rId1967" Type="http://schemas.openxmlformats.org/officeDocument/2006/relationships/hyperlink" Target="https://www150.statcan.gc.ca/n1/pub/85-002-x/2018001/article/54974-eng.htm" TargetMode="External"/><Relationship Id="rId2713" Type="http://schemas.openxmlformats.org/officeDocument/2006/relationships/hyperlink" Target="https://www150.statcan.gc.ca/n1/pub/82-003-x/2015006/article/14196-eng.htm" TargetMode="External"/><Relationship Id="rId1522" Type="http://schemas.openxmlformats.org/officeDocument/2006/relationships/hyperlink" Target="https://www150.statcan.gc.ca/n1/pub/82-003-x/2020009/article/00001-eng.htm" TargetMode="External"/><Relationship Id="rId21" Type="http://schemas.openxmlformats.org/officeDocument/2006/relationships/hyperlink" Target="https://www150.statcan.gc.ca/n1/pub/21-004-x/2018001/article/00001-eng.htm" TargetMode="External"/><Relationship Id="rId2089" Type="http://schemas.openxmlformats.org/officeDocument/2006/relationships/hyperlink" Target="https://www150.statcan.gc.ca/n1/pub/13-605-x/2018001/article/54968-eng.htm" TargetMode="External"/><Relationship Id="rId2296" Type="http://schemas.openxmlformats.org/officeDocument/2006/relationships/hyperlink" Target="https://www150.statcan.gc.ca/n1/pub/89-503-x/2015001/article/14640-eng.htm" TargetMode="External"/><Relationship Id="rId268" Type="http://schemas.openxmlformats.org/officeDocument/2006/relationships/hyperlink" Target="https://www150.statcan.gc.ca/n1/pub/82-003-x/2015010/article/14228-eng.htm" TargetMode="External"/><Relationship Id="rId475" Type="http://schemas.openxmlformats.org/officeDocument/2006/relationships/hyperlink" Target="https://www150.statcan.gc.ca/n1/pub/75-006-x/2017001/article/54854-eng.htm" TargetMode="External"/><Relationship Id="rId682" Type="http://schemas.openxmlformats.org/officeDocument/2006/relationships/hyperlink" Target="https://www150.statcan.gc.ca/n1/pub/11f0019m/11f0019m2016381-eng.htm" TargetMode="External"/><Relationship Id="rId2156" Type="http://schemas.openxmlformats.org/officeDocument/2006/relationships/hyperlink" Target="https://www150.statcan.gc.ca/n1/pub/11f0027m/11f0027m2015099-eng.htm" TargetMode="External"/><Relationship Id="rId2363" Type="http://schemas.openxmlformats.org/officeDocument/2006/relationships/hyperlink" Target="https://www150.statcan.gc.ca/n1/pub/11f0019m/11f0019m2017397-eng.htm" TargetMode="External"/><Relationship Id="rId2570" Type="http://schemas.openxmlformats.org/officeDocument/2006/relationships/hyperlink" Target="https://www150.statcan.gc.ca/n1/pub/75f0002m/75f0002m2019004-eng.htm" TargetMode="External"/><Relationship Id="rId128" Type="http://schemas.openxmlformats.org/officeDocument/2006/relationships/hyperlink" Target="https://www150.statcan.gc.ca/n1/pub/13-604-m/13-604-m2016081-eng.htm" TargetMode="External"/><Relationship Id="rId335" Type="http://schemas.openxmlformats.org/officeDocument/2006/relationships/hyperlink" Target="https://www150.statcan.gc.ca/n1/pub/89-653-x/89-653-x2019004-eng.htm" TargetMode="External"/><Relationship Id="rId542" Type="http://schemas.openxmlformats.org/officeDocument/2006/relationships/hyperlink" Target="https://www150.statcan.gc.ca/n1/pub/11-626-x/11-626-x2019016-eng.htm" TargetMode="External"/><Relationship Id="rId1172" Type="http://schemas.openxmlformats.org/officeDocument/2006/relationships/hyperlink" Target="https://www150.statcan.gc.ca/n1/pub/85-002-x/2019001/article/00010-eng.htm" TargetMode="External"/><Relationship Id="rId2016" Type="http://schemas.openxmlformats.org/officeDocument/2006/relationships/hyperlink" Target="https://www150.statcan.gc.ca/n1/pub/85-002-x/2015001/article/14234-eng.htm" TargetMode="External"/><Relationship Id="rId2223" Type="http://schemas.openxmlformats.org/officeDocument/2006/relationships/hyperlink" Target="https://www150.statcan.gc.ca/n1/pub/85-002-x/2018001/article/54910-eng.htm" TargetMode="External"/><Relationship Id="rId2430" Type="http://schemas.openxmlformats.org/officeDocument/2006/relationships/hyperlink" Target="https://www150.statcan.gc.ca/n1/pub/11f0019m/11f0019m2019007-eng.htm" TargetMode="External"/><Relationship Id="rId402" Type="http://schemas.openxmlformats.org/officeDocument/2006/relationships/hyperlink" Target="https://www150.statcan.gc.ca/n1/pub/82-003-x/2018004/article/54950-eng.htm" TargetMode="External"/><Relationship Id="rId1032" Type="http://schemas.openxmlformats.org/officeDocument/2006/relationships/hyperlink" Target="https://www150.statcan.gc.ca/n1/pub/85-002-x/2015001/article/14163-eng.htm" TargetMode="External"/><Relationship Id="rId1989" Type="http://schemas.openxmlformats.org/officeDocument/2006/relationships/hyperlink" Target="https://www150.statcan.gc.ca/n1/pub/89-657-x/89-657-x2019014-eng.htm" TargetMode="External"/><Relationship Id="rId1849" Type="http://schemas.openxmlformats.org/officeDocument/2006/relationships/hyperlink" Target="https://www150.statcan.gc.ca/n1/pub/85-002-x/2020001/article/00015-eng.htm" TargetMode="External"/><Relationship Id="rId192" Type="http://schemas.openxmlformats.org/officeDocument/2006/relationships/hyperlink" Target="https://www150.statcan.gc.ca/n1/pub/18-001-x/18-001-x2019002-eng.htm" TargetMode="External"/><Relationship Id="rId1709" Type="http://schemas.openxmlformats.org/officeDocument/2006/relationships/hyperlink" Target="https://www150.statcan.gc.ca/n1/pub/75-006-x/2015001/article/14134-eng.htm" TargetMode="External"/><Relationship Id="rId1916" Type="http://schemas.openxmlformats.org/officeDocument/2006/relationships/hyperlink" Target="https://www150.statcan.gc.ca/n1/pub/85-002-x/2016001/article/14656-eng.htm" TargetMode="External"/><Relationship Id="rId2080" Type="http://schemas.openxmlformats.org/officeDocument/2006/relationships/hyperlink" Target="https://www150.statcan.gc.ca/n1/pub/82-003-x/2020012/article/00002-eng.htm" TargetMode="External"/><Relationship Id="rId869" Type="http://schemas.openxmlformats.org/officeDocument/2006/relationships/hyperlink" Target="https://www150.statcan.gc.ca/n1/pub/11f0019m/11f0019m2018407-eng.htm" TargetMode="External"/><Relationship Id="rId1499" Type="http://schemas.openxmlformats.org/officeDocument/2006/relationships/hyperlink" Target="https://www150.statcan.gc.ca/n1/pub/11-633-x/11-633-x2019002-eng.htm" TargetMode="External"/><Relationship Id="rId729" Type="http://schemas.openxmlformats.org/officeDocument/2006/relationships/hyperlink" Target="https://www150.statcan.gc.ca/n1/pub/82-003-x/2015005/article/14169-eng.htm" TargetMode="External"/><Relationship Id="rId1359" Type="http://schemas.openxmlformats.org/officeDocument/2006/relationships/hyperlink" Target="https://www150.statcan.gc.ca/n1/pub/85-002-x/2019001/article/00012-eng.htm" TargetMode="External"/><Relationship Id="rId2757" Type="http://schemas.openxmlformats.org/officeDocument/2006/relationships/hyperlink" Target="https://www150.statcan.gc.ca/n1/pub/89-503-x/2015001/article/14680-eng.htm" TargetMode="External"/><Relationship Id="rId936" Type="http://schemas.openxmlformats.org/officeDocument/2006/relationships/hyperlink" Target="https://www150.statcan.gc.ca/n1/pub/85-002-x/2015001/article/14201-eng.htm" TargetMode="External"/><Relationship Id="rId1219" Type="http://schemas.openxmlformats.org/officeDocument/2006/relationships/hyperlink" Target="https://www150.statcan.gc.ca/n1/pub/11f0019m/11f0019m2020018-eng.htm" TargetMode="External"/><Relationship Id="rId1566" Type="http://schemas.openxmlformats.org/officeDocument/2006/relationships/hyperlink" Target="https://www150.statcan.gc.ca/n1/pub/11-633-x/11-633-x2018012-eng.htm" TargetMode="External"/><Relationship Id="rId1773" Type="http://schemas.openxmlformats.org/officeDocument/2006/relationships/hyperlink" Target="https://www150.statcan.gc.ca/n1/pub/89-657-x/89-657-x2019010-eng.htm" TargetMode="External"/><Relationship Id="rId1980" Type="http://schemas.openxmlformats.org/officeDocument/2006/relationships/hyperlink" Target="https://www150.statcan.gc.ca/n1/pub/75-004-m/75-004-m2015002-eng.htm" TargetMode="External"/><Relationship Id="rId2617" Type="http://schemas.openxmlformats.org/officeDocument/2006/relationships/hyperlink" Target="https://www150.statcan.gc.ca/n1/pub/89-652-x/89-652-x2015005-eng.htm" TargetMode="External"/><Relationship Id="rId2824" Type="http://schemas.openxmlformats.org/officeDocument/2006/relationships/hyperlink" Target="https://www150.statcan.gc.ca/n1/pub/11f0019m/11f0019m2018411-eng.htm" TargetMode="External"/><Relationship Id="rId65" Type="http://schemas.openxmlformats.org/officeDocument/2006/relationships/hyperlink" Target="https://www150.statcan.gc.ca/n1/pub/89-657-x/89-657-x2017003-eng.htm" TargetMode="External"/><Relationship Id="rId1426" Type="http://schemas.openxmlformats.org/officeDocument/2006/relationships/hyperlink" Target="https://www150.statcan.gc.ca/n1/pub/11f0019m/11f0019m2019011-eng.htm" TargetMode="External"/><Relationship Id="rId1633" Type="http://schemas.openxmlformats.org/officeDocument/2006/relationships/hyperlink" Target="https://www150.statcan.gc.ca/n1/pub/89-503-x/2015001/article/14316-eng.htm" TargetMode="External"/><Relationship Id="rId1840" Type="http://schemas.openxmlformats.org/officeDocument/2006/relationships/hyperlink" Target="https://www150.statcan.gc.ca/n1/pub/11f0019m/11f0019m2016374-eng.htm" TargetMode="External"/><Relationship Id="rId1700" Type="http://schemas.openxmlformats.org/officeDocument/2006/relationships/hyperlink" Target="https://www150.statcan.gc.ca/n1/pub/11-626-x/11-626-x2017076-eng.htm" TargetMode="External"/><Relationship Id="rId379" Type="http://schemas.openxmlformats.org/officeDocument/2006/relationships/hyperlink" Target="https://www150.statcan.gc.ca/n1/pub/11-633-x/11-633-x2016003-eng.htm" TargetMode="External"/><Relationship Id="rId586" Type="http://schemas.openxmlformats.org/officeDocument/2006/relationships/hyperlink" Target="https://www150.statcan.gc.ca/n1/pub/11f0019m/11f0019m2016375-eng.htm" TargetMode="External"/><Relationship Id="rId793" Type="http://schemas.openxmlformats.org/officeDocument/2006/relationships/hyperlink" Target="https://www150.statcan.gc.ca/n1/pub/89-648-x/89-648-x2020004-eng.htm" TargetMode="External"/><Relationship Id="rId2267" Type="http://schemas.openxmlformats.org/officeDocument/2006/relationships/hyperlink" Target="https://www150.statcan.gc.ca/n1/pub/85-002-x/2016001/article/14303-eng.htm" TargetMode="External"/><Relationship Id="rId2474" Type="http://schemas.openxmlformats.org/officeDocument/2006/relationships/hyperlink" Target="https://www150.statcan.gc.ca/n1/pub/85-002-x/2020001/article/00005-eng.htm" TargetMode="External"/><Relationship Id="rId2681" Type="http://schemas.openxmlformats.org/officeDocument/2006/relationships/hyperlink" Target="https://www150.statcan.gc.ca/n1/pub/89-653-x/89-653-x2019001-eng.htm" TargetMode="External"/><Relationship Id="rId239" Type="http://schemas.openxmlformats.org/officeDocument/2006/relationships/hyperlink" Target="https://www150.statcan.gc.ca/n1/pub/82-003-x/2020008/article/00002-eng.htm" TargetMode="External"/><Relationship Id="rId446" Type="http://schemas.openxmlformats.org/officeDocument/2006/relationships/hyperlink" Target="https://www150.statcan.gc.ca/n1/pub/13-605-x/2019001/article/00003-eng.htm" TargetMode="External"/><Relationship Id="rId653" Type="http://schemas.openxmlformats.org/officeDocument/2006/relationships/hyperlink" Target="https://www150.statcan.gc.ca/n1/pub/89-653-x/89-653-x2017013-eng.htm" TargetMode="External"/><Relationship Id="rId1076" Type="http://schemas.openxmlformats.org/officeDocument/2006/relationships/hyperlink" Target="https://www150.statcan.gc.ca/n1/pub/82-003-x/2018010/article/00001-eng.htm" TargetMode="External"/><Relationship Id="rId1283" Type="http://schemas.openxmlformats.org/officeDocument/2006/relationships/hyperlink" Target="https://www150.statcan.gc.ca/n1/pub/62f0014m/62f0014m2020006-eng.htm" TargetMode="External"/><Relationship Id="rId1490" Type="http://schemas.openxmlformats.org/officeDocument/2006/relationships/hyperlink" Target="https://www150.statcan.gc.ca/n1/pub/82-003-x/2020004/article/00003-eng.htm" TargetMode="External"/><Relationship Id="rId2127" Type="http://schemas.openxmlformats.org/officeDocument/2006/relationships/hyperlink" Target="https://www150.statcan.gc.ca/n1/pub/82-003-x/2019003/article/00002-eng.htm" TargetMode="External"/><Relationship Id="rId2334" Type="http://schemas.openxmlformats.org/officeDocument/2006/relationships/hyperlink" Target="https://www150.statcan.gc.ca/n1/pub/82-003-x/2016009/article/14653-eng.htm" TargetMode="External"/><Relationship Id="rId306" Type="http://schemas.openxmlformats.org/officeDocument/2006/relationships/hyperlink" Target="https://www150.statcan.gc.ca/n1/pub/82-003-x/2015010/article/14222-eng.htm" TargetMode="External"/><Relationship Id="rId860" Type="http://schemas.openxmlformats.org/officeDocument/2006/relationships/hyperlink" Target="https://www150.statcan.gc.ca/n1/pub/89-657-x/89-657-x2019007-eng.htm" TargetMode="External"/><Relationship Id="rId1143" Type="http://schemas.openxmlformats.org/officeDocument/2006/relationships/hyperlink" Target="https://www150.statcan.gc.ca/n1/pub/75-006-x/2019001/article/00012-eng.htm" TargetMode="External"/><Relationship Id="rId2541" Type="http://schemas.openxmlformats.org/officeDocument/2006/relationships/hyperlink" Target="https://www150.statcan.gc.ca/n1/pub/85-002-x/2017001/article/14699-eng.htm" TargetMode="External"/><Relationship Id="rId513" Type="http://schemas.openxmlformats.org/officeDocument/2006/relationships/hyperlink" Target="https://www150.statcan.gc.ca/n1/pub/75-006-x/2020001/article/00008-eng.htm" TargetMode="External"/><Relationship Id="rId720" Type="http://schemas.openxmlformats.org/officeDocument/2006/relationships/hyperlink" Target="https://www150.statcan.gc.ca/n1/pub/89-657-x/89-657-x2019015-eng.htm" TargetMode="External"/><Relationship Id="rId1350" Type="http://schemas.openxmlformats.org/officeDocument/2006/relationships/hyperlink" Target="https://www150.statcan.gc.ca/n1/pub/85-002-x/2019001/article/00012-eng.htm" TargetMode="External"/><Relationship Id="rId2401" Type="http://schemas.openxmlformats.org/officeDocument/2006/relationships/hyperlink" Target="https://www150.statcan.gc.ca/n1/pub/89-657-x/89-657-x2019008-eng.htm" TargetMode="External"/><Relationship Id="rId1003" Type="http://schemas.openxmlformats.org/officeDocument/2006/relationships/hyperlink" Target="https://www150.statcan.gc.ca/n1/pub/89-657-x/89-657-x2020001-eng.htm" TargetMode="External"/><Relationship Id="rId1210" Type="http://schemas.openxmlformats.org/officeDocument/2006/relationships/hyperlink" Target="https://www150.statcan.gc.ca/n1/pub/13-605-x/2018001/article/54949-eng.htm" TargetMode="External"/><Relationship Id="rId2191" Type="http://schemas.openxmlformats.org/officeDocument/2006/relationships/hyperlink" Target="https://www150.statcan.gc.ca/n1/pub/11f0019m/11f0019m2015365-eng.htm" TargetMode="External"/><Relationship Id="rId163" Type="http://schemas.openxmlformats.org/officeDocument/2006/relationships/hyperlink" Target="https://www150.statcan.gc.ca/n1/pub/11f0019m/11f0019m2020007-eng.htm" TargetMode="External"/><Relationship Id="rId370" Type="http://schemas.openxmlformats.org/officeDocument/2006/relationships/hyperlink" Target="https://www150.statcan.gc.ca/n1/pub/11f0019m/11f0019m2018410-eng.htm" TargetMode="External"/><Relationship Id="rId2051" Type="http://schemas.openxmlformats.org/officeDocument/2006/relationships/hyperlink" Target="https://www150.statcan.gc.ca/n1/pub/75f0002m/75f0002m2020003-eng.htm" TargetMode="External"/><Relationship Id="rId230" Type="http://schemas.openxmlformats.org/officeDocument/2006/relationships/hyperlink" Target="https://www150.statcan.gc.ca/n1/pub/89-657-x/89-657-x2019006-eng.htm" TargetMode="External"/><Relationship Id="rId1677" Type="http://schemas.openxmlformats.org/officeDocument/2006/relationships/hyperlink" Target="https://www150.statcan.gc.ca/n1/pub/11f0019m/11f0019m2015367-eng.htm" TargetMode="External"/><Relationship Id="rId1884" Type="http://schemas.openxmlformats.org/officeDocument/2006/relationships/hyperlink" Target="https://www150.statcan.gc.ca/n1/pub/11-633-x/11-633-x2019004-eng.htm" TargetMode="External"/><Relationship Id="rId2728" Type="http://schemas.openxmlformats.org/officeDocument/2006/relationships/hyperlink" Target="https://www150.statcan.gc.ca/n1/pub/89-653-x/89-653-x2016008-eng.htm" TargetMode="External"/><Relationship Id="rId907" Type="http://schemas.openxmlformats.org/officeDocument/2006/relationships/hyperlink" Target="https://www150.statcan.gc.ca/n1/pub/11f0019m/11f0019m2018409-eng.htm" TargetMode="External"/><Relationship Id="rId1537" Type="http://schemas.openxmlformats.org/officeDocument/2006/relationships/hyperlink" Target="https://www150.statcan.gc.ca/n1/pub/82-003-x/2017007/article/14843-eng.htm" TargetMode="External"/><Relationship Id="rId1744" Type="http://schemas.openxmlformats.org/officeDocument/2006/relationships/hyperlink" Target="https://www150.statcan.gc.ca/n1/pub/75-006-x/2019001/article/00002-eng.htm" TargetMode="External"/><Relationship Id="rId1951" Type="http://schemas.openxmlformats.org/officeDocument/2006/relationships/hyperlink" Target="https://www150.statcan.gc.ca/n1/pub/85-002-x/2017001/article/54879-eng.htm" TargetMode="External"/><Relationship Id="rId36" Type="http://schemas.openxmlformats.org/officeDocument/2006/relationships/hyperlink" Target="https://www150.statcan.gc.ca/n1/pub/82-003-x/2018001/article/54901-eng.htm" TargetMode="External"/><Relationship Id="rId1604" Type="http://schemas.openxmlformats.org/officeDocument/2006/relationships/hyperlink" Target="https://www150.statcan.gc.ca/n1/pub/71-588-x/71-588-x2017001-eng.htm" TargetMode="External"/><Relationship Id="rId1811" Type="http://schemas.openxmlformats.org/officeDocument/2006/relationships/hyperlink" Target="https://www150.statcan.gc.ca/n1/pub/82-003-x/2018009/article/00002-eng.htm" TargetMode="External"/><Relationship Id="rId697" Type="http://schemas.openxmlformats.org/officeDocument/2006/relationships/hyperlink" Target="https://www150.statcan.gc.ca/n1/pub/75f0002m/75f0002m2019003-eng.htm" TargetMode="External"/><Relationship Id="rId2378" Type="http://schemas.openxmlformats.org/officeDocument/2006/relationships/hyperlink" Target="https://www150.statcan.gc.ca/n1/pub/11f0019m/11f0019m2019017-eng.htm" TargetMode="External"/><Relationship Id="rId1187" Type="http://schemas.openxmlformats.org/officeDocument/2006/relationships/hyperlink" Target="https://www150.statcan.gc.ca/n1/pub/13-605-x/2015011/article/14298-eng.htm" TargetMode="External"/><Relationship Id="rId2585" Type="http://schemas.openxmlformats.org/officeDocument/2006/relationships/hyperlink" Target="https://www150.statcan.gc.ca/n1/pub/85-002-x/2015001/article/14203-eng.htm" TargetMode="External"/><Relationship Id="rId2792" Type="http://schemas.openxmlformats.org/officeDocument/2006/relationships/hyperlink" Target="https://www150.statcan.gc.ca/n1/pub/11f0019m/11f0019m2016384-eng.htm" TargetMode="External"/><Relationship Id="rId557" Type="http://schemas.openxmlformats.org/officeDocument/2006/relationships/hyperlink" Target="https://www150.statcan.gc.ca/n1/pub/82-003-x/2017001/article/14696-eng.htm" TargetMode="External"/><Relationship Id="rId764" Type="http://schemas.openxmlformats.org/officeDocument/2006/relationships/hyperlink" Target="https://www150.statcan.gc.ca/n1/pub/89-503-x/2015001/article/14315-eng.htm" TargetMode="External"/><Relationship Id="rId971" Type="http://schemas.openxmlformats.org/officeDocument/2006/relationships/hyperlink" Target="https://www150.statcan.gc.ca/n1/pub/13-605-x/2019001/article/00009-eng.htm" TargetMode="External"/><Relationship Id="rId1394" Type="http://schemas.openxmlformats.org/officeDocument/2006/relationships/hyperlink" Target="https://www150.statcan.gc.ca/n1/pub/15-206-x/15-206-x2015039-eng.htm" TargetMode="External"/><Relationship Id="rId2238" Type="http://schemas.openxmlformats.org/officeDocument/2006/relationships/hyperlink" Target="https://www150.statcan.gc.ca/n1/pub/75-006-x/2019001/article/00013-eng.htm" TargetMode="External"/><Relationship Id="rId2445" Type="http://schemas.openxmlformats.org/officeDocument/2006/relationships/hyperlink" Target="https://www150.statcan.gc.ca/n1/pub/11f0019m/11f0019m2019004-eng.htm" TargetMode="External"/><Relationship Id="rId2652" Type="http://schemas.openxmlformats.org/officeDocument/2006/relationships/hyperlink" Target="https://www150.statcan.gc.ca/n1/pub/82-003-x/2018006/article/54970-eng.htm" TargetMode="External"/><Relationship Id="rId417" Type="http://schemas.openxmlformats.org/officeDocument/2006/relationships/hyperlink" Target="https://www150.statcan.gc.ca/n1/pub/82-625-x/2019001/article/00005-eng.htm" TargetMode="External"/><Relationship Id="rId624" Type="http://schemas.openxmlformats.org/officeDocument/2006/relationships/hyperlink" Target="https://www150.statcan.gc.ca/n1/pub/89-654-x/89-654-x2018002-eng.htm" TargetMode="External"/><Relationship Id="rId831" Type="http://schemas.openxmlformats.org/officeDocument/2006/relationships/hyperlink" Target="https://www150.statcan.gc.ca/n1/pub/75-006-x/2015001/article/14247-eng.htm" TargetMode="External"/><Relationship Id="rId1047" Type="http://schemas.openxmlformats.org/officeDocument/2006/relationships/hyperlink" Target="https://www150.statcan.gc.ca/n1/pub/11-626-x/11-626-x2017069-eng.htm" TargetMode="External"/><Relationship Id="rId1254" Type="http://schemas.openxmlformats.org/officeDocument/2006/relationships/hyperlink" Target="https://www150.statcan.gc.ca/n1/pub/85-002-x/2017001/article/54842-eng.htm" TargetMode="External"/><Relationship Id="rId1461" Type="http://schemas.openxmlformats.org/officeDocument/2006/relationships/hyperlink" Target="https://www150.statcan.gc.ca/n1/pub/82-003-x/2019012/article/00003-eng.htm" TargetMode="External"/><Relationship Id="rId2305" Type="http://schemas.openxmlformats.org/officeDocument/2006/relationships/hyperlink" Target="https://www150.statcan.gc.ca/n1/pub/89-503-x/2015001/article/14640-eng.htm" TargetMode="External"/><Relationship Id="rId2512" Type="http://schemas.openxmlformats.org/officeDocument/2006/relationships/hyperlink" Target="https://www150.statcan.gc.ca/n1/pub/82-003-x/2017005/article/14792-eng.htm" TargetMode="External"/><Relationship Id="rId1114" Type="http://schemas.openxmlformats.org/officeDocument/2006/relationships/hyperlink" Target="https://www150.statcan.gc.ca/n1/pub/11-633-x/11-633-x2018016-eng.htm" TargetMode="External"/><Relationship Id="rId1321" Type="http://schemas.openxmlformats.org/officeDocument/2006/relationships/hyperlink" Target="https://www150.statcan.gc.ca/n1/pub/13-605-x/2018001/article/54961-eng.htm" TargetMode="External"/><Relationship Id="rId2095" Type="http://schemas.openxmlformats.org/officeDocument/2006/relationships/hyperlink" Target="https://www150.statcan.gc.ca/n1/pub/89-503-x/2015001/article/14235-eng.htm" TargetMode="External"/><Relationship Id="rId274" Type="http://schemas.openxmlformats.org/officeDocument/2006/relationships/hyperlink" Target="https://www150.statcan.gc.ca/n1/pub/85-002-x/2015001/article/14146-eng.htm" TargetMode="External"/><Relationship Id="rId481" Type="http://schemas.openxmlformats.org/officeDocument/2006/relationships/hyperlink" Target="https://www150.statcan.gc.ca/n1/pub/82-003-x/2015004/article/14158-eng.htm" TargetMode="External"/><Relationship Id="rId2162" Type="http://schemas.openxmlformats.org/officeDocument/2006/relationships/hyperlink" Target="https://www150.statcan.gc.ca/n1/pub/11-626-x/11-626-x2016064-eng.htm" TargetMode="External"/><Relationship Id="rId134" Type="http://schemas.openxmlformats.org/officeDocument/2006/relationships/hyperlink" Target="https://www150.statcan.gc.ca/n1/pub/11f0019m/11f0019m2020019-eng.htm" TargetMode="External"/><Relationship Id="rId341" Type="http://schemas.openxmlformats.org/officeDocument/2006/relationships/hyperlink" Target="https://www150.statcan.gc.ca/n1/pub/89-503-x/2015001/article/14785-eng.htm" TargetMode="External"/><Relationship Id="rId2022" Type="http://schemas.openxmlformats.org/officeDocument/2006/relationships/hyperlink" Target="https://www150.statcan.gc.ca/n1/pub/82-003-x/2020003/article/00001-eng.htm" TargetMode="External"/><Relationship Id="rId201" Type="http://schemas.openxmlformats.org/officeDocument/2006/relationships/hyperlink" Target="https://www150.statcan.gc.ca/n1/pub/18-001-x/18-001-x2019002-eng.htm" TargetMode="External"/><Relationship Id="rId1788" Type="http://schemas.openxmlformats.org/officeDocument/2006/relationships/hyperlink" Target="https://www150.statcan.gc.ca/n1/pub/85-002-x/2016001/article/14631-eng.htm" TargetMode="External"/><Relationship Id="rId1995" Type="http://schemas.openxmlformats.org/officeDocument/2006/relationships/hyperlink" Target="https://www150.statcan.gc.ca/n1/pub/85-002-x/2016001/article/14642-eng.htm" TargetMode="External"/><Relationship Id="rId1648" Type="http://schemas.openxmlformats.org/officeDocument/2006/relationships/hyperlink" Target="https://www150.statcan.gc.ca/n1/pub/11f0019m/11f0019m2019016-eng.htm" TargetMode="External"/><Relationship Id="rId1508" Type="http://schemas.openxmlformats.org/officeDocument/2006/relationships/hyperlink" Target="https://www150.statcan.gc.ca/n1/pub/85-002-x/2017001/article/14842-eng.htm" TargetMode="External"/><Relationship Id="rId1855" Type="http://schemas.openxmlformats.org/officeDocument/2006/relationships/hyperlink" Target="https://www150.statcan.gc.ca/n1/pub/11-626-x/11-626-x2019001-eng.htm" TargetMode="External"/><Relationship Id="rId1715" Type="http://schemas.openxmlformats.org/officeDocument/2006/relationships/hyperlink" Target="https://www150.statcan.gc.ca/n1/pub/89-653-x/89-653-x2015006-eng.htm" TargetMode="External"/><Relationship Id="rId1922" Type="http://schemas.openxmlformats.org/officeDocument/2006/relationships/hyperlink" Target="https://www150.statcan.gc.ca/n1/pub/85-002-x/2019001/article/00013-eng.htm" TargetMode="External"/><Relationship Id="rId2489" Type="http://schemas.openxmlformats.org/officeDocument/2006/relationships/hyperlink" Target="https://www150.statcan.gc.ca/n1/pub/75-006-x/2019001/article/00007-eng.htm" TargetMode="External"/><Relationship Id="rId2696" Type="http://schemas.openxmlformats.org/officeDocument/2006/relationships/hyperlink" Target="https://www150.statcan.gc.ca/n1/pub/11f0019m/11f0019m2018412-eng.htm" TargetMode="External"/><Relationship Id="rId668" Type="http://schemas.openxmlformats.org/officeDocument/2006/relationships/hyperlink" Target="https://www150.statcan.gc.ca/n1/pub/11f0019m/11f0019m2017395-eng.htm" TargetMode="External"/><Relationship Id="rId875" Type="http://schemas.openxmlformats.org/officeDocument/2006/relationships/hyperlink" Target="https://www150.statcan.gc.ca/n1/pub/11-633-x/11-633-x2020001-eng.htm" TargetMode="External"/><Relationship Id="rId1298" Type="http://schemas.openxmlformats.org/officeDocument/2006/relationships/hyperlink" Target="https://www150.statcan.gc.ca/n1/pub/11-633-x/11-633-x2016004-eng.htm" TargetMode="External"/><Relationship Id="rId2349" Type="http://schemas.openxmlformats.org/officeDocument/2006/relationships/hyperlink" Target="https://www150.statcan.gc.ca/n1/pub/75-006-x/2019001/article/00005-eng.htm" TargetMode="External"/><Relationship Id="rId2556" Type="http://schemas.openxmlformats.org/officeDocument/2006/relationships/hyperlink" Target="https://www150.statcan.gc.ca/n1/pub/75-006-x/2015001/article/14232-eng.htm" TargetMode="External"/><Relationship Id="rId2763" Type="http://schemas.openxmlformats.org/officeDocument/2006/relationships/hyperlink" Target="https://www150.statcan.gc.ca/n1/pub/82-625-x/2016001/article/14363-eng.htm" TargetMode="External"/><Relationship Id="rId528" Type="http://schemas.openxmlformats.org/officeDocument/2006/relationships/hyperlink" Target="https://www150.statcan.gc.ca/n1/pub/82-003-x/2017011/article/54885-eng.htm" TargetMode="External"/><Relationship Id="rId735" Type="http://schemas.openxmlformats.org/officeDocument/2006/relationships/hyperlink" Target="https://www150.statcan.gc.ca/n1/pub/82-003-x/2017004/article/14789-eng.htm" TargetMode="External"/><Relationship Id="rId942" Type="http://schemas.openxmlformats.org/officeDocument/2006/relationships/hyperlink" Target="https://www150.statcan.gc.ca/n1/pub/82-003-x/2018011/article/00002-eng.htm" TargetMode="External"/><Relationship Id="rId1158" Type="http://schemas.openxmlformats.org/officeDocument/2006/relationships/hyperlink" Target="https://www150.statcan.gc.ca/n1/pub/89-652-x/89-652-x2015002-eng.htm" TargetMode="External"/><Relationship Id="rId1365" Type="http://schemas.openxmlformats.org/officeDocument/2006/relationships/hyperlink" Target="https://www150.statcan.gc.ca/n1/pub/89-652-x/89-652-x2015006-eng.htm" TargetMode="External"/><Relationship Id="rId1572" Type="http://schemas.openxmlformats.org/officeDocument/2006/relationships/hyperlink" Target="https://www150.statcan.gc.ca/n1/pub/89-503-x/2015001/article/14695-eng.htm" TargetMode="External"/><Relationship Id="rId2209" Type="http://schemas.openxmlformats.org/officeDocument/2006/relationships/hyperlink" Target="https://www150.statcan.gc.ca/n1/pub/85-002-x/2018001/article/54972-eng.htm" TargetMode="External"/><Relationship Id="rId2416" Type="http://schemas.openxmlformats.org/officeDocument/2006/relationships/hyperlink" Target="https://www150.statcan.gc.ca/n1/pub/75-006-x/2020001/article/00004-eng.htm" TargetMode="External"/><Relationship Id="rId2623" Type="http://schemas.openxmlformats.org/officeDocument/2006/relationships/hyperlink" Target="https://www150.statcan.gc.ca/n1/pub/89-652-x/89-652-x2015007-eng.htm" TargetMode="External"/><Relationship Id="rId1018" Type="http://schemas.openxmlformats.org/officeDocument/2006/relationships/hyperlink" Target="https://www150.statcan.gc.ca/n1/pub/85-002-x/2019001/article/00015-eng.htm" TargetMode="External"/><Relationship Id="rId1225" Type="http://schemas.openxmlformats.org/officeDocument/2006/relationships/hyperlink" Target="https://www150.statcan.gc.ca/n1/pub/85-002-x/2017001/article/14777-eng.htm" TargetMode="External"/><Relationship Id="rId1432" Type="http://schemas.openxmlformats.org/officeDocument/2006/relationships/hyperlink" Target="https://www150.statcan.gc.ca/n1/pub/11f0019m/11f0019m2019010-eng.htm" TargetMode="External"/><Relationship Id="rId71" Type="http://schemas.openxmlformats.org/officeDocument/2006/relationships/hyperlink" Target="https://www150.statcan.gc.ca/n1/pub/89-657-x/89-657-x2017004-eng.htm" TargetMode="External"/><Relationship Id="rId802" Type="http://schemas.openxmlformats.org/officeDocument/2006/relationships/hyperlink" Target="https://www150.statcan.gc.ca/n1/pub/82-003-x/2015007/article/14205-eng.htm" TargetMode="External"/><Relationship Id="rId178" Type="http://schemas.openxmlformats.org/officeDocument/2006/relationships/hyperlink" Target="https://www150.statcan.gc.ca/n1/pub/11f0019m/11f0019m2020002-eng.htm" TargetMode="External"/><Relationship Id="rId385" Type="http://schemas.openxmlformats.org/officeDocument/2006/relationships/hyperlink" Target="https://www150.statcan.gc.ca/n1/pub/89-654-x/89-654-x2015001-eng.htm" TargetMode="External"/><Relationship Id="rId592" Type="http://schemas.openxmlformats.org/officeDocument/2006/relationships/hyperlink" Target="https://www150.statcan.gc.ca/n1/pub/11f0019m/11f0019m2016375-eng.htm" TargetMode="External"/><Relationship Id="rId2066" Type="http://schemas.openxmlformats.org/officeDocument/2006/relationships/hyperlink" Target="https://www150.statcan.gc.ca/n1/pub/85-002-x/2019001/article/00001-eng.htm" TargetMode="External"/><Relationship Id="rId2273" Type="http://schemas.openxmlformats.org/officeDocument/2006/relationships/hyperlink" Target="https://www150.statcan.gc.ca/n1/pub/85-002-x/2016001/article/14303-eng.htm" TargetMode="External"/><Relationship Id="rId2480" Type="http://schemas.openxmlformats.org/officeDocument/2006/relationships/hyperlink" Target="https://www150.statcan.gc.ca/n1/pub/13-605-x/2019001/article/00001-eng.htm" TargetMode="External"/><Relationship Id="rId245" Type="http://schemas.openxmlformats.org/officeDocument/2006/relationships/hyperlink" Target="https://www150.statcan.gc.ca/n1/pub/75-006-x/2019001/article/00001-eng.htm" TargetMode="External"/><Relationship Id="rId452" Type="http://schemas.openxmlformats.org/officeDocument/2006/relationships/hyperlink" Target="https://www150.statcan.gc.ca/n1/pub/85-603-x/85-603-x2019002-eng.htm" TargetMode="External"/><Relationship Id="rId1082" Type="http://schemas.openxmlformats.org/officeDocument/2006/relationships/hyperlink" Target="https://www150.statcan.gc.ca/n1/pub/18-001-x/18-001-x2018001-eng.htm" TargetMode="External"/><Relationship Id="rId2133" Type="http://schemas.openxmlformats.org/officeDocument/2006/relationships/hyperlink" Target="https://www150.statcan.gc.ca/n1/pub/11-633-x/11-633-x2021001-eng.htm" TargetMode="External"/><Relationship Id="rId2340" Type="http://schemas.openxmlformats.org/officeDocument/2006/relationships/hyperlink" Target="https://www150.statcan.gc.ca/n1/pub/11f0019m/11f0019m2019002-eng.htm" TargetMode="External"/><Relationship Id="rId105" Type="http://schemas.openxmlformats.org/officeDocument/2006/relationships/hyperlink" Target="https://www150.statcan.gc.ca/n1/pub/89-657-x/89-657-x2017006-eng.htm" TargetMode="External"/><Relationship Id="rId312" Type="http://schemas.openxmlformats.org/officeDocument/2006/relationships/hyperlink" Target="https://www150.statcan.gc.ca/n1/pub/75-004-m/75-004-m2020002-eng.htm" TargetMode="External"/><Relationship Id="rId2200" Type="http://schemas.openxmlformats.org/officeDocument/2006/relationships/hyperlink" Target="https://www150.statcan.gc.ca/n1/pub/82-003-x/2015011/article/14242-eng.htm" TargetMode="External"/><Relationship Id="rId1899" Type="http://schemas.openxmlformats.org/officeDocument/2006/relationships/hyperlink" Target="https://www150.statcan.gc.ca/n1/pub/89-503-x/2015001/article/14313-eng.htm" TargetMode="External"/><Relationship Id="rId1759" Type="http://schemas.openxmlformats.org/officeDocument/2006/relationships/hyperlink" Target="https://www150.statcan.gc.ca/n1/pub/89-657-x/89-657-x2019010-eng.htm" TargetMode="External"/><Relationship Id="rId1966" Type="http://schemas.openxmlformats.org/officeDocument/2006/relationships/hyperlink" Target="https://www150.statcan.gc.ca/n1/pub/85-002-x/2018001/article/54974-eng.htm" TargetMode="External"/><Relationship Id="rId1619" Type="http://schemas.openxmlformats.org/officeDocument/2006/relationships/hyperlink" Target="https://www150.statcan.gc.ca/n1/pub/89-503-x/2015001/article/14316-eng.htm" TargetMode="External"/><Relationship Id="rId1826" Type="http://schemas.openxmlformats.org/officeDocument/2006/relationships/hyperlink" Target="https://www150.statcan.gc.ca/n1/pub/89-657-x/89-657-x2019018-eng.htm" TargetMode="External"/><Relationship Id="rId779" Type="http://schemas.openxmlformats.org/officeDocument/2006/relationships/hyperlink" Target="https://www150.statcan.gc.ca/n1/pub/89-503-x/2015001/article/14315-eng.htm" TargetMode="External"/><Relationship Id="rId986" Type="http://schemas.openxmlformats.org/officeDocument/2006/relationships/hyperlink" Target="https://www150.statcan.gc.ca/n1/pub/75-006-x/2018001/article/54982-eng.htm" TargetMode="External"/><Relationship Id="rId2667" Type="http://schemas.openxmlformats.org/officeDocument/2006/relationships/hyperlink" Target="https://www150.statcan.gc.ca/n1/pub/11-626-x/11-626-x2019011-eng.htm" TargetMode="External"/><Relationship Id="rId639" Type="http://schemas.openxmlformats.org/officeDocument/2006/relationships/hyperlink" Target="https://www150.statcan.gc.ca/n1/pub/75f0002m/75f0002m2019011-eng.htm" TargetMode="External"/><Relationship Id="rId1269" Type="http://schemas.openxmlformats.org/officeDocument/2006/relationships/hyperlink" Target="https://www150.statcan.gc.ca/n1/pub/11f0019m/11f0019m2016386-eng.htm" TargetMode="External"/><Relationship Id="rId1476" Type="http://schemas.openxmlformats.org/officeDocument/2006/relationships/hyperlink" Target="https://www150.statcan.gc.ca/n1/pub/75-006-x/2015001/article/14202-eng.htm" TargetMode="External"/><Relationship Id="rId846" Type="http://schemas.openxmlformats.org/officeDocument/2006/relationships/hyperlink" Target="https://www150.statcan.gc.ca/n1/pub/11f0019m/11f0019m2017393-eng.htm" TargetMode="External"/><Relationship Id="rId1129" Type="http://schemas.openxmlformats.org/officeDocument/2006/relationships/hyperlink" Target="https://www150.statcan.gc.ca/n1/pub/85-002-x/2015001/article/14233-eng.htm" TargetMode="External"/><Relationship Id="rId1683" Type="http://schemas.openxmlformats.org/officeDocument/2006/relationships/hyperlink" Target="https://www150.statcan.gc.ca/n1/pub/89-503-x/2015001/article/14694-eng.htm" TargetMode="External"/><Relationship Id="rId1890" Type="http://schemas.openxmlformats.org/officeDocument/2006/relationships/hyperlink" Target="https://www150.statcan.gc.ca/n1/pub/89-503-x/2015001/article/14313-eng.htm" TargetMode="External"/><Relationship Id="rId2527" Type="http://schemas.openxmlformats.org/officeDocument/2006/relationships/hyperlink" Target="https://www150.statcan.gc.ca/n1/pub/82-003-x/2016004/article/14491-eng.htm" TargetMode="External"/><Relationship Id="rId2734" Type="http://schemas.openxmlformats.org/officeDocument/2006/relationships/hyperlink" Target="https://www150.statcan.gc.ca/n1/pub/11f0019m/11f0019m2020013-eng.htm" TargetMode="External"/><Relationship Id="rId706" Type="http://schemas.openxmlformats.org/officeDocument/2006/relationships/hyperlink" Target="https://www150.statcan.gc.ca/n1/pub/82-003-x/2020003/article/00002-eng.htm" TargetMode="External"/><Relationship Id="rId913" Type="http://schemas.openxmlformats.org/officeDocument/2006/relationships/hyperlink" Target="https://www150.statcan.gc.ca/n1/pub/11f0019m/11f0019m2018409-eng.htm" TargetMode="External"/><Relationship Id="rId1336" Type="http://schemas.openxmlformats.org/officeDocument/2006/relationships/hyperlink" Target="https://www150.statcan.gc.ca/n1/pub/75-006-x/2016001/article/14547-eng.htm" TargetMode="External"/><Relationship Id="rId1543" Type="http://schemas.openxmlformats.org/officeDocument/2006/relationships/hyperlink" Target="https://www150.statcan.gc.ca/n1/pub/75-006-x/2018001/article/54975-eng.htm" TargetMode="External"/><Relationship Id="rId1750" Type="http://schemas.openxmlformats.org/officeDocument/2006/relationships/hyperlink" Target="https://www150.statcan.gc.ca/n1/pub/89-657-x/89-657-x2019010-eng.htm" TargetMode="External"/><Relationship Id="rId2801" Type="http://schemas.openxmlformats.org/officeDocument/2006/relationships/hyperlink" Target="https://www150.statcan.gc.ca/n1/pub/85-603-x/85-603-x2019001-eng.htm" TargetMode="External"/><Relationship Id="rId42" Type="http://schemas.openxmlformats.org/officeDocument/2006/relationships/hyperlink" Target="https://www150.statcan.gc.ca/n1/pub/96-325-x/2017001/article/54874-eng.htm" TargetMode="External"/><Relationship Id="rId1403" Type="http://schemas.openxmlformats.org/officeDocument/2006/relationships/hyperlink" Target="https://www150.statcan.gc.ca/n1/pub/85-002-x/2020001/article/00011-eng.htm" TargetMode="External"/><Relationship Id="rId1610" Type="http://schemas.openxmlformats.org/officeDocument/2006/relationships/hyperlink" Target="https://www150.statcan.gc.ca/n1/pub/82-003-x/2020010/article/00002-eng.htm" TargetMode="External"/><Relationship Id="rId289" Type="http://schemas.openxmlformats.org/officeDocument/2006/relationships/hyperlink" Target="https://www150.statcan.gc.ca/n1/pub/75-006-x/2018001/article/54978-eng.htm" TargetMode="External"/><Relationship Id="rId496" Type="http://schemas.openxmlformats.org/officeDocument/2006/relationships/hyperlink" Target="https://www150.statcan.gc.ca/n1/pub/18-001-x/18-001-x2019001-eng.htm" TargetMode="External"/><Relationship Id="rId2177" Type="http://schemas.openxmlformats.org/officeDocument/2006/relationships/hyperlink" Target="https://www150.statcan.gc.ca/n1/pub/99-011-x/99-011-x2019001-eng.htm" TargetMode="External"/><Relationship Id="rId2384" Type="http://schemas.openxmlformats.org/officeDocument/2006/relationships/hyperlink" Target="https://www150.statcan.gc.ca/n1/pub/82-003-x/2018010/article/00003-eng.htm" TargetMode="External"/><Relationship Id="rId2591" Type="http://schemas.openxmlformats.org/officeDocument/2006/relationships/hyperlink" Target="https://www150.statcan.gc.ca/n1/pub/85-002-x/2015001/article/14203-eng.htm" TargetMode="External"/><Relationship Id="rId149" Type="http://schemas.openxmlformats.org/officeDocument/2006/relationships/hyperlink" Target="https://www150.statcan.gc.ca/n1/pub/11f0019m/11f0019m2020009-eng.htm" TargetMode="External"/><Relationship Id="rId356" Type="http://schemas.openxmlformats.org/officeDocument/2006/relationships/hyperlink" Target="https://www150.statcan.gc.ca/n1/pub/82-003-x/2019003/article/00001-eng.htm" TargetMode="External"/><Relationship Id="rId563" Type="http://schemas.openxmlformats.org/officeDocument/2006/relationships/hyperlink" Target="https://www150.statcan.gc.ca/n1/pub/82-003-x/2018011/article/00003-eng.htm" TargetMode="External"/><Relationship Id="rId770" Type="http://schemas.openxmlformats.org/officeDocument/2006/relationships/hyperlink" Target="https://www150.statcan.gc.ca/n1/pub/89-503-x/2015001/article/14315-eng.htm" TargetMode="External"/><Relationship Id="rId1193" Type="http://schemas.openxmlformats.org/officeDocument/2006/relationships/hyperlink" Target="https://www150.statcan.gc.ca/n1/pub/13-605-x/2015011/article/14298-eng.htm" TargetMode="External"/><Relationship Id="rId2037" Type="http://schemas.openxmlformats.org/officeDocument/2006/relationships/hyperlink" Target="https://www150.statcan.gc.ca/n1/pub/11f0019m/11f0019m2016373-eng.htm" TargetMode="External"/><Relationship Id="rId2244" Type="http://schemas.openxmlformats.org/officeDocument/2006/relationships/hyperlink" Target="https://www150.statcan.gc.ca/n1/pub/85-002-x/2016001/article/14303-eng.htm" TargetMode="External"/><Relationship Id="rId2451" Type="http://schemas.openxmlformats.org/officeDocument/2006/relationships/hyperlink" Target="https://www150.statcan.gc.ca/n1/pub/89-648-x/89-648-x2020001-eng.htm" TargetMode="External"/><Relationship Id="rId216" Type="http://schemas.openxmlformats.org/officeDocument/2006/relationships/hyperlink" Target="https://www150.statcan.gc.ca/n1/pub/11f0019m/11f0019m2019014-eng.htm" TargetMode="External"/><Relationship Id="rId423" Type="http://schemas.openxmlformats.org/officeDocument/2006/relationships/hyperlink" Target="https://www150.statcan.gc.ca/n1/pub/89-28-0001/2018001/article/00013-eng.htm" TargetMode="External"/><Relationship Id="rId1053" Type="http://schemas.openxmlformats.org/officeDocument/2006/relationships/hyperlink" Target="https://www150.statcan.gc.ca/n1/pub/85-002-x/2020001/article/00009-eng.htm" TargetMode="External"/><Relationship Id="rId1260" Type="http://schemas.openxmlformats.org/officeDocument/2006/relationships/hyperlink" Target="https://www150.statcan.gc.ca/n1/pub/75-006-x/2016001/article/14464-eng.htm" TargetMode="External"/><Relationship Id="rId2104" Type="http://schemas.openxmlformats.org/officeDocument/2006/relationships/hyperlink" Target="https://www150.statcan.gc.ca/n1/pub/82-625-x/2020001/article/00004-eng.htm" TargetMode="External"/><Relationship Id="rId630" Type="http://schemas.openxmlformats.org/officeDocument/2006/relationships/hyperlink" Target="https://www150.statcan.gc.ca/n1/pub/82-003-x/2015012/article/14295-eng.htm" TargetMode="External"/><Relationship Id="rId2311" Type="http://schemas.openxmlformats.org/officeDocument/2006/relationships/hyperlink" Target="https://www150.statcan.gc.ca/n1/pub/89-503-x/2015001/article/14640-eng.htm" TargetMode="External"/><Relationship Id="rId1120" Type="http://schemas.openxmlformats.org/officeDocument/2006/relationships/hyperlink" Target="https://www150.statcan.gc.ca/n1/pub/11-633-x/11-633-x2018016-eng.htm" TargetMode="External"/><Relationship Id="rId1937" Type="http://schemas.openxmlformats.org/officeDocument/2006/relationships/hyperlink" Target="https://www150.statcan.gc.ca/n1/pub/89-653-x/89-653-x2019002-eng.htm" TargetMode="External"/><Relationship Id="rId280" Type="http://schemas.openxmlformats.org/officeDocument/2006/relationships/hyperlink" Target="https://www150.statcan.gc.ca/n1/pub/75-006-x/2017001/article/54898-eng.htm" TargetMode="External"/><Relationship Id="rId140" Type="http://schemas.openxmlformats.org/officeDocument/2006/relationships/hyperlink" Target="https://www150.statcan.gc.ca/n1/pub/11-633-x/11-633-x2020003-eng.htm" TargetMode="External"/><Relationship Id="rId6" Type="http://schemas.openxmlformats.org/officeDocument/2006/relationships/hyperlink" Target="https://www150.statcan.gc.ca/n1/pub/82-003-x/2019007/article/00003-eng.htm" TargetMode="External"/><Relationship Id="rId2778" Type="http://schemas.openxmlformats.org/officeDocument/2006/relationships/hyperlink" Target="https://www150.statcan.gc.ca/n1/pub/85-002-x/2015001/article/14226-eng.htm" TargetMode="External"/><Relationship Id="rId957" Type="http://schemas.openxmlformats.org/officeDocument/2006/relationships/hyperlink" Target="https://www150.statcan.gc.ca/n1/pub/85-002-x/2020001/article/00016-eng.htm" TargetMode="External"/><Relationship Id="rId1587" Type="http://schemas.openxmlformats.org/officeDocument/2006/relationships/hyperlink" Target="https://www150.statcan.gc.ca/n1/pub/71-222-x/71-222-x2018002-eng.htm" TargetMode="External"/><Relationship Id="rId1794" Type="http://schemas.openxmlformats.org/officeDocument/2006/relationships/hyperlink" Target="https://www150.statcan.gc.ca/n1/pub/85-002-x/2016001/article/14668-eng.htm" TargetMode="External"/><Relationship Id="rId2638" Type="http://schemas.openxmlformats.org/officeDocument/2006/relationships/hyperlink" Target="https://www150.statcan.gc.ca/n1/pub/75f0002m/75f0002m2016003-eng.htm" TargetMode="External"/><Relationship Id="rId86" Type="http://schemas.openxmlformats.org/officeDocument/2006/relationships/hyperlink" Target="https://www150.statcan.gc.ca/n1/pub/89-657-x/89-657-x2017005-eng.htm" TargetMode="External"/><Relationship Id="rId817" Type="http://schemas.openxmlformats.org/officeDocument/2006/relationships/hyperlink" Target="https://www150.statcan.gc.ca/n1/pub/11f0019m/11f0019m2017398-eng.htm" TargetMode="External"/><Relationship Id="rId1447" Type="http://schemas.openxmlformats.org/officeDocument/2006/relationships/hyperlink" Target="https://www150.statcan.gc.ca/n1/pub/82-003-x/2017001/article/14697-eng.htm" TargetMode="External"/><Relationship Id="rId1654" Type="http://schemas.openxmlformats.org/officeDocument/2006/relationships/hyperlink" Target="https://www150.statcan.gc.ca/n1/pub/75-006-x/2020001/article/00001-eng.htm" TargetMode="External"/><Relationship Id="rId1861" Type="http://schemas.openxmlformats.org/officeDocument/2006/relationships/hyperlink" Target="https://www150.statcan.gc.ca/n1/pub/11-626-x/11-626-x2015047-eng.htm" TargetMode="External"/><Relationship Id="rId2705" Type="http://schemas.openxmlformats.org/officeDocument/2006/relationships/hyperlink" Target="https://www150.statcan.gc.ca/n1/pub/75-006-x/2016001/article/14693-eng.htm" TargetMode="External"/><Relationship Id="rId1307" Type="http://schemas.openxmlformats.org/officeDocument/2006/relationships/hyperlink" Target="https://www150.statcan.gc.ca/n1/pub/75-006-x/2019001/article/00010-eng.htm" TargetMode="External"/><Relationship Id="rId1514" Type="http://schemas.openxmlformats.org/officeDocument/2006/relationships/hyperlink" Target="https://www150.statcan.gc.ca/n1/pub/13-605-x/2016002/article/14685-eng.htm" TargetMode="External"/><Relationship Id="rId1721" Type="http://schemas.openxmlformats.org/officeDocument/2006/relationships/hyperlink" Target="https://www150.statcan.gc.ca/n1/pub/75f0002m/75f0002m2019010-eng.htm" TargetMode="External"/><Relationship Id="rId13" Type="http://schemas.openxmlformats.org/officeDocument/2006/relationships/hyperlink" Target="https://www150.statcan.gc.ca/n1/pub/96-325-x/2019001/article/00001-eng.htm" TargetMode="External"/><Relationship Id="rId2288" Type="http://schemas.openxmlformats.org/officeDocument/2006/relationships/hyperlink" Target="https://www150.statcan.gc.ca/n1/pub/89-503-x/2015001/article/14324-eng.htm" TargetMode="External"/><Relationship Id="rId2495" Type="http://schemas.openxmlformats.org/officeDocument/2006/relationships/hyperlink" Target="https://www150.statcan.gc.ca/n1/pub/75-004-m/75-004-m2020001-eng.htm" TargetMode="External"/><Relationship Id="rId467" Type="http://schemas.openxmlformats.org/officeDocument/2006/relationships/hyperlink" Target="https://www150.statcan.gc.ca/n1/pub/82-003-x/2015008/article/14216-eng.htm" TargetMode="External"/><Relationship Id="rId1097" Type="http://schemas.openxmlformats.org/officeDocument/2006/relationships/hyperlink" Target="https://www150.statcan.gc.ca/n1/pub/75-006-x/2018001/article/54980-eng.htm" TargetMode="External"/><Relationship Id="rId2148" Type="http://schemas.openxmlformats.org/officeDocument/2006/relationships/hyperlink" Target="https://www150.statcan.gc.ca/n1/pub/75-006-x/2015001/article/14194-eng.htm" TargetMode="External"/><Relationship Id="rId674" Type="http://schemas.openxmlformats.org/officeDocument/2006/relationships/hyperlink" Target="https://www150.statcan.gc.ca/n1/pub/75f0002m/75f0002m2020002-eng.htm" TargetMode="External"/><Relationship Id="rId881" Type="http://schemas.openxmlformats.org/officeDocument/2006/relationships/hyperlink" Target="https://www150.statcan.gc.ca/n1/pub/11f0019m/11f0019m2020017-eng.htm" TargetMode="External"/><Relationship Id="rId2355" Type="http://schemas.openxmlformats.org/officeDocument/2006/relationships/hyperlink" Target="https://www150.statcan.gc.ca/n1/pub/11f0019m/11f0019m2017397-eng.htm" TargetMode="External"/><Relationship Id="rId2562" Type="http://schemas.openxmlformats.org/officeDocument/2006/relationships/hyperlink" Target="https://www150.statcan.gc.ca/n1/pub/11f0019m/11f0019m2019001-eng.htm" TargetMode="External"/><Relationship Id="rId327" Type="http://schemas.openxmlformats.org/officeDocument/2006/relationships/hyperlink" Target="https://www150.statcan.gc.ca/n1/pub/89-648-x/89-648-x2020003-eng.htm" TargetMode="External"/><Relationship Id="rId534" Type="http://schemas.openxmlformats.org/officeDocument/2006/relationships/hyperlink" Target="https://www150.statcan.gc.ca/n1/pub/89-652-x/89-652-x2015001-eng.htm" TargetMode="External"/><Relationship Id="rId741" Type="http://schemas.openxmlformats.org/officeDocument/2006/relationships/hyperlink" Target="https://www150.statcan.gc.ca/n1/pub/85-002-x/2020001/article/00003-eng.htm" TargetMode="External"/><Relationship Id="rId1164" Type="http://schemas.openxmlformats.org/officeDocument/2006/relationships/hyperlink" Target="https://www150.statcan.gc.ca/n1/pub/11f0019m/11f0019m2019022-eng.htm" TargetMode="External"/><Relationship Id="rId1371" Type="http://schemas.openxmlformats.org/officeDocument/2006/relationships/hyperlink" Target="https://www150.statcan.gc.ca/n1/pub/11f0019m/11f0019m2020003-eng.htm" TargetMode="External"/><Relationship Id="rId2008" Type="http://schemas.openxmlformats.org/officeDocument/2006/relationships/hyperlink" Target="https://www150.statcan.gc.ca/n1/pub/85-002-x/2015001/article/14234-eng.htm" TargetMode="External"/><Relationship Id="rId2215" Type="http://schemas.openxmlformats.org/officeDocument/2006/relationships/hyperlink" Target="https://www150.statcan.gc.ca/n1/pub/85-002-x/2018001/article/54972-eng.htm" TargetMode="External"/><Relationship Id="rId2422" Type="http://schemas.openxmlformats.org/officeDocument/2006/relationships/hyperlink" Target="https://www150.statcan.gc.ca/n1/pub/85-002-x/2019001/article/00009-eng.htm" TargetMode="External"/><Relationship Id="rId601" Type="http://schemas.openxmlformats.org/officeDocument/2006/relationships/hyperlink" Target="https://www150.statcan.gc.ca/n1/pub/75-006-x/2018001/article/54969-eng.htm" TargetMode="External"/><Relationship Id="rId1024" Type="http://schemas.openxmlformats.org/officeDocument/2006/relationships/hyperlink" Target="https://www150.statcan.gc.ca/n1/pub/82-003-x/2018012/article/00002-eng.htm" TargetMode="External"/><Relationship Id="rId1231" Type="http://schemas.openxmlformats.org/officeDocument/2006/relationships/hyperlink" Target="https://www150.statcan.gc.ca/n1/pub/82-003-x/2016002/article/14311-eng.htm" TargetMode="External"/><Relationship Id="rId184" Type="http://schemas.openxmlformats.org/officeDocument/2006/relationships/hyperlink" Target="https://www150.statcan.gc.ca/n1/pub/13-605-x/2019001/article/00012-eng.htm" TargetMode="External"/><Relationship Id="rId391" Type="http://schemas.openxmlformats.org/officeDocument/2006/relationships/hyperlink" Target="https://www150.statcan.gc.ca/n1/pub/11f0019m/11f0019m2020005-eng.htm" TargetMode="External"/><Relationship Id="rId1908" Type="http://schemas.openxmlformats.org/officeDocument/2006/relationships/hyperlink" Target="https://www150.statcan.gc.ca/n1/pub/75f0002m/75f0002m2019012-eng.htm" TargetMode="External"/><Relationship Id="rId2072" Type="http://schemas.openxmlformats.org/officeDocument/2006/relationships/hyperlink" Target="https://www150.statcan.gc.ca/n1/pub/85-002-x/2019001/article/00001-eng.htm" TargetMode="External"/><Relationship Id="rId251" Type="http://schemas.openxmlformats.org/officeDocument/2006/relationships/hyperlink" Target="https://www150.statcan.gc.ca/n1/pub/89-657-x/89-657-x2019004-eng.htm" TargetMode="External"/><Relationship Id="rId111" Type="http://schemas.openxmlformats.org/officeDocument/2006/relationships/hyperlink" Target="https://www150.statcan.gc.ca/n1/pub/82-003-x/2016005/article/14612-eng.htm" TargetMode="External"/><Relationship Id="rId1698" Type="http://schemas.openxmlformats.org/officeDocument/2006/relationships/hyperlink" Target="https://www150.statcan.gc.ca/n1/pub/11f0019m/11f0019m2015371-eng.htm" TargetMode="External"/><Relationship Id="rId2749" Type="http://schemas.openxmlformats.org/officeDocument/2006/relationships/hyperlink" Target="https://www150.statcan.gc.ca/n1/pub/89-503-x/2015001/article/14680-eng.htm" TargetMode="External"/><Relationship Id="rId928" Type="http://schemas.openxmlformats.org/officeDocument/2006/relationships/hyperlink" Target="https://www150.statcan.gc.ca/n1/pub/85-002-x/2015001/article/14201-eng.htm" TargetMode="External"/><Relationship Id="rId1558" Type="http://schemas.openxmlformats.org/officeDocument/2006/relationships/hyperlink" Target="https://www150.statcan.gc.ca/n1/pub/89-652-x/89-652-x2016001-eng.htm" TargetMode="External"/><Relationship Id="rId1765" Type="http://schemas.openxmlformats.org/officeDocument/2006/relationships/hyperlink" Target="https://www150.statcan.gc.ca/n1/pub/89-657-x/89-657-x2019010-eng.htm" TargetMode="External"/><Relationship Id="rId2609" Type="http://schemas.openxmlformats.org/officeDocument/2006/relationships/hyperlink" Target="https://www150.statcan.gc.ca/n1/pub/11-626-x/11-626-x2016060-eng.htm" TargetMode="External"/><Relationship Id="rId57" Type="http://schemas.openxmlformats.org/officeDocument/2006/relationships/hyperlink" Target="https://www150.statcan.gc.ca/n1/pub/89-657-x/89-657-x2017003-eng.htm" TargetMode="External"/><Relationship Id="rId1418" Type="http://schemas.openxmlformats.org/officeDocument/2006/relationships/hyperlink" Target="https://www150.statcan.gc.ca/n1/pub/13-605-x/2017001/article/54867-eng.htm" TargetMode="External"/><Relationship Id="rId1972" Type="http://schemas.openxmlformats.org/officeDocument/2006/relationships/hyperlink" Target="https://www150.statcan.gc.ca/n1/pub/85-002-x/2018001/article/54974-eng.htm" TargetMode="External"/><Relationship Id="rId2816" Type="http://schemas.openxmlformats.org/officeDocument/2006/relationships/hyperlink" Target="https://www150.statcan.gc.ca/n1/pub/85-002-x/2018001/article/54981-eng.htm" TargetMode="External"/><Relationship Id="rId1625" Type="http://schemas.openxmlformats.org/officeDocument/2006/relationships/hyperlink" Target="https://www150.statcan.gc.ca/n1/pub/89-503-x/2015001/article/14316-eng.htm" TargetMode="External"/><Relationship Id="rId1832" Type="http://schemas.openxmlformats.org/officeDocument/2006/relationships/hyperlink" Target="https://www150.statcan.gc.ca/n1/pub/11-626-x/11-626-x2018082-eng.htm" TargetMode="External"/><Relationship Id="rId2399" Type="http://schemas.openxmlformats.org/officeDocument/2006/relationships/hyperlink" Target="https://www150.statcan.gc.ca/n1/pub/75-006-x/2015001/article/14154-eng.htm" TargetMode="External"/><Relationship Id="rId578" Type="http://schemas.openxmlformats.org/officeDocument/2006/relationships/hyperlink" Target="https://www150.statcan.gc.ca/n1/pub/11f0019m/11f0019m2016375-eng.htm" TargetMode="External"/><Relationship Id="rId785" Type="http://schemas.openxmlformats.org/officeDocument/2006/relationships/hyperlink" Target="https://www150.statcan.gc.ca/n1/pub/89-503-x/2015001/article/14152-eng.htm" TargetMode="External"/><Relationship Id="rId992" Type="http://schemas.openxmlformats.org/officeDocument/2006/relationships/hyperlink" Target="https://www150.statcan.gc.ca/n1/pub/11f0019m/11f0019m2017394-eng.htm" TargetMode="External"/><Relationship Id="rId2259" Type="http://schemas.openxmlformats.org/officeDocument/2006/relationships/hyperlink" Target="https://www150.statcan.gc.ca/n1/pub/85-002-x/2016001/article/14303-eng.htm" TargetMode="External"/><Relationship Id="rId2466" Type="http://schemas.openxmlformats.org/officeDocument/2006/relationships/hyperlink" Target="https://www150.statcan.gc.ca/n1/pub/85-002-x/2020001/article/00005-eng.htm" TargetMode="External"/><Relationship Id="rId2673" Type="http://schemas.openxmlformats.org/officeDocument/2006/relationships/hyperlink" Target="https://www150.statcan.gc.ca/n1/pub/85-002-x/2015001/article/14241-eng.htm" TargetMode="External"/><Relationship Id="rId438" Type="http://schemas.openxmlformats.org/officeDocument/2006/relationships/hyperlink" Target="https://www150.statcan.gc.ca/n1/pub/89-657-x/89-657-x2016002-eng.htm" TargetMode="External"/><Relationship Id="rId645" Type="http://schemas.openxmlformats.org/officeDocument/2006/relationships/hyperlink" Target="https://www150.statcan.gc.ca/n1/pub/11-626-x/11-626-x2015049-eng.htm" TargetMode="External"/><Relationship Id="rId852" Type="http://schemas.openxmlformats.org/officeDocument/2006/relationships/hyperlink" Target="https://www150.statcan.gc.ca/n1/pub/81-595-m/81-595-m2020002-eng.htm" TargetMode="External"/><Relationship Id="rId1068" Type="http://schemas.openxmlformats.org/officeDocument/2006/relationships/hyperlink" Target="https://www150.statcan.gc.ca/n1/pub/75f0002m/75f0002m2018001-eng.htm" TargetMode="External"/><Relationship Id="rId1275" Type="http://schemas.openxmlformats.org/officeDocument/2006/relationships/hyperlink" Target="https://www150.statcan.gc.ca/n1/pub/11f0019m/11f0019m2016386-eng.htm" TargetMode="External"/><Relationship Id="rId1482" Type="http://schemas.openxmlformats.org/officeDocument/2006/relationships/hyperlink" Target="https://www150.statcan.gc.ca/n1/pub/85-002-x/2020001/article/00012-eng.htm" TargetMode="External"/><Relationship Id="rId2119" Type="http://schemas.openxmlformats.org/officeDocument/2006/relationships/hyperlink" Target="https://www150.statcan.gc.ca/n1/pub/11-626-x/11-626-x2018079-eng.htm" TargetMode="External"/><Relationship Id="rId2326" Type="http://schemas.openxmlformats.org/officeDocument/2006/relationships/hyperlink" Target="https://www150.statcan.gc.ca/n1/pub/85-002-x/2020001/article/00008-eng.htm" TargetMode="External"/><Relationship Id="rId2533" Type="http://schemas.openxmlformats.org/officeDocument/2006/relationships/hyperlink" Target="https://www150.statcan.gc.ca/n1/pub/89-653-x/89-653-x2016010-eng.htm" TargetMode="External"/><Relationship Id="rId2740" Type="http://schemas.openxmlformats.org/officeDocument/2006/relationships/hyperlink" Target="https://www150.statcan.gc.ca/n1/pub/89-503-x/2015001/article/14680-eng.htm" TargetMode="External"/><Relationship Id="rId505" Type="http://schemas.openxmlformats.org/officeDocument/2006/relationships/hyperlink" Target="https://www150.statcan.gc.ca/n1/pub/82-003-x/2019008/article/00002-eng.htm" TargetMode="External"/><Relationship Id="rId712" Type="http://schemas.openxmlformats.org/officeDocument/2006/relationships/hyperlink" Target="https://www150.statcan.gc.ca/n1/pub/75-006-x/2018001/article/54976-eng.htm" TargetMode="External"/><Relationship Id="rId1135" Type="http://schemas.openxmlformats.org/officeDocument/2006/relationships/hyperlink" Target="https://www150.statcan.gc.ca/n1/pub/75-006-x/2019001/article/00009-eng.htm" TargetMode="External"/><Relationship Id="rId1342" Type="http://schemas.openxmlformats.org/officeDocument/2006/relationships/hyperlink" Target="https://www150.statcan.gc.ca/n1/pub/85-002-x/2020001/article/00010-eng.htm" TargetMode="External"/><Relationship Id="rId1202" Type="http://schemas.openxmlformats.org/officeDocument/2006/relationships/hyperlink" Target="https://www150.statcan.gc.ca/n1/pub/91-551-x/91-551-x2017001-eng.htm" TargetMode="External"/><Relationship Id="rId2600" Type="http://schemas.openxmlformats.org/officeDocument/2006/relationships/hyperlink" Target="https://www150.statcan.gc.ca/n1/pub/82-003-x/2017005/article/14790-eng.htm" TargetMode="External"/><Relationship Id="rId295" Type="http://schemas.openxmlformats.org/officeDocument/2006/relationships/hyperlink" Target="https://www150.statcan.gc.ca/n1/pub/82-003-x/2017012/article/54892-eng.htm" TargetMode="External"/><Relationship Id="rId2183" Type="http://schemas.openxmlformats.org/officeDocument/2006/relationships/hyperlink" Target="https://www150.statcan.gc.ca/n1/pub/89-653-x/89-653-x2019003-eng.htm" TargetMode="External"/><Relationship Id="rId2390" Type="http://schemas.openxmlformats.org/officeDocument/2006/relationships/hyperlink" Target="https://www150.statcan.gc.ca/n1/pub/75-006-x/2020001/article/00006-eng.htm" TargetMode="External"/><Relationship Id="rId155" Type="http://schemas.openxmlformats.org/officeDocument/2006/relationships/hyperlink" Target="https://www150.statcan.gc.ca/n1/pub/11f0019m/11f0019m2020008-eng.htm" TargetMode="External"/><Relationship Id="rId362" Type="http://schemas.openxmlformats.org/officeDocument/2006/relationships/hyperlink" Target="https://www150.statcan.gc.ca/n1/pub/85-002-x/2018001/article/54912-eng.htm" TargetMode="External"/><Relationship Id="rId2043" Type="http://schemas.openxmlformats.org/officeDocument/2006/relationships/hyperlink" Target="https://www150.statcan.gc.ca/n1/pub/11f0019m/11f0019m2020012-eng.htm" TargetMode="External"/><Relationship Id="rId2250" Type="http://schemas.openxmlformats.org/officeDocument/2006/relationships/hyperlink" Target="https://www150.statcan.gc.ca/n1/pub/85-002-x/2016001/article/14303-eng.htm" TargetMode="External"/><Relationship Id="rId222" Type="http://schemas.openxmlformats.org/officeDocument/2006/relationships/hyperlink" Target="https://www150.statcan.gc.ca/n1/pub/11f0019m/11f0019m2019014-eng.htm" TargetMode="External"/><Relationship Id="rId2110" Type="http://schemas.openxmlformats.org/officeDocument/2006/relationships/hyperlink" Target="https://www150.statcan.gc.ca/n1/pub/85-002-x/2016001/article/14323-eng.htm" TargetMode="External"/><Relationship Id="rId1669" Type="http://schemas.openxmlformats.org/officeDocument/2006/relationships/hyperlink" Target="https://www150.statcan.gc.ca/n1/pub/85-002-x/2018001/article/54980-eng.htm" TargetMode="External"/><Relationship Id="rId1876" Type="http://schemas.openxmlformats.org/officeDocument/2006/relationships/hyperlink" Target="https://www150.statcan.gc.ca/n1/pub/82-003-x/2019010/article/00001-eng.htm" TargetMode="External"/><Relationship Id="rId1529" Type="http://schemas.openxmlformats.org/officeDocument/2006/relationships/hyperlink" Target="https://www150.statcan.gc.ca/n1/pub/11f0019m/11f0019m2016377-eng.htm" TargetMode="External"/><Relationship Id="rId1736" Type="http://schemas.openxmlformats.org/officeDocument/2006/relationships/hyperlink" Target="https://www150.statcan.gc.ca/n1/pub/82-003-x/2019005/article/00001-eng.htm" TargetMode="External"/><Relationship Id="rId1943" Type="http://schemas.openxmlformats.org/officeDocument/2006/relationships/hyperlink" Target="https://www150.statcan.gc.ca/n1/pub/85-002-x/2019001/article/00016-eng.htm" TargetMode="External"/><Relationship Id="rId28" Type="http://schemas.openxmlformats.org/officeDocument/2006/relationships/hyperlink" Target="https://www150.statcan.gc.ca/n1/pub/82-003-x/2018005/article/54965-eng.htm" TargetMode="External"/><Relationship Id="rId1803" Type="http://schemas.openxmlformats.org/officeDocument/2006/relationships/hyperlink" Target="https://www150.statcan.gc.ca/n1/pub/75-004-m/75-004-m2016001-eng.htm" TargetMode="External"/><Relationship Id="rId689" Type="http://schemas.openxmlformats.org/officeDocument/2006/relationships/hyperlink" Target="https://www150.statcan.gc.ca/n1/pub/11f0019m/11f0019m2016381-eng.htm" TargetMode="External"/><Relationship Id="rId896" Type="http://schemas.openxmlformats.org/officeDocument/2006/relationships/hyperlink" Target="https://www150.statcan.gc.ca/n1/pub/75-006-x/2016001/article/14669-eng.htm" TargetMode="External"/><Relationship Id="rId2577" Type="http://schemas.openxmlformats.org/officeDocument/2006/relationships/hyperlink" Target="https://www150.statcan.gc.ca/n1/pub/75-006-x/2019001/article/00006-eng.htm" TargetMode="External"/><Relationship Id="rId2784" Type="http://schemas.openxmlformats.org/officeDocument/2006/relationships/hyperlink" Target="https://www150.statcan.gc.ca/n1/pub/89-657-x/89-657-x2018001-eng.htm" TargetMode="External"/><Relationship Id="rId549" Type="http://schemas.openxmlformats.org/officeDocument/2006/relationships/hyperlink" Target="https://www150.statcan.gc.ca/n1/pub/11f0019m/11f0019m2019009-eng.htm" TargetMode="External"/><Relationship Id="rId756" Type="http://schemas.openxmlformats.org/officeDocument/2006/relationships/hyperlink" Target="https://www150.statcan.gc.ca/n1/pub/89-503-x/2015001/article/14315-eng.htm" TargetMode="External"/><Relationship Id="rId1179" Type="http://schemas.openxmlformats.org/officeDocument/2006/relationships/hyperlink" Target="https://www150.statcan.gc.ca/n1/pub/85-002-x/2019001/article/00010-eng.htm" TargetMode="External"/><Relationship Id="rId1386" Type="http://schemas.openxmlformats.org/officeDocument/2006/relationships/hyperlink" Target="https://www150.statcan.gc.ca/n1/pub/15-206-x/15-206-x2015039-eng.htm" TargetMode="External"/><Relationship Id="rId1593" Type="http://schemas.openxmlformats.org/officeDocument/2006/relationships/hyperlink" Target="https://www150.statcan.gc.ca/n1/pub/11-626-x/11-626-x2020021-eng.htm" TargetMode="External"/><Relationship Id="rId2437" Type="http://schemas.openxmlformats.org/officeDocument/2006/relationships/hyperlink" Target="https://www150.statcan.gc.ca/n1/pub/11-621-m/11-621-m2019005-eng.htm" TargetMode="External"/><Relationship Id="rId409" Type="http://schemas.openxmlformats.org/officeDocument/2006/relationships/hyperlink" Target="https://www150.statcan.gc.ca/n1/pub/11f0019m/11f0019m2019025-eng.htm" TargetMode="External"/><Relationship Id="rId963" Type="http://schemas.openxmlformats.org/officeDocument/2006/relationships/hyperlink" Target="https://www150.statcan.gc.ca/n1/pub/11-626-x/11-626-x2016066-eng.htm" TargetMode="External"/><Relationship Id="rId1039" Type="http://schemas.openxmlformats.org/officeDocument/2006/relationships/hyperlink" Target="https://www150.statcan.gc.ca/n1/pub/11f0019m/11f0019m2018401-eng.htm" TargetMode="External"/><Relationship Id="rId1246" Type="http://schemas.openxmlformats.org/officeDocument/2006/relationships/hyperlink" Target="https://www150.statcan.gc.ca/n1/pub/85-002-x/2017001/article/54842-eng.htm" TargetMode="External"/><Relationship Id="rId2644" Type="http://schemas.openxmlformats.org/officeDocument/2006/relationships/hyperlink" Target="https://www150.statcan.gc.ca/n1/pub/82-003-x/2020007/article/00002-eng.htm" TargetMode="External"/><Relationship Id="rId92" Type="http://schemas.openxmlformats.org/officeDocument/2006/relationships/hyperlink" Target="https://www150.statcan.gc.ca/n1/pub/89-657-x/89-657-x2017005-eng.htm" TargetMode="External"/><Relationship Id="rId616" Type="http://schemas.openxmlformats.org/officeDocument/2006/relationships/hyperlink" Target="https://www150.statcan.gc.ca/n1/pub/89-654-x/89-654-x2018002-eng.htm" TargetMode="External"/><Relationship Id="rId823" Type="http://schemas.openxmlformats.org/officeDocument/2006/relationships/hyperlink" Target="https://www150.statcan.gc.ca/n1/pub/51-004-x/51-004-x2019009-eng.htm" TargetMode="External"/><Relationship Id="rId1453" Type="http://schemas.openxmlformats.org/officeDocument/2006/relationships/hyperlink" Target="https://www150.statcan.gc.ca/n1/pub/11-626-x/11-626-x2020015-eng.htm" TargetMode="External"/><Relationship Id="rId1660" Type="http://schemas.openxmlformats.org/officeDocument/2006/relationships/hyperlink" Target="https://www150.statcan.gc.ca/n1/pub/85-002-x/2018001/article/54980-eng.htm" TargetMode="External"/><Relationship Id="rId2504" Type="http://schemas.openxmlformats.org/officeDocument/2006/relationships/hyperlink" Target="https://www150.statcan.gc.ca/n1/pub/11-633-x/11-633-x2018017-eng.htm" TargetMode="External"/><Relationship Id="rId2711" Type="http://schemas.openxmlformats.org/officeDocument/2006/relationships/hyperlink" Target="https://www150.statcan.gc.ca/n1/pub/11-621-m/11-621-m2019004-eng.htm" TargetMode="External"/><Relationship Id="rId1106" Type="http://schemas.openxmlformats.org/officeDocument/2006/relationships/hyperlink" Target="https://www150.statcan.gc.ca/n1/pub/89-648-x/89-648-x2016001-eng.htm" TargetMode="External"/><Relationship Id="rId1313" Type="http://schemas.openxmlformats.org/officeDocument/2006/relationships/hyperlink" Target="https://www150.statcan.gc.ca/n1/pub/82-003-x/2016001/article/14306-eng.htm" TargetMode="External"/><Relationship Id="rId1520" Type="http://schemas.openxmlformats.org/officeDocument/2006/relationships/hyperlink" Target="https://www150.statcan.gc.ca/n1/pub/75-006-x/2020001/article/00005-eng.htm" TargetMode="External"/><Relationship Id="rId199" Type="http://schemas.openxmlformats.org/officeDocument/2006/relationships/hyperlink" Target="https://www150.statcan.gc.ca/n1/pub/18-001-x/18-001-x2019002-eng.htm" TargetMode="External"/><Relationship Id="rId2087" Type="http://schemas.openxmlformats.org/officeDocument/2006/relationships/hyperlink" Target="https://www150.statcan.gc.ca/n1/pub/13-605-x/2018001/article/54968-eng.htm" TargetMode="External"/><Relationship Id="rId2294" Type="http://schemas.openxmlformats.org/officeDocument/2006/relationships/hyperlink" Target="https://www150.statcan.gc.ca/n1/pub/89-503-x/2015001/article/14640-eng.htm" TargetMode="External"/><Relationship Id="rId266" Type="http://schemas.openxmlformats.org/officeDocument/2006/relationships/hyperlink" Target="https://www150.statcan.gc.ca/n1/pub/11-626-x/11-626-x2020017-eng.htm" TargetMode="External"/><Relationship Id="rId473" Type="http://schemas.openxmlformats.org/officeDocument/2006/relationships/hyperlink" Target="https://www150.statcan.gc.ca/n1/pub/75-006-x/2017001/article/54854-eng.htm" TargetMode="External"/><Relationship Id="rId680" Type="http://schemas.openxmlformats.org/officeDocument/2006/relationships/hyperlink" Target="https://www150.statcan.gc.ca/n1/pub/11f0019m/11f0019m2016381-eng.htm" TargetMode="External"/><Relationship Id="rId2154" Type="http://schemas.openxmlformats.org/officeDocument/2006/relationships/hyperlink" Target="https://www150.statcan.gc.ca/n1/pub/82-003-x/2017010/article/54876-eng.htm" TargetMode="External"/><Relationship Id="rId2361" Type="http://schemas.openxmlformats.org/officeDocument/2006/relationships/hyperlink" Target="https://www150.statcan.gc.ca/n1/pub/11f0019m/11f0019m2017397-eng.htm" TargetMode="External"/><Relationship Id="rId126" Type="http://schemas.openxmlformats.org/officeDocument/2006/relationships/hyperlink" Target="https://www150.statcan.gc.ca/n1/pub/13-604-m/13-604-m2016081-eng.htm" TargetMode="External"/><Relationship Id="rId333" Type="http://schemas.openxmlformats.org/officeDocument/2006/relationships/hyperlink" Target="https://www150.statcan.gc.ca/n1/pub/82-003-x/2019004/article/00001-eng.htm" TargetMode="External"/><Relationship Id="rId540" Type="http://schemas.openxmlformats.org/officeDocument/2006/relationships/hyperlink" Target="https://www150.statcan.gc.ca/n1/pub/11-626-x/11-626-x2019016-eng.htm" TargetMode="External"/><Relationship Id="rId1170" Type="http://schemas.openxmlformats.org/officeDocument/2006/relationships/hyperlink" Target="https://www150.statcan.gc.ca/n1/pub/82-003-x/2015007/article/14206-eng.htm" TargetMode="External"/><Relationship Id="rId2014" Type="http://schemas.openxmlformats.org/officeDocument/2006/relationships/hyperlink" Target="https://www150.statcan.gc.ca/n1/pub/85-002-x/2015001/article/14234-eng.htm" TargetMode="External"/><Relationship Id="rId2221" Type="http://schemas.openxmlformats.org/officeDocument/2006/relationships/hyperlink" Target="https://www150.statcan.gc.ca/n1/pub/11f0019m/11f0019m2020016-eng.htm" TargetMode="External"/><Relationship Id="rId1030" Type="http://schemas.openxmlformats.org/officeDocument/2006/relationships/hyperlink" Target="https://www150.statcan.gc.ca/n1/pub/85-002-x/2015001/article/14163-eng.htm" TargetMode="External"/><Relationship Id="rId400" Type="http://schemas.openxmlformats.org/officeDocument/2006/relationships/hyperlink" Target="https://www150.statcan.gc.ca/n1/pub/75-006-x/2016001/article/14630-eng.htm" TargetMode="External"/><Relationship Id="rId1987" Type="http://schemas.openxmlformats.org/officeDocument/2006/relationships/hyperlink" Target="https://www150.statcan.gc.ca/n1/pub/99-011-x/99-011-x2019002-eng.htm" TargetMode="External"/><Relationship Id="rId1847" Type="http://schemas.openxmlformats.org/officeDocument/2006/relationships/hyperlink" Target="https://www150.statcan.gc.ca/n1/pub/85-002-x/2020001/article/00015-eng.htm" TargetMode="External"/><Relationship Id="rId1707" Type="http://schemas.openxmlformats.org/officeDocument/2006/relationships/hyperlink" Target="https://www150.statcan.gc.ca/n1/pub/75-006-x/2015001/article/14134-eng.htm" TargetMode="External"/><Relationship Id="rId190" Type="http://schemas.openxmlformats.org/officeDocument/2006/relationships/hyperlink" Target="https://www150.statcan.gc.ca/n1/pub/18-001-x/18-001-x2019002-eng.htm" TargetMode="External"/><Relationship Id="rId1914" Type="http://schemas.openxmlformats.org/officeDocument/2006/relationships/hyperlink" Target="https://www150.statcan.gc.ca/n1/pub/85-002-x/2016001/article/14656-eng.htm" TargetMode="External"/><Relationship Id="rId2688" Type="http://schemas.openxmlformats.org/officeDocument/2006/relationships/hyperlink" Target="https://www150.statcan.gc.ca/n1/pub/89-653-x/89-653-x2019001-eng.htm" TargetMode="External"/><Relationship Id="rId867" Type="http://schemas.openxmlformats.org/officeDocument/2006/relationships/hyperlink" Target="https://www150.statcan.gc.ca/n1/pub/11f0019m/11f0019m2018407-eng.htm" TargetMode="External"/><Relationship Id="rId1497" Type="http://schemas.openxmlformats.org/officeDocument/2006/relationships/hyperlink" Target="https://www150.statcan.gc.ca/n1/pub/85-002-x/2015001/article/14224-eng.htm" TargetMode="External"/><Relationship Id="rId2548" Type="http://schemas.openxmlformats.org/officeDocument/2006/relationships/hyperlink" Target="https://www150.statcan.gc.ca/n1/pub/89-652-x/89-652-x2015008-eng.htm" TargetMode="External"/><Relationship Id="rId2755" Type="http://schemas.openxmlformats.org/officeDocument/2006/relationships/hyperlink" Target="https://www150.statcan.gc.ca/n1/pub/89-503-x/2015001/article/14680-eng.htm" TargetMode="External"/><Relationship Id="rId727" Type="http://schemas.openxmlformats.org/officeDocument/2006/relationships/hyperlink" Target="https://www150.statcan.gc.ca/n1/pub/82-003-x/2015005/article/14169-eng.htm" TargetMode="External"/><Relationship Id="rId934" Type="http://schemas.openxmlformats.org/officeDocument/2006/relationships/hyperlink" Target="https://www150.statcan.gc.ca/n1/pub/85-002-x/2015001/article/14201-eng.htm" TargetMode="External"/><Relationship Id="rId1357" Type="http://schemas.openxmlformats.org/officeDocument/2006/relationships/hyperlink" Target="https://www150.statcan.gc.ca/n1/pub/85-002-x/2019001/article/00012-eng.htm" TargetMode="External"/><Relationship Id="rId1564" Type="http://schemas.openxmlformats.org/officeDocument/2006/relationships/hyperlink" Target="https://www150.statcan.gc.ca/n1/pub/11-633-x/11-633-x2018012-eng.htm" TargetMode="External"/><Relationship Id="rId1771" Type="http://schemas.openxmlformats.org/officeDocument/2006/relationships/hyperlink" Target="https://www150.statcan.gc.ca/n1/pub/89-657-x/89-657-x2019010-eng.htm" TargetMode="External"/><Relationship Id="rId2408" Type="http://schemas.openxmlformats.org/officeDocument/2006/relationships/hyperlink" Target="https://www150.statcan.gc.ca/n1/pub/82-003-x/2018002/article/54909-eng.htm" TargetMode="External"/><Relationship Id="rId2615" Type="http://schemas.openxmlformats.org/officeDocument/2006/relationships/hyperlink" Target="https://www150.statcan.gc.ca/n1/pub/89-652-x/89-652-x2015005-eng.htm" TargetMode="External"/><Relationship Id="rId2822" Type="http://schemas.openxmlformats.org/officeDocument/2006/relationships/hyperlink" Target="https://www150.statcan.gc.ca/n1/pub/85-002-x/2018001/article/54981-eng.htm" TargetMode="External"/><Relationship Id="rId63" Type="http://schemas.openxmlformats.org/officeDocument/2006/relationships/hyperlink" Target="https://www150.statcan.gc.ca/n1/pub/89-657-x/89-657-x2017003-eng.htm" TargetMode="External"/><Relationship Id="rId1217" Type="http://schemas.openxmlformats.org/officeDocument/2006/relationships/hyperlink" Target="https://www150.statcan.gc.ca/n1/pub/82-003-x/2018002/article/54908-eng.htm" TargetMode="External"/><Relationship Id="rId1424" Type="http://schemas.openxmlformats.org/officeDocument/2006/relationships/hyperlink" Target="https://www150.statcan.gc.ca/n1/pub/11f0019m/11f0019m2019011-eng.htm" TargetMode="External"/><Relationship Id="rId1631" Type="http://schemas.openxmlformats.org/officeDocument/2006/relationships/hyperlink" Target="https://www150.statcan.gc.ca/n1/pub/89-503-x/2015001/article/14316-eng.htm" TargetMode="External"/><Relationship Id="rId2198" Type="http://schemas.openxmlformats.org/officeDocument/2006/relationships/hyperlink" Target="https://www150.statcan.gc.ca/n1/pub/82-003-x/2015011/article/14242-eng.htm" TargetMode="External"/><Relationship Id="rId377" Type="http://schemas.openxmlformats.org/officeDocument/2006/relationships/hyperlink" Target="https://www150.statcan.gc.ca/n1/pub/11f0019m/11f0019m2018410-eng.htm" TargetMode="External"/><Relationship Id="rId584" Type="http://schemas.openxmlformats.org/officeDocument/2006/relationships/hyperlink" Target="https://www150.statcan.gc.ca/n1/pub/11f0019m/11f0019m2016375-eng.htm" TargetMode="External"/><Relationship Id="rId2058" Type="http://schemas.openxmlformats.org/officeDocument/2006/relationships/hyperlink" Target="https://www150.statcan.gc.ca/n1/pub/11f0019m/11f0019m2019023-eng.htm" TargetMode="External"/><Relationship Id="rId2265" Type="http://schemas.openxmlformats.org/officeDocument/2006/relationships/hyperlink" Target="https://www150.statcan.gc.ca/n1/pub/85-002-x/2016001/article/14303-eng.htm" TargetMode="External"/><Relationship Id="rId237" Type="http://schemas.openxmlformats.org/officeDocument/2006/relationships/hyperlink" Target="https://www150.statcan.gc.ca/n1/pub/82-003-x/2020008/article/00002-eng.htm" TargetMode="External"/><Relationship Id="rId791" Type="http://schemas.openxmlformats.org/officeDocument/2006/relationships/hyperlink" Target="https://www150.statcan.gc.ca/n1/pub/89-503-x/2015001/article/14152-eng.htm" TargetMode="External"/><Relationship Id="rId1074" Type="http://schemas.openxmlformats.org/officeDocument/2006/relationships/hyperlink" Target="https://www150.statcan.gc.ca/n1/pub/82-003-x/2018010/article/00001-eng.htm" TargetMode="External"/><Relationship Id="rId2472" Type="http://schemas.openxmlformats.org/officeDocument/2006/relationships/hyperlink" Target="https://www150.statcan.gc.ca/n1/pub/85-002-x/2020001/article/00005-eng.htm" TargetMode="External"/><Relationship Id="rId444" Type="http://schemas.openxmlformats.org/officeDocument/2006/relationships/hyperlink" Target="https://www150.statcan.gc.ca/n1/pub/13-605-x/2019001/article/00003-eng.htm" TargetMode="External"/><Relationship Id="rId651" Type="http://schemas.openxmlformats.org/officeDocument/2006/relationships/hyperlink" Target="https://www150.statcan.gc.ca/n1/pub/82-003-x/2016003/article/14339-eng.htm" TargetMode="External"/><Relationship Id="rId1281" Type="http://schemas.openxmlformats.org/officeDocument/2006/relationships/hyperlink" Target="https://www150.statcan.gc.ca/n1/pub/85-002-x/2020001/article/00014-eng.htm" TargetMode="External"/><Relationship Id="rId2125" Type="http://schemas.openxmlformats.org/officeDocument/2006/relationships/hyperlink" Target="https://www150.statcan.gc.ca/n1/pub/75-006-x/2017001/article/54878-eng.htm" TargetMode="External"/><Relationship Id="rId2332" Type="http://schemas.openxmlformats.org/officeDocument/2006/relationships/hyperlink" Target="https://www150.statcan.gc.ca/n1/pub/82-003-x/2016009/article/14653-eng.htm" TargetMode="External"/><Relationship Id="rId304" Type="http://schemas.openxmlformats.org/officeDocument/2006/relationships/hyperlink" Target="https://www150.statcan.gc.ca/n1/pub/82-003-x/2015010/article/14222-eng.htm" TargetMode="External"/><Relationship Id="rId511" Type="http://schemas.openxmlformats.org/officeDocument/2006/relationships/hyperlink" Target="https://www150.statcan.gc.ca/n1/pub/82-003-x/2016008/article/14647-eng.htm" TargetMode="External"/><Relationship Id="rId1141" Type="http://schemas.openxmlformats.org/officeDocument/2006/relationships/hyperlink" Target="https://www150.statcan.gc.ca/n1/pub/11-633-x/11-633-x2017009-eng.htm" TargetMode="External"/><Relationship Id="rId1001" Type="http://schemas.openxmlformats.org/officeDocument/2006/relationships/hyperlink" Target="https://www150.statcan.gc.ca/n1/pub/89-657-x/89-657-x2020001-eng.htm" TargetMode="External"/><Relationship Id="rId1958" Type="http://schemas.openxmlformats.org/officeDocument/2006/relationships/hyperlink" Target="https://www150.statcan.gc.ca/n1/pub/85-002-x/2017001/article/54879-eng.htm" TargetMode="External"/><Relationship Id="rId1818" Type="http://schemas.openxmlformats.org/officeDocument/2006/relationships/hyperlink" Target="https://www150.statcan.gc.ca/n1/pub/75-006-x/2018001/article/54947-eng.htm" TargetMode="External"/><Relationship Id="rId161" Type="http://schemas.openxmlformats.org/officeDocument/2006/relationships/hyperlink" Target="https://www150.statcan.gc.ca/n1/pub/11f0019m/11f0019m2020006-eng.htm" TargetMode="External"/><Relationship Id="rId2799" Type="http://schemas.openxmlformats.org/officeDocument/2006/relationships/hyperlink" Target="https://www150.statcan.gc.ca/n1/pub/85-603-x/85-603-x2019001-eng.htm" TargetMode="External"/><Relationship Id="rId978" Type="http://schemas.openxmlformats.org/officeDocument/2006/relationships/hyperlink" Target="https://www150.statcan.gc.ca/n1/pub/11f0019m/11f0019m2017390-eng.htm" TargetMode="External"/><Relationship Id="rId2659" Type="http://schemas.openxmlformats.org/officeDocument/2006/relationships/hyperlink" Target="https://www150.statcan.gc.ca/n1/pub/11f0019m/11f0019m2019006-eng.htm" TargetMode="External"/><Relationship Id="rId838" Type="http://schemas.openxmlformats.org/officeDocument/2006/relationships/hyperlink" Target="https://www150.statcan.gc.ca/n1/pub/85-002-x/2020001/article/00007-eng.htm" TargetMode="External"/><Relationship Id="rId1468" Type="http://schemas.openxmlformats.org/officeDocument/2006/relationships/hyperlink" Target="https://www150.statcan.gc.ca/n1/pub/89-657-x/89-657-x2020003-eng.htm" TargetMode="External"/><Relationship Id="rId1675" Type="http://schemas.openxmlformats.org/officeDocument/2006/relationships/hyperlink" Target="https://www150.statcan.gc.ca/n1/pub/11f0019m/11f0019m2015367-eng.htm" TargetMode="External"/><Relationship Id="rId1882" Type="http://schemas.openxmlformats.org/officeDocument/2006/relationships/hyperlink" Target="https://www150.statcan.gc.ca/n1/pub/11-633-x/11-633-x2020002-eng.htm" TargetMode="External"/><Relationship Id="rId2519" Type="http://schemas.openxmlformats.org/officeDocument/2006/relationships/hyperlink" Target="https://www150.statcan.gc.ca/n1/pub/85-002-x/2017001/article/54844-eng.htm" TargetMode="External"/><Relationship Id="rId2726" Type="http://schemas.openxmlformats.org/officeDocument/2006/relationships/hyperlink" Target="https://www150.statcan.gc.ca/n1/pub/13-605-x/2017001/article/54882-eng.htm" TargetMode="External"/><Relationship Id="rId1328" Type="http://schemas.openxmlformats.org/officeDocument/2006/relationships/hyperlink" Target="https://www150.statcan.gc.ca/n1/pub/45-20-0002/452000022019001-eng.htm" TargetMode="External"/><Relationship Id="rId1535" Type="http://schemas.openxmlformats.org/officeDocument/2006/relationships/hyperlink" Target="https://www150.statcan.gc.ca/n1/pub/82-003-x/2017007/article/14843-eng.htm" TargetMode="External"/><Relationship Id="rId905" Type="http://schemas.openxmlformats.org/officeDocument/2006/relationships/hyperlink" Target="https://www150.statcan.gc.ca/n1/pub/11-622-m/11-622-m2015031-eng.htm" TargetMode="External"/><Relationship Id="rId1742" Type="http://schemas.openxmlformats.org/officeDocument/2006/relationships/hyperlink" Target="https://www150.statcan.gc.ca/n1/pub/11f0019m/11f0019m2018408-eng.htm" TargetMode="External"/><Relationship Id="rId34" Type="http://schemas.openxmlformats.org/officeDocument/2006/relationships/hyperlink" Target="https://www150.statcan.gc.ca/n1/pub/96-325-x/2017001/article/54924-eng.htm" TargetMode="External"/><Relationship Id="rId1602" Type="http://schemas.openxmlformats.org/officeDocument/2006/relationships/hyperlink" Target="https://www150.statcan.gc.ca/n1/pub/71-588-x/71-588-x2017001-eng.htm" TargetMode="External"/><Relationship Id="rId488" Type="http://schemas.openxmlformats.org/officeDocument/2006/relationships/hyperlink" Target="https://www150.statcan.gc.ca/n1/pub/82-003-x/2018005/article/54966-eng.htm" TargetMode="External"/><Relationship Id="rId695" Type="http://schemas.openxmlformats.org/officeDocument/2006/relationships/hyperlink" Target="https://www150.statcan.gc.ca/n1/pub/89-652-x/89-652-x2016005-eng.htm" TargetMode="External"/><Relationship Id="rId2169" Type="http://schemas.openxmlformats.org/officeDocument/2006/relationships/hyperlink" Target="https://www150.statcan.gc.ca/n1/pub/89-653-x/89-653-x2019005-eng.htm" TargetMode="External"/><Relationship Id="rId2376" Type="http://schemas.openxmlformats.org/officeDocument/2006/relationships/hyperlink" Target="https://www150.statcan.gc.ca/n1/pub/11f0019m/11f0019m2019017-eng.htm" TargetMode="External"/><Relationship Id="rId2583" Type="http://schemas.openxmlformats.org/officeDocument/2006/relationships/hyperlink" Target="https://www150.statcan.gc.ca/n1/pub/91-209-x/2016001/article/14615-eng.htm" TargetMode="External"/><Relationship Id="rId2790" Type="http://schemas.openxmlformats.org/officeDocument/2006/relationships/hyperlink" Target="https://www150.statcan.gc.ca/n1/pub/82-003-x/2017002/article/14772-eng.htm" TargetMode="External"/><Relationship Id="rId348" Type="http://schemas.openxmlformats.org/officeDocument/2006/relationships/hyperlink" Target="https://www150.statcan.gc.ca/n1/pub/89-503-x/2015001/article/14785-eng.htm" TargetMode="External"/><Relationship Id="rId555" Type="http://schemas.openxmlformats.org/officeDocument/2006/relationships/hyperlink" Target="https://www150.statcan.gc.ca/n1/pub/11f0019m/11f0019m2020006-eng.htm" TargetMode="External"/><Relationship Id="rId762" Type="http://schemas.openxmlformats.org/officeDocument/2006/relationships/hyperlink" Target="https://www150.statcan.gc.ca/n1/pub/89-503-x/2015001/article/14315-eng.htm" TargetMode="External"/><Relationship Id="rId1185" Type="http://schemas.openxmlformats.org/officeDocument/2006/relationships/hyperlink" Target="https://www150.statcan.gc.ca/n1/pub/13-605-x/2015011/article/14298-eng.htm" TargetMode="External"/><Relationship Id="rId1392" Type="http://schemas.openxmlformats.org/officeDocument/2006/relationships/hyperlink" Target="https://www150.statcan.gc.ca/n1/pub/15-206-x/15-206-x2015039-eng.htm" TargetMode="External"/><Relationship Id="rId2029" Type="http://schemas.openxmlformats.org/officeDocument/2006/relationships/hyperlink" Target="https://www150.statcan.gc.ca/n1/pub/75-006-x/2017001/article/14798-eng.htm" TargetMode="External"/><Relationship Id="rId2236" Type="http://schemas.openxmlformats.org/officeDocument/2006/relationships/hyperlink" Target="https://www150.statcan.gc.ca/n1/pub/75-006-x/2019001/article/00013-eng.htm" TargetMode="External"/><Relationship Id="rId2443" Type="http://schemas.openxmlformats.org/officeDocument/2006/relationships/hyperlink" Target="https://www150.statcan.gc.ca/n1/pub/11f0019m/11f0019m2019004-eng.htm" TargetMode="External"/><Relationship Id="rId2650" Type="http://schemas.openxmlformats.org/officeDocument/2006/relationships/hyperlink" Target="https://www150.statcan.gc.ca/n1/pub/82-003-x/2018006/article/54970-eng.htm" TargetMode="External"/><Relationship Id="rId208" Type="http://schemas.openxmlformats.org/officeDocument/2006/relationships/hyperlink" Target="https://www150.statcan.gc.ca/n1/pub/11f0019m/11f0019m2019014-eng.htm" TargetMode="External"/><Relationship Id="rId415" Type="http://schemas.openxmlformats.org/officeDocument/2006/relationships/hyperlink" Target="https://www150.statcan.gc.ca/n1/pub/89-653-x/89-653-x2018002-eng.htm" TargetMode="External"/><Relationship Id="rId622" Type="http://schemas.openxmlformats.org/officeDocument/2006/relationships/hyperlink" Target="https://www150.statcan.gc.ca/n1/pub/89-654-x/89-654-x2018002-eng.htm" TargetMode="External"/><Relationship Id="rId1045" Type="http://schemas.openxmlformats.org/officeDocument/2006/relationships/hyperlink" Target="https://www150.statcan.gc.ca/n1/pub/11-626-x/11-626-x2017069-eng.htm" TargetMode="External"/><Relationship Id="rId1252" Type="http://schemas.openxmlformats.org/officeDocument/2006/relationships/hyperlink" Target="https://www150.statcan.gc.ca/n1/pub/85-002-x/2017001/article/54842-eng.htm" TargetMode="External"/><Relationship Id="rId2303" Type="http://schemas.openxmlformats.org/officeDocument/2006/relationships/hyperlink" Target="https://www150.statcan.gc.ca/n1/pub/89-503-x/2015001/article/14640-eng.htm" TargetMode="External"/><Relationship Id="rId2510" Type="http://schemas.openxmlformats.org/officeDocument/2006/relationships/hyperlink" Target="https://www150.statcan.gc.ca/n1/pub/82-003-x/2017005/article/14792-eng.htm" TargetMode="External"/><Relationship Id="rId1112" Type="http://schemas.openxmlformats.org/officeDocument/2006/relationships/hyperlink" Target="https://www150.statcan.gc.ca/n1/pub/11-633-x/11-633-x2018016-eng.htm" TargetMode="External"/><Relationship Id="rId1929" Type="http://schemas.openxmlformats.org/officeDocument/2006/relationships/hyperlink" Target="https://www150.statcan.gc.ca/n1/pub/85-002-x/2019001/article/00013-eng.htm" TargetMode="External"/><Relationship Id="rId2093" Type="http://schemas.openxmlformats.org/officeDocument/2006/relationships/hyperlink" Target="https://www150.statcan.gc.ca/n1/pub/89-503-x/2015001/article/14235-eng.htm" TargetMode="External"/><Relationship Id="rId272" Type="http://schemas.openxmlformats.org/officeDocument/2006/relationships/hyperlink" Target="https://www150.statcan.gc.ca/n1/pub/85-002-x/2015001/article/14146-eng.htm" TargetMode="External"/><Relationship Id="rId2160" Type="http://schemas.openxmlformats.org/officeDocument/2006/relationships/hyperlink" Target="https://www150.statcan.gc.ca/n1/pub/89-657-x/89-657-x2020002-eng.htm" TargetMode="External"/><Relationship Id="rId132" Type="http://schemas.openxmlformats.org/officeDocument/2006/relationships/hyperlink" Target="https://www150.statcan.gc.ca/n1/pub/11f0019m/11f0019m2020019-eng.htm" TargetMode="External"/><Relationship Id="rId2020" Type="http://schemas.openxmlformats.org/officeDocument/2006/relationships/hyperlink" Target="https://www150.statcan.gc.ca/n1/pub/82-003-x/2020003/article/00001-eng.htm" TargetMode="External"/><Relationship Id="rId1579" Type="http://schemas.openxmlformats.org/officeDocument/2006/relationships/hyperlink" Target="https://www150.statcan.gc.ca/n1/pub/89-503-x/2015001/article/14695-eng.htm" TargetMode="External"/><Relationship Id="rId949" Type="http://schemas.openxmlformats.org/officeDocument/2006/relationships/hyperlink" Target="https://www150.statcan.gc.ca/n1/pub/13-604-m/13-604-m2020001-eng.htm" TargetMode="External"/><Relationship Id="rId1786" Type="http://schemas.openxmlformats.org/officeDocument/2006/relationships/hyperlink" Target="https://www150.statcan.gc.ca/n1/pub/85-002-x/2016001/article/14631-eng.htm" TargetMode="External"/><Relationship Id="rId1993" Type="http://schemas.openxmlformats.org/officeDocument/2006/relationships/hyperlink" Target="https://www150.statcan.gc.ca/n1/pub/82-003-x/2016007/article/14645-eng.htm" TargetMode="External"/><Relationship Id="rId78" Type="http://schemas.openxmlformats.org/officeDocument/2006/relationships/hyperlink" Target="https://www150.statcan.gc.ca/n1/pub/89-657-x/89-657-x2017004-eng.htm" TargetMode="External"/><Relationship Id="rId809" Type="http://schemas.openxmlformats.org/officeDocument/2006/relationships/hyperlink" Target="https://www150.statcan.gc.ca/n1/pub/11-626-x/11-626-x2016055-eng.htm" TargetMode="External"/><Relationship Id="rId1439" Type="http://schemas.openxmlformats.org/officeDocument/2006/relationships/hyperlink" Target="https://www150.statcan.gc.ca/n1/pub/11f0019m/11f0019m2019010-eng.htm" TargetMode="External"/><Relationship Id="rId1646" Type="http://schemas.openxmlformats.org/officeDocument/2006/relationships/hyperlink" Target="https://www150.statcan.gc.ca/n1/pub/85-002-x/2018001/article/54979-eng.htm" TargetMode="External"/><Relationship Id="rId1853" Type="http://schemas.openxmlformats.org/officeDocument/2006/relationships/hyperlink" Target="https://www150.statcan.gc.ca/n1/pub/11-626-x/11-626-x2019001-eng.htm" TargetMode="External"/><Relationship Id="rId1506" Type="http://schemas.openxmlformats.org/officeDocument/2006/relationships/hyperlink" Target="https://www150.statcan.gc.ca/n1/pub/85-002-x/2017001/article/14842-eng.htm" TargetMode="External"/><Relationship Id="rId1713" Type="http://schemas.openxmlformats.org/officeDocument/2006/relationships/hyperlink" Target="https://www150.statcan.gc.ca/n1/pub/85-002-x/2015001/article/14164-eng.htm" TargetMode="External"/><Relationship Id="rId1920" Type="http://schemas.openxmlformats.org/officeDocument/2006/relationships/hyperlink" Target="https://www150.statcan.gc.ca/n1/pub/85-002-x/2019001/article/00013-eng.htm" TargetMode="External"/><Relationship Id="rId599" Type="http://schemas.openxmlformats.org/officeDocument/2006/relationships/hyperlink" Target="https://www150.statcan.gc.ca/n1/pub/85-002-x/2017001/article/14832-eng.htm" TargetMode="External"/><Relationship Id="rId2487" Type="http://schemas.openxmlformats.org/officeDocument/2006/relationships/hyperlink" Target="https://www150.statcan.gc.ca/n1/pub/75-006-x/2019001/article/00007-eng.htm" TargetMode="External"/><Relationship Id="rId2694" Type="http://schemas.openxmlformats.org/officeDocument/2006/relationships/hyperlink" Target="https://www150.statcan.gc.ca/n1/pub/11f0019m/11f0019m2018412-eng.htm" TargetMode="External"/><Relationship Id="rId459" Type="http://schemas.openxmlformats.org/officeDocument/2006/relationships/hyperlink" Target="https://www150.statcan.gc.ca/n1/pub/85-603-x/85-603-x2019002-eng.htm" TargetMode="External"/><Relationship Id="rId666" Type="http://schemas.openxmlformats.org/officeDocument/2006/relationships/hyperlink" Target="https://www150.statcan.gc.ca/n1/pub/85-002-x/2019001/article/00005-eng.htm" TargetMode="External"/><Relationship Id="rId873" Type="http://schemas.openxmlformats.org/officeDocument/2006/relationships/hyperlink" Target="https://www150.statcan.gc.ca/n1/pub/11-633-x/11-633-x2020001-eng.htm" TargetMode="External"/><Relationship Id="rId1089" Type="http://schemas.openxmlformats.org/officeDocument/2006/relationships/hyperlink" Target="https://www150.statcan.gc.ca/n1/pub/75-006-x/2018001/article/54917-eng.htm" TargetMode="External"/><Relationship Id="rId1296" Type="http://schemas.openxmlformats.org/officeDocument/2006/relationships/hyperlink" Target="https://www150.statcan.gc.ca/n1/pub/89-652-x/89-652-x2015003-eng.htm" TargetMode="External"/><Relationship Id="rId2347" Type="http://schemas.openxmlformats.org/officeDocument/2006/relationships/hyperlink" Target="https://www150.statcan.gc.ca/n1/pub/11f0019m/11f0019m2019002-eng.htm" TargetMode="External"/><Relationship Id="rId2554" Type="http://schemas.openxmlformats.org/officeDocument/2006/relationships/hyperlink" Target="https://www150.statcan.gc.ca/n1/pub/89-652-x/89-652-x2015008-eng.htm" TargetMode="External"/><Relationship Id="rId319" Type="http://schemas.openxmlformats.org/officeDocument/2006/relationships/hyperlink" Target="https://www150.statcan.gc.ca/n1/pub/75-006-x/2015001/article/14167-eng.htm" TargetMode="External"/><Relationship Id="rId526" Type="http://schemas.openxmlformats.org/officeDocument/2006/relationships/hyperlink" Target="https://www150.statcan.gc.ca/n1/pub/82-003-x/2018007/article/00002-eng.htm" TargetMode="External"/><Relationship Id="rId1156" Type="http://schemas.openxmlformats.org/officeDocument/2006/relationships/hyperlink" Target="https://www150.statcan.gc.ca/n1/pub/89-652-x/89-652-x2015002-eng.htm" TargetMode="External"/><Relationship Id="rId1363" Type="http://schemas.openxmlformats.org/officeDocument/2006/relationships/hyperlink" Target="https://www150.statcan.gc.ca/n1/pub/89-652-x/89-652-x2015006-eng.htm" TargetMode="External"/><Relationship Id="rId2207" Type="http://schemas.openxmlformats.org/officeDocument/2006/relationships/hyperlink" Target="https://www150.statcan.gc.ca/n1/pub/85-002-x/2018001/article/54972-eng.htm" TargetMode="External"/><Relationship Id="rId2761" Type="http://schemas.openxmlformats.org/officeDocument/2006/relationships/hyperlink" Target="https://www150.statcan.gc.ca/n1/pub/89-657-x/89-657-x2019013-eng.htm" TargetMode="External"/><Relationship Id="rId733" Type="http://schemas.openxmlformats.org/officeDocument/2006/relationships/hyperlink" Target="https://www150.statcan.gc.ca/n1/pub/11f0019m/11f0019m2019024-eng.htm" TargetMode="External"/><Relationship Id="rId940" Type="http://schemas.openxmlformats.org/officeDocument/2006/relationships/hyperlink" Target="https://www150.statcan.gc.ca/n1/pub/82-003-x/2018011/article/00002-eng.htm" TargetMode="External"/><Relationship Id="rId1016" Type="http://schemas.openxmlformats.org/officeDocument/2006/relationships/hyperlink" Target="https://www150.statcan.gc.ca/n1/pub/85-002-x/2019001/article/00015-eng.htm" TargetMode="External"/><Relationship Id="rId1570" Type="http://schemas.openxmlformats.org/officeDocument/2006/relationships/hyperlink" Target="https://www150.statcan.gc.ca/n1/pub/89-503-x/2015001/article/14695-eng.htm" TargetMode="External"/><Relationship Id="rId2414" Type="http://schemas.openxmlformats.org/officeDocument/2006/relationships/hyperlink" Target="https://www150.statcan.gc.ca/n1/pub/75-006-x/2020001/article/00004-eng.htm" TargetMode="External"/><Relationship Id="rId2621" Type="http://schemas.openxmlformats.org/officeDocument/2006/relationships/hyperlink" Target="https://www150.statcan.gc.ca/n1/pub/89-652-x/89-652-x2015005-eng.htm" TargetMode="External"/><Relationship Id="rId800" Type="http://schemas.openxmlformats.org/officeDocument/2006/relationships/hyperlink" Target="https://www150.statcan.gc.ca/n1/pub/75-004-m/75-004-m2019003-eng.htm" TargetMode="External"/><Relationship Id="rId1223" Type="http://schemas.openxmlformats.org/officeDocument/2006/relationships/hyperlink" Target="https://www150.statcan.gc.ca/n1/pub/85-002-x/2017001/article/14777-eng.htm" TargetMode="External"/><Relationship Id="rId1430" Type="http://schemas.openxmlformats.org/officeDocument/2006/relationships/hyperlink" Target="https://www150.statcan.gc.ca/n1/pub/11f0019m/11f0019m2019010-eng.htm" TargetMode="External"/><Relationship Id="rId176" Type="http://schemas.openxmlformats.org/officeDocument/2006/relationships/hyperlink" Target="https://www150.statcan.gc.ca/n1/pub/11f0019m/11f0019m2020001-eng.htm" TargetMode="External"/><Relationship Id="rId383" Type="http://schemas.openxmlformats.org/officeDocument/2006/relationships/hyperlink" Target="https://www150.statcan.gc.ca/n1/pub/89-654-x/89-654-x2015001-eng.htm" TargetMode="External"/><Relationship Id="rId590" Type="http://schemas.openxmlformats.org/officeDocument/2006/relationships/hyperlink" Target="https://www150.statcan.gc.ca/n1/pub/11f0019m/11f0019m2016375-eng.htm" TargetMode="External"/><Relationship Id="rId2064" Type="http://schemas.openxmlformats.org/officeDocument/2006/relationships/hyperlink" Target="https://www150.statcan.gc.ca/n1/pub/11f0019m/11f0019m2017400-eng.htm" TargetMode="External"/><Relationship Id="rId2271" Type="http://schemas.openxmlformats.org/officeDocument/2006/relationships/hyperlink" Target="https://www150.statcan.gc.ca/n1/pub/85-002-x/2016001/article/14303-eng.htm" TargetMode="External"/><Relationship Id="rId243" Type="http://schemas.openxmlformats.org/officeDocument/2006/relationships/hyperlink" Target="https://www150.statcan.gc.ca/n1/pub/11f0019m/11f0019m2016385-eng.htm" TargetMode="External"/><Relationship Id="rId450" Type="http://schemas.openxmlformats.org/officeDocument/2006/relationships/hyperlink" Target="https://www150.statcan.gc.ca/n1/pub/85-603-x/85-603-x2019002-eng.htm" TargetMode="External"/><Relationship Id="rId1080" Type="http://schemas.openxmlformats.org/officeDocument/2006/relationships/hyperlink" Target="https://www150.statcan.gc.ca/n1/pub/18-001-x/18-001-x2018001-eng.htm" TargetMode="External"/><Relationship Id="rId2131" Type="http://schemas.openxmlformats.org/officeDocument/2006/relationships/hyperlink" Target="https://www150.statcan.gc.ca/n1/pub/11-633-x/11-633-x2021001-eng.htm" TargetMode="External"/><Relationship Id="rId103" Type="http://schemas.openxmlformats.org/officeDocument/2006/relationships/hyperlink" Target="https://www150.statcan.gc.ca/n1/pub/89-657-x/89-657-x2017006-eng.htm" TargetMode="External"/><Relationship Id="rId310" Type="http://schemas.openxmlformats.org/officeDocument/2006/relationships/hyperlink" Target="https://www150.statcan.gc.ca/n1/pub/75-004-m/75-004-m2020002-eng.htm" TargetMode="External"/><Relationship Id="rId1897" Type="http://schemas.openxmlformats.org/officeDocument/2006/relationships/hyperlink" Target="https://www150.statcan.gc.ca/n1/pub/89-503-x/2015001/article/14313-eng.htm" TargetMode="External"/><Relationship Id="rId1757" Type="http://schemas.openxmlformats.org/officeDocument/2006/relationships/hyperlink" Target="https://www150.statcan.gc.ca/n1/pub/89-657-x/89-657-x2019010-eng.htm" TargetMode="External"/><Relationship Id="rId1964" Type="http://schemas.openxmlformats.org/officeDocument/2006/relationships/hyperlink" Target="https://www150.statcan.gc.ca/n1/pub/85-002-x/2018001/article/54974-eng.htm" TargetMode="External"/><Relationship Id="rId2808" Type="http://schemas.openxmlformats.org/officeDocument/2006/relationships/hyperlink" Target="https://www150.statcan.gc.ca/n1/pub/85-603-x/85-603-x2019001-eng.htm" TargetMode="External"/><Relationship Id="rId49" Type="http://schemas.openxmlformats.org/officeDocument/2006/relationships/hyperlink" Target="https://www150.statcan.gc.ca/n1/pub/82-003-x/2017009/article/54856-eng.htm" TargetMode="External"/><Relationship Id="rId1617" Type="http://schemas.openxmlformats.org/officeDocument/2006/relationships/hyperlink" Target="https://www150.statcan.gc.ca/n1/pub/89-503-x/2015001/article/14316-eng.htm" TargetMode="External"/><Relationship Id="rId1824" Type="http://schemas.openxmlformats.org/officeDocument/2006/relationships/hyperlink" Target="https://www150.statcan.gc.ca/n1/pub/89-657-x/89-657-x2019018-eng.htm" TargetMode="External"/><Relationship Id="rId2598" Type="http://schemas.openxmlformats.org/officeDocument/2006/relationships/hyperlink" Target="https://www150.statcan.gc.ca/n1/pub/71-222-x/71-222-x2019001-eng.htm" TargetMode="External"/><Relationship Id="rId777" Type="http://schemas.openxmlformats.org/officeDocument/2006/relationships/hyperlink" Target="https://www150.statcan.gc.ca/n1/pub/89-503-x/2015001/article/14315-eng.htm" TargetMode="External"/><Relationship Id="rId984" Type="http://schemas.openxmlformats.org/officeDocument/2006/relationships/hyperlink" Target="https://www150.statcan.gc.ca/n1/pub/75-006-x/2018001/article/54982-eng.htm" TargetMode="External"/><Relationship Id="rId2458" Type="http://schemas.openxmlformats.org/officeDocument/2006/relationships/hyperlink" Target="https://www150.statcan.gc.ca/n1/pub/82-003-x/2015005/article/14170-eng.htm" TargetMode="External"/><Relationship Id="rId2665" Type="http://schemas.openxmlformats.org/officeDocument/2006/relationships/hyperlink" Target="https://www150.statcan.gc.ca/n1/pub/82-003-x/2019012/article/00002-eng.htm" TargetMode="External"/><Relationship Id="rId637" Type="http://schemas.openxmlformats.org/officeDocument/2006/relationships/hyperlink" Target="https://www150.statcan.gc.ca/n1/pub/82-003-x/2016007/article/14646-eng.htm" TargetMode="External"/><Relationship Id="rId844" Type="http://schemas.openxmlformats.org/officeDocument/2006/relationships/hyperlink" Target="https://www150.statcan.gc.ca/n1/pub/11f0019m/11f0019m2017393-eng.htm" TargetMode="External"/><Relationship Id="rId1267" Type="http://schemas.openxmlformats.org/officeDocument/2006/relationships/hyperlink" Target="https://www150.statcan.gc.ca/n1/pub/75f0002m/75f0002m2019008-eng.htm" TargetMode="External"/><Relationship Id="rId1474" Type="http://schemas.openxmlformats.org/officeDocument/2006/relationships/hyperlink" Target="https://www150.statcan.gc.ca/n1/pub/11-626-x/11-626-x2020001-eng.htm" TargetMode="External"/><Relationship Id="rId1681" Type="http://schemas.openxmlformats.org/officeDocument/2006/relationships/hyperlink" Target="https://www150.statcan.gc.ca/n1/pub/89-503-x/2015001/article/14694-eng.htm" TargetMode="External"/><Relationship Id="rId2318" Type="http://schemas.openxmlformats.org/officeDocument/2006/relationships/hyperlink" Target="https://www150.statcan.gc.ca/n1/pub/75-006-x/2019001/article/00011-eng.htm" TargetMode="External"/><Relationship Id="rId2525" Type="http://schemas.openxmlformats.org/officeDocument/2006/relationships/hyperlink" Target="https://www150.statcan.gc.ca/n1/pub/82-003-x/2016004/article/14491-eng.htm" TargetMode="External"/><Relationship Id="rId2732" Type="http://schemas.openxmlformats.org/officeDocument/2006/relationships/hyperlink" Target="https://www150.statcan.gc.ca/n1/pub/82-003-x/2018007/article/00001-eng.htm" TargetMode="External"/><Relationship Id="rId704" Type="http://schemas.openxmlformats.org/officeDocument/2006/relationships/hyperlink" Target="https://www150.statcan.gc.ca/n1/pub/82-003-x/2018012/article/00001-eng.htm" TargetMode="External"/><Relationship Id="rId911" Type="http://schemas.openxmlformats.org/officeDocument/2006/relationships/hyperlink" Target="https://www150.statcan.gc.ca/n1/pub/11f0019m/11f0019m2018409-eng.htm" TargetMode="External"/><Relationship Id="rId1127" Type="http://schemas.openxmlformats.org/officeDocument/2006/relationships/hyperlink" Target="https://www150.statcan.gc.ca/n1/pub/85-002-x/2015001/article/14233-eng.htm" TargetMode="External"/><Relationship Id="rId1334" Type="http://schemas.openxmlformats.org/officeDocument/2006/relationships/hyperlink" Target="https://www150.statcan.gc.ca/n1/pub/75-006-x/2016001/article/14547-eng.htm" TargetMode="External"/><Relationship Id="rId1541" Type="http://schemas.openxmlformats.org/officeDocument/2006/relationships/hyperlink" Target="https://www150.statcan.gc.ca/n1/pub/75-006-x/2018001/article/54975-eng.htm" TargetMode="External"/><Relationship Id="rId40" Type="http://schemas.openxmlformats.org/officeDocument/2006/relationships/hyperlink" Target="https://www150.statcan.gc.ca/n1/pub/96-325-x/2017001/article/54873-eng.htm" TargetMode="External"/><Relationship Id="rId1401" Type="http://schemas.openxmlformats.org/officeDocument/2006/relationships/hyperlink" Target="https://www150.statcan.gc.ca/n1/pub/85-002-x/2020001/article/00011-eng.htm" TargetMode="External"/><Relationship Id="rId287" Type="http://schemas.openxmlformats.org/officeDocument/2006/relationships/hyperlink" Target="https://www150.statcan.gc.ca/n1/pub/75-006-x/2018001/article/54978-eng.htm" TargetMode="External"/><Relationship Id="rId494" Type="http://schemas.openxmlformats.org/officeDocument/2006/relationships/hyperlink" Target="https://www150.statcan.gc.ca/n1/pub/11-626-x/11-626-x2019009-eng.htm" TargetMode="External"/><Relationship Id="rId2175" Type="http://schemas.openxmlformats.org/officeDocument/2006/relationships/hyperlink" Target="https://www150.statcan.gc.ca/n1/pub/99-011-x/99-011-x2019001-eng.htm" TargetMode="External"/><Relationship Id="rId2382" Type="http://schemas.openxmlformats.org/officeDocument/2006/relationships/hyperlink" Target="https://www150.statcan.gc.ca/n1/pub/82-003-x/2018010/article/00003-eng.htm" TargetMode="External"/><Relationship Id="rId147" Type="http://schemas.openxmlformats.org/officeDocument/2006/relationships/hyperlink" Target="https://www150.statcan.gc.ca/n1/pub/11f0019m/11f0019m2020009-eng.htm" TargetMode="External"/><Relationship Id="rId354" Type="http://schemas.openxmlformats.org/officeDocument/2006/relationships/hyperlink" Target="https://www150.statcan.gc.ca/n1/pub/82-003-x/2019003/article/00001-eng.htm" TargetMode="External"/><Relationship Id="rId1191" Type="http://schemas.openxmlformats.org/officeDocument/2006/relationships/hyperlink" Target="https://www150.statcan.gc.ca/n1/pub/13-605-x/2015011/article/14298-eng.htm" TargetMode="External"/><Relationship Id="rId2035" Type="http://schemas.openxmlformats.org/officeDocument/2006/relationships/hyperlink" Target="https://www150.statcan.gc.ca/n1/pub/11f0019m/11f0019m2017389-eng.htm" TargetMode="External"/><Relationship Id="rId561" Type="http://schemas.openxmlformats.org/officeDocument/2006/relationships/hyperlink" Target="https://www150.statcan.gc.ca/n1/pub/13-605-x/2020001/article/00008-eng.htm" TargetMode="External"/><Relationship Id="rId2242" Type="http://schemas.openxmlformats.org/officeDocument/2006/relationships/hyperlink" Target="https://www150.statcan.gc.ca/n1/pub/85-002-x/2016001/article/14303-eng.htm" TargetMode="External"/><Relationship Id="rId214" Type="http://schemas.openxmlformats.org/officeDocument/2006/relationships/hyperlink" Target="https://www150.statcan.gc.ca/n1/pub/11f0019m/11f0019m2019014-eng.htm" TargetMode="External"/><Relationship Id="rId421" Type="http://schemas.openxmlformats.org/officeDocument/2006/relationships/hyperlink" Target="https://www150.statcan.gc.ca/n1/pub/89-28-0001/2018001/article/00013-eng.htm" TargetMode="External"/><Relationship Id="rId1051" Type="http://schemas.openxmlformats.org/officeDocument/2006/relationships/hyperlink" Target="https://www150.statcan.gc.ca/n1/pub/85-002-x/2020001/article/00009-eng.htm" TargetMode="External"/><Relationship Id="rId2102" Type="http://schemas.openxmlformats.org/officeDocument/2006/relationships/hyperlink" Target="https://www150.statcan.gc.ca/n1/pub/11f0019m/11f0019m2019015-eng.htm" TargetMode="External"/><Relationship Id="rId1868" Type="http://schemas.openxmlformats.org/officeDocument/2006/relationships/hyperlink" Target="https://www150.statcan.gc.ca/n1/pub/11-626-x/11-626-x2015047-eng.htm" TargetMode="External"/><Relationship Id="rId1728" Type="http://schemas.openxmlformats.org/officeDocument/2006/relationships/hyperlink" Target="https://www150.statcan.gc.ca/n1/pub/75-006-x/2018001/article/54974-eng.htm" TargetMode="External"/><Relationship Id="rId1935" Type="http://schemas.openxmlformats.org/officeDocument/2006/relationships/hyperlink" Target="https://www150.statcan.gc.ca/n1/pub/82-003-x/2020001/article/00001-eng.htm" TargetMode="External"/><Relationship Id="rId4" Type="http://schemas.openxmlformats.org/officeDocument/2006/relationships/hyperlink" Target="https://www150.statcan.gc.ca/n1/pub/21-004-x/2019001/article/00002-eng.htm" TargetMode="External"/><Relationship Id="rId888" Type="http://schemas.openxmlformats.org/officeDocument/2006/relationships/hyperlink" Target="https://www150.statcan.gc.ca/n1/pub/11f0027m/11f0027m2015096-eng.htm" TargetMode="External"/><Relationship Id="rId2569" Type="http://schemas.openxmlformats.org/officeDocument/2006/relationships/hyperlink" Target="https://www150.statcan.gc.ca/n1/pub/85-002-x/2017001/article/54870-eng.htm" TargetMode="External"/><Relationship Id="rId2776" Type="http://schemas.openxmlformats.org/officeDocument/2006/relationships/hyperlink" Target="https://www150.statcan.gc.ca/n1/pub/85-002-x/2015001/article/14226-eng.htm" TargetMode="External"/><Relationship Id="rId748" Type="http://schemas.openxmlformats.org/officeDocument/2006/relationships/hyperlink" Target="https://www150.statcan.gc.ca/n1/pub/89-503-x/2015001/article/14315-eng.htm" TargetMode="External"/><Relationship Id="rId955" Type="http://schemas.openxmlformats.org/officeDocument/2006/relationships/hyperlink" Target="https://www150.statcan.gc.ca/n1/pub/85-002-x/2020001/article/00016-eng.htm" TargetMode="External"/><Relationship Id="rId1378" Type="http://schemas.openxmlformats.org/officeDocument/2006/relationships/hyperlink" Target="https://www150.statcan.gc.ca/n1/pub/82-003-x/2016001/article/14307-eng.htm" TargetMode="External"/><Relationship Id="rId1585" Type="http://schemas.openxmlformats.org/officeDocument/2006/relationships/hyperlink" Target="https://www150.statcan.gc.ca/n1/pub/89-503-x/2015001/article/14695-eng.htm" TargetMode="External"/><Relationship Id="rId1792" Type="http://schemas.openxmlformats.org/officeDocument/2006/relationships/hyperlink" Target="https://www150.statcan.gc.ca/n1/pub/85-002-x/2016001/article/14631-eng.htm" TargetMode="External"/><Relationship Id="rId2429" Type="http://schemas.openxmlformats.org/officeDocument/2006/relationships/hyperlink" Target="https://www150.statcan.gc.ca/n1/pub/11f0019m/11f0019m2019007-eng.htm" TargetMode="External"/><Relationship Id="rId2636" Type="http://schemas.openxmlformats.org/officeDocument/2006/relationships/hyperlink" Target="https://www150.statcan.gc.ca/n1/pub/71-222-x/71-222-x2019002-eng.htm" TargetMode="External"/><Relationship Id="rId84" Type="http://schemas.openxmlformats.org/officeDocument/2006/relationships/hyperlink" Target="https://www150.statcan.gc.ca/n1/pub/89-657-x/89-657-x2017004-eng.htm" TargetMode="External"/><Relationship Id="rId608" Type="http://schemas.openxmlformats.org/officeDocument/2006/relationships/hyperlink" Target="https://www150.statcan.gc.ca/n1/pub/75-006-x/2017001/article/14824-eng.htm" TargetMode="External"/><Relationship Id="rId815" Type="http://schemas.openxmlformats.org/officeDocument/2006/relationships/hyperlink" Target="https://www150.statcan.gc.ca/n1/pub/82-003-x/2015007/article/14204-eng.htm" TargetMode="External"/><Relationship Id="rId1238" Type="http://schemas.openxmlformats.org/officeDocument/2006/relationships/hyperlink" Target="https://www150.statcan.gc.ca/n1/pub/11f0019m/11f0019m2015366-eng.htm" TargetMode="External"/><Relationship Id="rId1445" Type="http://schemas.openxmlformats.org/officeDocument/2006/relationships/hyperlink" Target="https://www150.statcan.gc.ca/n1/pub/82-003-x/2017001/article/14697-eng.htm" TargetMode="External"/><Relationship Id="rId1652" Type="http://schemas.openxmlformats.org/officeDocument/2006/relationships/hyperlink" Target="https://www150.statcan.gc.ca/n1/pub/82-003-x/2015001/article/14130-eng.htm" TargetMode="External"/><Relationship Id="rId1305" Type="http://schemas.openxmlformats.org/officeDocument/2006/relationships/hyperlink" Target="https://www150.statcan.gc.ca/n1/pub/82-003-x/2019007/article/00001-eng.htm" TargetMode="External"/><Relationship Id="rId2703" Type="http://schemas.openxmlformats.org/officeDocument/2006/relationships/hyperlink" Target="https://www150.statcan.gc.ca/n1/pub/75-006-x/2016001/article/14693-eng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27"/>
  <sheetViews>
    <sheetView tabSelected="1" topLeftCell="A2804" workbookViewId="0"/>
  </sheetViews>
  <sheetFormatPr defaultRowHeight="15" x14ac:dyDescent="0.25"/>
  <cols>
    <col min="1" max="1" width="65" customWidth="1"/>
    <col min="2" max="2" width="13" customWidth="1"/>
    <col min="3" max="3" width="23.42578125" customWidth="1"/>
    <col min="4" max="4" width="101.42578125" customWidth="1"/>
    <col min="5" max="5" width="57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tr">
        <f>HYPERLINK("spreadsheet/0.xlsx", "0.xlsx")</f>
        <v>0.xlsx</v>
      </c>
      <c r="B2" s="2">
        <v>0</v>
      </c>
      <c r="C2" t="s">
        <v>5</v>
      </c>
      <c r="D2" t="s">
        <v>6</v>
      </c>
      <c r="E2" t="s">
        <v>7</v>
      </c>
    </row>
    <row r="3" spans="1:5" x14ac:dyDescent="0.25">
      <c r="A3" s="2" t="str">
        <f>HYPERLINK("spreadsheet/1.xlsx", "1.xlsx")</f>
        <v>1.xlsx</v>
      </c>
      <c r="B3" s="2">
        <v>1</v>
      </c>
      <c r="C3" t="s">
        <v>5</v>
      </c>
      <c r="D3" t="s">
        <v>8</v>
      </c>
      <c r="E3" t="s">
        <v>7</v>
      </c>
    </row>
    <row r="4" spans="1:5" x14ac:dyDescent="0.25">
      <c r="A4" s="2" t="str">
        <f>HYPERLINK("spreadsheet/2.xlsx", "2.xlsx")</f>
        <v>2.xlsx</v>
      </c>
      <c r="B4" s="2">
        <v>2</v>
      </c>
      <c r="C4" t="s">
        <v>5</v>
      </c>
      <c r="D4" t="s">
        <v>9</v>
      </c>
      <c r="E4" t="s">
        <v>7</v>
      </c>
    </row>
    <row r="5" spans="1:5" x14ac:dyDescent="0.25">
      <c r="A5" s="2" t="str">
        <f>HYPERLINK("spreadsheet/3.xlsx", "3.xlsx")</f>
        <v>3.xlsx</v>
      </c>
      <c r="B5" s="2">
        <v>3</v>
      </c>
      <c r="C5" t="s">
        <v>10</v>
      </c>
      <c r="D5" t="s">
        <v>9</v>
      </c>
      <c r="E5" t="s">
        <v>7</v>
      </c>
    </row>
    <row r="6" spans="1:5" x14ac:dyDescent="0.25">
      <c r="A6" s="2" t="s">
        <v>11</v>
      </c>
      <c r="B6" s="2">
        <v>4</v>
      </c>
      <c r="C6" t="s">
        <v>5</v>
      </c>
      <c r="D6" t="s">
        <v>12</v>
      </c>
      <c r="E6" t="s">
        <v>7</v>
      </c>
    </row>
    <row r="7" spans="1:5" x14ac:dyDescent="0.25">
      <c r="A7" s="2" t="str">
        <f>HYPERLINK("spreadsheet/5.xlsx", "5.xlsx")</f>
        <v>5.xlsx</v>
      </c>
      <c r="B7" s="2">
        <v>5</v>
      </c>
      <c r="C7" t="s">
        <v>5</v>
      </c>
      <c r="D7" t="s">
        <v>13</v>
      </c>
      <c r="E7" t="s">
        <v>7</v>
      </c>
    </row>
    <row r="8" spans="1:5" x14ac:dyDescent="0.25">
      <c r="A8" s="2" t="str">
        <f>HYPERLINK("spreadsheet/6.xlsx", "6.xlsx")</f>
        <v>6.xlsx</v>
      </c>
      <c r="B8" s="2">
        <v>6</v>
      </c>
      <c r="C8" t="s">
        <v>10</v>
      </c>
      <c r="D8" t="s">
        <v>13</v>
      </c>
      <c r="E8" t="s">
        <v>7</v>
      </c>
    </row>
    <row r="9" spans="1:5" x14ac:dyDescent="0.25">
      <c r="A9" s="2" t="str">
        <f>HYPERLINK("spreadsheet/7.xlsx", "7.xlsx")</f>
        <v>7.xlsx</v>
      </c>
      <c r="B9" s="2">
        <v>7</v>
      </c>
      <c r="C9" t="s">
        <v>14</v>
      </c>
      <c r="D9" t="s">
        <v>13</v>
      </c>
      <c r="E9" t="s">
        <v>7</v>
      </c>
    </row>
    <row r="10" spans="1:5" x14ac:dyDescent="0.25">
      <c r="A10" s="2" t="str">
        <f>HYPERLINK("spreadsheet/8.xlsx", "8.xlsx")</f>
        <v>8.xlsx</v>
      </c>
      <c r="B10" s="2">
        <v>8</v>
      </c>
      <c r="C10" t="s">
        <v>15</v>
      </c>
      <c r="D10" t="s">
        <v>13</v>
      </c>
      <c r="E10" t="s">
        <v>7</v>
      </c>
    </row>
    <row r="11" spans="1:5" x14ac:dyDescent="0.25">
      <c r="A11" s="2" t="str">
        <f>HYPERLINK("spreadsheet/9.xlsx", "9.xlsx")</f>
        <v>9.xlsx</v>
      </c>
      <c r="B11" s="2">
        <v>9</v>
      </c>
      <c r="C11" t="s">
        <v>5</v>
      </c>
      <c r="D11" t="s">
        <v>16</v>
      </c>
      <c r="E11" t="s">
        <v>7</v>
      </c>
    </row>
    <row r="12" spans="1:5" x14ac:dyDescent="0.25">
      <c r="A12" s="2" t="str">
        <f>HYPERLINK("spreadsheet/10.xlsx", "10.xlsx")</f>
        <v>10.xlsx</v>
      </c>
      <c r="B12" s="2">
        <v>10</v>
      </c>
      <c r="C12" t="s">
        <v>5</v>
      </c>
      <c r="D12" t="s">
        <v>17</v>
      </c>
      <c r="E12" t="s">
        <v>7</v>
      </c>
    </row>
    <row r="13" spans="1:5" x14ac:dyDescent="0.25">
      <c r="A13" s="2" t="str">
        <f>HYPERLINK("spreadsheet/11.xlsx", "11.xlsx")</f>
        <v>11.xlsx</v>
      </c>
      <c r="B13" s="2">
        <v>11</v>
      </c>
      <c r="C13" t="s">
        <v>10</v>
      </c>
      <c r="D13" t="s">
        <v>17</v>
      </c>
      <c r="E13" t="s">
        <v>7</v>
      </c>
    </row>
    <row r="14" spans="1:5" x14ac:dyDescent="0.25">
      <c r="A14" s="2" t="str">
        <f>HYPERLINK("spreadsheet/12.xlsx", "12.xlsx")</f>
        <v>12.xlsx</v>
      </c>
      <c r="B14" s="2">
        <v>12</v>
      </c>
      <c r="C14" t="s">
        <v>5</v>
      </c>
      <c r="D14" t="s">
        <v>18</v>
      </c>
      <c r="E14" t="s">
        <v>7</v>
      </c>
    </row>
    <row r="15" spans="1:5" x14ac:dyDescent="0.25">
      <c r="A15" s="2" t="str">
        <f>HYPERLINK("spreadsheet/13.xlsx", "13.xlsx")</f>
        <v>13.xlsx</v>
      </c>
      <c r="B15" s="2">
        <v>13</v>
      </c>
      <c r="C15" t="s">
        <v>5</v>
      </c>
      <c r="D15" t="s">
        <v>19</v>
      </c>
      <c r="E15" t="s">
        <v>7</v>
      </c>
    </row>
    <row r="16" spans="1:5" x14ac:dyDescent="0.25">
      <c r="A16" s="2" t="str">
        <f>HYPERLINK("spreadsheet/14.xlsx", "14.xlsx")</f>
        <v>14.xlsx</v>
      </c>
      <c r="B16" s="2">
        <v>14</v>
      </c>
      <c r="C16" t="s">
        <v>10</v>
      </c>
      <c r="D16" t="s">
        <v>19</v>
      </c>
      <c r="E16" t="s">
        <v>7</v>
      </c>
    </row>
    <row r="17" spans="1:5" x14ac:dyDescent="0.25">
      <c r="A17" s="2" t="str">
        <f>HYPERLINK("spreadsheet/15.xlsx", "15.xlsx")</f>
        <v>15.xlsx</v>
      </c>
      <c r="B17" s="2">
        <v>15</v>
      </c>
      <c r="C17" t="s">
        <v>14</v>
      </c>
      <c r="D17" t="s">
        <v>19</v>
      </c>
      <c r="E17" t="s">
        <v>7</v>
      </c>
    </row>
    <row r="18" spans="1:5" x14ac:dyDescent="0.25">
      <c r="A18" s="2" t="s">
        <v>20</v>
      </c>
      <c r="B18" s="2">
        <v>16</v>
      </c>
      <c r="C18" t="s">
        <v>15</v>
      </c>
      <c r="D18" t="s">
        <v>19</v>
      </c>
      <c r="E18" t="s">
        <v>7</v>
      </c>
    </row>
    <row r="19" spans="1:5" x14ac:dyDescent="0.25">
      <c r="A19" s="2" t="s">
        <v>21</v>
      </c>
      <c r="B19" s="2">
        <v>17</v>
      </c>
      <c r="C19" t="s">
        <v>22</v>
      </c>
      <c r="D19" t="s">
        <v>19</v>
      </c>
      <c r="E19" t="s">
        <v>7</v>
      </c>
    </row>
    <row r="20" spans="1:5" x14ac:dyDescent="0.25">
      <c r="A20" s="2" t="s">
        <v>23</v>
      </c>
      <c r="B20" s="2">
        <v>18</v>
      </c>
      <c r="C20" t="s">
        <v>24</v>
      </c>
      <c r="D20" t="s">
        <v>19</v>
      </c>
      <c r="E20" t="s">
        <v>7</v>
      </c>
    </row>
    <row r="21" spans="1:5" x14ac:dyDescent="0.25">
      <c r="A21" s="2" t="str">
        <f>HYPERLINK("spreadsheet/19.xlsx", "19.xlsx")</f>
        <v>19.xlsx</v>
      </c>
      <c r="B21" s="2">
        <v>19</v>
      </c>
      <c r="C21" t="s">
        <v>5</v>
      </c>
      <c r="D21" t="s">
        <v>25</v>
      </c>
      <c r="E21" t="s">
        <v>7</v>
      </c>
    </row>
    <row r="22" spans="1:5" x14ac:dyDescent="0.25">
      <c r="A22" s="2" t="str">
        <f>HYPERLINK("spreadsheet/20.xlsx", "20.xlsx")</f>
        <v>20.xlsx</v>
      </c>
      <c r="B22" s="2">
        <v>20</v>
      </c>
      <c r="C22" t="s">
        <v>5</v>
      </c>
      <c r="D22" t="s">
        <v>26</v>
      </c>
      <c r="E22" t="s">
        <v>7</v>
      </c>
    </row>
    <row r="23" spans="1:5" x14ac:dyDescent="0.25">
      <c r="A23" s="2" t="str">
        <f>HYPERLINK("spreadsheet/21.xlsx", "21.xlsx")</f>
        <v>21.xlsx</v>
      </c>
      <c r="B23" s="2">
        <v>21</v>
      </c>
      <c r="C23" t="s">
        <v>10</v>
      </c>
      <c r="D23" t="s">
        <v>26</v>
      </c>
      <c r="E23" t="s">
        <v>7</v>
      </c>
    </row>
    <row r="24" spans="1:5" x14ac:dyDescent="0.25">
      <c r="A24" s="2" t="str">
        <f>HYPERLINK("spreadsheet/22.xlsx", "22.xlsx")</f>
        <v>22.xlsx</v>
      </c>
      <c r="B24" s="2">
        <v>22</v>
      </c>
      <c r="C24" t="s">
        <v>5</v>
      </c>
      <c r="D24" t="s">
        <v>27</v>
      </c>
      <c r="E24" t="s">
        <v>7</v>
      </c>
    </row>
    <row r="25" spans="1:5" x14ac:dyDescent="0.25">
      <c r="A25" s="2" t="s">
        <v>28</v>
      </c>
      <c r="B25" s="2">
        <v>23</v>
      </c>
      <c r="C25" t="s">
        <v>10</v>
      </c>
      <c r="D25" t="s">
        <v>27</v>
      </c>
      <c r="E25" t="s">
        <v>7</v>
      </c>
    </row>
    <row r="26" spans="1:5" x14ac:dyDescent="0.25">
      <c r="A26" s="2" t="s">
        <v>29</v>
      </c>
      <c r="B26" s="2">
        <v>24</v>
      </c>
      <c r="C26" t="s">
        <v>14</v>
      </c>
      <c r="D26" t="s">
        <v>27</v>
      </c>
      <c r="E26" t="s">
        <v>7</v>
      </c>
    </row>
    <row r="27" spans="1:5" x14ac:dyDescent="0.25">
      <c r="A27" s="2" t="s">
        <v>30</v>
      </c>
      <c r="B27" s="2">
        <v>25</v>
      </c>
      <c r="C27" t="s">
        <v>15</v>
      </c>
      <c r="D27" t="s">
        <v>27</v>
      </c>
      <c r="E27" t="s">
        <v>7</v>
      </c>
    </row>
    <row r="28" spans="1:5" x14ac:dyDescent="0.25">
      <c r="A28" s="2" t="str">
        <f>HYPERLINK("spreadsheet/26.xlsx", "26.xlsx")</f>
        <v>26.xlsx</v>
      </c>
      <c r="B28" s="2">
        <v>26</v>
      </c>
      <c r="C28" t="s">
        <v>22</v>
      </c>
      <c r="D28" t="s">
        <v>27</v>
      </c>
      <c r="E28" t="s">
        <v>7</v>
      </c>
    </row>
    <row r="29" spans="1:5" x14ac:dyDescent="0.25">
      <c r="A29" s="2" t="s">
        <v>31</v>
      </c>
      <c r="B29" s="2">
        <v>27</v>
      </c>
      <c r="C29" t="s">
        <v>24</v>
      </c>
      <c r="D29" t="s">
        <v>27</v>
      </c>
      <c r="E29" t="s">
        <v>7</v>
      </c>
    </row>
    <row r="30" spans="1:5" x14ac:dyDescent="0.25">
      <c r="A30" s="2" t="str">
        <f>HYPERLINK("spreadsheet/28.xlsx", "28.xlsx")</f>
        <v>28.xlsx</v>
      </c>
      <c r="B30" s="2">
        <v>28</v>
      </c>
      <c r="C30" t="s">
        <v>5</v>
      </c>
      <c r="D30" t="s">
        <v>32</v>
      </c>
      <c r="E30" t="s">
        <v>7</v>
      </c>
    </row>
    <row r="31" spans="1:5" x14ac:dyDescent="0.25">
      <c r="A31" s="2" t="str">
        <f>HYPERLINK("spreadsheet/29.xlsx", "29.xlsx")</f>
        <v>29.xlsx</v>
      </c>
      <c r="B31" s="2">
        <v>29</v>
      </c>
      <c r="C31" t="s">
        <v>10</v>
      </c>
      <c r="D31" t="s">
        <v>32</v>
      </c>
      <c r="E31" t="s">
        <v>7</v>
      </c>
    </row>
    <row r="32" spans="1:5" x14ac:dyDescent="0.25">
      <c r="A32" s="2" t="s">
        <v>33</v>
      </c>
      <c r="B32" s="2">
        <v>30</v>
      </c>
      <c r="C32" t="s">
        <v>14</v>
      </c>
      <c r="D32" t="s">
        <v>32</v>
      </c>
      <c r="E32" t="s">
        <v>7</v>
      </c>
    </row>
    <row r="33" spans="1:5" x14ac:dyDescent="0.25">
      <c r="A33" s="2" t="str">
        <f>HYPERLINK("spreadsheet/31.xlsx", "31.xlsx")</f>
        <v>31.xlsx</v>
      </c>
      <c r="B33" s="2">
        <v>31</v>
      </c>
      <c r="C33" t="s">
        <v>15</v>
      </c>
      <c r="D33" t="s">
        <v>32</v>
      </c>
      <c r="E33" t="s">
        <v>7</v>
      </c>
    </row>
    <row r="34" spans="1:5" x14ac:dyDescent="0.25">
      <c r="A34" s="2" t="str">
        <f>HYPERLINK("spreadsheet/32.xlsx", "32.xlsx")</f>
        <v>32.xlsx</v>
      </c>
      <c r="B34" s="2">
        <v>32</v>
      </c>
      <c r="C34" t="s">
        <v>22</v>
      </c>
      <c r="D34" t="s">
        <v>32</v>
      </c>
      <c r="E34" t="s">
        <v>7</v>
      </c>
    </row>
    <row r="35" spans="1:5" x14ac:dyDescent="0.25">
      <c r="A35" s="2" t="str">
        <f>HYPERLINK("spreadsheet/33.xlsx", "33.xlsx")</f>
        <v>33.xlsx</v>
      </c>
      <c r="B35" s="2">
        <v>33</v>
      </c>
      <c r="C35" t="s">
        <v>24</v>
      </c>
      <c r="D35" t="s">
        <v>32</v>
      </c>
      <c r="E35" t="s">
        <v>7</v>
      </c>
    </row>
    <row r="36" spans="1:5" x14ac:dyDescent="0.25">
      <c r="A36" s="2" t="str">
        <f>HYPERLINK("spreadsheet/34.xlsx", "34.xlsx")</f>
        <v>34.xlsx</v>
      </c>
      <c r="B36" s="2">
        <v>34</v>
      </c>
      <c r="C36" t="s">
        <v>5</v>
      </c>
      <c r="D36" t="s">
        <v>34</v>
      </c>
      <c r="E36" t="s">
        <v>7</v>
      </c>
    </row>
    <row r="37" spans="1:5" x14ac:dyDescent="0.25">
      <c r="A37" s="2" t="str">
        <f>HYPERLINK("spreadsheet/35.xlsx", "35.xlsx")</f>
        <v>35.xlsx</v>
      </c>
      <c r="B37" s="2">
        <v>35</v>
      </c>
      <c r="C37" t="s">
        <v>10</v>
      </c>
      <c r="D37" t="s">
        <v>34</v>
      </c>
      <c r="E37" t="s">
        <v>7</v>
      </c>
    </row>
    <row r="38" spans="1:5" x14ac:dyDescent="0.25">
      <c r="A38" s="2" t="str">
        <f>HYPERLINK("spreadsheet/36.xlsx", "36.xlsx")</f>
        <v>36.xlsx</v>
      </c>
      <c r="B38" s="2">
        <v>36</v>
      </c>
      <c r="C38" t="s">
        <v>5</v>
      </c>
      <c r="D38" t="s">
        <v>35</v>
      </c>
      <c r="E38" t="s">
        <v>7</v>
      </c>
    </row>
    <row r="39" spans="1:5" x14ac:dyDescent="0.25">
      <c r="A39" s="2" t="str">
        <f>HYPERLINK("spreadsheet/37.xlsx", "37.xlsx")</f>
        <v>37.xlsx</v>
      </c>
      <c r="B39" s="2">
        <v>37</v>
      </c>
      <c r="C39" t="s">
        <v>10</v>
      </c>
      <c r="D39" t="s">
        <v>35</v>
      </c>
      <c r="E39" t="s">
        <v>7</v>
      </c>
    </row>
    <row r="40" spans="1:5" x14ac:dyDescent="0.25">
      <c r="A40" s="2" t="str">
        <f>HYPERLINK("spreadsheet/38.xlsx", "38.xlsx")</f>
        <v>38.xlsx</v>
      </c>
      <c r="B40" s="2">
        <v>38</v>
      </c>
      <c r="C40" t="s">
        <v>14</v>
      </c>
      <c r="D40" t="s">
        <v>35</v>
      </c>
      <c r="E40" t="s">
        <v>7</v>
      </c>
    </row>
    <row r="41" spans="1:5" x14ac:dyDescent="0.25">
      <c r="A41" s="2" t="str">
        <f>HYPERLINK("spreadsheet/39.xlsx", "39.xlsx")</f>
        <v>39.xlsx</v>
      </c>
      <c r="B41" s="2">
        <v>39</v>
      </c>
      <c r="C41" t="s">
        <v>15</v>
      </c>
      <c r="D41" t="s">
        <v>35</v>
      </c>
      <c r="E41" t="s">
        <v>7</v>
      </c>
    </row>
    <row r="42" spans="1:5" x14ac:dyDescent="0.25">
      <c r="A42" s="2" t="s">
        <v>36</v>
      </c>
      <c r="B42" s="2">
        <v>40</v>
      </c>
      <c r="C42" t="s">
        <v>22</v>
      </c>
      <c r="D42" t="s">
        <v>35</v>
      </c>
      <c r="E42" t="s">
        <v>7</v>
      </c>
    </row>
    <row r="43" spans="1:5" x14ac:dyDescent="0.25">
      <c r="A43" s="2" t="s">
        <v>37</v>
      </c>
      <c r="B43" s="2">
        <v>41</v>
      </c>
      <c r="C43" t="s">
        <v>5</v>
      </c>
      <c r="D43" t="s">
        <v>38</v>
      </c>
      <c r="E43" t="s">
        <v>7</v>
      </c>
    </row>
    <row r="44" spans="1:5" x14ac:dyDescent="0.25">
      <c r="A44" s="2" t="s">
        <v>39</v>
      </c>
      <c r="B44" s="2">
        <v>42</v>
      </c>
      <c r="C44" t="s">
        <v>10</v>
      </c>
      <c r="D44" t="s">
        <v>38</v>
      </c>
      <c r="E44" t="s">
        <v>7</v>
      </c>
    </row>
    <row r="45" spans="1:5" x14ac:dyDescent="0.25">
      <c r="A45" s="2" t="s">
        <v>40</v>
      </c>
      <c r="B45" s="2">
        <v>43</v>
      </c>
      <c r="C45" t="s">
        <v>14</v>
      </c>
      <c r="D45" t="s">
        <v>38</v>
      </c>
      <c r="E45" t="s">
        <v>7</v>
      </c>
    </row>
    <row r="46" spans="1:5" x14ac:dyDescent="0.25">
      <c r="A46" s="2" t="s">
        <v>41</v>
      </c>
      <c r="B46" s="2">
        <v>44</v>
      </c>
      <c r="C46" t="s">
        <v>15</v>
      </c>
      <c r="D46" t="s">
        <v>38</v>
      </c>
      <c r="E46" t="s">
        <v>7</v>
      </c>
    </row>
    <row r="47" spans="1:5" x14ac:dyDescent="0.25">
      <c r="A47" s="2" t="str">
        <f>HYPERLINK("spreadsheet/45.xlsx", "45.xlsx")</f>
        <v>45.xlsx</v>
      </c>
      <c r="B47" s="2">
        <v>45</v>
      </c>
      <c r="C47" t="s">
        <v>22</v>
      </c>
      <c r="D47" t="s">
        <v>38</v>
      </c>
      <c r="E47" t="s">
        <v>7</v>
      </c>
    </row>
    <row r="48" spans="1:5" x14ac:dyDescent="0.25">
      <c r="A48" s="2" t="str">
        <f>HYPERLINK("spreadsheet/46.xlsx", "46.xlsx")</f>
        <v>46.xlsx</v>
      </c>
      <c r="B48" s="2">
        <v>46</v>
      </c>
      <c r="C48" t="s">
        <v>5</v>
      </c>
      <c r="D48" t="s">
        <v>42</v>
      </c>
      <c r="E48" t="s">
        <v>7</v>
      </c>
    </row>
    <row r="49" spans="1:5" x14ac:dyDescent="0.25">
      <c r="A49" s="2" t="str">
        <f>HYPERLINK("spreadsheet/47.xlsx", "47.xlsx")</f>
        <v>47.xlsx</v>
      </c>
      <c r="B49" s="2">
        <v>47</v>
      </c>
      <c r="C49" t="s">
        <v>10</v>
      </c>
      <c r="D49" t="s">
        <v>42</v>
      </c>
      <c r="E49" t="s">
        <v>7</v>
      </c>
    </row>
    <row r="50" spans="1:5" x14ac:dyDescent="0.25">
      <c r="A50" s="2" t="str">
        <f>HYPERLINK("spreadsheet/48.xlsx", "48.xlsx")</f>
        <v>48.xlsx</v>
      </c>
      <c r="B50" s="2">
        <v>48</v>
      </c>
      <c r="C50" t="s">
        <v>14</v>
      </c>
      <c r="D50" t="s">
        <v>42</v>
      </c>
      <c r="E50" t="s">
        <v>7</v>
      </c>
    </row>
    <row r="51" spans="1:5" x14ac:dyDescent="0.25">
      <c r="A51" s="2" t="str">
        <f>HYPERLINK("spreadsheet/49.xlsx", "49.xlsx")</f>
        <v>49.xlsx</v>
      </c>
      <c r="B51" s="2">
        <v>49</v>
      </c>
      <c r="C51" t="s">
        <v>5</v>
      </c>
      <c r="D51" t="s">
        <v>43</v>
      </c>
      <c r="E51" t="s">
        <v>7</v>
      </c>
    </row>
    <row r="52" spans="1:5" x14ac:dyDescent="0.25">
      <c r="A52" s="2" t="str">
        <f>HYPERLINK("spreadsheet/50.xlsx", "50.xlsx")</f>
        <v>50.xlsx</v>
      </c>
      <c r="B52" s="2">
        <v>50</v>
      </c>
      <c r="C52" t="s">
        <v>10</v>
      </c>
      <c r="D52" t="s">
        <v>43</v>
      </c>
      <c r="E52" t="s">
        <v>7</v>
      </c>
    </row>
    <row r="53" spans="1:5" x14ac:dyDescent="0.25">
      <c r="A53" s="2" t="str">
        <f>HYPERLINK("spreadsheet/51.xlsx", "51.xlsx")</f>
        <v>51.xlsx</v>
      </c>
      <c r="B53" s="2">
        <v>51</v>
      </c>
      <c r="C53" t="s">
        <v>14</v>
      </c>
      <c r="D53" t="s">
        <v>43</v>
      </c>
      <c r="E53" t="s">
        <v>7</v>
      </c>
    </row>
    <row r="54" spans="1:5" x14ac:dyDescent="0.25">
      <c r="A54" s="2" t="str">
        <f>HYPERLINK("spreadsheet/52.xlsx", "52.xlsx")</f>
        <v>52.xlsx</v>
      </c>
      <c r="B54" s="2">
        <v>52</v>
      </c>
      <c r="C54" t="s">
        <v>15</v>
      </c>
      <c r="D54" t="s">
        <v>43</v>
      </c>
      <c r="E54" t="s">
        <v>7</v>
      </c>
    </row>
    <row r="55" spans="1:5" x14ac:dyDescent="0.25">
      <c r="A55" s="2" t="str">
        <f>HYPERLINK("spreadsheet/53.xlsx", "53.xlsx")</f>
        <v>53.xlsx</v>
      </c>
      <c r="B55" s="2">
        <v>53</v>
      </c>
      <c r="C55" t="s">
        <v>22</v>
      </c>
      <c r="D55" t="s">
        <v>43</v>
      </c>
      <c r="E55" t="s">
        <v>7</v>
      </c>
    </row>
    <row r="56" spans="1:5" x14ac:dyDescent="0.25">
      <c r="A56" s="2" t="str">
        <f>HYPERLINK("spreadsheet/54.xlsx", "54.xlsx")</f>
        <v>54.xlsx</v>
      </c>
      <c r="B56" s="2">
        <v>54</v>
      </c>
      <c r="C56" t="s">
        <v>24</v>
      </c>
      <c r="D56" t="s">
        <v>43</v>
      </c>
      <c r="E56" t="s">
        <v>7</v>
      </c>
    </row>
    <row r="57" spans="1:5" x14ac:dyDescent="0.25">
      <c r="A57" s="2" t="str">
        <f>HYPERLINK("spreadsheet/55.xlsx", "55.xlsx")</f>
        <v>55.xlsx</v>
      </c>
      <c r="B57" s="2">
        <v>55</v>
      </c>
      <c r="C57" t="s">
        <v>44</v>
      </c>
      <c r="D57" t="s">
        <v>43</v>
      </c>
      <c r="E57" t="s">
        <v>7</v>
      </c>
    </row>
    <row r="58" spans="1:5" x14ac:dyDescent="0.25">
      <c r="A58" s="2" t="str">
        <f>HYPERLINK("spreadsheet/56.xlsx", "56.xlsx")</f>
        <v>56.xlsx</v>
      </c>
      <c r="B58" s="2">
        <v>56</v>
      </c>
      <c r="C58" t="s">
        <v>45</v>
      </c>
      <c r="D58" t="s">
        <v>43</v>
      </c>
      <c r="E58" t="s">
        <v>7</v>
      </c>
    </row>
    <row r="59" spans="1:5" x14ac:dyDescent="0.25">
      <c r="A59" s="2" t="str">
        <f>HYPERLINK("spreadsheet/57.xlsx", "57.xlsx")</f>
        <v>57.xlsx</v>
      </c>
      <c r="B59" s="2">
        <v>57</v>
      </c>
      <c r="C59" t="s">
        <v>46</v>
      </c>
      <c r="D59" t="s">
        <v>43</v>
      </c>
      <c r="E59" t="s">
        <v>7</v>
      </c>
    </row>
    <row r="60" spans="1:5" x14ac:dyDescent="0.25">
      <c r="A60" s="2" t="str">
        <f>HYPERLINK("spreadsheet/58.xlsx", "58.xlsx")</f>
        <v>58.xlsx</v>
      </c>
      <c r="B60" s="2">
        <v>58</v>
      </c>
      <c r="C60" t="s">
        <v>47</v>
      </c>
      <c r="D60" t="s">
        <v>43</v>
      </c>
      <c r="E60" t="s">
        <v>7</v>
      </c>
    </row>
    <row r="61" spans="1:5" x14ac:dyDescent="0.25">
      <c r="A61" s="2" t="str">
        <f>HYPERLINK("spreadsheet/59.xlsx", "59.xlsx")</f>
        <v>59.xlsx</v>
      </c>
      <c r="B61" s="2">
        <v>59</v>
      </c>
      <c r="C61" t="s">
        <v>48</v>
      </c>
      <c r="D61" t="s">
        <v>43</v>
      </c>
      <c r="E61" t="s">
        <v>7</v>
      </c>
    </row>
    <row r="62" spans="1:5" x14ac:dyDescent="0.25">
      <c r="A62" s="2" t="str">
        <f>HYPERLINK("spreadsheet/60.xlsx", "60.xlsx")</f>
        <v>60.xlsx</v>
      </c>
      <c r="B62" s="2">
        <v>60</v>
      </c>
      <c r="C62" t="s">
        <v>49</v>
      </c>
      <c r="D62" t="s">
        <v>43</v>
      </c>
      <c r="E62" t="s">
        <v>7</v>
      </c>
    </row>
    <row r="63" spans="1:5" x14ac:dyDescent="0.25">
      <c r="A63" s="2" t="str">
        <f>HYPERLINK("spreadsheet/61.xlsx", "61.xlsx")</f>
        <v>61.xlsx</v>
      </c>
      <c r="B63" s="2">
        <v>61</v>
      </c>
      <c r="C63" t="s">
        <v>50</v>
      </c>
      <c r="D63" t="s">
        <v>43</v>
      </c>
      <c r="E63" t="s">
        <v>7</v>
      </c>
    </row>
    <row r="64" spans="1:5" x14ac:dyDescent="0.25">
      <c r="A64" s="2" t="str">
        <f>HYPERLINK("spreadsheet/62.xlsx", "62.xlsx")</f>
        <v>62.xlsx</v>
      </c>
      <c r="B64" s="2">
        <v>62</v>
      </c>
      <c r="C64" t="s">
        <v>51</v>
      </c>
      <c r="D64" t="s">
        <v>43</v>
      </c>
      <c r="E64" t="s">
        <v>7</v>
      </c>
    </row>
    <row r="65" spans="1:5" x14ac:dyDescent="0.25">
      <c r="A65" s="2" t="str">
        <f>HYPERLINK("spreadsheet/63.xlsx", "63.xlsx")</f>
        <v>63.xlsx</v>
      </c>
      <c r="B65" s="2">
        <v>63</v>
      </c>
      <c r="C65" t="s">
        <v>52</v>
      </c>
      <c r="D65" t="s">
        <v>43</v>
      </c>
      <c r="E65" t="s">
        <v>7</v>
      </c>
    </row>
    <row r="66" spans="1:5" x14ac:dyDescent="0.25">
      <c r="A66" s="2" t="str">
        <f>HYPERLINK("spreadsheet/64.xlsx", "64.xlsx")</f>
        <v>64.xlsx</v>
      </c>
      <c r="B66" s="2">
        <v>64</v>
      </c>
      <c r="C66" t="s">
        <v>53</v>
      </c>
      <c r="D66" t="s">
        <v>43</v>
      </c>
      <c r="E66" t="s">
        <v>7</v>
      </c>
    </row>
    <row r="67" spans="1:5" x14ac:dyDescent="0.25">
      <c r="A67" s="2" t="str">
        <f>HYPERLINK("spreadsheet/65.xlsx", "65.xlsx")</f>
        <v>65.xlsx</v>
      </c>
      <c r="B67" s="2">
        <v>65</v>
      </c>
      <c r="C67" t="s">
        <v>54</v>
      </c>
      <c r="D67" t="s">
        <v>43</v>
      </c>
      <c r="E67" t="s">
        <v>7</v>
      </c>
    </row>
    <row r="68" spans="1:5" x14ac:dyDescent="0.25">
      <c r="A68" s="2" t="str">
        <f>HYPERLINK("spreadsheet/66.xlsx", "66.xlsx")</f>
        <v>66.xlsx</v>
      </c>
      <c r="B68" s="2">
        <v>66</v>
      </c>
      <c r="C68" t="s">
        <v>55</v>
      </c>
      <c r="D68" t="s">
        <v>43</v>
      </c>
      <c r="E68" t="s">
        <v>7</v>
      </c>
    </row>
    <row r="69" spans="1:5" x14ac:dyDescent="0.25">
      <c r="A69" s="2" t="str">
        <f>HYPERLINK("spreadsheet/67.xlsx", "67.xlsx")</f>
        <v>67.xlsx</v>
      </c>
      <c r="B69" s="2">
        <v>67</v>
      </c>
      <c r="C69" t="s">
        <v>56</v>
      </c>
      <c r="D69" t="s">
        <v>43</v>
      </c>
      <c r="E69" t="s">
        <v>7</v>
      </c>
    </row>
    <row r="70" spans="1:5" x14ac:dyDescent="0.25">
      <c r="A70" s="2" t="str">
        <f>HYPERLINK("spreadsheet/68.xlsx", "68.xlsx")</f>
        <v>68.xlsx</v>
      </c>
      <c r="B70" s="2">
        <v>68</v>
      </c>
      <c r="C70" t="s">
        <v>57</v>
      </c>
      <c r="D70" t="s">
        <v>43</v>
      </c>
      <c r="E70" t="s">
        <v>7</v>
      </c>
    </row>
    <row r="71" spans="1:5" x14ac:dyDescent="0.25">
      <c r="A71" s="2" t="str">
        <f>HYPERLINK("spreadsheet/69.xlsx", "69.xlsx")</f>
        <v>69.xlsx</v>
      </c>
      <c r="B71" s="2">
        <v>69</v>
      </c>
      <c r="C71" t="s">
        <v>5</v>
      </c>
      <c r="D71" t="s">
        <v>58</v>
      </c>
      <c r="E71" t="s">
        <v>7</v>
      </c>
    </row>
    <row r="72" spans="1:5" x14ac:dyDescent="0.25">
      <c r="A72" s="2" t="str">
        <f>HYPERLINK("spreadsheet/70.xlsx", "70.xlsx")</f>
        <v>70.xlsx</v>
      </c>
      <c r="B72" s="2">
        <v>70</v>
      </c>
      <c r="C72" t="s">
        <v>10</v>
      </c>
      <c r="D72" t="s">
        <v>58</v>
      </c>
      <c r="E72" t="s">
        <v>7</v>
      </c>
    </row>
    <row r="73" spans="1:5" x14ac:dyDescent="0.25">
      <c r="A73" s="2" t="str">
        <f>HYPERLINK("spreadsheet/71.xlsx", "71.xlsx")</f>
        <v>71.xlsx</v>
      </c>
      <c r="B73" s="2">
        <v>71</v>
      </c>
      <c r="C73" t="s">
        <v>14</v>
      </c>
      <c r="D73" t="s">
        <v>58</v>
      </c>
      <c r="E73" t="s">
        <v>7</v>
      </c>
    </row>
    <row r="74" spans="1:5" x14ac:dyDescent="0.25">
      <c r="A74" s="2" t="str">
        <f>HYPERLINK("spreadsheet/72.xlsx", "72.xlsx")</f>
        <v>72.xlsx</v>
      </c>
      <c r="B74" s="2">
        <v>72</v>
      </c>
      <c r="C74" t="s">
        <v>15</v>
      </c>
      <c r="D74" t="s">
        <v>58</v>
      </c>
      <c r="E74" t="s">
        <v>7</v>
      </c>
    </row>
    <row r="75" spans="1:5" x14ac:dyDescent="0.25">
      <c r="A75" s="2" t="str">
        <f>HYPERLINK("spreadsheet/73.xlsx", "73.xlsx")</f>
        <v>73.xlsx</v>
      </c>
      <c r="B75" s="2">
        <v>73</v>
      </c>
      <c r="C75" t="s">
        <v>22</v>
      </c>
      <c r="D75" t="s">
        <v>58</v>
      </c>
      <c r="E75" t="s">
        <v>7</v>
      </c>
    </row>
    <row r="76" spans="1:5" x14ac:dyDescent="0.25">
      <c r="A76" s="2" t="str">
        <f>HYPERLINK("spreadsheet/74.xlsx", "74.xlsx")</f>
        <v>74.xlsx</v>
      </c>
      <c r="B76" s="2">
        <v>74</v>
      </c>
      <c r="C76" t="s">
        <v>24</v>
      </c>
      <c r="D76" t="s">
        <v>58</v>
      </c>
      <c r="E76" t="s">
        <v>7</v>
      </c>
    </row>
    <row r="77" spans="1:5" x14ac:dyDescent="0.25">
      <c r="A77" s="2" t="str">
        <f>HYPERLINK("spreadsheet/75.xlsx", "75.xlsx")</f>
        <v>75.xlsx</v>
      </c>
      <c r="B77" s="2">
        <v>75</v>
      </c>
      <c r="C77" t="s">
        <v>44</v>
      </c>
      <c r="D77" t="s">
        <v>58</v>
      </c>
      <c r="E77" t="s">
        <v>7</v>
      </c>
    </row>
    <row r="78" spans="1:5" x14ac:dyDescent="0.25">
      <c r="A78" s="2" t="str">
        <f>HYPERLINK("spreadsheet/76.xlsx", "76.xlsx")</f>
        <v>76.xlsx</v>
      </c>
      <c r="B78" s="2">
        <v>76</v>
      </c>
      <c r="C78" t="s">
        <v>45</v>
      </c>
      <c r="D78" t="s">
        <v>58</v>
      </c>
      <c r="E78" t="s">
        <v>7</v>
      </c>
    </row>
    <row r="79" spans="1:5" x14ac:dyDescent="0.25">
      <c r="A79" s="2" t="str">
        <f>HYPERLINK("spreadsheet/77.xlsx", "77.xlsx")</f>
        <v>77.xlsx</v>
      </c>
      <c r="B79" s="2">
        <v>77</v>
      </c>
      <c r="C79" t="s">
        <v>46</v>
      </c>
      <c r="D79" t="s">
        <v>58</v>
      </c>
      <c r="E79" t="s">
        <v>7</v>
      </c>
    </row>
    <row r="80" spans="1:5" x14ac:dyDescent="0.25">
      <c r="A80" s="2" t="str">
        <f>HYPERLINK("spreadsheet/78.xlsx", "78.xlsx")</f>
        <v>78.xlsx</v>
      </c>
      <c r="B80" s="2">
        <v>78</v>
      </c>
      <c r="C80" t="s">
        <v>47</v>
      </c>
      <c r="D80" t="s">
        <v>58</v>
      </c>
      <c r="E80" t="s">
        <v>7</v>
      </c>
    </row>
    <row r="81" spans="1:5" x14ac:dyDescent="0.25">
      <c r="A81" s="2" t="str">
        <f>HYPERLINK("spreadsheet/79.xlsx", "79.xlsx")</f>
        <v>79.xlsx</v>
      </c>
      <c r="B81" s="2">
        <v>79</v>
      </c>
      <c r="C81" t="s">
        <v>48</v>
      </c>
      <c r="D81" t="s">
        <v>58</v>
      </c>
      <c r="E81" t="s">
        <v>7</v>
      </c>
    </row>
    <row r="82" spans="1:5" x14ac:dyDescent="0.25">
      <c r="A82" s="2" t="str">
        <f>HYPERLINK("spreadsheet/80.xlsx", "80.xlsx")</f>
        <v>80.xlsx</v>
      </c>
      <c r="B82" s="2">
        <v>80</v>
      </c>
      <c r="C82" t="s">
        <v>49</v>
      </c>
      <c r="D82" t="s">
        <v>58</v>
      </c>
      <c r="E82" t="s">
        <v>7</v>
      </c>
    </row>
    <row r="83" spans="1:5" x14ac:dyDescent="0.25">
      <c r="A83" s="2" t="str">
        <f>HYPERLINK("spreadsheet/81.xlsx", "81.xlsx")</f>
        <v>81.xlsx</v>
      </c>
      <c r="B83" s="2">
        <v>81</v>
      </c>
      <c r="C83" t="s">
        <v>50</v>
      </c>
      <c r="D83" t="s">
        <v>58</v>
      </c>
      <c r="E83" t="s">
        <v>7</v>
      </c>
    </row>
    <row r="84" spans="1:5" x14ac:dyDescent="0.25">
      <c r="A84" s="2" t="str">
        <f>HYPERLINK("spreadsheet/82.xlsx", "82.xlsx")</f>
        <v>82.xlsx</v>
      </c>
      <c r="B84" s="2">
        <v>82</v>
      </c>
      <c r="C84" t="s">
        <v>51</v>
      </c>
      <c r="D84" t="s">
        <v>58</v>
      </c>
      <c r="E84" t="s">
        <v>7</v>
      </c>
    </row>
    <row r="85" spans="1:5" x14ac:dyDescent="0.25">
      <c r="A85" s="2" t="str">
        <f>HYPERLINK("spreadsheet/83.xlsx", "83.xlsx")</f>
        <v>83.xlsx</v>
      </c>
      <c r="B85" s="2">
        <v>83</v>
      </c>
      <c r="C85" t="s">
        <v>52</v>
      </c>
      <c r="D85" t="s">
        <v>58</v>
      </c>
      <c r="E85" t="s">
        <v>7</v>
      </c>
    </row>
    <row r="86" spans="1:5" x14ac:dyDescent="0.25">
      <c r="A86" s="2" t="str">
        <f>HYPERLINK("spreadsheet/84.xlsx", "84.xlsx")</f>
        <v>84.xlsx</v>
      </c>
      <c r="B86" s="2">
        <v>84</v>
      </c>
      <c r="C86" t="s">
        <v>53</v>
      </c>
      <c r="D86" t="s">
        <v>58</v>
      </c>
      <c r="E86" t="s">
        <v>7</v>
      </c>
    </row>
    <row r="87" spans="1:5" x14ac:dyDescent="0.25">
      <c r="A87" s="2" t="str">
        <f>HYPERLINK("spreadsheet/85.xlsx", "85.xlsx")</f>
        <v>85.xlsx</v>
      </c>
      <c r="B87" s="2">
        <v>85</v>
      </c>
      <c r="C87" t="s">
        <v>5</v>
      </c>
      <c r="D87" t="s">
        <v>59</v>
      </c>
      <c r="E87" t="s">
        <v>7</v>
      </c>
    </row>
    <row r="88" spans="1:5" x14ac:dyDescent="0.25">
      <c r="A88" s="2" t="str">
        <f>HYPERLINK("spreadsheet/86.xlsx", "86.xlsx")</f>
        <v>86.xlsx</v>
      </c>
      <c r="B88" s="2">
        <v>86</v>
      </c>
      <c r="C88" t="s">
        <v>10</v>
      </c>
      <c r="D88" t="s">
        <v>59</v>
      </c>
      <c r="E88" t="s">
        <v>7</v>
      </c>
    </row>
    <row r="89" spans="1:5" x14ac:dyDescent="0.25">
      <c r="A89" s="2" t="str">
        <f>HYPERLINK("spreadsheet/87.xlsx", "87.xlsx")</f>
        <v>87.xlsx</v>
      </c>
      <c r="B89" s="2">
        <v>87</v>
      </c>
      <c r="C89" t="s">
        <v>14</v>
      </c>
      <c r="D89" t="s">
        <v>59</v>
      </c>
      <c r="E89" t="s">
        <v>7</v>
      </c>
    </row>
    <row r="90" spans="1:5" x14ac:dyDescent="0.25">
      <c r="A90" s="2" t="str">
        <f>HYPERLINK("spreadsheet/88.xlsx", "88.xlsx")</f>
        <v>88.xlsx</v>
      </c>
      <c r="B90" s="2">
        <v>88</v>
      </c>
      <c r="C90" t="s">
        <v>15</v>
      </c>
      <c r="D90" t="s">
        <v>59</v>
      </c>
      <c r="E90" t="s">
        <v>7</v>
      </c>
    </row>
    <row r="91" spans="1:5" x14ac:dyDescent="0.25">
      <c r="A91" s="2" t="str">
        <f>HYPERLINK("spreadsheet/89.xlsx", "89.xlsx")</f>
        <v>89.xlsx</v>
      </c>
      <c r="B91" s="2">
        <v>89</v>
      </c>
      <c r="C91" t="s">
        <v>22</v>
      </c>
      <c r="D91" t="s">
        <v>59</v>
      </c>
      <c r="E91" t="s">
        <v>7</v>
      </c>
    </row>
    <row r="92" spans="1:5" x14ac:dyDescent="0.25">
      <c r="A92" s="2" t="str">
        <f>HYPERLINK("spreadsheet/90.xlsx", "90.xlsx")</f>
        <v>90.xlsx</v>
      </c>
      <c r="B92" s="2">
        <v>90</v>
      </c>
      <c r="C92" t="s">
        <v>24</v>
      </c>
      <c r="D92" t="s">
        <v>59</v>
      </c>
      <c r="E92" t="s">
        <v>7</v>
      </c>
    </row>
    <row r="93" spans="1:5" x14ac:dyDescent="0.25">
      <c r="A93" s="2" t="str">
        <f>HYPERLINK("spreadsheet/91.xlsx", "91.xlsx")</f>
        <v>91.xlsx</v>
      </c>
      <c r="B93" s="2">
        <v>91</v>
      </c>
      <c r="C93" t="s">
        <v>44</v>
      </c>
      <c r="D93" t="s">
        <v>59</v>
      </c>
      <c r="E93" t="s">
        <v>7</v>
      </c>
    </row>
    <row r="94" spans="1:5" x14ac:dyDescent="0.25">
      <c r="A94" s="2" t="str">
        <f>HYPERLINK("spreadsheet/92.xlsx", "92.xlsx")</f>
        <v>92.xlsx</v>
      </c>
      <c r="B94" s="2">
        <v>92</v>
      </c>
      <c r="C94" t="s">
        <v>45</v>
      </c>
      <c r="D94" t="s">
        <v>59</v>
      </c>
      <c r="E94" t="s">
        <v>7</v>
      </c>
    </row>
    <row r="95" spans="1:5" x14ac:dyDescent="0.25">
      <c r="A95" s="2" t="str">
        <f>HYPERLINK("spreadsheet/93.xlsx", "93.xlsx")</f>
        <v>93.xlsx</v>
      </c>
      <c r="B95" s="2">
        <v>93</v>
      </c>
      <c r="C95" t="s">
        <v>46</v>
      </c>
      <c r="D95" t="s">
        <v>59</v>
      </c>
      <c r="E95" t="s">
        <v>7</v>
      </c>
    </row>
    <row r="96" spans="1:5" x14ac:dyDescent="0.25">
      <c r="A96" s="2" t="str">
        <f>HYPERLINK("spreadsheet/94.xlsx", "94.xlsx")</f>
        <v>94.xlsx</v>
      </c>
      <c r="B96" s="2">
        <v>94</v>
      </c>
      <c r="C96" t="s">
        <v>47</v>
      </c>
      <c r="D96" t="s">
        <v>59</v>
      </c>
      <c r="E96" t="s">
        <v>7</v>
      </c>
    </row>
    <row r="97" spans="1:5" x14ac:dyDescent="0.25">
      <c r="A97" s="2" t="str">
        <f>HYPERLINK("spreadsheet/95.xlsx", "95.xlsx")</f>
        <v>95.xlsx</v>
      </c>
      <c r="B97" s="2">
        <v>95</v>
      </c>
      <c r="C97" t="s">
        <v>48</v>
      </c>
      <c r="D97" t="s">
        <v>59</v>
      </c>
      <c r="E97" t="s">
        <v>7</v>
      </c>
    </row>
    <row r="98" spans="1:5" x14ac:dyDescent="0.25">
      <c r="A98" s="2" t="str">
        <f>HYPERLINK("spreadsheet/96.xlsx", "96.xlsx")</f>
        <v>96.xlsx</v>
      </c>
      <c r="B98" s="2">
        <v>96</v>
      </c>
      <c r="C98" t="s">
        <v>49</v>
      </c>
      <c r="D98" t="s">
        <v>59</v>
      </c>
      <c r="E98" t="s">
        <v>7</v>
      </c>
    </row>
    <row r="99" spans="1:5" x14ac:dyDescent="0.25">
      <c r="A99" s="2" t="str">
        <f>HYPERLINK("spreadsheet/97.xlsx", "97.xlsx")</f>
        <v>97.xlsx</v>
      </c>
      <c r="B99" s="2">
        <v>97</v>
      </c>
      <c r="C99" t="s">
        <v>50</v>
      </c>
      <c r="D99" t="s">
        <v>59</v>
      </c>
      <c r="E99" t="s">
        <v>7</v>
      </c>
    </row>
    <row r="100" spans="1:5" x14ac:dyDescent="0.25">
      <c r="A100" s="2" t="str">
        <f>HYPERLINK("spreadsheet/98.xlsx", "98.xlsx")</f>
        <v>98.xlsx</v>
      </c>
      <c r="B100" s="2">
        <v>98</v>
      </c>
      <c r="C100" t="s">
        <v>51</v>
      </c>
      <c r="D100" t="s">
        <v>59</v>
      </c>
      <c r="E100" t="s">
        <v>7</v>
      </c>
    </row>
    <row r="101" spans="1:5" x14ac:dyDescent="0.25">
      <c r="A101" s="2" t="str">
        <f>HYPERLINK("spreadsheet/99.xlsx", "99.xlsx")</f>
        <v>99.xlsx</v>
      </c>
      <c r="B101" s="2">
        <v>99</v>
      </c>
      <c r="C101" t="s">
        <v>52</v>
      </c>
      <c r="D101" t="s">
        <v>59</v>
      </c>
      <c r="E101" t="s">
        <v>7</v>
      </c>
    </row>
    <row r="102" spans="1:5" x14ac:dyDescent="0.25">
      <c r="A102" s="2" t="str">
        <f>HYPERLINK("spreadsheet/100.xlsx", "100.xlsx")</f>
        <v>100.xlsx</v>
      </c>
      <c r="B102" s="2">
        <v>100</v>
      </c>
      <c r="C102" t="s">
        <v>53</v>
      </c>
      <c r="D102" t="s">
        <v>59</v>
      </c>
      <c r="E102" t="s">
        <v>7</v>
      </c>
    </row>
    <row r="103" spans="1:5" x14ac:dyDescent="0.25">
      <c r="A103" s="2" t="str">
        <f>HYPERLINK("spreadsheet/101.xlsx", "101.xlsx")</f>
        <v>101.xlsx</v>
      </c>
      <c r="B103" s="2">
        <v>101</v>
      </c>
      <c r="C103" t="s">
        <v>60</v>
      </c>
      <c r="D103" t="s">
        <v>61</v>
      </c>
      <c r="E103" t="s">
        <v>7</v>
      </c>
    </row>
    <row r="104" spans="1:5" x14ac:dyDescent="0.25">
      <c r="A104" s="2" t="str">
        <f>HYPERLINK("spreadsheet/102.xlsx", "102.xlsx")</f>
        <v>102.xlsx</v>
      </c>
      <c r="B104" s="2">
        <v>102</v>
      </c>
      <c r="C104" t="s">
        <v>44</v>
      </c>
      <c r="D104" t="s">
        <v>61</v>
      </c>
      <c r="E104" t="s">
        <v>7</v>
      </c>
    </row>
    <row r="105" spans="1:5" x14ac:dyDescent="0.25">
      <c r="A105" s="2" t="str">
        <f>HYPERLINK("spreadsheet/103.xlsx", "103.xlsx")</f>
        <v>103.xlsx</v>
      </c>
      <c r="B105" s="2">
        <v>103</v>
      </c>
      <c r="C105" t="s">
        <v>45</v>
      </c>
      <c r="D105" t="s">
        <v>61</v>
      </c>
      <c r="E105" t="s">
        <v>7</v>
      </c>
    </row>
    <row r="106" spans="1:5" x14ac:dyDescent="0.25">
      <c r="A106" s="2" t="str">
        <f>HYPERLINK("spreadsheet/104.xlsx", "104.xlsx")</f>
        <v>104.xlsx</v>
      </c>
      <c r="B106" s="2">
        <v>104</v>
      </c>
      <c r="C106" t="s">
        <v>46</v>
      </c>
      <c r="D106" t="s">
        <v>61</v>
      </c>
      <c r="E106" t="s">
        <v>7</v>
      </c>
    </row>
    <row r="107" spans="1:5" x14ac:dyDescent="0.25">
      <c r="A107" s="2" t="str">
        <f>HYPERLINK("spreadsheet/105.xlsx", "105.xlsx")</f>
        <v>105.xlsx</v>
      </c>
      <c r="B107" s="2">
        <v>105</v>
      </c>
      <c r="C107" t="s">
        <v>62</v>
      </c>
      <c r="D107" t="s">
        <v>61</v>
      </c>
      <c r="E107" t="s">
        <v>7</v>
      </c>
    </row>
    <row r="108" spans="1:5" x14ac:dyDescent="0.25">
      <c r="A108" s="2" t="str">
        <f>HYPERLINK("spreadsheet/106.xlsx", "106.xlsx")</f>
        <v>106.xlsx</v>
      </c>
      <c r="B108" s="2">
        <v>106</v>
      </c>
      <c r="C108" t="s">
        <v>63</v>
      </c>
      <c r="D108" t="s">
        <v>61</v>
      </c>
      <c r="E108" t="s">
        <v>7</v>
      </c>
    </row>
    <row r="109" spans="1:5" x14ac:dyDescent="0.25">
      <c r="A109" s="2" t="str">
        <f>HYPERLINK("spreadsheet/107.xlsx", "107.xlsx")</f>
        <v>107.xlsx</v>
      </c>
      <c r="B109" s="2">
        <v>107</v>
      </c>
      <c r="C109" t="s">
        <v>5</v>
      </c>
      <c r="D109" t="s">
        <v>64</v>
      </c>
      <c r="E109" t="s">
        <v>7</v>
      </c>
    </row>
    <row r="110" spans="1:5" x14ac:dyDescent="0.25">
      <c r="A110" s="2" t="str">
        <f>HYPERLINK("spreadsheet/108.xlsx", "108.xlsx")</f>
        <v>108.xlsx</v>
      </c>
      <c r="B110" s="2">
        <v>108</v>
      </c>
      <c r="C110" t="s">
        <v>10</v>
      </c>
      <c r="D110" t="s">
        <v>64</v>
      </c>
      <c r="E110" t="s">
        <v>7</v>
      </c>
    </row>
    <row r="111" spans="1:5" x14ac:dyDescent="0.25">
      <c r="A111" s="2" t="str">
        <f>HYPERLINK("spreadsheet/109.xlsx", "109.xlsx")</f>
        <v>109.xlsx</v>
      </c>
      <c r="B111" s="2">
        <v>109</v>
      </c>
      <c r="C111" t="s">
        <v>14</v>
      </c>
      <c r="D111" t="s">
        <v>64</v>
      </c>
      <c r="E111" t="s">
        <v>7</v>
      </c>
    </row>
    <row r="112" spans="1:5" x14ac:dyDescent="0.25">
      <c r="A112" s="2" t="str">
        <f>HYPERLINK("spreadsheet/110.xlsx", "110.xlsx")</f>
        <v>110.xlsx</v>
      </c>
      <c r="B112" s="2">
        <v>110</v>
      </c>
      <c r="C112" t="s">
        <v>5</v>
      </c>
      <c r="D112" t="s">
        <v>65</v>
      </c>
      <c r="E112" t="s">
        <v>7</v>
      </c>
    </row>
    <row r="113" spans="1:5" x14ac:dyDescent="0.25">
      <c r="A113" s="2" t="str">
        <f>HYPERLINK("spreadsheet/111.xlsx", "111.xlsx")</f>
        <v>111.xlsx</v>
      </c>
      <c r="B113" s="2">
        <v>111</v>
      </c>
      <c r="C113" t="s">
        <v>10</v>
      </c>
      <c r="D113" t="s">
        <v>65</v>
      </c>
      <c r="E113" t="s">
        <v>7</v>
      </c>
    </row>
    <row r="114" spans="1:5" x14ac:dyDescent="0.25">
      <c r="A114" s="2" t="str">
        <f>HYPERLINK("spreadsheet/112.xlsx", "112.xlsx")</f>
        <v>112.xlsx</v>
      </c>
      <c r="B114" s="2">
        <v>112</v>
      </c>
      <c r="C114" t="s">
        <v>5</v>
      </c>
      <c r="D114" t="s">
        <v>66</v>
      </c>
      <c r="E114" t="s">
        <v>7</v>
      </c>
    </row>
    <row r="115" spans="1:5" x14ac:dyDescent="0.25">
      <c r="A115" s="2" t="str">
        <f>HYPERLINK("spreadsheet/113.xlsx", "113.xlsx")</f>
        <v>113.xlsx</v>
      </c>
      <c r="B115" s="2">
        <v>113</v>
      </c>
      <c r="C115" t="s">
        <v>10</v>
      </c>
      <c r="D115" t="s">
        <v>66</v>
      </c>
      <c r="E115" t="s">
        <v>7</v>
      </c>
    </row>
    <row r="116" spans="1:5" x14ac:dyDescent="0.25">
      <c r="A116" s="2" t="str">
        <f>HYPERLINK("spreadsheet/114.xlsx", "114.xlsx")</f>
        <v>114.xlsx</v>
      </c>
      <c r="B116" s="2">
        <v>114</v>
      </c>
      <c r="C116" t="s">
        <v>14</v>
      </c>
      <c r="D116" t="s">
        <v>66</v>
      </c>
      <c r="E116" t="s">
        <v>7</v>
      </c>
    </row>
    <row r="117" spans="1:5" x14ac:dyDescent="0.25">
      <c r="A117" s="2" t="str">
        <f>HYPERLINK("spreadsheet/115.xlsx", "115.xlsx")</f>
        <v>115.xlsx</v>
      </c>
      <c r="B117" s="2">
        <v>115</v>
      </c>
      <c r="C117" t="s">
        <v>15</v>
      </c>
      <c r="D117" t="s">
        <v>66</v>
      </c>
      <c r="E117" t="s">
        <v>7</v>
      </c>
    </row>
    <row r="118" spans="1:5" x14ac:dyDescent="0.25">
      <c r="A118" s="2" t="str">
        <f>HYPERLINK("spreadsheet/116.xlsx", "116.xlsx")</f>
        <v>116.xlsx</v>
      </c>
      <c r="B118" s="2">
        <v>116</v>
      </c>
      <c r="C118" t="s">
        <v>22</v>
      </c>
      <c r="D118" t="s">
        <v>66</v>
      </c>
      <c r="E118" t="s">
        <v>7</v>
      </c>
    </row>
    <row r="119" spans="1:5" x14ac:dyDescent="0.25">
      <c r="A119" s="2" t="s">
        <v>67</v>
      </c>
      <c r="B119" s="2">
        <v>117</v>
      </c>
      <c r="C119" t="s">
        <v>24</v>
      </c>
      <c r="D119" t="s">
        <v>66</v>
      </c>
      <c r="E119" t="s">
        <v>7</v>
      </c>
    </row>
    <row r="120" spans="1:5" x14ac:dyDescent="0.25">
      <c r="A120" s="2" t="str">
        <f>HYPERLINK("spreadsheet/118.xlsx", "118.xlsx")</f>
        <v>118.xlsx</v>
      </c>
      <c r="B120" s="2">
        <v>118</v>
      </c>
      <c r="C120" t="s">
        <v>5</v>
      </c>
      <c r="D120" t="s">
        <v>68</v>
      </c>
      <c r="E120" t="s">
        <v>69</v>
      </c>
    </row>
    <row r="121" spans="1:5" x14ac:dyDescent="0.25">
      <c r="A121" s="2" t="str">
        <f>HYPERLINK("spreadsheet/119.xlsx", "119.xlsx")</f>
        <v>119.xlsx</v>
      </c>
      <c r="B121" s="2">
        <v>119</v>
      </c>
      <c r="C121" t="s">
        <v>10</v>
      </c>
      <c r="D121" t="s">
        <v>68</v>
      </c>
      <c r="E121" t="s">
        <v>69</v>
      </c>
    </row>
    <row r="122" spans="1:5" x14ac:dyDescent="0.25">
      <c r="A122" s="2" t="str">
        <f>HYPERLINK("spreadsheet/120.xlsx", "120.xlsx")</f>
        <v>120.xlsx</v>
      </c>
      <c r="B122" s="2">
        <v>120</v>
      </c>
      <c r="C122" t="s">
        <v>14</v>
      </c>
      <c r="D122" t="s">
        <v>68</v>
      </c>
      <c r="E122" t="s">
        <v>69</v>
      </c>
    </row>
    <row r="123" spans="1:5" x14ac:dyDescent="0.25">
      <c r="A123" s="2" t="str">
        <f>HYPERLINK("spreadsheet/121.xlsx", "121.xlsx")</f>
        <v>121.xlsx</v>
      </c>
      <c r="B123" s="2">
        <v>121</v>
      </c>
      <c r="C123" t="s">
        <v>15</v>
      </c>
      <c r="D123" t="s">
        <v>68</v>
      </c>
      <c r="E123" t="s">
        <v>69</v>
      </c>
    </row>
    <row r="124" spans="1:5" x14ac:dyDescent="0.25">
      <c r="A124" s="2" t="str">
        <f>HYPERLINK("spreadsheet/122.xlsx", "122.xlsx")</f>
        <v>122.xlsx</v>
      </c>
      <c r="B124" s="2">
        <v>122</v>
      </c>
      <c r="C124" t="s">
        <v>22</v>
      </c>
      <c r="D124" t="s">
        <v>68</v>
      </c>
      <c r="E124" t="s">
        <v>69</v>
      </c>
    </row>
    <row r="125" spans="1:5" x14ac:dyDescent="0.25">
      <c r="A125" s="2" t="str">
        <f>HYPERLINK("spreadsheet/123.xlsx", "123.xlsx")</f>
        <v>123.xlsx</v>
      </c>
      <c r="B125" s="2">
        <v>123</v>
      </c>
      <c r="C125" t="s">
        <v>24</v>
      </c>
      <c r="D125" t="s">
        <v>68</v>
      </c>
      <c r="E125" t="s">
        <v>69</v>
      </c>
    </row>
    <row r="126" spans="1:5" x14ac:dyDescent="0.25">
      <c r="A126" s="2" t="str">
        <f>HYPERLINK("spreadsheet/124.xlsx", "124.xlsx")</f>
        <v>124.xlsx</v>
      </c>
      <c r="B126" s="2">
        <v>124</v>
      </c>
      <c r="C126" t="s">
        <v>60</v>
      </c>
      <c r="D126" t="s">
        <v>68</v>
      </c>
      <c r="E126" t="s">
        <v>69</v>
      </c>
    </row>
    <row r="127" spans="1:5" x14ac:dyDescent="0.25">
      <c r="A127" s="2" t="str">
        <f>HYPERLINK("spreadsheet/125.xlsx", "125.xlsx")</f>
        <v>125.xlsx</v>
      </c>
      <c r="B127" s="2">
        <v>125</v>
      </c>
      <c r="C127" t="s">
        <v>44</v>
      </c>
      <c r="D127" t="s">
        <v>68</v>
      </c>
      <c r="E127" t="s">
        <v>69</v>
      </c>
    </row>
    <row r="128" spans="1:5" x14ac:dyDescent="0.25">
      <c r="A128" s="2" t="str">
        <f>HYPERLINK("spreadsheet/126.xlsx", "126.xlsx")</f>
        <v>126.xlsx</v>
      </c>
      <c r="B128" s="2">
        <v>126</v>
      </c>
      <c r="C128" t="s">
        <v>45</v>
      </c>
      <c r="D128" t="s">
        <v>68</v>
      </c>
      <c r="E128" t="s">
        <v>69</v>
      </c>
    </row>
    <row r="129" spans="1:5" x14ac:dyDescent="0.25">
      <c r="A129" s="2" t="str">
        <f>HYPERLINK("spreadsheet/127.xlsx", "127.xlsx")</f>
        <v>127.xlsx</v>
      </c>
      <c r="B129" s="2">
        <v>127</v>
      </c>
      <c r="C129" t="s">
        <v>46</v>
      </c>
      <c r="D129" t="s">
        <v>68</v>
      </c>
      <c r="E129" t="s">
        <v>69</v>
      </c>
    </row>
    <row r="130" spans="1:5" x14ac:dyDescent="0.25">
      <c r="A130" s="2" t="str">
        <f>HYPERLINK("spreadsheet/128.xlsx", "128.xlsx")</f>
        <v>128.xlsx</v>
      </c>
      <c r="B130" s="2">
        <v>128</v>
      </c>
      <c r="C130" t="s">
        <v>5</v>
      </c>
      <c r="D130" t="s">
        <v>70</v>
      </c>
      <c r="E130" t="s">
        <v>71</v>
      </c>
    </row>
    <row r="131" spans="1:5" x14ac:dyDescent="0.25">
      <c r="A131" s="2" t="str">
        <f>HYPERLINK("spreadsheet/129.xlsx", "129.xlsx")</f>
        <v>129.xlsx</v>
      </c>
      <c r="B131" s="2">
        <v>129</v>
      </c>
      <c r="C131" t="s">
        <v>5</v>
      </c>
      <c r="D131" t="s">
        <v>72</v>
      </c>
      <c r="E131" t="s">
        <v>71</v>
      </c>
    </row>
    <row r="132" spans="1:5" x14ac:dyDescent="0.25">
      <c r="A132" s="2" t="s">
        <v>73</v>
      </c>
      <c r="B132" s="2">
        <v>130</v>
      </c>
      <c r="C132" t="s">
        <v>10</v>
      </c>
      <c r="D132" t="s">
        <v>72</v>
      </c>
      <c r="E132" t="s">
        <v>71</v>
      </c>
    </row>
    <row r="133" spans="1:5" x14ac:dyDescent="0.25">
      <c r="A133" s="2" t="str">
        <f>HYPERLINK("spreadsheet/131.xlsx", "131.xlsx")</f>
        <v>131.xlsx</v>
      </c>
      <c r="B133" s="2">
        <v>131</v>
      </c>
      <c r="C133" t="s">
        <v>14</v>
      </c>
      <c r="D133" t="s">
        <v>72</v>
      </c>
      <c r="E133" t="s">
        <v>71</v>
      </c>
    </row>
    <row r="134" spans="1:5" x14ac:dyDescent="0.25">
      <c r="A134" s="2" t="str">
        <f>HYPERLINK("spreadsheet/132.xlsx", "132.xlsx")</f>
        <v>132.xlsx</v>
      </c>
      <c r="B134" s="2">
        <v>132</v>
      </c>
      <c r="C134" t="s">
        <v>15</v>
      </c>
      <c r="D134" t="s">
        <v>72</v>
      </c>
      <c r="E134" t="s">
        <v>71</v>
      </c>
    </row>
    <row r="135" spans="1:5" x14ac:dyDescent="0.25">
      <c r="A135" s="2" t="str">
        <f>HYPERLINK("spreadsheet/133.xlsx", "133.xlsx")</f>
        <v>133.xlsx</v>
      </c>
      <c r="B135" s="2">
        <v>133</v>
      </c>
      <c r="C135" t="s">
        <v>22</v>
      </c>
      <c r="D135" t="s">
        <v>72</v>
      </c>
      <c r="E135" t="s">
        <v>71</v>
      </c>
    </row>
    <row r="136" spans="1:5" x14ac:dyDescent="0.25">
      <c r="A136" s="2" t="str">
        <f>HYPERLINK("spreadsheet/134.xlsx", "134.xlsx")</f>
        <v>134.xlsx</v>
      </c>
      <c r="B136" s="2">
        <v>134</v>
      </c>
      <c r="C136" t="s">
        <v>24</v>
      </c>
      <c r="D136" t="s">
        <v>72</v>
      </c>
      <c r="E136" t="s">
        <v>71</v>
      </c>
    </row>
    <row r="137" spans="1:5" x14ac:dyDescent="0.25">
      <c r="A137" s="2" t="str">
        <f>HYPERLINK("spreadsheet/135.xlsx", "135.xlsx")</f>
        <v>135.xlsx</v>
      </c>
      <c r="B137" s="2">
        <v>135</v>
      </c>
      <c r="C137" t="s">
        <v>5</v>
      </c>
      <c r="D137" t="s">
        <v>74</v>
      </c>
      <c r="E137" t="s">
        <v>71</v>
      </c>
    </row>
    <row r="138" spans="1:5" x14ac:dyDescent="0.25">
      <c r="A138" s="2" t="str">
        <f>HYPERLINK("spreadsheet/136.xlsx", "136.xlsx")</f>
        <v>136.xlsx</v>
      </c>
      <c r="B138" s="2">
        <v>136</v>
      </c>
      <c r="C138" t="s">
        <v>14</v>
      </c>
      <c r="D138" t="s">
        <v>74</v>
      </c>
      <c r="E138" t="s">
        <v>71</v>
      </c>
    </row>
    <row r="139" spans="1:5" x14ac:dyDescent="0.25">
      <c r="A139" s="2" t="str">
        <f>HYPERLINK("spreadsheet/137.xlsx", "137.xlsx")</f>
        <v>137.xlsx</v>
      </c>
      <c r="B139" s="2">
        <v>137</v>
      </c>
      <c r="C139" t="s">
        <v>14</v>
      </c>
      <c r="D139" t="s">
        <v>75</v>
      </c>
      <c r="E139" t="s">
        <v>71</v>
      </c>
    </row>
    <row r="140" spans="1:5" x14ac:dyDescent="0.25">
      <c r="A140" s="2" t="str">
        <f>HYPERLINK("spreadsheet/138.xlsx", "138.xlsx")</f>
        <v>138.xlsx</v>
      </c>
      <c r="B140" s="2">
        <v>138</v>
      </c>
      <c r="C140" t="s">
        <v>15</v>
      </c>
      <c r="D140" t="s">
        <v>75</v>
      </c>
      <c r="E140" t="s">
        <v>71</v>
      </c>
    </row>
    <row r="141" spans="1:5" x14ac:dyDescent="0.25">
      <c r="A141" s="2" t="str">
        <f>HYPERLINK("spreadsheet/139.xlsx", "139.xlsx")</f>
        <v>139.xlsx</v>
      </c>
      <c r="B141" s="2">
        <v>139</v>
      </c>
      <c r="C141" t="s">
        <v>22</v>
      </c>
      <c r="D141" t="s">
        <v>75</v>
      </c>
      <c r="E141" t="s">
        <v>71</v>
      </c>
    </row>
    <row r="142" spans="1:5" x14ac:dyDescent="0.25">
      <c r="A142" s="2" t="str">
        <f>HYPERLINK("spreadsheet/140.xlsx", "140.xlsx")</f>
        <v>140.xlsx</v>
      </c>
      <c r="B142" s="2">
        <v>140</v>
      </c>
      <c r="C142" t="s">
        <v>14</v>
      </c>
      <c r="D142" t="s">
        <v>76</v>
      </c>
      <c r="E142" t="s">
        <v>71</v>
      </c>
    </row>
    <row r="143" spans="1:5" x14ac:dyDescent="0.25">
      <c r="A143" s="2" t="str">
        <f>HYPERLINK("spreadsheet/141.xlsx", "141.xlsx")</f>
        <v>141.xlsx</v>
      </c>
      <c r="B143" s="2">
        <v>141</v>
      </c>
      <c r="C143" t="s">
        <v>10</v>
      </c>
      <c r="D143" t="s">
        <v>76</v>
      </c>
      <c r="E143" t="s">
        <v>71</v>
      </c>
    </row>
    <row r="144" spans="1:5" x14ac:dyDescent="0.25">
      <c r="A144" s="2" t="str">
        <f>HYPERLINK("spreadsheet/142.xlsx", "142.xlsx")</f>
        <v>142.xlsx</v>
      </c>
      <c r="B144" s="2">
        <v>142</v>
      </c>
      <c r="C144" t="s">
        <v>5</v>
      </c>
      <c r="D144" t="s">
        <v>77</v>
      </c>
      <c r="E144" t="s">
        <v>71</v>
      </c>
    </row>
    <row r="145" spans="1:5" x14ac:dyDescent="0.25">
      <c r="A145" s="2" t="s">
        <v>78</v>
      </c>
      <c r="B145" s="2">
        <v>143</v>
      </c>
      <c r="C145" t="s">
        <v>10</v>
      </c>
      <c r="D145" t="s">
        <v>77</v>
      </c>
      <c r="E145" t="s">
        <v>71</v>
      </c>
    </row>
    <row r="146" spans="1:5" x14ac:dyDescent="0.25">
      <c r="A146" s="2" t="str">
        <f>HYPERLINK("spreadsheet/144.xlsx", "144.xlsx")</f>
        <v>144.xlsx</v>
      </c>
      <c r="B146" s="2">
        <v>144</v>
      </c>
      <c r="C146" t="s">
        <v>15</v>
      </c>
      <c r="D146" t="s">
        <v>77</v>
      </c>
      <c r="E146" t="s">
        <v>71</v>
      </c>
    </row>
    <row r="147" spans="1:5" x14ac:dyDescent="0.25">
      <c r="A147" s="2" t="str">
        <f>HYPERLINK("spreadsheet/145.xlsx", "145.xlsx")</f>
        <v>145.xlsx</v>
      </c>
      <c r="B147" s="2">
        <v>145</v>
      </c>
      <c r="C147" t="s">
        <v>5</v>
      </c>
      <c r="D147" t="s">
        <v>79</v>
      </c>
      <c r="E147" t="s">
        <v>71</v>
      </c>
    </row>
    <row r="148" spans="1:5" x14ac:dyDescent="0.25">
      <c r="A148" s="2" t="str">
        <f>HYPERLINK("spreadsheet/146.xlsx", "146.xlsx")</f>
        <v>146.xlsx</v>
      </c>
      <c r="B148" s="2">
        <v>146</v>
      </c>
      <c r="C148" t="s">
        <v>10</v>
      </c>
      <c r="D148" t="s">
        <v>79</v>
      </c>
      <c r="E148" t="s">
        <v>71</v>
      </c>
    </row>
    <row r="149" spans="1:5" x14ac:dyDescent="0.25">
      <c r="A149" s="2" t="str">
        <f>HYPERLINK("spreadsheet/147.xlsx", "147.xlsx")</f>
        <v>147.xlsx</v>
      </c>
      <c r="B149" s="2">
        <v>147</v>
      </c>
      <c r="C149" t="s">
        <v>14</v>
      </c>
      <c r="D149" t="s">
        <v>79</v>
      </c>
      <c r="E149" t="s">
        <v>71</v>
      </c>
    </row>
    <row r="150" spans="1:5" x14ac:dyDescent="0.25">
      <c r="A150" s="2" t="str">
        <f>HYPERLINK("spreadsheet/148.xlsx", "148.xlsx")</f>
        <v>148.xlsx</v>
      </c>
      <c r="B150" s="2">
        <v>148</v>
      </c>
      <c r="C150" t="s">
        <v>15</v>
      </c>
      <c r="D150" t="s">
        <v>79</v>
      </c>
      <c r="E150" t="s">
        <v>71</v>
      </c>
    </row>
    <row r="151" spans="1:5" x14ac:dyDescent="0.25">
      <c r="A151" s="2" t="str">
        <f>HYPERLINK("spreadsheet/149.xlsx", "149.xlsx")</f>
        <v>149.xlsx</v>
      </c>
      <c r="B151" s="2">
        <v>149</v>
      </c>
      <c r="C151" t="s">
        <v>22</v>
      </c>
      <c r="D151" t="s">
        <v>79</v>
      </c>
      <c r="E151" t="s">
        <v>71</v>
      </c>
    </row>
    <row r="152" spans="1:5" x14ac:dyDescent="0.25">
      <c r="A152" s="2" t="str">
        <f>HYPERLINK("spreadsheet/150.xlsx", "150.xlsx")</f>
        <v>150.xlsx</v>
      </c>
      <c r="B152" s="2">
        <v>150</v>
      </c>
      <c r="C152" t="s">
        <v>5</v>
      </c>
      <c r="D152" t="s">
        <v>80</v>
      </c>
      <c r="E152" t="s">
        <v>71</v>
      </c>
    </row>
    <row r="153" spans="1:5" x14ac:dyDescent="0.25">
      <c r="A153" s="2" t="s">
        <v>81</v>
      </c>
      <c r="B153" s="2">
        <v>151</v>
      </c>
      <c r="C153" t="s">
        <v>10</v>
      </c>
      <c r="D153" t="s">
        <v>80</v>
      </c>
      <c r="E153" t="s">
        <v>71</v>
      </c>
    </row>
    <row r="154" spans="1:5" x14ac:dyDescent="0.25">
      <c r="A154" s="2" t="str">
        <f>HYPERLINK("spreadsheet/152.xlsx", "152.xlsx")</f>
        <v>152.xlsx</v>
      </c>
      <c r="B154" s="2">
        <v>152</v>
      </c>
      <c r="C154" t="s">
        <v>14</v>
      </c>
      <c r="D154" t="s">
        <v>80</v>
      </c>
      <c r="E154" t="s">
        <v>71</v>
      </c>
    </row>
    <row r="155" spans="1:5" x14ac:dyDescent="0.25">
      <c r="A155" s="2" t="str">
        <f>HYPERLINK("spreadsheet/153.xlsx", "153.xlsx")</f>
        <v>153.xlsx</v>
      </c>
      <c r="B155" s="2">
        <v>153</v>
      </c>
      <c r="C155" t="s">
        <v>15</v>
      </c>
      <c r="D155" t="s">
        <v>80</v>
      </c>
      <c r="E155" t="s">
        <v>71</v>
      </c>
    </row>
    <row r="156" spans="1:5" x14ac:dyDescent="0.25">
      <c r="A156" s="2" t="s">
        <v>82</v>
      </c>
      <c r="B156" s="2">
        <v>154</v>
      </c>
      <c r="C156" t="s">
        <v>22</v>
      </c>
      <c r="D156" t="s">
        <v>80</v>
      </c>
      <c r="E156" t="s">
        <v>71</v>
      </c>
    </row>
    <row r="157" spans="1:5" x14ac:dyDescent="0.25">
      <c r="A157" s="2" t="str">
        <f>HYPERLINK("spreadsheet/155.xlsx", "155.xlsx")</f>
        <v>155.xlsx</v>
      </c>
      <c r="B157" s="2">
        <v>155</v>
      </c>
      <c r="C157" t="s">
        <v>24</v>
      </c>
      <c r="D157" t="s">
        <v>80</v>
      </c>
      <c r="E157" t="s">
        <v>71</v>
      </c>
    </row>
    <row r="158" spans="1:5" x14ac:dyDescent="0.25">
      <c r="A158" s="2" t="str">
        <f>HYPERLINK("spreadsheet/156.xlsx", "156.xlsx")</f>
        <v>156.xlsx</v>
      </c>
      <c r="B158" s="2">
        <v>156</v>
      </c>
      <c r="C158" t="s">
        <v>14</v>
      </c>
      <c r="D158" t="s">
        <v>83</v>
      </c>
      <c r="E158" t="s">
        <v>71</v>
      </c>
    </row>
    <row r="159" spans="1:5" x14ac:dyDescent="0.25">
      <c r="A159" s="2" t="str">
        <f>HYPERLINK("spreadsheet/157.xlsx", "157.xlsx")</f>
        <v>157.xlsx</v>
      </c>
      <c r="B159" s="2">
        <v>157</v>
      </c>
      <c r="C159" t="s">
        <v>15</v>
      </c>
      <c r="D159" t="s">
        <v>83</v>
      </c>
      <c r="E159" t="s">
        <v>71</v>
      </c>
    </row>
    <row r="160" spans="1:5" x14ac:dyDescent="0.25">
      <c r="A160" s="2" t="s">
        <v>84</v>
      </c>
      <c r="B160" s="2">
        <v>158</v>
      </c>
      <c r="C160" t="s">
        <v>22</v>
      </c>
      <c r="D160" t="s">
        <v>83</v>
      </c>
      <c r="E160" t="s">
        <v>71</v>
      </c>
    </row>
    <row r="161" spans="1:5" x14ac:dyDescent="0.25">
      <c r="A161" s="2" t="str">
        <f>HYPERLINK("spreadsheet/159.xlsx", "159.xlsx")</f>
        <v>159.xlsx</v>
      </c>
      <c r="B161" s="2">
        <v>159</v>
      </c>
      <c r="C161" t="s">
        <v>44</v>
      </c>
      <c r="D161" t="s">
        <v>83</v>
      </c>
      <c r="E161" t="s">
        <v>71</v>
      </c>
    </row>
    <row r="162" spans="1:5" x14ac:dyDescent="0.25">
      <c r="A162" s="2" t="s">
        <v>85</v>
      </c>
      <c r="B162" s="2">
        <v>160</v>
      </c>
      <c r="C162" t="s">
        <v>45</v>
      </c>
      <c r="D162" t="s">
        <v>83</v>
      </c>
      <c r="E162" t="s">
        <v>71</v>
      </c>
    </row>
    <row r="163" spans="1:5" x14ac:dyDescent="0.25">
      <c r="A163" s="2" t="str">
        <f>HYPERLINK("spreadsheet/161.xlsx", "161.xlsx")</f>
        <v>161.xlsx</v>
      </c>
      <c r="B163" s="2">
        <v>161</v>
      </c>
      <c r="C163" t="s">
        <v>5</v>
      </c>
      <c r="D163" t="s">
        <v>86</v>
      </c>
      <c r="E163" t="s">
        <v>71</v>
      </c>
    </row>
    <row r="164" spans="1:5" x14ac:dyDescent="0.25">
      <c r="A164" s="2" t="str">
        <f>HYPERLINK("spreadsheet/162.xlsx", "162.xlsx")</f>
        <v>162.xlsx</v>
      </c>
      <c r="B164" s="2">
        <v>162</v>
      </c>
      <c r="C164" t="s">
        <v>10</v>
      </c>
      <c r="D164" t="s">
        <v>86</v>
      </c>
      <c r="E164" t="s">
        <v>71</v>
      </c>
    </row>
    <row r="165" spans="1:5" x14ac:dyDescent="0.25">
      <c r="A165" s="2" t="str">
        <f>HYPERLINK("spreadsheet/163.xlsx", "163.xlsx")</f>
        <v>163.xlsx</v>
      </c>
      <c r="B165" s="2">
        <v>163</v>
      </c>
      <c r="C165" t="s">
        <v>14</v>
      </c>
      <c r="D165" t="s">
        <v>86</v>
      </c>
      <c r="E165" t="s">
        <v>71</v>
      </c>
    </row>
    <row r="166" spans="1:5" x14ac:dyDescent="0.25">
      <c r="A166" s="2" t="s">
        <v>87</v>
      </c>
      <c r="B166" s="2">
        <v>164</v>
      </c>
      <c r="C166" t="s">
        <v>15</v>
      </c>
      <c r="D166" t="s">
        <v>86</v>
      </c>
      <c r="E166" t="s">
        <v>71</v>
      </c>
    </row>
    <row r="167" spans="1:5" x14ac:dyDescent="0.25">
      <c r="A167" s="2" t="str">
        <f>HYPERLINK("spreadsheet/165.xlsx", "165.xlsx")</f>
        <v>165.xlsx</v>
      </c>
      <c r="B167" s="2">
        <v>165</v>
      </c>
      <c r="C167" t="s">
        <v>10</v>
      </c>
      <c r="D167" t="s">
        <v>88</v>
      </c>
      <c r="E167" t="s">
        <v>71</v>
      </c>
    </row>
    <row r="168" spans="1:5" x14ac:dyDescent="0.25">
      <c r="A168" s="2" t="str">
        <f>HYPERLINK("spreadsheet/166.xlsx", "166.xlsx")</f>
        <v>166.xlsx</v>
      </c>
      <c r="B168" s="2">
        <v>166</v>
      </c>
      <c r="C168" t="s">
        <v>14</v>
      </c>
      <c r="D168" t="s">
        <v>88</v>
      </c>
      <c r="E168" t="s">
        <v>71</v>
      </c>
    </row>
    <row r="169" spans="1:5" x14ac:dyDescent="0.25">
      <c r="A169" s="2" t="str">
        <f>HYPERLINK("spreadsheet/167.xlsx", "167.xlsx")</f>
        <v>167.xlsx</v>
      </c>
      <c r="B169" s="2">
        <v>167</v>
      </c>
      <c r="C169" t="s">
        <v>15</v>
      </c>
      <c r="D169" t="s">
        <v>88</v>
      </c>
      <c r="E169" t="s">
        <v>71</v>
      </c>
    </row>
    <row r="170" spans="1:5" x14ac:dyDescent="0.25">
      <c r="A170" s="2" t="str">
        <f>HYPERLINK("spreadsheet/168.xlsx", "168.xlsx")</f>
        <v>168.xlsx</v>
      </c>
      <c r="B170" s="2">
        <v>168</v>
      </c>
      <c r="C170" t="s">
        <v>44</v>
      </c>
      <c r="D170" t="s">
        <v>88</v>
      </c>
      <c r="E170" t="s">
        <v>71</v>
      </c>
    </row>
    <row r="171" spans="1:5" x14ac:dyDescent="0.25">
      <c r="A171" s="2" t="str">
        <f>HYPERLINK("spreadsheet/169.xlsx", "169.xlsx")</f>
        <v>169.xlsx</v>
      </c>
      <c r="B171" s="2">
        <v>169</v>
      </c>
      <c r="C171" t="s">
        <v>45</v>
      </c>
      <c r="D171" t="s">
        <v>88</v>
      </c>
      <c r="E171" t="s">
        <v>71</v>
      </c>
    </row>
    <row r="172" spans="1:5" x14ac:dyDescent="0.25">
      <c r="A172" s="2" t="s">
        <v>89</v>
      </c>
      <c r="B172" s="2">
        <v>170</v>
      </c>
      <c r="C172" t="s">
        <v>46</v>
      </c>
      <c r="D172" t="s">
        <v>88</v>
      </c>
      <c r="E172" t="s">
        <v>71</v>
      </c>
    </row>
    <row r="173" spans="1:5" x14ac:dyDescent="0.25">
      <c r="A173" s="2" t="s">
        <v>90</v>
      </c>
      <c r="B173" s="2">
        <v>171</v>
      </c>
      <c r="C173" t="s">
        <v>49</v>
      </c>
      <c r="D173" t="s">
        <v>88</v>
      </c>
      <c r="E173" t="s">
        <v>71</v>
      </c>
    </row>
    <row r="174" spans="1:5" x14ac:dyDescent="0.25">
      <c r="A174" s="2" t="str">
        <f>HYPERLINK("spreadsheet/172.xlsx", "172.xlsx")</f>
        <v>172.xlsx</v>
      </c>
      <c r="B174" s="2">
        <v>172</v>
      </c>
      <c r="C174" t="s">
        <v>5</v>
      </c>
      <c r="D174" t="s">
        <v>91</v>
      </c>
      <c r="E174" t="s">
        <v>71</v>
      </c>
    </row>
    <row r="175" spans="1:5" x14ac:dyDescent="0.25">
      <c r="A175" s="2" t="str">
        <f>HYPERLINK("spreadsheet/173.xlsx", "173.xlsx")</f>
        <v>173.xlsx</v>
      </c>
      <c r="B175" s="2">
        <v>173</v>
      </c>
      <c r="C175" t="s">
        <v>10</v>
      </c>
      <c r="D175" t="s">
        <v>91</v>
      </c>
      <c r="E175" t="s">
        <v>71</v>
      </c>
    </row>
    <row r="176" spans="1:5" x14ac:dyDescent="0.25">
      <c r="A176" s="2" t="s">
        <v>92</v>
      </c>
      <c r="B176" s="2">
        <v>174</v>
      </c>
      <c r="C176" t="s">
        <v>14</v>
      </c>
      <c r="D176" t="s">
        <v>91</v>
      </c>
      <c r="E176" t="s">
        <v>71</v>
      </c>
    </row>
    <row r="177" spans="1:5" x14ac:dyDescent="0.25">
      <c r="A177" s="2" t="str">
        <f>HYPERLINK("spreadsheet/175.xlsx", "175.xlsx")</f>
        <v>175.xlsx</v>
      </c>
      <c r="B177" s="2">
        <v>175</v>
      </c>
      <c r="C177" t="s">
        <v>15</v>
      </c>
      <c r="D177" t="s">
        <v>91</v>
      </c>
      <c r="E177" t="s">
        <v>71</v>
      </c>
    </row>
    <row r="178" spans="1:5" x14ac:dyDescent="0.25">
      <c r="A178" s="2" t="str">
        <f>HYPERLINK("spreadsheet/176.xlsx", "176.xlsx")</f>
        <v>176.xlsx</v>
      </c>
      <c r="B178" s="2">
        <v>176</v>
      </c>
      <c r="C178" t="s">
        <v>5</v>
      </c>
      <c r="D178" t="s">
        <v>93</v>
      </c>
      <c r="E178" t="s">
        <v>71</v>
      </c>
    </row>
    <row r="179" spans="1:5" x14ac:dyDescent="0.25">
      <c r="A179" s="2" t="str">
        <f>HYPERLINK("spreadsheet/177.xlsx", "177.xlsx")</f>
        <v>177.xlsx</v>
      </c>
      <c r="B179" s="2">
        <v>177</v>
      </c>
      <c r="C179" t="s">
        <v>10</v>
      </c>
      <c r="D179" t="s">
        <v>93</v>
      </c>
      <c r="E179" t="s">
        <v>71</v>
      </c>
    </row>
    <row r="180" spans="1:5" x14ac:dyDescent="0.25">
      <c r="A180" s="2" t="str">
        <f>HYPERLINK("spreadsheet/178.xlsx", "178.xlsx")</f>
        <v>178.xlsx</v>
      </c>
      <c r="B180" s="2">
        <v>178</v>
      </c>
      <c r="C180" t="s">
        <v>14</v>
      </c>
      <c r="D180" t="s">
        <v>93</v>
      </c>
      <c r="E180" t="s">
        <v>71</v>
      </c>
    </row>
    <row r="181" spans="1:5" x14ac:dyDescent="0.25">
      <c r="A181" s="2" t="s">
        <v>94</v>
      </c>
      <c r="B181" s="2">
        <v>179</v>
      </c>
      <c r="C181" t="s">
        <v>15</v>
      </c>
      <c r="D181" t="s">
        <v>93</v>
      </c>
      <c r="E181" t="s">
        <v>71</v>
      </c>
    </row>
    <row r="182" spans="1:5" x14ac:dyDescent="0.25">
      <c r="A182" s="2" t="str">
        <f>HYPERLINK("spreadsheet/180.xlsx", "180.xlsx")</f>
        <v>180.xlsx</v>
      </c>
      <c r="B182" s="2">
        <v>180</v>
      </c>
      <c r="C182" t="s">
        <v>22</v>
      </c>
      <c r="D182" t="s">
        <v>93</v>
      </c>
      <c r="E182" t="s">
        <v>71</v>
      </c>
    </row>
    <row r="183" spans="1:5" x14ac:dyDescent="0.25">
      <c r="A183" s="2" t="str">
        <f>HYPERLINK("spreadsheet/181.xlsx", "181.xlsx")</f>
        <v>181.xlsx</v>
      </c>
      <c r="B183" s="2">
        <v>181</v>
      </c>
      <c r="C183" t="s">
        <v>24</v>
      </c>
      <c r="D183" t="s">
        <v>93</v>
      </c>
      <c r="E183" t="s">
        <v>71</v>
      </c>
    </row>
    <row r="184" spans="1:5" x14ac:dyDescent="0.25">
      <c r="A184" s="2" t="str">
        <f>HYPERLINK("spreadsheet/182.xlsx", "182.xlsx")</f>
        <v>182.xlsx</v>
      </c>
      <c r="B184" s="2">
        <v>182</v>
      </c>
      <c r="C184" t="s">
        <v>44</v>
      </c>
      <c r="D184" t="s">
        <v>93</v>
      </c>
      <c r="E184" t="s">
        <v>71</v>
      </c>
    </row>
    <row r="185" spans="1:5" x14ac:dyDescent="0.25">
      <c r="A185" s="2" t="str">
        <f>HYPERLINK("spreadsheet/183.xlsx", "183.xlsx")</f>
        <v>183.xlsx</v>
      </c>
      <c r="B185" s="2">
        <v>183</v>
      </c>
      <c r="C185" t="s">
        <v>10</v>
      </c>
      <c r="D185" t="s">
        <v>95</v>
      </c>
      <c r="E185" t="s">
        <v>71</v>
      </c>
    </row>
    <row r="186" spans="1:5" x14ac:dyDescent="0.25">
      <c r="A186" s="2" t="str">
        <f>HYPERLINK("spreadsheet/184.xlsx", "184.xlsx")</f>
        <v>184.xlsx</v>
      </c>
      <c r="B186" s="2">
        <v>184</v>
      </c>
      <c r="C186" t="s">
        <v>14</v>
      </c>
      <c r="D186" t="s">
        <v>95</v>
      </c>
      <c r="E186" t="s">
        <v>71</v>
      </c>
    </row>
    <row r="187" spans="1:5" x14ac:dyDescent="0.25">
      <c r="A187" s="2" t="s">
        <v>96</v>
      </c>
      <c r="B187" s="2">
        <v>185</v>
      </c>
      <c r="C187" t="s">
        <v>5</v>
      </c>
      <c r="D187" t="s">
        <v>97</v>
      </c>
      <c r="E187" t="s">
        <v>71</v>
      </c>
    </row>
    <row r="188" spans="1:5" x14ac:dyDescent="0.25">
      <c r="A188" s="2" t="str">
        <f>HYPERLINK("spreadsheet/186.xlsx", "186.xlsx")</f>
        <v>186.xlsx</v>
      </c>
      <c r="B188" s="2">
        <v>186</v>
      </c>
      <c r="C188" t="s">
        <v>10</v>
      </c>
      <c r="D188" t="s">
        <v>97</v>
      </c>
      <c r="E188" t="s">
        <v>71</v>
      </c>
    </row>
    <row r="189" spans="1:5" x14ac:dyDescent="0.25">
      <c r="A189" s="2" t="str">
        <f>HYPERLINK("spreadsheet/187.xlsx", "187.xlsx")</f>
        <v>187.xlsx</v>
      </c>
      <c r="B189" s="2">
        <v>187</v>
      </c>
      <c r="C189" t="s">
        <v>14</v>
      </c>
      <c r="D189" t="s">
        <v>97</v>
      </c>
      <c r="E189" t="s">
        <v>71</v>
      </c>
    </row>
    <row r="190" spans="1:5" x14ac:dyDescent="0.25">
      <c r="A190" s="2" t="str">
        <f>HYPERLINK("spreadsheet/188.xlsx", "188.xlsx")</f>
        <v>188.xlsx</v>
      </c>
      <c r="B190" s="2">
        <v>188</v>
      </c>
      <c r="C190" t="s">
        <v>15</v>
      </c>
      <c r="D190" t="s">
        <v>97</v>
      </c>
      <c r="E190" t="s">
        <v>71</v>
      </c>
    </row>
    <row r="191" spans="1:5" x14ac:dyDescent="0.25">
      <c r="A191" s="2" t="str">
        <f>HYPERLINK("spreadsheet/189.xlsx", "189.xlsx")</f>
        <v>189.xlsx</v>
      </c>
      <c r="B191" s="2">
        <v>189</v>
      </c>
      <c r="C191" t="s">
        <v>22</v>
      </c>
      <c r="D191" t="s">
        <v>97</v>
      </c>
      <c r="E191" t="s">
        <v>71</v>
      </c>
    </row>
    <row r="192" spans="1:5" x14ac:dyDescent="0.25">
      <c r="A192" s="2" t="s">
        <v>98</v>
      </c>
      <c r="B192" s="2">
        <v>190</v>
      </c>
      <c r="C192" t="s">
        <v>24</v>
      </c>
      <c r="D192" t="s">
        <v>97</v>
      </c>
      <c r="E192" t="s">
        <v>71</v>
      </c>
    </row>
    <row r="193" spans="1:5" x14ac:dyDescent="0.25">
      <c r="A193" s="2" t="s">
        <v>99</v>
      </c>
      <c r="B193" s="2">
        <v>191</v>
      </c>
      <c r="C193" t="s">
        <v>60</v>
      </c>
      <c r="D193" t="s">
        <v>97</v>
      </c>
      <c r="E193" t="s">
        <v>71</v>
      </c>
    </row>
    <row r="194" spans="1:5" x14ac:dyDescent="0.25">
      <c r="A194" s="2" t="s">
        <v>100</v>
      </c>
      <c r="B194" s="2">
        <v>192</v>
      </c>
      <c r="C194" t="s">
        <v>44</v>
      </c>
      <c r="D194" t="s">
        <v>97</v>
      </c>
      <c r="E194" t="s">
        <v>71</v>
      </c>
    </row>
    <row r="195" spans="1:5" x14ac:dyDescent="0.25">
      <c r="A195" s="2" t="s">
        <v>101</v>
      </c>
      <c r="B195" s="2">
        <v>193</v>
      </c>
      <c r="C195" t="s">
        <v>45</v>
      </c>
      <c r="D195" t="s">
        <v>97</v>
      </c>
      <c r="E195" t="s">
        <v>71</v>
      </c>
    </row>
    <row r="196" spans="1:5" x14ac:dyDescent="0.25">
      <c r="A196" s="2" t="s">
        <v>102</v>
      </c>
      <c r="B196" s="2">
        <v>194</v>
      </c>
      <c r="C196" t="s">
        <v>46</v>
      </c>
      <c r="D196" t="s">
        <v>97</v>
      </c>
      <c r="E196" t="s">
        <v>71</v>
      </c>
    </row>
    <row r="197" spans="1:5" x14ac:dyDescent="0.25">
      <c r="A197" s="2" t="str">
        <f>HYPERLINK("spreadsheet/195.xlsx", "195.xlsx")</f>
        <v>195.xlsx</v>
      </c>
      <c r="B197" s="2">
        <v>195</v>
      </c>
      <c r="C197" t="s">
        <v>47</v>
      </c>
      <c r="D197" t="s">
        <v>97</v>
      </c>
      <c r="E197" t="s">
        <v>71</v>
      </c>
    </row>
    <row r="198" spans="1:5" x14ac:dyDescent="0.25">
      <c r="A198" s="2" t="str">
        <f>HYPERLINK("spreadsheet/196.xlsx", "196.xlsx")</f>
        <v>196.xlsx</v>
      </c>
      <c r="B198" s="2">
        <v>196</v>
      </c>
      <c r="C198" t="s">
        <v>48</v>
      </c>
      <c r="D198" t="s">
        <v>97</v>
      </c>
      <c r="E198" t="s">
        <v>71</v>
      </c>
    </row>
    <row r="199" spans="1:5" x14ac:dyDescent="0.25">
      <c r="A199" s="2" t="str">
        <f>HYPERLINK("spreadsheet/197.xlsx", "197.xlsx")</f>
        <v>197.xlsx</v>
      </c>
      <c r="B199" s="2">
        <v>197</v>
      </c>
      <c r="C199" t="s">
        <v>49</v>
      </c>
      <c r="D199" t="s">
        <v>97</v>
      </c>
      <c r="E199" t="s">
        <v>71</v>
      </c>
    </row>
    <row r="200" spans="1:5" x14ac:dyDescent="0.25">
      <c r="A200" s="2" t="str">
        <f>HYPERLINK("spreadsheet/198.xlsx", "198.xlsx")</f>
        <v>198.xlsx</v>
      </c>
      <c r="B200" s="2">
        <v>198</v>
      </c>
      <c r="C200" t="s">
        <v>50</v>
      </c>
      <c r="D200" t="s">
        <v>97</v>
      </c>
      <c r="E200" t="s">
        <v>71</v>
      </c>
    </row>
    <row r="201" spans="1:5" x14ac:dyDescent="0.25">
      <c r="A201" s="2" t="str">
        <f>HYPERLINK("spreadsheet/199.xlsx", "199.xlsx")</f>
        <v>199.xlsx</v>
      </c>
      <c r="B201" s="2">
        <v>199</v>
      </c>
      <c r="C201" t="s">
        <v>51</v>
      </c>
      <c r="D201" t="s">
        <v>97</v>
      </c>
      <c r="E201" t="s">
        <v>71</v>
      </c>
    </row>
    <row r="202" spans="1:5" x14ac:dyDescent="0.25">
      <c r="A202" s="2" t="str">
        <f>HYPERLINK("spreadsheet/200.xlsx", "200.xlsx")</f>
        <v>200.xlsx</v>
      </c>
      <c r="B202" s="2">
        <v>200</v>
      </c>
      <c r="C202" t="s">
        <v>52</v>
      </c>
      <c r="D202" t="s">
        <v>97</v>
      </c>
      <c r="E202" t="s">
        <v>71</v>
      </c>
    </row>
    <row r="203" spans="1:5" x14ac:dyDescent="0.25">
      <c r="A203" s="2" t="str">
        <f>HYPERLINK("spreadsheet/201.xlsx", "201.xlsx")</f>
        <v>201.xlsx</v>
      </c>
      <c r="B203" s="2">
        <v>201</v>
      </c>
      <c r="C203" t="s">
        <v>53</v>
      </c>
      <c r="D203" t="s">
        <v>97</v>
      </c>
      <c r="E203" t="s">
        <v>71</v>
      </c>
    </row>
    <row r="204" spans="1:5" x14ac:dyDescent="0.25">
      <c r="A204" s="2" t="str">
        <f>HYPERLINK("spreadsheet/202.xlsx", "202.xlsx")</f>
        <v>202.xlsx</v>
      </c>
      <c r="B204" s="2">
        <v>202</v>
      </c>
      <c r="C204" t="s">
        <v>54</v>
      </c>
      <c r="D204" t="s">
        <v>97</v>
      </c>
      <c r="E204" t="s">
        <v>71</v>
      </c>
    </row>
    <row r="205" spans="1:5" x14ac:dyDescent="0.25">
      <c r="A205" s="2" t="str">
        <f>HYPERLINK("spreadsheet/203.xlsx", "203.xlsx")</f>
        <v>203.xlsx</v>
      </c>
      <c r="B205" s="2">
        <v>203</v>
      </c>
      <c r="C205" t="s">
        <v>55</v>
      </c>
      <c r="D205" t="s">
        <v>97</v>
      </c>
      <c r="E205" t="s">
        <v>71</v>
      </c>
    </row>
    <row r="206" spans="1:5" x14ac:dyDescent="0.25">
      <c r="A206" s="2" t="s">
        <v>103</v>
      </c>
      <c r="B206" s="2">
        <v>204</v>
      </c>
      <c r="C206" t="s">
        <v>56</v>
      </c>
      <c r="D206" t="s">
        <v>97</v>
      </c>
      <c r="E206" t="s">
        <v>71</v>
      </c>
    </row>
    <row r="207" spans="1:5" x14ac:dyDescent="0.25">
      <c r="A207" s="2" t="str">
        <f>HYPERLINK("spreadsheet/205.xlsx", "205.xlsx")</f>
        <v>205.xlsx</v>
      </c>
      <c r="B207" s="2">
        <v>205</v>
      </c>
      <c r="C207" t="s">
        <v>57</v>
      </c>
      <c r="D207" t="s">
        <v>97</v>
      </c>
      <c r="E207" t="s">
        <v>71</v>
      </c>
    </row>
    <row r="208" spans="1:5" x14ac:dyDescent="0.25">
      <c r="A208" s="2" t="str">
        <f>HYPERLINK("spreadsheet/206.xlsx", "206.xlsx")</f>
        <v>206.xlsx</v>
      </c>
      <c r="B208" s="2">
        <v>206</v>
      </c>
      <c r="C208" t="s">
        <v>5</v>
      </c>
      <c r="D208" t="s">
        <v>104</v>
      </c>
      <c r="E208" t="s">
        <v>71</v>
      </c>
    </row>
    <row r="209" spans="1:5" x14ac:dyDescent="0.25">
      <c r="A209" s="2" t="str">
        <f>HYPERLINK("spreadsheet/207.xlsx", "207.xlsx")</f>
        <v>207.xlsx</v>
      </c>
      <c r="B209" s="2">
        <v>207</v>
      </c>
      <c r="C209" t="s">
        <v>5</v>
      </c>
      <c r="D209" t="s">
        <v>105</v>
      </c>
      <c r="E209" t="s">
        <v>71</v>
      </c>
    </row>
    <row r="210" spans="1:5" x14ac:dyDescent="0.25">
      <c r="A210" s="2" t="str">
        <f>HYPERLINK("spreadsheet/208.xlsx", "208.xlsx")</f>
        <v>208.xlsx</v>
      </c>
      <c r="B210" s="2">
        <v>208</v>
      </c>
      <c r="C210" t="s">
        <v>10</v>
      </c>
      <c r="D210" t="s">
        <v>105</v>
      </c>
      <c r="E210" t="s">
        <v>71</v>
      </c>
    </row>
    <row r="211" spans="1:5" x14ac:dyDescent="0.25">
      <c r="A211" s="2" t="str">
        <f>HYPERLINK("spreadsheet/209.xlsx", "209.xlsx")</f>
        <v>209.xlsx</v>
      </c>
      <c r="B211" s="2">
        <v>209</v>
      </c>
      <c r="C211" t="s">
        <v>14</v>
      </c>
      <c r="D211" t="s">
        <v>105</v>
      </c>
      <c r="E211" t="s">
        <v>71</v>
      </c>
    </row>
    <row r="212" spans="1:5" x14ac:dyDescent="0.25">
      <c r="A212" s="2" t="str">
        <f>HYPERLINK("spreadsheet/210.xlsx", "210.xlsx")</f>
        <v>210.xlsx</v>
      </c>
      <c r="B212" s="2">
        <v>210</v>
      </c>
      <c r="C212" t="s">
        <v>15</v>
      </c>
      <c r="D212" t="s">
        <v>105</v>
      </c>
      <c r="E212" t="s">
        <v>71</v>
      </c>
    </row>
    <row r="213" spans="1:5" x14ac:dyDescent="0.25">
      <c r="A213" s="2" t="str">
        <f>HYPERLINK("spreadsheet/211.xlsx", "211.xlsx")</f>
        <v>211.xlsx</v>
      </c>
      <c r="B213" s="2">
        <v>211</v>
      </c>
      <c r="C213" t="s">
        <v>22</v>
      </c>
      <c r="D213" t="s">
        <v>105</v>
      </c>
      <c r="E213" t="s">
        <v>71</v>
      </c>
    </row>
    <row r="214" spans="1:5" x14ac:dyDescent="0.25">
      <c r="A214" s="2" t="str">
        <f>HYPERLINK("spreadsheet/212.xlsx", "212.xlsx")</f>
        <v>212.xlsx</v>
      </c>
      <c r="B214" s="2">
        <v>212</v>
      </c>
      <c r="C214" t="s">
        <v>24</v>
      </c>
      <c r="D214" t="s">
        <v>105</v>
      </c>
      <c r="E214" t="s">
        <v>71</v>
      </c>
    </row>
    <row r="215" spans="1:5" x14ac:dyDescent="0.25">
      <c r="A215" s="2" t="str">
        <f>HYPERLINK("spreadsheet/213.xlsx", "213.xlsx")</f>
        <v>213.xlsx</v>
      </c>
      <c r="B215" s="2">
        <v>213</v>
      </c>
      <c r="C215" t="s">
        <v>45</v>
      </c>
      <c r="D215" t="s">
        <v>105</v>
      </c>
      <c r="E215" t="s">
        <v>71</v>
      </c>
    </row>
    <row r="216" spans="1:5" x14ac:dyDescent="0.25">
      <c r="A216" s="2" t="str">
        <f>HYPERLINK("spreadsheet/214.xlsx", "214.xlsx")</f>
        <v>214.xlsx</v>
      </c>
      <c r="B216" s="2">
        <v>214</v>
      </c>
      <c r="C216" t="s">
        <v>48</v>
      </c>
      <c r="D216" t="s">
        <v>105</v>
      </c>
      <c r="E216" t="s">
        <v>71</v>
      </c>
    </row>
    <row r="217" spans="1:5" x14ac:dyDescent="0.25">
      <c r="A217" s="2" t="str">
        <f>HYPERLINK("spreadsheet/215.xlsx", "215.xlsx")</f>
        <v>215.xlsx</v>
      </c>
      <c r="B217" s="2">
        <v>215</v>
      </c>
      <c r="C217" t="s">
        <v>106</v>
      </c>
      <c r="D217" t="s">
        <v>105</v>
      </c>
      <c r="E217" t="s">
        <v>71</v>
      </c>
    </row>
    <row r="218" spans="1:5" x14ac:dyDescent="0.25">
      <c r="A218" s="2" t="str">
        <f>HYPERLINK("spreadsheet/216.xlsx", "216.xlsx")</f>
        <v>216.xlsx</v>
      </c>
      <c r="B218" s="2">
        <v>216</v>
      </c>
      <c r="C218" t="s">
        <v>107</v>
      </c>
      <c r="D218" t="s">
        <v>105</v>
      </c>
      <c r="E218" t="s">
        <v>71</v>
      </c>
    </row>
    <row r="219" spans="1:5" x14ac:dyDescent="0.25">
      <c r="A219" s="2" t="str">
        <f>HYPERLINK("spreadsheet/217.xlsx", "217.xlsx")</f>
        <v>217.xlsx</v>
      </c>
      <c r="B219" s="2">
        <v>217</v>
      </c>
      <c r="C219" t="s">
        <v>108</v>
      </c>
      <c r="D219" t="s">
        <v>105</v>
      </c>
      <c r="E219" t="s">
        <v>71</v>
      </c>
    </row>
    <row r="220" spans="1:5" x14ac:dyDescent="0.25">
      <c r="A220" s="2" t="str">
        <f>HYPERLINK("spreadsheet/218.xlsx", "218.xlsx")</f>
        <v>218.xlsx</v>
      </c>
      <c r="B220" s="2">
        <v>218</v>
      </c>
      <c r="C220" t="s">
        <v>109</v>
      </c>
      <c r="D220" t="s">
        <v>105</v>
      </c>
      <c r="E220" t="s">
        <v>71</v>
      </c>
    </row>
    <row r="221" spans="1:5" x14ac:dyDescent="0.25">
      <c r="A221" s="2" t="s">
        <v>110</v>
      </c>
      <c r="B221" s="2">
        <v>219</v>
      </c>
      <c r="C221" t="s">
        <v>51</v>
      </c>
      <c r="D221" t="s">
        <v>105</v>
      </c>
      <c r="E221" t="s">
        <v>71</v>
      </c>
    </row>
    <row r="222" spans="1:5" x14ac:dyDescent="0.25">
      <c r="A222" s="2" t="s">
        <v>111</v>
      </c>
      <c r="B222" s="2">
        <v>220</v>
      </c>
      <c r="C222" t="s">
        <v>52</v>
      </c>
      <c r="D222" t="s">
        <v>105</v>
      </c>
      <c r="E222" t="s">
        <v>71</v>
      </c>
    </row>
    <row r="223" spans="1:5" x14ac:dyDescent="0.25">
      <c r="A223" s="2" t="s">
        <v>112</v>
      </c>
      <c r="B223" s="2">
        <v>221</v>
      </c>
      <c r="C223" t="s">
        <v>53</v>
      </c>
      <c r="D223" t="s">
        <v>105</v>
      </c>
      <c r="E223" t="s">
        <v>71</v>
      </c>
    </row>
    <row r="224" spans="1:5" x14ac:dyDescent="0.25">
      <c r="A224" s="2" t="s">
        <v>113</v>
      </c>
      <c r="B224" s="2">
        <v>222</v>
      </c>
      <c r="C224" t="s">
        <v>54</v>
      </c>
      <c r="D224" t="s">
        <v>105</v>
      </c>
      <c r="E224" t="s">
        <v>71</v>
      </c>
    </row>
    <row r="225" spans="1:5" x14ac:dyDescent="0.25">
      <c r="A225" s="2" t="str">
        <f>HYPERLINK("spreadsheet/223.xlsx", "223.xlsx")</f>
        <v>223.xlsx</v>
      </c>
      <c r="B225" s="2">
        <v>223</v>
      </c>
      <c r="C225" t="s">
        <v>5</v>
      </c>
      <c r="D225" t="s">
        <v>114</v>
      </c>
      <c r="E225" t="s">
        <v>115</v>
      </c>
    </row>
    <row r="226" spans="1:5" x14ac:dyDescent="0.25">
      <c r="A226" s="2" t="str">
        <f>HYPERLINK("spreadsheet/224.xlsx", "224.xlsx")</f>
        <v>224.xlsx</v>
      </c>
      <c r="B226" s="2">
        <v>224</v>
      </c>
      <c r="C226" t="s">
        <v>10</v>
      </c>
      <c r="D226" t="s">
        <v>114</v>
      </c>
      <c r="E226" t="s">
        <v>115</v>
      </c>
    </row>
    <row r="227" spans="1:5" x14ac:dyDescent="0.25">
      <c r="A227" s="2" t="str">
        <f>HYPERLINK("spreadsheet/225.xlsx", "225.xlsx")</f>
        <v>225.xlsx</v>
      </c>
      <c r="B227" s="2">
        <v>225</v>
      </c>
      <c r="C227" t="s">
        <v>14</v>
      </c>
      <c r="D227" t="s">
        <v>114</v>
      </c>
      <c r="E227" t="s">
        <v>115</v>
      </c>
    </row>
    <row r="228" spans="1:5" x14ac:dyDescent="0.25">
      <c r="A228" s="2" t="s">
        <v>116</v>
      </c>
      <c r="B228" s="2">
        <v>226</v>
      </c>
      <c r="C228" t="s">
        <v>15</v>
      </c>
      <c r="D228" t="s">
        <v>114</v>
      </c>
      <c r="E228" t="s">
        <v>115</v>
      </c>
    </row>
    <row r="229" spans="1:5" x14ac:dyDescent="0.25">
      <c r="A229" s="2" t="s">
        <v>117</v>
      </c>
      <c r="B229" s="2">
        <v>227</v>
      </c>
      <c r="C229" t="s">
        <v>22</v>
      </c>
      <c r="D229" t="s">
        <v>114</v>
      </c>
      <c r="E229" t="s">
        <v>115</v>
      </c>
    </row>
    <row r="230" spans="1:5" x14ac:dyDescent="0.25">
      <c r="A230" s="2" t="s">
        <v>118</v>
      </c>
      <c r="B230" s="2">
        <v>228</v>
      </c>
      <c r="C230" t="s">
        <v>5</v>
      </c>
      <c r="D230" t="s">
        <v>119</v>
      </c>
      <c r="E230" t="s">
        <v>120</v>
      </c>
    </row>
    <row r="231" spans="1:5" x14ac:dyDescent="0.25">
      <c r="A231" s="2" t="s">
        <v>121</v>
      </c>
      <c r="B231" s="2">
        <v>229</v>
      </c>
      <c r="C231" t="s">
        <v>10</v>
      </c>
      <c r="D231" t="s">
        <v>119</v>
      </c>
      <c r="E231" t="s">
        <v>120</v>
      </c>
    </row>
    <row r="232" spans="1:5" x14ac:dyDescent="0.25">
      <c r="A232" s="2" t="s">
        <v>122</v>
      </c>
      <c r="B232" s="2">
        <v>230</v>
      </c>
      <c r="C232" t="s">
        <v>5</v>
      </c>
      <c r="D232" t="s">
        <v>123</v>
      </c>
      <c r="E232" t="s">
        <v>124</v>
      </c>
    </row>
    <row r="233" spans="1:5" x14ac:dyDescent="0.25">
      <c r="A233" s="2" t="str">
        <f>HYPERLINK("spreadsheet/231.xlsx", "231.xlsx")</f>
        <v>231.xlsx</v>
      </c>
      <c r="B233" s="2">
        <v>231</v>
      </c>
      <c r="C233" t="s">
        <v>5</v>
      </c>
      <c r="D233" t="s">
        <v>125</v>
      </c>
      <c r="E233" t="s">
        <v>126</v>
      </c>
    </row>
    <row r="234" spans="1:5" x14ac:dyDescent="0.25">
      <c r="A234" s="2" t="str">
        <f>HYPERLINK("spreadsheet/232.xlsx", "232.xlsx")</f>
        <v>232.xlsx</v>
      </c>
      <c r="B234" s="2">
        <v>232</v>
      </c>
      <c r="C234" t="s">
        <v>10</v>
      </c>
      <c r="D234" t="s">
        <v>125</v>
      </c>
      <c r="E234" t="s">
        <v>126</v>
      </c>
    </row>
    <row r="235" spans="1:5" x14ac:dyDescent="0.25">
      <c r="A235" s="2" t="str">
        <f>HYPERLINK("spreadsheet/233.xlsx", "233.xlsx")</f>
        <v>233.xlsx</v>
      </c>
      <c r="B235" s="2">
        <v>233</v>
      </c>
      <c r="C235" t="s">
        <v>14</v>
      </c>
      <c r="D235" t="s">
        <v>125</v>
      </c>
      <c r="E235" t="s">
        <v>126</v>
      </c>
    </row>
    <row r="236" spans="1:5" x14ac:dyDescent="0.25">
      <c r="A236" s="2" t="str">
        <f>HYPERLINK("spreadsheet/234.xlsx", "234.xlsx")</f>
        <v>234.xlsx</v>
      </c>
      <c r="B236" s="2">
        <v>234</v>
      </c>
      <c r="C236" t="s">
        <v>15</v>
      </c>
      <c r="D236" t="s">
        <v>125</v>
      </c>
      <c r="E236" t="s">
        <v>126</v>
      </c>
    </row>
    <row r="237" spans="1:5" x14ac:dyDescent="0.25">
      <c r="A237" s="2" t="str">
        <f>HYPERLINK("spreadsheet/235.xlsx", "235.xlsx")</f>
        <v>235.xlsx</v>
      </c>
      <c r="B237" s="2">
        <v>235</v>
      </c>
      <c r="C237" t="s">
        <v>5</v>
      </c>
      <c r="D237" t="s">
        <v>127</v>
      </c>
      <c r="E237" t="s">
        <v>115</v>
      </c>
    </row>
    <row r="238" spans="1:5" x14ac:dyDescent="0.25">
      <c r="A238" s="2" t="str">
        <f>HYPERLINK("spreadsheet/236.xlsx", "236.xlsx")</f>
        <v>236.xlsx</v>
      </c>
      <c r="B238" s="2">
        <v>236</v>
      </c>
      <c r="C238" t="s">
        <v>10</v>
      </c>
      <c r="D238" t="s">
        <v>127</v>
      </c>
      <c r="E238" t="s">
        <v>115</v>
      </c>
    </row>
    <row r="239" spans="1:5" x14ac:dyDescent="0.25">
      <c r="A239" s="2" t="str">
        <f>HYPERLINK("spreadsheet/237.xlsx", "237.xlsx")</f>
        <v>237.xlsx</v>
      </c>
      <c r="B239" s="2">
        <v>237</v>
      </c>
      <c r="C239" t="s">
        <v>14</v>
      </c>
      <c r="D239" t="s">
        <v>127</v>
      </c>
      <c r="E239" t="s">
        <v>115</v>
      </c>
    </row>
    <row r="240" spans="1:5" x14ac:dyDescent="0.25">
      <c r="A240" s="2" t="s">
        <v>128</v>
      </c>
      <c r="B240" s="2">
        <v>238</v>
      </c>
      <c r="C240" t="s">
        <v>15</v>
      </c>
      <c r="D240" t="s">
        <v>127</v>
      </c>
      <c r="E240" t="s">
        <v>115</v>
      </c>
    </row>
    <row r="241" spans="1:5" x14ac:dyDescent="0.25">
      <c r="A241" s="2" t="str">
        <f>HYPERLINK("spreadsheet/239.xlsx", "239.xlsx")</f>
        <v>239.xlsx</v>
      </c>
      <c r="B241" s="2">
        <v>239</v>
      </c>
      <c r="C241" t="s">
        <v>5</v>
      </c>
      <c r="D241" t="s">
        <v>129</v>
      </c>
      <c r="E241" t="s">
        <v>126</v>
      </c>
    </row>
    <row r="242" spans="1:5" x14ac:dyDescent="0.25">
      <c r="A242" s="2" t="str">
        <f>HYPERLINK("spreadsheet/240.xlsx", "240.xlsx")</f>
        <v>240.xlsx</v>
      </c>
      <c r="B242" s="2">
        <v>240</v>
      </c>
      <c r="C242" t="s">
        <v>10</v>
      </c>
      <c r="D242" t="s">
        <v>129</v>
      </c>
      <c r="E242" t="s">
        <v>126</v>
      </c>
    </row>
    <row r="243" spans="1:5" x14ac:dyDescent="0.25">
      <c r="A243" s="2" t="s">
        <v>130</v>
      </c>
      <c r="B243" s="2">
        <v>241</v>
      </c>
      <c r="C243" t="s">
        <v>14</v>
      </c>
      <c r="D243" t="s">
        <v>129</v>
      </c>
      <c r="E243" t="s">
        <v>126</v>
      </c>
    </row>
    <row r="244" spans="1:5" x14ac:dyDescent="0.25">
      <c r="A244" s="2" t="str">
        <f>HYPERLINK("spreadsheet/242.xlsx", "242.xlsx")</f>
        <v>242.xlsx</v>
      </c>
      <c r="B244" s="2">
        <v>242</v>
      </c>
      <c r="C244" t="s">
        <v>15</v>
      </c>
      <c r="D244" t="s">
        <v>129</v>
      </c>
      <c r="E244" t="s">
        <v>126</v>
      </c>
    </row>
    <row r="245" spans="1:5" x14ac:dyDescent="0.25">
      <c r="A245" s="2" t="s">
        <v>131</v>
      </c>
      <c r="B245" s="2">
        <v>243</v>
      </c>
      <c r="C245" t="s">
        <v>22</v>
      </c>
      <c r="D245" t="s">
        <v>129</v>
      </c>
      <c r="E245" t="s">
        <v>126</v>
      </c>
    </row>
    <row r="246" spans="1:5" x14ac:dyDescent="0.25">
      <c r="A246" s="2" t="s">
        <v>132</v>
      </c>
      <c r="B246" s="2">
        <v>244</v>
      </c>
      <c r="C246" t="s">
        <v>5</v>
      </c>
      <c r="D246" t="s">
        <v>133</v>
      </c>
      <c r="E246" t="s">
        <v>134</v>
      </c>
    </row>
    <row r="247" spans="1:5" x14ac:dyDescent="0.25">
      <c r="A247" s="2" t="str">
        <f>HYPERLINK("spreadsheet/245.xlsx", "245.xlsx")</f>
        <v>245.xlsx</v>
      </c>
      <c r="B247" s="2">
        <v>245</v>
      </c>
      <c r="C247" t="s">
        <v>10</v>
      </c>
      <c r="D247" t="s">
        <v>133</v>
      </c>
      <c r="E247" t="s">
        <v>134</v>
      </c>
    </row>
    <row r="248" spans="1:5" x14ac:dyDescent="0.25">
      <c r="A248" s="2" t="str">
        <f>HYPERLINK("spreadsheet/246.xlsx", "246.xlsx")</f>
        <v>246.xlsx</v>
      </c>
      <c r="B248" s="2">
        <v>246</v>
      </c>
      <c r="C248" t="s">
        <v>14</v>
      </c>
      <c r="D248" t="s">
        <v>133</v>
      </c>
      <c r="E248" t="s">
        <v>134</v>
      </c>
    </row>
    <row r="249" spans="1:5" x14ac:dyDescent="0.25">
      <c r="A249" s="2" t="str">
        <f>HYPERLINK("spreadsheet/247.xlsx", "247.xlsx")</f>
        <v>247.xlsx</v>
      </c>
      <c r="B249" s="2">
        <v>247</v>
      </c>
      <c r="C249" t="s">
        <v>15</v>
      </c>
      <c r="D249" t="s">
        <v>133</v>
      </c>
      <c r="E249" t="s">
        <v>134</v>
      </c>
    </row>
    <row r="250" spans="1:5" x14ac:dyDescent="0.25">
      <c r="A250" s="2" t="str">
        <f>HYPERLINK("spreadsheet/248.xlsx", "248.xlsx")</f>
        <v>248.xlsx</v>
      </c>
      <c r="B250" s="2">
        <v>248</v>
      </c>
      <c r="C250" t="s">
        <v>22</v>
      </c>
      <c r="D250" t="s">
        <v>133</v>
      </c>
      <c r="E250" t="s">
        <v>134</v>
      </c>
    </row>
    <row r="251" spans="1:5" x14ac:dyDescent="0.25">
      <c r="A251" s="2" t="str">
        <f>HYPERLINK("spreadsheet/249.xlsx", "249.xlsx")</f>
        <v>249.xlsx</v>
      </c>
      <c r="B251" s="2">
        <v>249</v>
      </c>
      <c r="C251" t="s">
        <v>24</v>
      </c>
      <c r="D251" t="s">
        <v>133</v>
      </c>
      <c r="E251" t="s">
        <v>134</v>
      </c>
    </row>
    <row r="252" spans="1:5" x14ac:dyDescent="0.25">
      <c r="A252" s="2" t="s">
        <v>135</v>
      </c>
      <c r="B252" s="2">
        <v>250</v>
      </c>
      <c r="C252" t="s">
        <v>5</v>
      </c>
      <c r="D252" t="s">
        <v>136</v>
      </c>
      <c r="E252" t="s">
        <v>120</v>
      </c>
    </row>
    <row r="253" spans="1:5" x14ac:dyDescent="0.25">
      <c r="A253" s="2" t="s">
        <v>137</v>
      </c>
      <c r="B253" s="2">
        <v>251</v>
      </c>
      <c r="C253" t="s">
        <v>10</v>
      </c>
      <c r="D253" t="s">
        <v>136</v>
      </c>
      <c r="E253" t="s">
        <v>120</v>
      </c>
    </row>
    <row r="254" spans="1:5" x14ac:dyDescent="0.25">
      <c r="A254" s="2" t="str">
        <f>HYPERLINK("spreadsheet/252.xlsx", "252.xlsx")</f>
        <v>252.xlsx</v>
      </c>
      <c r="B254" s="2">
        <v>252</v>
      </c>
      <c r="C254" t="s">
        <v>5</v>
      </c>
      <c r="D254" t="s">
        <v>138</v>
      </c>
      <c r="E254" t="s">
        <v>139</v>
      </c>
    </row>
    <row r="255" spans="1:5" x14ac:dyDescent="0.25">
      <c r="A255" s="2" t="str">
        <f>HYPERLINK("spreadsheet/253.xlsx", "253.xlsx")</f>
        <v>253.xlsx</v>
      </c>
      <c r="B255" s="2">
        <v>253</v>
      </c>
      <c r="C255" t="s">
        <v>10</v>
      </c>
      <c r="D255" t="s">
        <v>138</v>
      </c>
      <c r="E255" t="s">
        <v>139</v>
      </c>
    </row>
    <row r="256" spans="1:5" x14ac:dyDescent="0.25">
      <c r="A256" s="2" t="str">
        <f>HYPERLINK("spreadsheet/254.xlsx", "254.xlsx")</f>
        <v>254.xlsx</v>
      </c>
      <c r="B256" s="2">
        <v>254</v>
      </c>
      <c r="C256" t="s">
        <v>14</v>
      </c>
      <c r="D256" t="s">
        <v>138</v>
      </c>
      <c r="E256" t="s">
        <v>139</v>
      </c>
    </row>
    <row r="257" spans="1:5" x14ac:dyDescent="0.25">
      <c r="A257" s="2" t="str">
        <f>HYPERLINK("spreadsheet/255.xlsx", "255.xlsx")</f>
        <v>255.xlsx</v>
      </c>
      <c r="B257" s="2">
        <v>255</v>
      </c>
      <c r="C257" t="s">
        <v>15</v>
      </c>
      <c r="D257" t="s">
        <v>138</v>
      </c>
      <c r="E257" t="s">
        <v>139</v>
      </c>
    </row>
    <row r="258" spans="1:5" x14ac:dyDescent="0.25">
      <c r="A258" s="2" t="str">
        <f>HYPERLINK("spreadsheet/256.xlsx", "256.xlsx")</f>
        <v>256.xlsx</v>
      </c>
      <c r="B258" s="2">
        <v>256</v>
      </c>
      <c r="C258" t="s">
        <v>5</v>
      </c>
      <c r="D258" t="s">
        <v>140</v>
      </c>
      <c r="E258" t="s">
        <v>115</v>
      </c>
    </row>
    <row r="259" spans="1:5" x14ac:dyDescent="0.25">
      <c r="A259" s="2" t="str">
        <f>HYPERLINK("spreadsheet/257.xlsx", "257.xlsx")</f>
        <v>257.xlsx</v>
      </c>
      <c r="B259" s="2">
        <v>257</v>
      </c>
      <c r="C259" t="s">
        <v>10</v>
      </c>
      <c r="D259" t="s">
        <v>140</v>
      </c>
      <c r="E259" t="s">
        <v>115</v>
      </c>
    </row>
    <row r="260" spans="1:5" x14ac:dyDescent="0.25">
      <c r="A260" s="2" t="s">
        <v>141</v>
      </c>
      <c r="B260" s="2">
        <v>258</v>
      </c>
      <c r="C260" t="s">
        <v>5</v>
      </c>
      <c r="D260" t="s">
        <v>142</v>
      </c>
      <c r="E260" t="s">
        <v>134</v>
      </c>
    </row>
    <row r="261" spans="1:5" x14ac:dyDescent="0.25">
      <c r="A261" s="2" t="str">
        <f>HYPERLINK("spreadsheet/259.xlsx", "259.xlsx")</f>
        <v>259.xlsx</v>
      </c>
      <c r="B261" s="2">
        <v>259</v>
      </c>
      <c r="C261" t="s">
        <v>10</v>
      </c>
      <c r="D261" t="s">
        <v>142</v>
      </c>
      <c r="E261" t="s">
        <v>134</v>
      </c>
    </row>
    <row r="262" spans="1:5" x14ac:dyDescent="0.25">
      <c r="A262" s="2" t="str">
        <f>HYPERLINK("spreadsheet/260.xlsx", "260.xlsx")</f>
        <v>260.xlsx</v>
      </c>
      <c r="B262" s="2">
        <v>260</v>
      </c>
      <c r="C262" t="s">
        <v>5</v>
      </c>
      <c r="D262" t="s">
        <v>143</v>
      </c>
      <c r="E262" t="s">
        <v>115</v>
      </c>
    </row>
    <row r="263" spans="1:5" x14ac:dyDescent="0.25">
      <c r="A263" s="2" t="str">
        <f>HYPERLINK("spreadsheet/261.xlsx", "261.xlsx")</f>
        <v>261.xlsx</v>
      </c>
      <c r="B263" s="2">
        <v>261</v>
      </c>
      <c r="C263" t="s">
        <v>10</v>
      </c>
      <c r="D263" t="s">
        <v>143</v>
      </c>
      <c r="E263" t="s">
        <v>115</v>
      </c>
    </row>
    <row r="264" spans="1:5" x14ac:dyDescent="0.25">
      <c r="A264" s="2" t="str">
        <f>HYPERLINK("spreadsheet/262.xlsx", "262.xlsx")</f>
        <v>262.xlsx</v>
      </c>
      <c r="B264" s="2">
        <v>262</v>
      </c>
      <c r="C264" t="s">
        <v>14</v>
      </c>
      <c r="D264" t="s">
        <v>143</v>
      </c>
      <c r="E264" t="s">
        <v>115</v>
      </c>
    </row>
    <row r="265" spans="1:5" x14ac:dyDescent="0.25">
      <c r="A265" s="2" t="str">
        <f>HYPERLINK("spreadsheet/263.xlsx", "263.xlsx")</f>
        <v>263.xlsx</v>
      </c>
      <c r="B265" s="2">
        <v>263</v>
      </c>
      <c r="C265" t="s">
        <v>15</v>
      </c>
      <c r="D265" t="s">
        <v>143</v>
      </c>
      <c r="E265" t="s">
        <v>115</v>
      </c>
    </row>
    <row r="266" spans="1:5" x14ac:dyDescent="0.25">
      <c r="A266" s="2" t="str">
        <f>HYPERLINK("spreadsheet/264.xlsx", "264.xlsx")</f>
        <v>264.xlsx</v>
      </c>
      <c r="B266" s="2">
        <v>264</v>
      </c>
      <c r="C266" t="s">
        <v>5</v>
      </c>
      <c r="D266" t="s">
        <v>144</v>
      </c>
      <c r="E266" t="s">
        <v>145</v>
      </c>
    </row>
    <row r="267" spans="1:5" x14ac:dyDescent="0.25">
      <c r="A267" s="2" t="str">
        <f>HYPERLINK("spreadsheet/265.xlsx", "265.xlsx")</f>
        <v>265.xlsx</v>
      </c>
      <c r="B267" s="2">
        <v>265</v>
      </c>
      <c r="C267" t="s">
        <v>10</v>
      </c>
      <c r="D267" t="s">
        <v>144</v>
      </c>
      <c r="E267" t="s">
        <v>145</v>
      </c>
    </row>
    <row r="268" spans="1:5" x14ac:dyDescent="0.25">
      <c r="A268" s="2" t="str">
        <f>HYPERLINK("spreadsheet/266.xlsx", "266.xlsx")</f>
        <v>266.xlsx</v>
      </c>
      <c r="B268" s="2">
        <v>266</v>
      </c>
      <c r="C268" t="s">
        <v>10</v>
      </c>
      <c r="D268" t="s">
        <v>146</v>
      </c>
      <c r="E268" t="s">
        <v>147</v>
      </c>
    </row>
    <row r="269" spans="1:5" x14ac:dyDescent="0.25">
      <c r="A269" s="2" t="str">
        <f>HYPERLINK("spreadsheet/267.xlsx", "267.xlsx")</f>
        <v>267.xlsx</v>
      </c>
      <c r="B269" s="2">
        <v>267</v>
      </c>
      <c r="C269" t="s">
        <v>14</v>
      </c>
      <c r="D269" t="s">
        <v>146</v>
      </c>
      <c r="E269" t="s">
        <v>147</v>
      </c>
    </row>
    <row r="270" spans="1:5" x14ac:dyDescent="0.25">
      <c r="A270" s="2" t="s">
        <v>148</v>
      </c>
      <c r="B270" s="2">
        <v>268</v>
      </c>
      <c r="C270" t="s">
        <v>15</v>
      </c>
      <c r="D270" t="s">
        <v>146</v>
      </c>
      <c r="E270" t="s">
        <v>147</v>
      </c>
    </row>
    <row r="271" spans="1:5" x14ac:dyDescent="0.25">
      <c r="A271" s="2" t="str">
        <f>HYPERLINK("spreadsheet/269.xlsx", "269.xlsx")</f>
        <v>269.xlsx</v>
      </c>
      <c r="B271" s="2">
        <v>269</v>
      </c>
      <c r="C271" t="s">
        <v>5</v>
      </c>
      <c r="D271" t="s">
        <v>149</v>
      </c>
      <c r="E271" t="s">
        <v>150</v>
      </c>
    </row>
    <row r="272" spans="1:5" x14ac:dyDescent="0.25">
      <c r="A272" s="2" t="str">
        <f>HYPERLINK("spreadsheet/270.xlsx", "270.xlsx")</f>
        <v>270.xlsx</v>
      </c>
      <c r="B272" s="2">
        <v>270</v>
      </c>
      <c r="C272" t="s">
        <v>10</v>
      </c>
      <c r="D272" t="s">
        <v>149</v>
      </c>
      <c r="E272" t="s">
        <v>150</v>
      </c>
    </row>
    <row r="273" spans="1:5" x14ac:dyDescent="0.25">
      <c r="A273" s="2" t="s">
        <v>151</v>
      </c>
      <c r="B273" s="2">
        <v>271</v>
      </c>
      <c r="C273" t="s">
        <v>14</v>
      </c>
      <c r="D273" t="s">
        <v>149</v>
      </c>
      <c r="E273" t="s">
        <v>150</v>
      </c>
    </row>
    <row r="274" spans="1:5" x14ac:dyDescent="0.25">
      <c r="A274" s="2" t="str">
        <f>HYPERLINK("spreadsheet/272.xlsx", "272.xlsx")</f>
        <v>272.xlsx</v>
      </c>
      <c r="B274" s="2">
        <v>272</v>
      </c>
      <c r="C274" t="s">
        <v>15</v>
      </c>
      <c r="D274" t="s">
        <v>149</v>
      </c>
      <c r="E274" t="s">
        <v>150</v>
      </c>
    </row>
    <row r="275" spans="1:5" x14ac:dyDescent="0.25">
      <c r="A275" s="2" t="str">
        <f>HYPERLINK("spreadsheet/273.xlsx", "273.xlsx")</f>
        <v>273.xlsx</v>
      </c>
      <c r="B275" s="2">
        <v>273</v>
      </c>
      <c r="C275" t="s">
        <v>22</v>
      </c>
      <c r="D275" t="s">
        <v>149</v>
      </c>
      <c r="E275" t="s">
        <v>150</v>
      </c>
    </row>
    <row r="276" spans="1:5" x14ac:dyDescent="0.25">
      <c r="A276" s="2" t="str">
        <f>HYPERLINK("spreadsheet/274.xlsx", "274.xlsx")</f>
        <v>274.xlsx</v>
      </c>
      <c r="B276" s="2">
        <v>274</v>
      </c>
      <c r="C276" t="s">
        <v>24</v>
      </c>
      <c r="D276" t="s">
        <v>149</v>
      </c>
      <c r="E276" t="s">
        <v>150</v>
      </c>
    </row>
    <row r="277" spans="1:5" x14ac:dyDescent="0.25">
      <c r="A277" s="2" t="str">
        <f>HYPERLINK("spreadsheet/275.xlsx", "275.xlsx")</f>
        <v>275.xlsx</v>
      </c>
      <c r="B277" s="2">
        <v>275</v>
      </c>
      <c r="C277" t="s">
        <v>60</v>
      </c>
      <c r="D277" t="s">
        <v>149</v>
      </c>
      <c r="E277" t="s">
        <v>150</v>
      </c>
    </row>
    <row r="278" spans="1:5" x14ac:dyDescent="0.25">
      <c r="A278" s="2" t="str">
        <f>HYPERLINK("spreadsheet/276.xlsx", "276.xlsx")</f>
        <v>276.xlsx</v>
      </c>
      <c r="B278" s="2">
        <v>276</v>
      </c>
      <c r="C278" t="s">
        <v>44</v>
      </c>
      <c r="D278" t="s">
        <v>149</v>
      </c>
      <c r="E278" t="s">
        <v>150</v>
      </c>
    </row>
    <row r="279" spans="1:5" x14ac:dyDescent="0.25">
      <c r="A279" s="2" t="str">
        <f>HYPERLINK("spreadsheet/277.xlsx", "277.xlsx")</f>
        <v>277.xlsx</v>
      </c>
      <c r="B279" s="2">
        <v>277</v>
      </c>
      <c r="C279" t="s">
        <v>45</v>
      </c>
      <c r="D279" t="s">
        <v>149</v>
      </c>
      <c r="E279" t="s">
        <v>150</v>
      </c>
    </row>
    <row r="280" spans="1:5" x14ac:dyDescent="0.25">
      <c r="A280" s="2" t="str">
        <f>HYPERLINK("spreadsheet/278.xlsx", "278.xlsx")</f>
        <v>278.xlsx</v>
      </c>
      <c r="B280" s="2">
        <v>278</v>
      </c>
      <c r="C280" t="s">
        <v>46</v>
      </c>
      <c r="D280" t="s">
        <v>149</v>
      </c>
      <c r="E280" t="s">
        <v>150</v>
      </c>
    </row>
    <row r="281" spans="1:5" x14ac:dyDescent="0.25">
      <c r="A281" s="2" t="str">
        <f>HYPERLINK("spreadsheet/279.xlsx", "279.xlsx")</f>
        <v>279.xlsx</v>
      </c>
      <c r="B281" s="2">
        <v>279</v>
      </c>
      <c r="C281" t="s">
        <v>5</v>
      </c>
      <c r="D281" t="s">
        <v>152</v>
      </c>
      <c r="E281" t="s">
        <v>126</v>
      </c>
    </row>
    <row r="282" spans="1:5" x14ac:dyDescent="0.25">
      <c r="A282" s="2" t="str">
        <f>HYPERLINK("spreadsheet/280.xlsx", "280.xlsx")</f>
        <v>280.xlsx</v>
      </c>
      <c r="B282" s="2">
        <v>280</v>
      </c>
      <c r="C282" t="s">
        <v>10</v>
      </c>
      <c r="D282" t="s">
        <v>152</v>
      </c>
      <c r="E282" t="s">
        <v>126</v>
      </c>
    </row>
    <row r="283" spans="1:5" x14ac:dyDescent="0.25">
      <c r="A283" s="2" t="str">
        <f>HYPERLINK("spreadsheet/281.xlsx", "281.xlsx")</f>
        <v>281.xlsx</v>
      </c>
      <c r="B283" s="2">
        <v>281</v>
      </c>
      <c r="C283" t="s">
        <v>14</v>
      </c>
      <c r="D283" t="s">
        <v>152</v>
      </c>
      <c r="E283" t="s">
        <v>126</v>
      </c>
    </row>
    <row r="284" spans="1:5" x14ac:dyDescent="0.25">
      <c r="A284" s="2" t="str">
        <f>HYPERLINK("spreadsheet/282.xlsx", "282.xlsx")</f>
        <v>282.xlsx</v>
      </c>
      <c r="B284" s="2">
        <v>282</v>
      </c>
      <c r="C284" t="s">
        <v>5</v>
      </c>
      <c r="D284" t="s">
        <v>153</v>
      </c>
      <c r="E284" t="s">
        <v>154</v>
      </c>
    </row>
    <row r="285" spans="1:5" x14ac:dyDescent="0.25">
      <c r="A285" s="2" t="str">
        <f>HYPERLINK("spreadsheet/283.xlsx", "283.xlsx")</f>
        <v>283.xlsx</v>
      </c>
      <c r="B285" s="2">
        <v>283</v>
      </c>
      <c r="C285" t="s">
        <v>10</v>
      </c>
      <c r="D285" t="s">
        <v>153</v>
      </c>
      <c r="E285" t="s">
        <v>154</v>
      </c>
    </row>
    <row r="286" spans="1:5" x14ac:dyDescent="0.25">
      <c r="A286" s="2" t="str">
        <f>HYPERLINK("spreadsheet/284.xlsx", "284.xlsx")</f>
        <v>284.xlsx</v>
      </c>
      <c r="B286" s="2">
        <v>284</v>
      </c>
      <c r="C286" t="s">
        <v>14</v>
      </c>
      <c r="D286" t="s">
        <v>153</v>
      </c>
      <c r="E286" t="s">
        <v>154</v>
      </c>
    </row>
    <row r="287" spans="1:5" x14ac:dyDescent="0.25">
      <c r="A287" s="2" t="str">
        <f>HYPERLINK("spreadsheet/285.xlsx", "285.xlsx")</f>
        <v>285.xlsx</v>
      </c>
      <c r="B287" s="2">
        <v>285</v>
      </c>
      <c r="C287" t="s">
        <v>15</v>
      </c>
      <c r="D287" t="s">
        <v>153</v>
      </c>
      <c r="E287" t="s">
        <v>154</v>
      </c>
    </row>
    <row r="288" spans="1:5" x14ac:dyDescent="0.25">
      <c r="A288" s="2" t="s">
        <v>155</v>
      </c>
      <c r="B288" s="2">
        <v>286</v>
      </c>
      <c r="C288" t="s">
        <v>5</v>
      </c>
      <c r="D288" t="s">
        <v>156</v>
      </c>
      <c r="E288" t="s">
        <v>154</v>
      </c>
    </row>
    <row r="289" spans="1:5" x14ac:dyDescent="0.25">
      <c r="A289" s="2" t="s">
        <v>157</v>
      </c>
      <c r="B289" s="2">
        <v>287</v>
      </c>
      <c r="C289" t="s">
        <v>10</v>
      </c>
      <c r="D289" t="s">
        <v>156</v>
      </c>
      <c r="E289" t="s">
        <v>154</v>
      </c>
    </row>
    <row r="290" spans="1:5" x14ac:dyDescent="0.25">
      <c r="A290" s="2" t="str">
        <f>HYPERLINK("spreadsheet/288.xlsx", "288.xlsx")</f>
        <v>288.xlsx</v>
      </c>
      <c r="B290" s="2">
        <v>288</v>
      </c>
      <c r="C290" t="s">
        <v>14</v>
      </c>
      <c r="D290" t="s">
        <v>156</v>
      </c>
      <c r="E290" t="s">
        <v>154</v>
      </c>
    </row>
    <row r="291" spans="1:5" x14ac:dyDescent="0.25">
      <c r="A291" s="2" t="str">
        <f>HYPERLINK("spreadsheet/289.xlsx", "289.xlsx")</f>
        <v>289.xlsx</v>
      </c>
      <c r="B291" s="2">
        <v>289</v>
      </c>
      <c r="C291" t="s">
        <v>15</v>
      </c>
      <c r="D291" t="s">
        <v>156</v>
      </c>
      <c r="E291" t="s">
        <v>154</v>
      </c>
    </row>
    <row r="292" spans="1:5" x14ac:dyDescent="0.25">
      <c r="A292" s="2" t="str">
        <f>HYPERLINK("spreadsheet/290.xlsx", "290.xlsx")</f>
        <v>290.xlsx</v>
      </c>
      <c r="B292" s="2">
        <v>290</v>
      </c>
      <c r="C292" t="s">
        <v>5</v>
      </c>
      <c r="D292" t="s">
        <v>158</v>
      </c>
      <c r="E292" t="s">
        <v>134</v>
      </c>
    </row>
    <row r="293" spans="1:5" x14ac:dyDescent="0.25">
      <c r="A293" s="2" t="str">
        <f>HYPERLINK("spreadsheet/291.xlsx", "291.xlsx")</f>
        <v>291.xlsx</v>
      </c>
      <c r="B293" s="2">
        <v>291</v>
      </c>
      <c r="C293" t="s">
        <v>10</v>
      </c>
      <c r="D293" t="s">
        <v>158</v>
      </c>
      <c r="E293" t="s">
        <v>134</v>
      </c>
    </row>
    <row r="294" spans="1:5" x14ac:dyDescent="0.25">
      <c r="A294" s="2" t="str">
        <f>HYPERLINK("spreadsheet/292.xlsx", "292.xlsx")</f>
        <v>292.xlsx</v>
      </c>
      <c r="B294" s="2">
        <v>292</v>
      </c>
      <c r="C294" t="s">
        <v>5</v>
      </c>
      <c r="D294" t="s">
        <v>159</v>
      </c>
      <c r="E294" t="s">
        <v>160</v>
      </c>
    </row>
    <row r="295" spans="1:5" x14ac:dyDescent="0.25">
      <c r="A295" s="2" t="s">
        <v>161</v>
      </c>
      <c r="B295" s="2">
        <v>293</v>
      </c>
      <c r="C295" t="s">
        <v>10</v>
      </c>
      <c r="D295" t="s">
        <v>159</v>
      </c>
      <c r="E295" t="s">
        <v>160</v>
      </c>
    </row>
    <row r="296" spans="1:5" x14ac:dyDescent="0.25">
      <c r="A296" s="2" t="s">
        <v>162</v>
      </c>
      <c r="B296" s="2">
        <v>294</v>
      </c>
      <c r="C296" t="s">
        <v>14</v>
      </c>
      <c r="D296" t="s">
        <v>159</v>
      </c>
      <c r="E296" t="s">
        <v>160</v>
      </c>
    </row>
    <row r="297" spans="1:5" x14ac:dyDescent="0.25">
      <c r="A297" s="2" t="str">
        <f>HYPERLINK("spreadsheet/295.xlsx", "295.xlsx")</f>
        <v>295.xlsx</v>
      </c>
      <c r="B297" s="2">
        <v>295</v>
      </c>
      <c r="C297" t="s">
        <v>5</v>
      </c>
      <c r="D297" t="s">
        <v>163</v>
      </c>
      <c r="E297" t="s">
        <v>164</v>
      </c>
    </row>
    <row r="298" spans="1:5" x14ac:dyDescent="0.25">
      <c r="A298" s="2" t="str">
        <f>HYPERLINK("spreadsheet/296.xlsx", "296.xlsx")</f>
        <v>296.xlsx</v>
      </c>
      <c r="B298" s="2">
        <v>296</v>
      </c>
      <c r="C298" t="s">
        <v>5</v>
      </c>
      <c r="D298" t="s">
        <v>165</v>
      </c>
      <c r="E298" t="s">
        <v>115</v>
      </c>
    </row>
    <row r="299" spans="1:5" x14ac:dyDescent="0.25">
      <c r="A299" s="2" t="str">
        <f>HYPERLINK("spreadsheet/297.xlsx", "297.xlsx")</f>
        <v>297.xlsx</v>
      </c>
      <c r="B299" s="2">
        <v>297</v>
      </c>
      <c r="C299" t="s">
        <v>10</v>
      </c>
      <c r="D299" t="s">
        <v>165</v>
      </c>
      <c r="E299" t="s">
        <v>115</v>
      </c>
    </row>
    <row r="300" spans="1:5" x14ac:dyDescent="0.25">
      <c r="A300" s="2" t="str">
        <f>HYPERLINK("spreadsheet/298.xlsx", "298.xlsx")</f>
        <v>298.xlsx</v>
      </c>
      <c r="B300" s="2">
        <v>298</v>
      </c>
      <c r="C300" t="s">
        <v>14</v>
      </c>
      <c r="D300" t="s">
        <v>165</v>
      </c>
      <c r="E300" t="s">
        <v>115</v>
      </c>
    </row>
    <row r="301" spans="1:5" x14ac:dyDescent="0.25">
      <c r="A301" s="2" t="str">
        <f>HYPERLINK("spreadsheet/299.xlsx", "299.xlsx")</f>
        <v>299.xlsx</v>
      </c>
      <c r="B301" s="2">
        <v>299</v>
      </c>
      <c r="C301" t="s">
        <v>15</v>
      </c>
      <c r="D301" t="s">
        <v>165</v>
      </c>
      <c r="E301" t="s">
        <v>115</v>
      </c>
    </row>
    <row r="302" spans="1:5" x14ac:dyDescent="0.25">
      <c r="A302" s="2" t="str">
        <f>HYPERLINK("spreadsheet/300.xlsx", "300.xlsx")</f>
        <v>300.xlsx</v>
      </c>
      <c r="B302" s="2">
        <v>300</v>
      </c>
      <c r="C302" t="s">
        <v>22</v>
      </c>
      <c r="D302" t="s">
        <v>165</v>
      </c>
      <c r="E302" t="s">
        <v>115</v>
      </c>
    </row>
    <row r="303" spans="1:5" x14ac:dyDescent="0.25">
      <c r="A303" s="2" t="str">
        <f>HYPERLINK("spreadsheet/301.xlsx", "301.xlsx")</f>
        <v>301.xlsx</v>
      </c>
      <c r="B303" s="2">
        <v>301</v>
      </c>
      <c r="C303" t="s">
        <v>24</v>
      </c>
      <c r="D303" t="s">
        <v>165</v>
      </c>
      <c r="E303" t="s">
        <v>115</v>
      </c>
    </row>
    <row r="304" spans="1:5" x14ac:dyDescent="0.25">
      <c r="A304" s="2" t="str">
        <f>HYPERLINK("spreadsheet/302.xlsx", "302.xlsx")</f>
        <v>302.xlsx</v>
      </c>
      <c r="B304" s="2">
        <v>302</v>
      </c>
      <c r="C304" t="s">
        <v>5</v>
      </c>
      <c r="D304" t="s">
        <v>166</v>
      </c>
      <c r="E304" t="s">
        <v>115</v>
      </c>
    </row>
    <row r="305" spans="1:5" x14ac:dyDescent="0.25">
      <c r="A305" s="2" t="str">
        <f>HYPERLINK("spreadsheet/303.xlsx", "303.xlsx")</f>
        <v>303.xlsx</v>
      </c>
      <c r="B305" s="2">
        <v>303</v>
      </c>
      <c r="C305" t="s">
        <v>10</v>
      </c>
      <c r="D305" t="s">
        <v>166</v>
      </c>
      <c r="E305" t="s">
        <v>115</v>
      </c>
    </row>
    <row r="306" spans="1:5" x14ac:dyDescent="0.25">
      <c r="A306" s="2" t="s">
        <v>167</v>
      </c>
      <c r="B306" s="2">
        <v>304</v>
      </c>
      <c r="C306" t="s">
        <v>14</v>
      </c>
      <c r="D306" t="s">
        <v>166</v>
      </c>
      <c r="E306" t="s">
        <v>115</v>
      </c>
    </row>
    <row r="307" spans="1:5" x14ac:dyDescent="0.25">
      <c r="A307" s="2" t="str">
        <f>HYPERLINK("spreadsheet/305.xlsx", "305.xlsx")</f>
        <v>305.xlsx</v>
      </c>
      <c r="B307" s="2">
        <v>305</v>
      </c>
      <c r="C307" t="s">
        <v>15</v>
      </c>
      <c r="D307" t="s">
        <v>166</v>
      </c>
      <c r="E307" t="s">
        <v>115</v>
      </c>
    </row>
    <row r="308" spans="1:5" x14ac:dyDescent="0.25">
      <c r="A308" s="2" t="str">
        <f>HYPERLINK("spreadsheet/306.xlsx", "306.xlsx")</f>
        <v>306.xlsx</v>
      </c>
      <c r="B308" s="2">
        <v>306</v>
      </c>
      <c r="C308" t="s">
        <v>22</v>
      </c>
      <c r="D308" t="s">
        <v>166</v>
      </c>
      <c r="E308" t="s">
        <v>115</v>
      </c>
    </row>
    <row r="309" spans="1:5" x14ac:dyDescent="0.25">
      <c r="A309" s="2" t="str">
        <f>HYPERLINK("spreadsheet/307.xlsx", "307.xlsx")</f>
        <v>307.xlsx</v>
      </c>
      <c r="B309" s="2">
        <v>307</v>
      </c>
      <c r="C309" t="s">
        <v>5</v>
      </c>
      <c r="D309" t="s">
        <v>168</v>
      </c>
      <c r="E309" t="s">
        <v>134</v>
      </c>
    </row>
    <row r="310" spans="1:5" x14ac:dyDescent="0.25">
      <c r="A310" s="2" t="str">
        <f>HYPERLINK("spreadsheet/308.xlsx", "308.xlsx")</f>
        <v>308.xlsx</v>
      </c>
      <c r="B310" s="2">
        <v>308</v>
      </c>
      <c r="C310" t="s">
        <v>10</v>
      </c>
      <c r="D310" t="s">
        <v>168</v>
      </c>
      <c r="E310" t="s">
        <v>134</v>
      </c>
    </row>
    <row r="311" spans="1:5" x14ac:dyDescent="0.25">
      <c r="A311" s="2" t="s">
        <v>169</v>
      </c>
      <c r="B311" s="2">
        <v>309</v>
      </c>
      <c r="C311" t="s">
        <v>14</v>
      </c>
      <c r="D311" t="s">
        <v>168</v>
      </c>
      <c r="E311" t="s">
        <v>134</v>
      </c>
    </row>
    <row r="312" spans="1:5" x14ac:dyDescent="0.25">
      <c r="A312" s="2" t="str">
        <f>HYPERLINK("spreadsheet/310.xlsx", "310.xlsx")</f>
        <v>310.xlsx</v>
      </c>
      <c r="B312" s="2">
        <v>310</v>
      </c>
      <c r="C312" t="s">
        <v>15</v>
      </c>
      <c r="D312" t="s">
        <v>168</v>
      </c>
      <c r="E312" t="s">
        <v>134</v>
      </c>
    </row>
    <row r="313" spans="1:5" x14ac:dyDescent="0.25">
      <c r="A313" s="2" t="str">
        <f>HYPERLINK("spreadsheet/311.xlsx", "311.xlsx")</f>
        <v>311.xlsx</v>
      </c>
      <c r="B313" s="2">
        <v>311</v>
      </c>
      <c r="C313" t="s">
        <v>22</v>
      </c>
      <c r="D313" t="s">
        <v>168</v>
      </c>
      <c r="E313" t="s">
        <v>134</v>
      </c>
    </row>
    <row r="314" spans="1:5" x14ac:dyDescent="0.25">
      <c r="A314" s="2" t="str">
        <f>HYPERLINK("spreadsheet/312.xlsx", "312.xlsx")</f>
        <v>312.xlsx</v>
      </c>
      <c r="B314" s="2">
        <v>312</v>
      </c>
      <c r="C314" t="s">
        <v>5</v>
      </c>
      <c r="D314" t="s">
        <v>170</v>
      </c>
      <c r="E314" t="s">
        <v>115</v>
      </c>
    </row>
    <row r="315" spans="1:5" x14ac:dyDescent="0.25">
      <c r="A315" s="2" t="str">
        <f>HYPERLINK("spreadsheet/313.xlsx", "313.xlsx")</f>
        <v>313.xlsx</v>
      </c>
      <c r="B315" s="2">
        <v>313</v>
      </c>
      <c r="C315" t="s">
        <v>10</v>
      </c>
      <c r="D315" t="s">
        <v>170</v>
      </c>
      <c r="E315" t="s">
        <v>115</v>
      </c>
    </row>
    <row r="316" spans="1:5" x14ac:dyDescent="0.25">
      <c r="A316" s="2" t="str">
        <f>HYPERLINK("spreadsheet/314.xlsx", "314.xlsx")</f>
        <v>314.xlsx</v>
      </c>
      <c r="B316" s="2">
        <v>314</v>
      </c>
      <c r="C316" t="s">
        <v>14</v>
      </c>
      <c r="D316" t="s">
        <v>170</v>
      </c>
      <c r="E316" t="s">
        <v>115</v>
      </c>
    </row>
    <row r="317" spans="1:5" x14ac:dyDescent="0.25">
      <c r="A317" s="2" t="str">
        <f>HYPERLINK("spreadsheet/315.xlsx", "315.xlsx")</f>
        <v>315.xlsx</v>
      </c>
      <c r="B317" s="2">
        <v>315</v>
      </c>
      <c r="C317" t="s">
        <v>15</v>
      </c>
      <c r="D317" t="s">
        <v>170</v>
      </c>
      <c r="E317" t="s">
        <v>115</v>
      </c>
    </row>
    <row r="318" spans="1:5" x14ac:dyDescent="0.25">
      <c r="A318" s="2" t="str">
        <f>HYPERLINK("spreadsheet/316.xlsx", "316.xlsx")</f>
        <v>316.xlsx</v>
      </c>
      <c r="B318" s="2">
        <v>316</v>
      </c>
      <c r="C318" t="s">
        <v>22</v>
      </c>
      <c r="D318" t="s">
        <v>170</v>
      </c>
      <c r="E318" t="s">
        <v>115</v>
      </c>
    </row>
    <row r="319" spans="1:5" x14ac:dyDescent="0.25">
      <c r="A319" s="2" t="s">
        <v>171</v>
      </c>
      <c r="B319" s="2">
        <v>317</v>
      </c>
      <c r="C319" t="s">
        <v>5</v>
      </c>
      <c r="D319" t="s">
        <v>172</v>
      </c>
      <c r="E319" t="s">
        <v>173</v>
      </c>
    </row>
    <row r="320" spans="1:5" x14ac:dyDescent="0.25">
      <c r="A320" s="2" t="s">
        <v>174</v>
      </c>
      <c r="B320" s="2">
        <v>318</v>
      </c>
      <c r="C320" t="s">
        <v>10</v>
      </c>
      <c r="D320" t="s">
        <v>172</v>
      </c>
      <c r="E320" t="s">
        <v>173</v>
      </c>
    </row>
    <row r="321" spans="1:5" x14ac:dyDescent="0.25">
      <c r="A321" s="2" t="str">
        <f>HYPERLINK("spreadsheet/319.xlsx", "319.xlsx")</f>
        <v>319.xlsx</v>
      </c>
      <c r="B321" s="2">
        <v>319</v>
      </c>
      <c r="C321" t="s">
        <v>14</v>
      </c>
      <c r="D321" t="s">
        <v>172</v>
      </c>
      <c r="E321" t="s">
        <v>173</v>
      </c>
    </row>
    <row r="322" spans="1:5" x14ac:dyDescent="0.25">
      <c r="A322" s="2" t="str">
        <f>HYPERLINK("spreadsheet/320.xlsx", "320.xlsx")</f>
        <v>320.xlsx</v>
      </c>
      <c r="B322" s="2">
        <v>320</v>
      </c>
      <c r="C322" t="s">
        <v>15</v>
      </c>
      <c r="D322" t="s">
        <v>172</v>
      </c>
      <c r="E322" t="s">
        <v>173</v>
      </c>
    </row>
    <row r="323" spans="1:5" x14ac:dyDescent="0.25">
      <c r="A323" s="2" t="str">
        <f>HYPERLINK("spreadsheet/321.xlsx", "321.xlsx")</f>
        <v>321.xlsx</v>
      </c>
      <c r="B323" s="2">
        <v>321</v>
      </c>
      <c r="C323" t="s">
        <v>5</v>
      </c>
      <c r="D323" t="s">
        <v>175</v>
      </c>
      <c r="E323" t="s">
        <v>173</v>
      </c>
    </row>
    <row r="324" spans="1:5" x14ac:dyDescent="0.25">
      <c r="A324" s="2" t="s">
        <v>176</v>
      </c>
      <c r="B324" s="2">
        <v>322</v>
      </c>
      <c r="C324" t="s">
        <v>10</v>
      </c>
      <c r="D324" t="s">
        <v>175</v>
      </c>
      <c r="E324" t="s">
        <v>173</v>
      </c>
    </row>
    <row r="325" spans="1:5" x14ac:dyDescent="0.25">
      <c r="A325" s="2" t="s">
        <v>177</v>
      </c>
      <c r="B325" s="2">
        <v>323</v>
      </c>
      <c r="C325" t="s">
        <v>14</v>
      </c>
      <c r="D325" t="s">
        <v>175</v>
      </c>
      <c r="E325" t="s">
        <v>173</v>
      </c>
    </row>
    <row r="326" spans="1:5" x14ac:dyDescent="0.25">
      <c r="A326" s="2" t="str">
        <f>HYPERLINK("spreadsheet/324.xlsx", "324.xlsx")</f>
        <v>324.xlsx</v>
      </c>
      <c r="B326" s="2">
        <v>324</v>
      </c>
      <c r="C326" t="s">
        <v>15</v>
      </c>
      <c r="D326" t="s">
        <v>175</v>
      </c>
      <c r="E326" t="s">
        <v>173</v>
      </c>
    </row>
    <row r="327" spans="1:5" x14ac:dyDescent="0.25">
      <c r="A327" s="2" t="str">
        <f>HYPERLINK("spreadsheet/325.xlsx", "325.xlsx")</f>
        <v>325.xlsx</v>
      </c>
      <c r="B327" s="2">
        <v>325</v>
      </c>
      <c r="C327" t="s">
        <v>24</v>
      </c>
      <c r="D327" t="s">
        <v>175</v>
      </c>
      <c r="E327" t="s">
        <v>173</v>
      </c>
    </row>
    <row r="328" spans="1:5" x14ac:dyDescent="0.25">
      <c r="A328" s="2" t="str">
        <f>HYPERLINK("spreadsheet/326.xlsx", "326.xlsx")</f>
        <v>326.xlsx</v>
      </c>
      <c r="B328" s="2">
        <v>326</v>
      </c>
      <c r="C328" t="s">
        <v>44</v>
      </c>
      <c r="D328" t="s">
        <v>175</v>
      </c>
      <c r="E328" t="s">
        <v>173</v>
      </c>
    </row>
    <row r="329" spans="1:5" x14ac:dyDescent="0.25">
      <c r="A329" s="2" t="str">
        <f>HYPERLINK("spreadsheet/327.xlsx", "327.xlsx")</f>
        <v>327.xlsx</v>
      </c>
      <c r="B329" s="2">
        <v>327</v>
      </c>
      <c r="C329" t="s">
        <v>5</v>
      </c>
      <c r="D329" t="s">
        <v>178</v>
      </c>
      <c r="E329" t="s">
        <v>139</v>
      </c>
    </row>
    <row r="330" spans="1:5" x14ac:dyDescent="0.25">
      <c r="A330" s="2" t="str">
        <f>HYPERLINK("spreadsheet/328.xlsx", "328.xlsx")</f>
        <v>328.xlsx</v>
      </c>
      <c r="B330" s="2">
        <v>328</v>
      </c>
      <c r="C330" t="s">
        <v>10</v>
      </c>
      <c r="D330" t="s">
        <v>178</v>
      </c>
      <c r="E330" t="s">
        <v>139</v>
      </c>
    </row>
    <row r="331" spans="1:5" x14ac:dyDescent="0.25">
      <c r="A331" s="2" t="str">
        <f>HYPERLINK("spreadsheet/329.xlsx", "329.xlsx")</f>
        <v>329.xlsx</v>
      </c>
      <c r="B331" s="2">
        <v>329</v>
      </c>
      <c r="C331" t="s">
        <v>14</v>
      </c>
      <c r="D331" t="s">
        <v>178</v>
      </c>
      <c r="E331" t="s">
        <v>139</v>
      </c>
    </row>
    <row r="332" spans="1:5" x14ac:dyDescent="0.25">
      <c r="A332" s="2" t="str">
        <f>HYPERLINK("spreadsheet/330.xlsx", "330.xlsx")</f>
        <v>330.xlsx</v>
      </c>
      <c r="B332" s="2">
        <v>330</v>
      </c>
      <c r="C332" t="s">
        <v>5</v>
      </c>
      <c r="D332" t="s">
        <v>179</v>
      </c>
      <c r="E332" t="s">
        <v>115</v>
      </c>
    </row>
    <row r="333" spans="1:5" x14ac:dyDescent="0.25">
      <c r="A333" s="2" t="s">
        <v>180</v>
      </c>
      <c r="B333" s="2">
        <v>331</v>
      </c>
      <c r="C333" t="s">
        <v>10</v>
      </c>
      <c r="D333" t="s">
        <v>179</v>
      </c>
      <c r="E333" t="s">
        <v>115</v>
      </c>
    </row>
    <row r="334" spans="1:5" x14ac:dyDescent="0.25">
      <c r="A334" s="2" t="s">
        <v>181</v>
      </c>
      <c r="B334" s="2">
        <v>332</v>
      </c>
      <c r="C334" t="s">
        <v>14</v>
      </c>
      <c r="D334" t="s">
        <v>179</v>
      </c>
      <c r="E334" t="s">
        <v>115</v>
      </c>
    </row>
    <row r="335" spans="1:5" x14ac:dyDescent="0.25">
      <c r="A335" s="2" t="s">
        <v>182</v>
      </c>
      <c r="B335" s="2">
        <v>333</v>
      </c>
      <c r="C335" t="s">
        <v>15</v>
      </c>
      <c r="D335" t="s">
        <v>179</v>
      </c>
      <c r="E335" t="s">
        <v>115</v>
      </c>
    </row>
    <row r="336" spans="1:5" x14ac:dyDescent="0.25">
      <c r="A336" s="2" t="str">
        <f>HYPERLINK("spreadsheet/334.xlsx", "334.xlsx")</f>
        <v>334.xlsx</v>
      </c>
      <c r="B336" s="2">
        <v>334</v>
      </c>
      <c r="C336" t="s">
        <v>5</v>
      </c>
      <c r="D336" t="s">
        <v>183</v>
      </c>
      <c r="E336" t="s">
        <v>160</v>
      </c>
    </row>
    <row r="337" spans="1:5" x14ac:dyDescent="0.25">
      <c r="A337" s="2" t="str">
        <f>HYPERLINK("spreadsheet/335.xlsx", "335.xlsx")</f>
        <v>335.xlsx</v>
      </c>
      <c r="B337" s="2">
        <v>335</v>
      </c>
      <c r="C337" t="s">
        <v>5</v>
      </c>
      <c r="D337" t="s">
        <v>184</v>
      </c>
      <c r="E337" t="s">
        <v>150</v>
      </c>
    </row>
    <row r="338" spans="1:5" x14ac:dyDescent="0.25">
      <c r="A338" s="2" t="str">
        <f>HYPERLINK("spreadsheet/336.xlsx", "336.xlsx")</f>
        <v>336.xlsx</v>
      </c>
      <c r="B338" s="2">
        <v>336</v>
      </c>
      <c r="C338" t="s">
        <v>10</v>
      </c>
      <c r="D338" t="s">
        <v>184</v>
      </c>
      <c r="E338" t="s">
        <v>150</v>
      </c>
    </row>
    <row r="339" spans="1:5" x14ac:dyDescent="0.25">
      <c r="A339" s="2" t="str">
        <f>HYPERLINK("spreadsheet/337.xlsx", "337.xlsx")</f>
        <v>337.xlsx</v>
      </c>
      <c r="B339" s="2">
        <v>337</v>
      </c>
      <c r="C339" t="s">
        <v>14</v>
      </c>
      <c r="D339" t="s">
        <v>184</v>
      </c>
      <c r="E339" t="s">
        <v>150</v>
      </c>
    </row>
    <row r="340" spans="1:5" x14ac:dyDescent="0.25">
      <c r="A340" s="2" t="str">
        <f>HYPERLINK("spreadsheet/338.xlsx", "338.xlsx")</f>
        <v>338.xlsx</v>
      </c>
      <c r="B340" s="2">
        <v>338</v>
      </c>
      <c r="C340" t="s">
        <v>15</v>
      </c>
      <c r="D340" t="s">
        <v>184</v>
      </c>
      <c r="E340" t="s">
        <v>150</v>
      </c>
    </row>
    <row r="341" spans="1:5" x14ac:dyDescent="0.25">
      <c r="A341" s="2" t="str">
        <f>HYPERLINK("spreadsheet/339.xlsx", "339.xlsx")</f>
        <v>339.xlsx</v>
      </c>
      <c r="B341" s="2">
        <v>339</v>
      </c>
      <c r="C341" t="s">
        <v>22</v>
      </c>
      <c r="D341" t="s">
        <v>184</v>
      </c>
      <c r="E341" t="s">
        <v>150</v>
      </c>
    </row>
    <row r="342" spans="1:5" x14ac:dyDescent="0.25">
      <c r="A342" s="2" t="str">
        <f>HYPERLINK("spreadsheet/340.xlsx", "340.xlsx")</f>
        <v>340.xlsx</v>
      </c>
      <c r="B342" s="2">
        <v>340</v>
      </c>
      <c r="C342" t="s">
        <v>24</v>
      </c>
      <c r="D342" t="s">
        <v>184</v>
      </c>
      <c r="E342" t="s">
        <v>150</v>
      </c>
    </row>
    <row r="343" spans="1:5" x14ac:dyDescent="0.25">
      <c r="A343" s="2" t="s">
        <v>185</v>
      </c>
      <c r="B343" s="2">
        <v>341</v>
      </c>
      <c r="C343" t="s">
        <v>60</v>
      </c>
      <c r="D343" t="s">
        <v>184</v>
      </c>
      <c r="E343" t="s">
        <v>150</v>
      </c>
    </row>
    <row r="344" spans="1:5" x14ac:dyDescent="0.25">
      <c r="A344" s="2" t="s">
        <v>186</v>
      </c>
      <c r="B344" s="2">
        <v>342</v>
      </c>
      <c r="C344" t="s">
        <v>44</v>
      </c>
      <c r="D344" t="s">
        <v>184</v>
      </c>
      <c r="E344" t="s">
        <v>150</v>
      </c>
    </row>
    <row r="345" spans="1:5" x14ac:dyDescent="0.25">
      <c r="A345" s="2" t="str">
        <f>HYPERLINK("spreadsheet/343.xlsx", "343.xlsx")</f>
        <v>343.xlsx</v>
      </c>
      <c r="B345" s="2">
        <v>343</v>
      </c>
      <c r="C345" t="s">
        <v>45</v>
      </c>
      <c r="D345" t="s">
        <v>184</v>
      </c>
      <c r="E345" t="s">
        <v>150</v>
      </c>
    </row>
    <row r="346" spans="1:5" x14ac:dyDescent="0.25">
      <c r="A346" s="2" t="str">
        <f>HYPERLINK("spreadsheet/344.xlsx", "344.xlsx")</f>
        <v>344.xlsx</v>
      </c>
      <c r="B346" s="2">
        <v>344</v>
      </c>
      <c r="C346" t="s">
        <v>46</v>
      </c>
      <c r="D346" t="s">
        <v>184</v>
      </c>
      <c r="E346" t="s">
        <v>150</v>
      </c>
    </row>
    <row r="347" spans="1:5" x14ac:dyDescent="0.25">
      <c r="A347" s="2" t="str">
        <f>HYPERLINK("spreadsheet/345.xlsx", "345.xlsx")</f>
        <v>345.xlsx</v>
      </c>
      <c r="B347" s="2">
        <v>345</v>
      </c>
      <c r="C347" t="s">
        <v>47</v>
      </c>
      <c r="D347" t="s">
        <v>184</v>
      </c>
      <c r="E347" t="s">
        <v>150</v>
      </c>
    </row>
    <row r="348" spans="1:5" x14ac:dyDescent="0.25">
      <c r="A348" s="2" t="str">
        <f>HYPERLINK("spreadsheet/346.xlsx", "346.xlsx")</f>
        <v>346.xlsx</v>
      </c>
      <c r="B348" s="2">
        <v>346</v>
      </c>
      <c r="C348" t="s">
        <v>48</v>
      </c>
      <c r="D348" t="s">
        <v>184</v>
      </c>
      <c r="E348" t="s">
        <v>150</v>
      </c>
    </row>
    <row r="349" spans="1:5" x14ac:dyDescent="0.25">
      <c r="A349" s="2" t="str">
        <f>HYPERLINK("spreadsheet/347.xlsx", "347.xlsx")</f>
        <v>347.xlsx</v>
      </c>
      <c r="B349" s="2">
        <v>347</v>
      </c>
      <c r="C349" t="s">
        <v>49</v>
      </c>
      <c r="D349" t="s">
        <v>184</v>
      </c>
      <c r="E349" t="s">
        <v>150</v>
      </c>
    </row>
    <row r="350" spans="1:5" x14ac:dyDescent="0.25">
      <c r="A350" s="2" t="str">
        <f>HYPERLINK("spreadsheet/348.xlsx", "348.xlsx")</f>
        <v>348.xlsx</v>
      </c>
      <c r="B350" s="2">
        <v>348</v>
      </c>
      <c r="C350" t="s">
        <v>50</v>
      </c>
      <c r="D350" t="s">
        <v>184</v>
      </c>
      <c r="E350" t="s">
        <v>150</v>
      </c>
    </row>
    <row r="351" spans="1:5" x14ac:dyDescent="0.25">
      <c r="A351" s="2" t="str">
        <f>HYPERLINK("spreadsheet/349.xlsx", "349.xlsx")</f>
        <v>349.xlsx</v>
      </c>
      <c r="B351" s="2">
        <v>349</v>
      </c>
      <c r="C351" t="s">
        <v>51</v>
      </c>
      <c r="D351" t="s">
        <v>184</v>
      </c>
      <c r="E351" t="s">
        <v>150</v>
      </c>
    </row>
    <row r="352" spans="1:5" x14ac:dyDescent="0.25">
      <c r="A352" s="2" t="str">
        <f>HYPERLINK("spreadsheet/350.xlsx", "350.xlsx")</f>
        <v>350.xlsx</v>
      </c>
      <c r="B352" s="2">
        <v>350</v>
      </c>
      <c r="C352" t="s">
        <v>5</v>
      </c>
      <c r="D352" t="s">
        <v>187</v>
      </c>
      <c r="E352" t="s">
        <v>115</v>
      </c>
    </row>
    <row r="353" spans="1:5" x14ac:dyDescent="0.25">
      <c r="A353" s="2" t="s">
        <v>188</v>
      </c>
      <c r="B353" s="2">
        <v>351</v>
      </c>
      <c r="C353" t="s">
        <v>10</v>
      </c>
      <c r="D353" t="s">
        <v>187</v>
      </c>
      <c r="E353" t="s">
        <v>115</v>
      </c>
    </row>
    <row r="354" spans="1:5" x14ac:dyDescent="0.25">
      <c r="A354" s="2" t="s">
        <v>189</v>
      </c>
      <c r="B354" s="2">
        <v>352</v>
      </c>
      <c r="C354" t="s">
        <v>5</v>
      </c>
      <c r="D354" t="s">
        <v>190</v>
      </c>
      <c r="E354" t="s">
        <v>115</v>
      </c>
    </row>
    <row r="355" spans="1:5" x14ac:dyDescent="0.25">
      <c r="A355" s="2" t="s">
        <v>191</v>
      </c>
      <c r="B355" s="2">
        <v>353</v>
      </c>
      <c r="C355" t="s">
        <v>10</v>
      </c>
      <c r="D355" t="s">
        <v>190</v>
      </c>
      <c r="E355" t="s">
        <v>115</v>
      </c>
    </row>
    <row r="356" spans="1:5" x14ac:dyDescent="0.25">
      <c r="A356" s="2" t="str">
        <f>HYPERLINK("spreadsheet/354.xlsx", "354.xlsx")</f>
        <v>354.xlsx</v>
      </c>
      <c r="B356" s="2">
        <v>354</v>
      </c>
      <c r="C356" t="s">
        <v>14</v>
      </c>
      <c r="D356" t="s">
        <v>190</v>
      </c>
      <c r="E356" t="s">
        <v>115</v>
      </c>
    </row>
    <row r="357" spans="1:5" x14ac:dyDescent="0.25">
      <c r="A357" s="2" t="str">
        <f>HYPERLINK("spreadsheet/355.xlsx", "355.xlsx")</f>
        <v>355.xlsx</v>
      </c>
      <c r="B357" s="2">
        <v>355</v>
      </c>
      <c r="C357" t="s">
        <v>15</v>
      </c>
      <c r="D357" t="s">
        <v>190</v>
      </c>
      <c r="E357" t="s">
        <v>115</v>
      </c>
    </row>
    <row r="358" spans="1:5" x14ac:dyDescent="0.25">
      <c r="A358" s="2" t="str">
        <f>HYPERLINK("spreadsheet/356.xlsx", "356.xlsx")</f>
        <v>356.xlsx</v>
      </c>
      <c r="B358" s="2">
        <v>356</v>
      </c>
      <c r="C358" t="s">
        <v>5</v>
      </c>
      <c r="D358" t="s">
        <v>192</v>
      </c>
      <c r="E358" t="s">
        <v>150</v>
      </c>
    </row>
    <row r="359" spans="1:5" x14ac:dyDescent="0.25">
      <c r="A359" s="2" t="str">
        <f>HYPERLINK("spreadsheet/357.xlsx", "357.xlsx")</f>
        <v>357.xlsx</v>
      </c>
      <c r="B359" s="2">
        <v>357</v>
      </c>
      <c r="C359" t="s">
        <v>10</v>
      </c>
      <c r="D359" t="s">
        <v>192</v>
      </c>
      <c r="E359" t="s">
        <v>150</v>
      </c>
    </row>
    <row r="360" spans="1:5" x14ac:dyDescent="0.25">
      <c r="A360" s="2" t="str">
        <f>HYPERLINK("spreadsheet/358.xlsx", "358.xlsx")</f>
        <v>358.xlsx</v>
      </c>
      <c r="B360" s="2">
        <v>358</v>
      </c>
      <c r="C360" t="s">
        <v>14</v>
      </c>
      <c r="D360" t="s">
        <v>192</v>
      </c>
      <c r="E360" t="s">
        <v>150</v>
      </c>
    </row>
    <row r="361" spans="1:5" x14ac:dyDescent="0.25">
      <c r="A361" s="2" t="str">
        <f>HYPERLINK("spreadsheet/359.xlsx", "359.xlsx")</f>
        <v>359.xlsx</v>
      </c>
      <c r="B361" s="2">
        <v>359</v>
      </c>
      <c r="C361" t="s">
        <v>15</v>
      </c>
      <c r="D361" t="s">
        <v>192</v>
      </c>
      <c r="E361" t="s">
        <v>150</v>
      </c>
    </row>
    <row r="362" spans="1:5" x14ac:dyDescent="0.25">
      <c r="A362" s="2" t="str">
        <f>HYPERLINK("spreadsheet/360.xlsx", "360.xlsx")</f>
        <v>360.xlsx</v>
      </c>
      <c r="B362" s="2">
        <v>360</v>
      </c>
      <c r="C362" t="s">
        <v>22</v>
      </c>
      <c r="D362" t="s">
        <v>192</v>
      </c>
      <c r="E362" t="s">
        <v>150</v>
      </c>
    </row>
    <row r="363" spans="1:5" x14ac:dyDescent="0.25">
      <c r="A363" s="2" t="str">
        <f>HYPERLINK("spreadsheet/361.xlsx", "361.xlsx")</f>
        <v>361.xlsx</v>
      </c>
      <c r="B363" s="2">
        <v>361</v>
      </c>
      <c r="C363" t="s">
        <v>24</v>
      </c>
      <c r="D363" t="s">
        <v>192</v>
      </c>
      <c r="E363" t="s">
        <v>150</v>
      </c>
    </row>
    <row r="364" spans="1:5" x14ac:dyDescent="0.25">
      <c r="A364" s="2" t="str">
        <f>HYPERLINK("spreadsheet/362.xlsx", "362.xlsx")</f>
        <v>362.xlsx</v>
      </c>
      <c r="B364" s="2">
        <v>362</v>
      </c>
      <c r="C364" t="s">
        <v>5</v>
      </c>
      <c r="D364" t="s">
        <v>193</v>
      </c>
      <c r="E364" t="s">
        <v>115</v>
      </c>
    </row>
    <row r="365" spans="1:5" x14ac:dyDescent="0.25">
      <c r="A365" s="2" t="str">
        <f>HYPERLINK("spreadsheet/363.xlsx", "363.xlsx")</f>
        <v>363.xlsx</v>
      </c>
      <c r="B365" s="2">
        <v>363</v>
      </c>
      <c r="C365" t="s">
        <v>10</v>
      </c>
      <c r="D365" t="s">
        <v>193</v>
      </c>
      <c r="E365" t="s">
        <v>115</v>
      </c>
    </row>
    <row r="366" spans="1:5" x14ac:dyDescent="0.25">
      <c r="A366" s="2" t="s">
        <v>194</v>
      </c>
      <c r="B366" s="2">
        <v>364</v>
      </c>
      <c r="C366" t="s">
        <v>14</v>
      </c>
      <c r="D366" t="s">
        <v>193</v>
      </c>
      <c r="E366" t="s">
        <v>115</v>
      </c>
    </row>
    <row r="367" spans="1:5" x14ac:dyDescent="0.25">
      <c r="A367" s="2" t="str">
        <f>HYPERLINK("spreadsheet/365.xlsx", "365.xlsx")</f>
        <v>365.xlsx</v>
      </c>
      <c r="B367" s="2">
        <v>365</v>
      </c>
      <c r="C367" t="s">
        <v>5</v>
      </c>
      <c r="D367" t="s">
        <v>195</v>
      </c>
      <c r="E367" t="s">
        <v>115</v>
      </c>
    </row>
    <row r="368" spans="1:5" x14ac:dyDescent="0.25">
      <c r="A368" s="2" t="str">
        <f>HYPERLINK("spreadsheet/366.xlsx", "366.xlsx")</f>
        <v>366.xlsx</v>
      </c>
      <c r="B368" s="2">
        <v>366</v>
      </c>
      <c r="C368" t="s">
        <v>10</v>
      </c>
      <c r="D368" t="s">
        <v>195</v>
      </c>
      <c r="E368" t="s">
        <v>115</v>
      </c>
    </row>
    <row r="369" spans="1:5" x14ac:dyDescent="0.25">
      <c r="A369" s="2" t="s">
        <v>196</v>
      </c>
      <c r="B369" s="2">
        <v>367</v>
      </c>
      <c r="C369" t="s">
        <v>14</v>
      </c>
      <c r="D369" t="s">
        <v>195</v>
      </c>
      <c r="E369" t="s">
        <v>115</v>
      </c>
    </row>
    <row r="370" spans="1:5" x14ac:dyDescent="0.25">
      <c r="A370" s="2" t="str">
        <f>HYPERLINK("spreadsheet/368.xlsx", "368.xlsx")</f>
        <v>368.xlsx</v>
      </c>
      <c r="B370" s="2">
        <v>368</v>
      </c>
      <c r="C370" t="s">
        <v>15</v>
      </c>
      <c r="D370" t="s">
        <v>195</v>
      </c>
      <c r="E370" t="s">
        <v>115</v>
      </c>
    </row>
    <row r="371" spans="1:5" x14ac:dyDescent="0.25">
      <c r="A371" s="2" t="str">
        <f>HYPERLINK("spreadsheet/369.xlsx", "369.xlsx")</f>
        <v>369.xlsx</v>
      </c>
      <c r="B371" s="2">
        <v>369</v>
      </c>
      <c r="C371" t="s">
        <v>5</v>
      </c>
      <c r="D371" t="s">
        <v>197</v>
      </c>
      <c r="E371" t="s">
        <v>173</v>
      </c>
    </row>
    <row r="372" spans="1:5" x14ac:dyDescent="0.25">
      <c r="A372" s="2" t="str">
        <f>HYPERLINK("spreadsheet/370.xlsx", "370.xlsx")</f>
        <v>370.xlsx</v>
      </c>
      <c r="B372" s="2">
        <v>370</v>
      </c>
      <c r="C372" t="s">
        <v>10</v>
      </c>
      <c r="D372" t="s">
        <v>197</v>
      </c>
      <c r="E372" t="s">
        <v>173</v>
      </c>
    </row>
    <row r="373" spans="1:5" x14ac:dyDescent="0.25">
      <c r="A373" s="2" t="str">
        <f>HYPERLINK("spreadsheet/371.xlsx", "371.xlsx")</f>
        <v>371.xlsx</v>
      </c>
      <c r="B373" s="2">
        <v>371</v>
      </c>
      <c r="C373" t="s">
        <v>14</v>
      </c>
      <c r="D373" t="s">
        <v>197</v>
      </c>
      <c r="E373" t="s">
        <v>173</v>
      </c>
    </row>
    <row r="374" spans="1:5" x14ac:dyDescent="0.25">
      <c r="A374" s="2" t="s">
        <v>198</v>
      </c>
      <c r="B374" s="2">
        <v>372</v>
      </c>
      <c r="C374" t="s">
        <v>15</v>
      </c>
      <c r="D374" t="s">
        <v>197</v>
      </c>
      <c r="E374" t="s">
        <v>173</v>
      </c>
    </row>
    <row r="375" spans="1:5" x14ac:dyDescent="0.25">
      <c r="A375" s="2" t="s">
        <v>199</v>
      </c>
      <c r="B375" s="2">
        <v>373</v>
      </c>
      <c r="C375" t="s">
        <v>22</v>
      </c>
      <c r="D375" t="s">
        <v>197</v>
      </c>
      <c r="E375" t="s">
        <v>173</v>
      </c>
    </row>
    <row r="376" spans="1:5" x14ac:dyDescent="0.25">
      <c r="A376" s="2" t="str">
        <f>HYPERLINK("spreadsheet/374.xlsx", "374.xlsx")</f>
        <v>374.xlsx</v>
      </c>
      <c r="B376" s="2">
        <v>374</v>
      </c>
      <c r="C376" t="s">
        <v>24</v>
      </c>
      <c r="D376" t="s">
        <v>197</v>
      </c>
      <c r="E376" t="s">
        <v>173</v>
      </c>
    </row>
    <row r="377" spans="1:5" x14ac:dyDescent="0.25">
      <c r="A377" s="2" t="str">
        <f>HYPERLINK("spreadsheet/375.xlsx", "375.xlsx")</f>
        <v>375.xlsx</v>
      </c>
      <c r="B377" s="2">
        <v>375</v>
      </c>
      <c r="C377" t="s">
        <v>60</v>
      </c>
      <c r="D377" t="s">
        <v>197</v>
      </c>
      <c r="E377" t="s">
        <v>173</v>
      </c>
    </row>
    <row r="378" spans="1:5" x14ac:dyDescent="0.25">
      <c r="A378" s="2" t="s">
        <v>200</v>
      </c>
      <c r="B378" s="2">
        <v>376</v>
      </c>
      <c r="C378" t="s">
        <v>201</v>
      </c>
      <c r="D378" t="s">
        <v>197</v>
      </c>
      <c r="E378" t="s">
        <v>173</v>
      </c>
    </row>
    <row r="379" spans="1:5" x14ac:dyDescent="0.25">
      <c r="A379" s="2" t="s">
        <v>202</v>
      </c>
      <c r="B379" s="2">
        <v>377</v>
      </c>
      <c r="C379" t="s">
        <v>203</v>
      </c>
      <c r="D379" t="s">
        <v>197</v>
      </c>
      <c r="E379" t="s">
        <v>173</v>
      </c>
    </row>
    <row r="380" spans="1:5" x14ac:dyDescent="0.25">
      <c r="A380" s="2" t="str">
        <f>HYPERLINK("spreadsheet/378.xlsx", "378.xlsx")</f>
        <v>378.xlsx</v>
      </c>
      <c r="B380" s="2">
        <v>378</v>
      </c>
      <c r="C380" t="s">
        <v>5</v>
      </c>
      <c r="D380" t="s">
        <v>204</v>
      </c>
      <c r="E380" t="s">
        <v>147</v>
      </c>
    </row>
    <row r="381" spans="1:5" x14ac:dyDescent="0.25">
      <c r="A381" s="2" t="s">
        <v>205</v>
      </c>
      <c r="B381" s="2">
        <v>379</v>
      </c>
      <c r="C381" t="s">
        <v>10</v>
      </c>
      <c r="D381" t="s">
        <v>204</v>
      </c>
      <c r="E381" t="s">
        <v>147</v>
      </c>
    </row>
    <row r="382" spans="1:5" x14ac:dyDescent="0.25">
      <c r="A382" s="2" t="str">
        <f>HYPERLINK("spreadsheet/380.xlsx", "380.xlsx")</f>
        <v>380.xlsx</v>
      </c>
      <c r="B382" s="2">
        <v>380</v>
      </c>
      <c r="C382" t="s">
        <v>24</v>
      </c>
      <c r="D382" t="s">
        <v>204</v>
      </c>
      <c r="E382" t="s">
        <v>147</v>
      </c>
    </row>
    <row r="383" spans="1:5" x14ac:dyDescent="0.25">
      <c r="A383" s="2" t="str">
        <f>HYPERLINK("spreadsheet/381.xlsx", "381.xlsx")</f>
        <v>381.xlsx</v>
      </c>
      <c r="B383" s="2">
        <v>381</v>
      </c>
      <c r="C383" t="s">
        <v>5</v>
      </c>
      <c r="D383" t="s">
        <v>206</v>
      </c>
      <c r="E383" t="s">
        <v>115</v>
      </c>
    </row>
    <row r="384" spans="1:5" x14ac:dyDescent="0.25">
      <c r="A384" s="2" t="str">
        <f>HYPERLINK("spreadsheet/382.xlsx", "382.xlsx")</f>
        <v>382.xlsx</v>
      </c>
      <c r="B384" s="2">
        <v>382</v>
      </c>
      <c r="C384" t="s">
        <v>10</v>
      </c>
      <c r="D384" t="s">
        <v>206</v>
      </c>
      <c r="E384" t="s">
        <v>115</v>
      </c>
    </row>
    <row r="385" spans="1:5" x14ac:dyDescent="0.25">
      <c r="A385" s="2" t="str">
        <f>HYPERLINK("spreadsheet/383.xlsx", "383.xlsx")</f>
        <v>383.xlsx</v>
      </c>
      <c r="B385" s="2">
        <v>383</v>
      </c>
      <c r="C385" t="s">
        <v>14</v>
      </c>
      <c r="D385" t="s">
        <v>206</v>
      </c>
      <c r="E385" t="s">
        <v>115</v>
      </c>
    </row>
    <row r="386" spans="1:5" x14ac:dyDescent="0.25">
      <c r="A386" s="2" t="str">
        <f>HYPERLINK("spreadsheet/384.xlsx", "384.xlsx")</f>
        <v>384.xlsx</v>
      </c>
      <c r="B386" s="2">
        <v>384</v>
      </c>
      <c r="C386" t="s">
        <v>15</v>
      </c>
      <c r="D386" t="s">
        <v>206</v>
      </c>
      <c r="E386" t="s">
        <v>115</v>
      </c>
    </row>
    <row r="387" spans="1:5" x14ac:dyDescent="0.25">
      <c r="A387" s="2" t="str">
        <f>HYPERLINK("spreadsheet/385.xlsx", "385.xlsx")</f>
        <v>385.xlsx</v>
      </c>
      <c r="B387" s="2">
        <v>385</v>
      </c>
      <c r="C387" t="s">
        <v>22</v>
      </c>
      <c r="D387" t="s">
        <v>206</v>
      </c>
      <c r="E387" t="s">
        <v>115</v>
      </c>
    </row>
    <row r="388" spans="1:5" x14ac:dyDescent="0.25">
      <c r="A388" s="2" t="str">
        <f>HYPERLINK("spreadsheet/386.xlsx", "386.xlsx")</f>
        <v>386.xlsx</v>
      </c>
      <c r="B388" s="2">
        <v>386</v>
      </c>
      <c r="C388" t="s">
        <v>24</v>
      </c>
      <c r="D388" t="s">
        <v>206</v>
      </c>
      <c r="E388" t="s">
        <v>115</v>
      </c>
    </row>
    <row r="389" spans="1:5" x14ac:dyDescent="0.25">
      <c r="A389" s="2" t="str">
        <f>HYPERLINK("spreadsheet/387.xlsx", "387.xlsx")</f>
        <v>387.xlsx</v>
      </c>
      <c r="B389" s="2">
        <v>387</v>
      </c>
      <c r="C389" t="s">
        <v>60</v>
      </c>
      <c r="D389" t="s">
        <v>206</v>
      </c>
      <c r="E389" t="s">
        <v>115</v>
      </c>
    </row>
    <row r="390" spans="1:5" x14ac:dyDescent="0.25">
      <c r="A390" s="2" t="str">
        <f>HYPERLINK("spreadsheet/388.xlsx", "388.xlsx")</f>
        <v>388.xlsx</v>
      </c>
      <c r="B390" s="2">
        <v>388</v>
      </c>
      <c r="C390" t="s">
        <v>44</v>
      </c>
      <c r="D390" t="s">
        <v>206</v>
      </c>
      <c r="E390" t="s">
        <v>115</v>
      </c>
    </row>
    <row r="391" spans="1:5" x14ac:dyDescent="0.25">
      <c r="A391" s="2" t="str">
        <f>HYPERLINK("spreadsheet/389.xlsx", "389.xlsx")</f>
        <v>389.xlsx</v>
      </c>
      <c r="B391" s="2">
        <v>389</v>
      </c>
      <c r="C391" t="s">
        <v>45</v>
      </c>
      <c r="D391" t="s">
        <v>206</v>
      </c>
      <c r="E391" t="s">
        <v>115</v>
      </c>
    </row>
    <row r="392" spans="1:5" x14ac:dyDescent="0.25">
      <c r="A392" s="2" t="str">
        <f>HYPERLINK("spreadsheet/390.xlsx", "390.xlsx")</f>
        <v>390.xlsx</v>
      </c>
      <c r="B392" s="2">
        <v>390</v>
      </c>
      <c r="C392" t="s">
        <v>24</v>
      </c>
      <c r="D392" t="s">
        <v>88</v>
      </c>
      <c r="E392" t="s">
        <v>71</v>
      </c>
    </row>
    <row r="393" spans="1:5" x14ac:dyDescent="0.25">
      <c r="A393" s="2" t="str">
        <f>HYPERLINK("spreadsheet/391.xlsx", "391.xlsx")</f>
        <v>391.xlsx</v>
      </c>
      <c r="B393" s="2">
        <v>391</v>
      </c>
      <c r="C393" t="s">
        <v>22</v>
      </c>
      <c r="D393" t="s">
        <v>207</v>
      </c>
      <c r="E393" t="s">
        <v>208</v>
      </c>
    </row>
    <row r="394" spans="1:5" x14ac:dyDescent="0.25">
      <c r="A394" s="2" t="str">
        <f>HYPERLINK("spreadsheet/392.xlsx", "392.xlsx")</f>
        <v>392.xlsx</v>
      </c>
      <c r="B394" s="2">
        <v>392</v>
      </c>
      <c r="C394" t="s">
        <v>10</v>
      </c>
      <c r="D394" t="s">
        <v>207</v>
      </c>
      <c r="E394" t="s">
        <v>208</v>
      </c>
    </row>
    <row r="395" spans="1:5" x14ac:dyDescent="0.25">
      <c r="A395" s="2" t="str">
        <f>HYPERLINK("spreadsheet/393.xlsx", "393.xlsx")</f>
        <v>393.xlsx</v>
      </c>
      <c r="B395" s="2">
        <v>393</v>
      </c>
      <c r="C395" t="s">
        <v>15</v>
      </c>
      <c r="D395" t="s">
        <v>207</v>
      </c>
      <c r="E395" t="s">
        <v>208</v>
      </c>
    </row>
    <row r="396" spans="1:5" x14ac:dyDescent="0.25">
      <c r="A396" s="2" t="s">
        <v>209</v>
      </c>
      <c r="B396" s="2">
        <v>394</v>
      </c>
      <c r="C396" t="s">
        <v>5</v>
      </c>
      <c r="D396" t="s">
        <v>210</v>
      </c>
      <c r="E396" t="s">
        <v>134</v>
      </c>
    </row>
    <row r="397" spans="1:5" x14ac:dyDescent="0.25">
      <c r="A397" s="2" t="str">
        <f>HYPERLINK("spreadsheet/395.xlsx", "395.xlsx")</f>
        <v>395.xlsx</v>
      </c>
      <c r="B397" s="2">
        <v>395</v>
      </c>
      <c r="C397" t="s">
        <v>10</v>
      </c>
      <c r="D397" t="s">
        <v>210</v>
      </c>
      <c r="E397" t="s">
        <v>134</v>
      </c>
    </row>
    <row r="398" spans="1:5" x14ac:dyDescent="0.25">
      <c r="A398" s="2" t="str">
        <f>HYPERLINK("spreadsheet/396.xlsx", "396.xlsx")</f>
        <v>396.xlsx</v>
      </c>
      <c r="B398" s="2">
        <v>396</v>
      </c>
      <c r="C398" t="s">
        <v>14</v>
      </c>
      <c r="D398" t="s">
        <v>210</v>
      </c>
      <c r="E398" t="s">
        <v>134</v>
      </c>
    </row>
    <row r="399" spans="1:5" x14ac:dyDescent="0.25">
      <c r="A399" s="2" t="str">
        <f>HYPERLINK("spreadsheet/397.xlsx", "397.xlsx")</f>
        <v>397.xlsx</v>
      </c>
      <c r="B399" s="2">
        <v>397</v>
      </c>
      <c r="C399" t="s">
        <v>5</v>
      </c>
      <c r="D399" t="s">
        <v>211</v>
      </c>
      <c r="E399" t="s">
        <v>154</v>
      </c>
    </row>
    <row r="400" spans="1:5" x14ac:dyDescent="0.25">
      <c r="A400" s="2" t="str">
        <f>HYPERLINK("spreadsheet/398.xlsx", "398.xlsx")</f>
        <v>398.xlsx</v>
      </c>
      <c r="B400" s="2">
        <v>398</v>
      </c>
      <c r="C400" t="s">
        <v>10</v>
      </c>
      <c r="D400" t="s">
        <v>211</v>
      </c>
      <c r="E400" t="s">
        <v>154</v>
      </c>
    </row>
    <row r="401" spans="1:5" x14ac:dyDescent="0.25">
      <c r="A401" s="2" t="str">
        <f>HYPERLINK("spreadsheet/399.xlsx", "399.xlsx")</f>
        <v>399.xlsx</v>
      </c>
      <c r="B401" s="2">
        <v>399</v>
      </c>
      <c r="C401" t="s">
        <v>14</v>
      </c>
      <c r="D401" t="s">
        <v>211</v>
      </c>
      <c r="E401" t="s">
        <v>154</v>
      </c>
    </row>
    <row r="402" spans="1:5" x14ac:dyDescent="0.25">
      <c r="A402" s="2" t="str">
        <f>HYPERLINK("spreadsheet/400.xlsx", "400.xlsx")</f>
        <v>400.xlsx</v>
      </c>
      <c r="B402" s="2">
        <v>400</v>
      </c>
      <c r="C402" t="s">
        <v>5</v>
      </c>
      <c r="D402" t="s">
        <v>212</v>
      </c>
      <c r="E402" t="s">
        <v>115</v>
      </c>
    </row>
    <row r="403" spans="1:5" x14ac:dyDescent="0.25">
      <c r="A403" s="2" t="str">
        <f>HYPERLINK("spreadsheet/401.xlsx", "401.xlsx")</f>
        <v>401.xlsx</v>
      </c>
      <c r="B403" s="2">
        <v>401</v>
      </c>
      <c r="C403" t="s">
        <v>10</v>
      </c>
      <c r="D403" t="s">
        <v>212</v>
      </c>
      <c r="E403" t="s">
        <v>115</v>
      </c>
    </row>
    <row r="404" spans="1:5" x14ac:dyDescent="0.25">
      <c r="A404" s="2" t="str">
        <f>HYPERLINK("spreadsheet/402.xlsx", "402.xlsx")</f>
        <v>402.xlsx</v>
      </c>
      <c r="B404" s="2">
        <v>402</v>
      </c>
      <c r="C404" t="s">
        <v>5</v>
      </c>
      <c r="D404" t="s">
        <v>213</v>
      </c>
      <c r="E404" t="s">
        <v>115</v>
      </c>
    </row>
    <row r="405" spans="1:5" x14ac:dyDescent="0.25">
      <c r="A405" s="2" t="str">
        <f>HYPERLINK("spreadsheet/403.xlsx", "403.xlsx")</f>
        <v>403.xlsx</v>
      </c>
      <c r="B405" s="2">
        <v>403</v>
      </c>
      <c r="C405" t="s">
        <v>10</v>
      </c>
      <c r="D405" t="s">
        <v>213</v>
      </c>
      <c r="E405" t="s">
        <v>115</v>
      </c>
    </row>
    <row r="406" spans="1:5" x14ac:dyDescent="0.25">
      <c r="A406" s="2" t="s">
        <v>214</v>
      </c>
      <c r="B406" s="2">
        <v>404</v>
      </c>
      <c r="C406" t="s">
        <v>14</v>
      </c>
      <c r="D406" t="s">
        <v>213</v>
      </c>
      <c r="E406" t="s">
        <v>115</v>
      </c>
    </row>
    <row r="407" spans="1:5" x14ac:dyDescent="0.25">
      <c r="A407" s="2" t="str">
        <f>HYPERLINK("spreadsheet/405.xlsx", "405.xlsx")</f>
        <v>405.xlsx</v>
      </c>
      <c r="B407" s="2">
        <v>405</v>
      </c>
      <c r="C407" t="s">
        <v>5</v>
      </c>
      <c r="D407" t="s">
        <v>215</v>
      </c>
      <c r="E407" t="s">
        <v>126</v>
      </c>
    </row>
    <row r="408" spans="1:5" x14ac:dyDescent="0.25">
      <c r="A408" s="2" t="str">
        <f>HYPERLINK("spreadsheet/406.xlsx", "406.xlsx")</f>
        <v>406.xlsx</v>
      </c>
      <c r="B408" s="2">
        <v>406</v>
      </c>
      <c r="C408" t="s">
        <v>10</v>
      </c>
      <c r="D408" t="s">
        <v>215</v>
      </c>
      <c r="E408" t="s">
        <v>126</v>
      </c>
    </row>
    <row r="409" spans="1:5" x14ac:dyDescent="0.25">
      <c r="A409" s="2" t="str">
        <f>HYPERLINK("spreadsheet/407.xlsx", "407.xlsx")</f>
        <v>407.xlsx</v>
      </c>
      <c r="B409" s="2">
        <v>407</v>
      </c>
      <c r="C409" t="s">
        <v>14</v>
      </c>
      <c r="D409" t="s">
        <v>215</v>
      </c>
      <c r="E409" t="s">
        <v>126</v>
      </c>
    </row>
    <row r="410" spans="1:5" x14ac:dyDescent="0.25">
      <c r="A410" s="2" t="str">
        <f>HYPERLINK("spreadsheet/408.xlsx", "408.xlsx")</f>
        <v>408.xlsx</v>
      </c>
      <c r="B410" s="2">
        <v>408</v>
      </c>
      <c r="C410" t="s">
        <v>15</v>
      </c>
      <c r="D410" t="s">
        <v>215</v>
      </c>
      <c r="E410" t="s">
        <v>126</v>
      </c>
    </row>
    <row r="411" spans="1:5" x14ac:dyDescent="0.25">
      <c r="A411" s="2" t="s">
        <v>216</v>
      </c>
      <c r="B411" s="2">
        <v>409</v>
      </c>
      <c r="C411" t="s">
        <v>5</v>
      </c>
      <c r="D411" t="s">
        <v>217</v>
      </c>
      <c r="E411" t="s">
        <v>218</v>
      </c>
    </row>
    <row r="412" spans="1:5" x14ac:dyDescent="0.25">
      <c r="A412" s="2" t="str">
        <f>HYPERLINK("spreadsheet/410.xlsx", "410.xlsx")</f>
        <v>410.xlsx</v>
      </c>
      <c r="B412" s="2">
        <v>410</v>
      </c>
      <c r="C412" t="s">
        <v>10</v>
      </c>
      <c r="D412" t="s">
        <v>217</v>
      </c>
      <c r="E412" t="s">
        <v>218</v>
      </c>
    </row>
    <row r="413" spans="1:5" x14ac:dyDescent="0.25">
      <c r="A413" s="2" t="str">
        <f>HYPERLINK("spreadsheet/411.xlsx", "411.xlsx")</f>
        <v>411.xlsx</v>
      </c>
      <c r="B413" s="2">
        <v>411</v>
      </c>
      <c r="C413" t="s">
        <v>14</v>
      </c>
      <c r="D413" t="s">
        <v>217</v>
      </c>
      <c r="E413" t="s">
        <v>218</v>
      </c>
    </row>
    <row r="414" spans="1:5" x14ac:dyDescent="0.25">
      <c r="A414" s="2" t="str">
        <f>HYPERLINK("spreadsheet/412.xlsx", "412.xlsx")</f>
        <v>412.xlsx</v>
      </c>
      <c r="B414" s="2">
        <v>412</v>
      </c>
      <c r="C414" t="s">
        <v>5</v>
      </c>
      <c r="D414" t="s">
        <v>219</v>
      </c>
      <c r="E414" t="s">
        <v>160</v>
      </c>
    </row>
    <row r="415" spans="1:5" x14ac:dyDescent="0.25">
      <c r="A415" s="2" t="str">
        <f>HYPERLINK("spreadsheet/413.xlsx", "413.xlsx")</f>
        <v>413.xlsx</v>
      </c>
      <c r="B415" s="2">
        <v>413</v>
      </c>
      <c r="C415" t="s">
        <v>10</v>
      </c>
      <c r="D415" t="s">
        <v>219</v>
      </c>
      <c r="E415" t="s">
        <v>160</v>
      </c>
    </row>
    <row r="416" spans="1:5" x14ac:dyDescent="0.25">
      <c r="A416" s="2" t="str">
        <f>HYPERLINK("spreadsheet/414.xlsx", "414.xlsx")</f>
        <v>414.xlsx</v>
      </c>
      <c r="B416" s="2">
        <v>414</v>
      </c>
      <c r="C416" t="s">
        <v>14</v>
      </c>
      <c r="D416" t="s">
        <v>219</v>
      </c>
      <c r="E416" t="s">
        <v>160</v>
      </c>
    </row>
    <row r="417" spans="1:5" x14ac:dyDescent="0.25">
      <c r="A417" s="2" t="str">
        <f>HYPERLINK("spreadsheet/415.xlsx", "415.xlsx")</f>
        <v>415.xlsx</v>
      </c>
      <c r="B417" s="2">
        <v>415</v>
      </c>
      <c r="C417" t="s">
        <v>15</v>
      </c>
      <c r="D417" t="s">
        <v>219</v>
      </c>
      <c r="E417" t="s">
        <v>160</v>
      </c>
    </row>
    <row r="418" spans="1:5" x14ac:dyDescent="0.25">
      <c r="A418" s="2" t="str">
        <f>HYPERLINK("spreadsheet/416.xlsx", "416.xlsx")</f>
        <v>416.xlsx</v>
      </c>
      <c r="B418" s="2">
        <v>416</v>
      </c>
      <c r="C418" t="s">
        <v>5</v>
      </c>
      <c r="D418" t="s">
        <v>220</v>
      </c>
      <c r="E418" t="s">
        <v>115</v>
      </c>
    </row>
    <row r="419" spans="1:5" x14ac:dyDescent="0.25">
      <c r="A419" s="2" t="s">
        <v>221</v>
      </c>
      <c r="B419" s="2">
        <v>417</v>
      </c>
      <c r="C419" t="s">
        <v>5</v>
      </c>
      <c r="D419" t="s">
        <v>222</v>
      </c>
      <c r="E419" t="s">
        <v>154</v>
      </c>
    </row>
    <row r="420" spans="1:5" x14ac:dyDescent="0.25">
      <c r="A420" s="2" t="str">
        <f>HYPERLINK("spreadsheet/418.xlsx", "418.xlsx")</f>
        <v>418.xlsx</v>
      </c>
      <c r="B420" s="2">
        <v>418</v>
      </c>
      <c r="C420" t="s">
        <v>5</v>
      </c>
      <c r="D420" t="s">
        <v>223</v>
      </c>
      <c r="E420" t="s">
        <v>134</v>
      </c>
    </row>
    <row r="421" spans="1:5" x14ac:dyDescent="0.25">
      <c r="A421" s="2" t="str">
        <f>HYPERLINK("spreadsheet/419.xlsx", "419.xlsx")</f>
        <v>419.xlsx</v>
      </c>
      <c r="B421" s="2">
        <v>419</v>
      </c>
      <c r="C421" t="s">
        <v>10</v>
      </c>
      <c r="D421" t="s">
        <v>223</v>
      </c>
      <c r="E421" t="s">
        <v>134</v>
      </c>
    </row>
    <row r="422" spans="1:5" x14ac:dyDescent="0.25">
      <c r="A422" s="2" t="str">
        <f>HYPERLINK("spreadsheet/420.xlsx", "420.xlsx")</f>
        <v>420.xlsx</v>
      </c>
      <c r="B422" s="2">
        <v>420</v>
      </c>
      <c r="C422" t="s">
        <v>14</v>
      </c>
      <c r="D422" t="s">
        <v>223</v>
      </c>
      <c r="E422" t="s">
        <v>134</v>
      </c>
    </row>
    <row r="423" spans="1:5" x14ac:dyDescent="0.25">
      <c r="A423" s="2" t="str">
        <f>HYPERLINK("spreadsheet/421.xlsx", "421.xlsx")</f>
        <v>421.xlsx</v>
      </c>
      <c r="B423" s="2">
        <v>421</v>
      </c>
      <c r="C423" t="s">
        <v>15</v>
      </c>
      <c r="D423" t="s">
        <v>223</v>
      </c>
      <c r="E423" t="s">
        <v>134</v>
      </c>
    </row>
    <row r="424" spans="1:5" x14ac:dyDescent="0.25">
      <c r="A424" s="2" t="str">
        <f>HYPERLINK("spreadsheet/422.xlsx", "422.xlsx")</f>
        <v>422.xlsx</v>
      </c>
      <c r="B424" s="2">
        <v>422</v>
      </c>
      <c r="C424" t="s">
        <v>22</v>
      </c>
      <c r="D424" t="s">
        <v>223</v>
      </c>
      <c r="E424" t="s">
        <v>134</v>
      </c>
    </row>
    <row r="425" spans="1:5" x14ac:dyDescent="0.25">
      <c r="A425" s="2" t="str">
        <f>HYPERLINK("spreadsheet/423.xlsx", "423.xlsx")</f>
        <v>423.xlsx</v>
      </c>
      <c r="B425" s="2">
        <v>423</v>
      </c>
      <c r="C425" t="s">
        <v>24</v>
      </c>
      <c r="D425" t="s">
        <v>223</v>
      </c>
      <c r="E425" t="s">
        <v>134</v>
      </c>
    </row>
    <row r="426" spans="1:5" x14ac:dyDescent="0.25">
      <c r="A426" s="2" t="str">
        <f>HYPERLINK("spreadsheet/424.xlsx", "424.xlsx")</f>
        <v>424.xlsx</v>
      </c>
      <c r="B426" s="2">
        <v>424</v>
      </c>
      <c r="C426" t="s">
        <v>5</v>
      </c>
      <c r="D426" t="s">
        <v>224</v>
      </c>
      <c r="E426" t="s">
        <v>134</v>
      </c>
    </row>
    <row r="427" spans="1:5" x14ac:dyDescent="0.25">
      <c r="A427" s="2" t="str">
        <f>HYPERLINK("spreadsheet/425.xlsx", "425.xlsx")</f>
        <v>425.xlsx</v>
      </c>
      <c r="B427" s="2">
        <v>425</v>
      </c>
      <c r="C427" t="s">
        <v>10</v>
      </c>
      <c r="D427" t="s">
        <v>224</v>
      </c>
      <c r="E427" t="s">
        <v>134</v>
      </c>
    </row>
    <row r="428" spans="1:5" x14ac:dyDescent="0.25">
      <c r="A428" s="2" t="str">
        <f>HYPERLINK("spreadsheet/426.xlsx", "426.xlsx")</f>
        <v>426.xlsx</v>
      </c>
      <c r="B428" s="2">
        <v>426</v>
      </c>
      <c r="C428" t="s">
        <v>14</v>
      </c>
      <c r="D428" t="s">
        <v>224</v>
      </c>
      <c r="E428" t="s">
        <v>134</v>
      </c>
    </row>
    <row r="429" spans="1:5" x14ac:dyDescent="0.25">
      <c r="A429" s="2" t="s">
        <v>225</v>
      </c>
      <c r="B429" s="2">
        <v>427</v>
      </c>
      <c r="C429" t="s">
        <v>15</v>
      </c>
      <c r="D429" t="s">
        <v>224</v>
      </c>
      <c r="E429" t="s">
        <v>134</v>
      </c>
    </row>
    <row r="430" spans="1:5" x14ac:dyDescent="0.25">
      <c r="A430" s="2" t="s">
        <v>226</v>
      </c>
      <c r="B430" s="2">
        <v>428</v>
      </c>
      <c r="C430" t="s">
        <v>22</v>
      </c>
      <c r="D430" t="s">
        <v>224</v>
      </c>
      <c r="E430" t="s">
        <v>134</v>
      </c>
    </row>
    <row r="431" spans="1:5" x14ac:dyDescent="0.25">
      <c r="A431" s="2" t="s">
        <v>227</v>
      </c>
      <c r="B431" s="2">
        <v>429</v>
      </c>
      <c r="C431" t="s">
        <v>24</v>
      </c>
      <c r="D431" t="s">
        <v>224</v>
      </c>
      <c r="E431" t="s">
        <v>134</v>
      </c>
    </row>
    <row r="432" spans="1:5" x14ac:dyDescent="0.25">
      <c r="A432" s="2" t="str">
        <f>HYPERLINK("spreadsheet/430.xlsx", "430.xlsx")</f>
        <v>430.xlsx</v>
      </c>
      <c r="B432" s="2">
        <v>430</v>
      </c>
      <c r="C432" t="s">
        <v>60</v>
      </c>
      <c r="D432" t="s">
        <v>224</v>
      </c>
      <c r="E432" t="s">
        <v>134</v>
      </c>
    </row>
    <row r="433" spans="1:5" x14ac:dyDescent="0.25">
      <c r="A433" s="2" t="str">
        <f>HYPERLINK("spreadsheet/431.xlsx", "431.xlsx")</f>
        <v>431.xlsx</v>
      </c>
      <c r="B433" s="2">
        <v>431</v>
      </c>
      <c r="C433" t="s">
        <v>44</v>
      </c>
      <c r="D433" t="s">
        <v>224</v>
      </c>
      <c r="E433" t="s">
        <v>134</v>
      </c>
    </row>
    <row r="434" spans="1:5" x14ac:dyDescent="0.25">
      <c r="A434" s="2" t="str">
        <f>HYPERLINK("spreadsheet/432.xlsx", "432.xlsx")</f>
        <v>432.xlsx</v>
      </c>
      <c r="B434" s="2">
        <v>432</v>
      </c>
      <c r="C434" t="s">
        <v>45</v>
      </c>
      <c r="D434" t="s">
        <v>224</v>
      </c>
      <c r="E434" t="s">
        <v>134</v>
      </c>
    </row>
    <row r="435" spans="1:5" x14ac:dyDescent="0.25">
      <c r="A435" s="2" t="str">
        <f>HYPERLINK("spreadsheet/433.xlsx", "433.xlsx")</f>
        <v>433.xlsx</v>
      </c>
      <c r="B435" s="2">
        <v>433</v>
      </c>
      <c r="C435" t="s">
        <v>46</v>
      </c>
      <c r="D435" t="s">
        <v>224</v>
      </c>
      <c r="E435" t="s">
        <v>134</v>
      </c>
    </row>
    <row r="436" spans="1:5" x14ac:dyDescent="0.25">
      <c r="A436" s="2" t="str">
        <f>HYPERLINK("spreadsheet/434.xlsx", "434.xlsx")</f>
        <v>434.xlsx</v>
      </c>
      <c r="B436" s="2">
        <v>434</v>
      </c>
      <c r="C436" t="s">
        <v>47</v>
      </c>
      <c r="D436" t="s">
        <v>224</v>
      </c>
      <c r="E436" t="s">
        <v>134</v>
      </c>
    </row>
    <row r="437" spans="1:5" x14ac:dyDescent="0.25">
      <c r="A437" s="2" t="str">
        <f>HYPERLINK("spreadsheet/435.xlsx", "435.xlsx")</f>
        <v>435.xlsx</v>
      </c>
      <c r="B437" s="2">
        <v>435</v>
      </c>
      <c r="C437" t="s">
        <v>51</v>
      </c>
      <c r="D437" t="s">
        <v>224</v>
      </c>
      <c r="E437" t="s">
        <v>134</v>
      </c>
    </row>
    <row r="438" spans="1:5" x14ac:dyDescent="0.25">
      <c r="A438" s="2" t="str">
        <f>HYPERLINK("spreadsheet/436.xlsx", "436.xlsx")</f>
        <v>436.xlsx</v>
      </c>
      <c r="B438" s="2">
        <v>436</v>
      </c>
      <c r="C438" t="s">
        <v>52</v>
      </c>
      <c r="D438" t="s">
        <v>224</v>
      </c>
      <c r="E438" t="s">
        <v>134</v>
      </c>
    </row>
    <row r="439" spans="1:5" x14ac:dyDescent="0.25">
      <c r="A439" s="2" t="str">
        <f>HYPERLINK("spreadsheet/437.xlsx", "437.xlsx")</f>
        <v>437.xlsx</v>
      </c>
      <c r="B439" s="2">
        <v>437</v>
      </c>
      <c r="C439" t="s">
        <v>53</v>
      </c>
      <c r="D439" t="s">
        <v>224</v>
      </c>
      <c r="E439" t="s">
        <v>134</v>
      </c>
    </row>
    <row r="440" spans="1:5" x14ac:dyDescent="0.25">
      <c r="A440" s="2" t="str">
        <f>HYPERLINK("spreadsheet/438.xlsx", "438.xlsx")</f>
        <v>438.xlsx</v>
      </c>
      <c r="B440" s="2">
        <v>438</v>
      </c>
      <c r="C440" t="s">
        <v>54</v>
      </c>
      <c r="D440" t="s">
        <v>224</v>
      </c>
      <c r="E440" t="s">
        <v>134</v>
      </c>
    </row>
    <row r="441" spans="1:5" x14ac:dyDescent="0.25">
      <c r="A441" s="2" t="str">
        <f>HYPERLINK("spreadsheet/439.xlsx", "439.xlsx")</f>
        <v>439.xlsx</v>
      </c>
      <c r="B441" s="2">
        <v>439</v>
      </c>
      <c r="C441" t="s">
        <v>55</v>
      </c>
      <c r="D441" t="s">
        <v>224</v>
      </c>
      <c r="E441" t="s">
        <v>134</v>
      </c>
    </row>
    <row r="442" spans="1:5" x14ac:dyDescent="0.25">
      <c r="A442" s="2" t="str">
        <f>HYPERLINK("spreadsheet/440.xlsx", "440.xlsx")</f>
        <v>440.xlsx</v>
      </c>
      <c r="B442" s="2">
        <v>440</v>
      </c>
      <c r="C442" t="s">
        <v>56</v>
      </c>
      <c r="D442" t="s">
        <v>224</v>
      </c>
      <c r="E442" t="s">
        <v>134</v>
      </c>
    </row>
    <row r="443" spans="1:5" x14ac:dyDescent="0.25">
      <c r="A443" s="2" t="s">
        <v>228</v>
      </c>
      <c r="B443" s="2">
        <v>441</v>
      </c>
      <c r="C443" t="s">
        <v>5</v>
      </c>
      <c r="D443" t="s">
        <v>229</v>
      </c>
      <c r="E443" t="s">
        <v>120</v>
      </c>
    </row>
    <row r="444" spans="1:5" x14ac:dyDescent="0.25">
      <c r="A444" s="2" t="s">
        <v>230</v>
      </c>
      <c r="B444" s="2">
        <v>442</v>
      </c>
      <c r="C444" t="s">
        <v>10</v>
      </c>
      <c r="D444" t="s">
        <v>229</v>
      </c>
      <c r="E444" t="s">
        <v>120</v>
      </c>
    </row>
    <row r="445" spans="1:5" x14ac:dyDescent="0.25">
      <c r="A445" s="2" t="str">
        <f>HYPERLINK("spreadsheet/443.xlsx", "443.xlsx")</f>
        <v>443.xlsx</v>
      </c>
      <c r="B445" s="2">
        <v>443</v>
      </c>
      <c r="C445" t="s">
        <v>5</v>
      </c>
      <c r="D445" t="s">
        <v>231</v>
      </c>
      <c r="E445" t="s">
        <v>218</v>
      </c>
    </row>
    <row r="446" spans="1:5" x14ac:dyDescent="0.25">
      <c r="A446" s="2" t="str">
        <f>HYPERLINK("spreadsheet/444.xlsx", "444.xlsx")</f>
        <v>444.xlsx</v>
      </c>
      <c r="B446" s="2">
        <v>444</v>
      </c>
      <c r="C446" t="s">
        <v>10</v>
      </c>
      <c r="D446" t="s">
        <v>231</v>
      </c>
      <c r="E446" t="s">
        <v>218</v>
      </c>
    </row>
    <row r="447" spans="1:5" x14ac:dyDescent="0.25">
      <c r="A447" s="2" t="s">
        <v>232</v>
      </c>
      <c r="B447" s="2">
        <v>445</v>
      </c>
      <c r="C447" t="s">
        <v>14</v>
      </c>
      <c r="D447" t="s">
        <v>231</v>
      </c>
      <c r="E447" t="s">
        <v>218</v>
      </c>
    </row>
    <row r="448" spans="1:5" x14ac:dyDescent="0.25">
      <c r="A448" s="2" t="str">
        <f>HYPERLINK("spreadsheet/446.xlsx", "446.xlsx")</f>
        <v>446.xlsx</v>
      </c>
      <c r="B448" s="2">
        <v>446</v>
      </c>
      <c r="C448" t="s">
        <v>5</v>
      </c>
      <c r="D448" t="s">
        <v>233</v>
      </c>
      <c r="E448" t="s">
        <v>173</v>
      </c>
    </row>
    <row r="449" spans="1:5" x14ac:dyDescent="0.25">
      <c r="A449" s="2" t="str">
        <f>HYPERLINK("spreadsheet/447.xlsx", "447.xlsx")</f>
        <v>447.xlsx</v>
      </c>
      <c r="B449" s="2">
        <v>447</v>
      </c>
      <c r="C449" t="s">
        <v>10</v>
      </c>
      <c r="D449" t="s">
        <v>233</v>
      </c>
      <c r="E449" t="s">
        <v>173</v>
      </c>
    </row>
    <row r="450" spans="1:5" x14ac:dyDescent="0.25">
      <c r="A450" s="2" t="str">
        <f>HYPERLINK("spreadsheet/448.xlsx", "448.xlsx")</f>
        <v>448.xlsx</v>
      </c>
      <c r="B450" s="2">
        <v>448</v>
      </c>
      <c r="C450" t="s">
        <v>5</v>
      </c>
      <c r="D450" t="s">
        <v>234</v>
      </c>
      <c r="E450" t="s">
        <v>150</v>
      </c>
    </row>
    <row r="451" spans="1:5" x14ac:dyDescent="0.25">
      <c r="A451" s="2" t="str">
        <f>HYPERLINK("spreadsheet/449.xlsx", "449.xlsx")</f>
        <v>449.xlsx</v>
      </c>
      <c r="B451" s="2">
        <v>449</v>
      </c>
      <c r="C451" t="s">
        <v>10</v>
      </c>
      <c r="D451" t="s">
        <v>234</v>
      </c>
      <c r="E451" t="s">
        <v>150</v>
      </c>
    </row>
    <row r="452" spans="1:5" x14ac:dyDescent="0.25">
      <c r="A452" s="2" t="str">
        <f>HYPERLINK("spreadsheet/450.xlsx", "450.xlsx")</f>
        <v>450.xlsx</v>
      </c>
      <c r="B452" s="2">
        <v>450</v>
      </c>
      <c r="C452" t="s">
        <v>14</v>
      </c>
      <c r="D452" t="s">
        <v>234</v>
      </c>
      <c r="E452" t="s">
        <v>150</v>
      </c>
    </row>
    <row r="453" spans="1:5" x14ac:dyDescent="0.25">
      <c r="A453" s="2" t="str">
        <f>HYPERLINK("spreadsheet/451.xlsx", "451.xlsx")</f>
        <v>451.xlsx</v>
      </c>
      <c r="B453" s="2">
        <v>451</v>
      </c>
      <c r="C453" t="s">
        <v>15</v>
      </c>
      <c r="D453" t="s">
        <v>234</v>
      </c>
      <c r="E453" t="s">
        <v>150</v>
      </c>
    </row>
    <row r="454" spans="1:5" x14ac:dyDescent="0.25">
      <c r="A454" s="2" t="s">
        <v>235</v>
      </c>
      <c r="B454" s="2">
        <v>452</v>
      </c>
      <c r="C454" t="s">
        <v>22</v>
      </c>
      <c r="D454" t="s">
        <v>234</v>
      </c>
      <c r="E454" t="s">
        <v>150</v>
      </c>
    </row>
    <row r="455" spans="1:5" x14ac:dyDescent="0.25">
      <c r="A455" s="2" t="str">
        <f>HYPERLINK("spreadsheet/453.xlsx", "453.xlsx")</f>
        <v>453.xlsx</v>
      </c>
      <c r="B455" s="2">
        <v>453</v>
      </c>
      <c r="C455" t="s">
        <v>24</v>
      </c>
      <c r="D455" t="s">
        <v>234</v>
      </c>
      <c r="E455" t="s">
        <v>150</v>
      </c>
    </row>
    <row r="456" spans="1:5" x14ac:dyDescent="0.25">
      <c r="A456" s="2" t="str">
        <f>HYPERLINK("spreadsheet/454.xlsx", "454.xlsx")</f>
        <v>454.xlsx</v>
      </c>
      <c r="B456" s="2">
        <v>454</v>
      </c>
      <c r="C456" t="s">
        <v>60</v>
      </c>
      <c r="D456" t="s">
        <v>234</v>
      </c>
      <c r="E456" t="s">
        <v>150</v>
      </c>
    </row>
    <row r="457" spans="1:5" x14ac:dyDescent="0.25">
      <c r="A457" s="2" t="str">
        <f>HYPERLINK("spreadsheet/455.xlsx", "455.xlsx")</f>
        <v>455.xlsx</v>
      </c>
      <c r="B457" s="2">
        <v>455</v>
      </c>
      <c r="C457" t="s">
        <v>44</v>
      </c>
      <c r="D457" t="s">
        <v>234</v>
      </c>
      <c r="E457" t="s">
        <v>150</v>
      </c>
    </row>
    <row r="458" spans="1:5" x14ac:dyDescent="0.25">
      <c r="A458" s="2" t="str">
        <f>HYPERLINK("spreadsheet/456.xlsx", "456.xlsx")</f>
        <v>456.xlsx</v>
      </c>
      <c r="B458" s="2">
        <v>456</v>
      </c>
      <c r="C458" t="s">
        <v>46</v>
      </c>
      <c r="D458" t="s">
        <v>234</v>
      </c>
      <c r="E458" t="s">
        <v>150</v>
      </c>
    </row>
    <row r="459" spans="1:5" x14ac:dyDescent="0.25">
      <c r="A459" s="2" t="s">
        <v>236</v>
      </c>
      <c r="B459" s="2">
        <v>457</v>
      </c>
      <c r="C459" t="s">
        <v>47</v>
      </c>
      <c r="D459" t="s">
        <v>234</v>
      </c>
      <c r="E459" t="s">
        <v>150</v>
      </c>
    </row>
    <row r="460" spans="1:5" x14ac:dyDescent="0.25">
      <c r="A460" s="2" t="s">
        <v>237</v>
      </c>
      <c r="B460" s="2">
        <v>458</v>
      </c>
      <c r="C460" t="s">
        <v>48</v>
      </c>
      <c r="D460" t="s">
        <v>234</v>
      </c>
      <c r="E460" t="s">
        <v>150</v>
      </c>
    </row>
    <row r="461" spans="1:5" x14ac:dyDescent="0.25">
      <c r="A461" s="2" t="str">
        <f>HYPERLINK("spreadsheet/459.xlsx", "459.xlsx")</f>
        <v>459.xlsx</v>
      </c>
      <c r="B461" s="2">
        <v>459</v>
      </c>
      <c r="C461" t="s">
        <v>49</v>
      </c>
      <c r="D461" t="s">
        <v>234</v>
      </c>
      <c r="E461" t="s">
        <v>150</v>
      </c>
    </row>
    <row r="462" spans="1:5" x14ac:dyDescent="0.25">
      <c r="A462" s="2" t="str">
        <f>HYPERLINK("spreadsheet/460.xlsx", "460.xlsx")</f>
        <v>460.xlsx</v>
      </c>
      <c r="B462" s="2">
        <v>460</v>
      </c>
      <c r="C462" t="s">
        <v>5</v>
      </c>
      <c r="D462" t="s">
        <v>238</v>
      </c>
      <c r="E462" t="s">
        <v>154</v>
      </c>
    </row>
    <row r="463" spans="1:5" x14ac:dyDescent="0.25">
      <c r="A463" s="2" t="str">
        <f>HYPERLINK("spreadsheet/461.xlsx", "461.xlsx")</f>
        <v>461.xlsx</v>
      </c>
      <c r="B463" s="2">
        <v>461</v>
      </c>
      <c r="C463" t="s">
        <v>10</v>
      </c>
      <c r="D463" t="s">
        <v>238</v>
      </c>
      <c r="E463" t="s">
        <v>154</v>
      </c>
    </row>
    <row r="464" spans="1:5" x14ac:dyDescent="0.25">
      <c r="A464" s="2" t="s">
        <v>239</v>
      </c>
      <c r="B464" s="2">
        <v>462</v>
      </c>
      <c r="C464" t="s">
        <v>14</v>
      </c>
      <c r="D464" t="s">
        <v>238</v>
      </c>
      <c r="E464" t="s">
        <v>154</v>
      </c>
    </row>
    <row r="465" spans="1:5" x14ac:dyDescent="0.25">
      <c r="A465" s="2" t="str">
        <f>HYPERLINK("spreadsheet/463.xlsx", "463.xlsx")</f>
        <v>463.xlsx</v>
      </c>
      <c r="B465" s="2">
        <v>463</v>
      </c>
      <c r="C465" t="s">
        <v>5</v>
      </c>
      <c r="D465" t="s">
        <v>240</v>
      </c>
      <c r="E465" t="s">
        <v>115</v>
      </c>
    </row>
    <row r="466" spans="1:5" x14ac:dyDescent="0.25">
      <c r="A466" s="2" t="str">
        <f>HYPERLINK("spreadsheet/464.xlsx", "464.xlsx")</f>
        <v>464.xlsx</v>
      </c>
      <c r="B466" s="2">
        <v>464</v>
      </c>
      <c r="C466" t="s">
        <v>10</v>
      </c>
      <c r="D466" t="s">
        <v>240</v>
      </c>
      <c r="E466" t="s">
        <v>115</v>
      </c>
    </row>
    <row r="467" spans="1:5" x14ac:dyDescent="0.25">
      <c r="A467" s="2" t="str">
        <f>HYPERLINK("spreadsheet/465.xlsx", "465.xlsx")</f>
        <v>465.xlsx</v>
      </c>
      <c r="B467" s="2">
        <v>465</v>
      </c>
      <c r="C467" t="s">
        <v>5</v>
      </c>
      <c r="D467" t="s">
        <v>241</v>
      </c>
      <c r="E467" t="s">
        <v>115</v>
      </c>
    </row>
    <row r="468" spans="1:5" x14ac:dyDescent="0.25">
      <c r="A468" s="2" t="s">
        <v>242</v>
      </c>
      <c r="B468" s="2">
        <v>466</v>
      </c>
      <c r="C468" t="s">
        <v>10</v>
      </c>
      <c r="D468" t="s">
        <v>241</v>
      </c>
      <c r="E468" t="s">
        <v>115</v>
      </c>
    </row>
    <row r="469" spans="1:5" x14ac:dyDescent="0.25">
      <c r="A469" s="2" t="str">
        <f>HYPERLINK("spreadsheet/467.xlsx", "467.xlsx")</f>
        <v>467.xlsx</v>
      </c>
      <c r="B469" s="2">
        <v>467</v>
      </c>
      <c r="C469" t="s">
        <v>14</v>
      </c>
      <c r="D469" t="s">
        <v>241</v>
      </c>
      <c r="E469" t="s">
        <v>115</v>
      </c>
    </row>
    <row r="470" spans="1:5" x14ac:dyDescent="0.25">
      <c r="A470" s="2" t="str">
        <f>HYPERLINK("spreadsheet/468.xlsx", "468.xlsx")</f>
        <v>468.xlsx</v>
      </c>
      <c r="B470" s="2">
        <v>468</v>
      </c>
      <c r="C470" t="s">
        <v>15</v>
      </c>
      <c r="D470" t="s">
        <v>241</v>
      </c>
      <c r="E470" t="s">
        <v>115</v>
      </c>
    </row>
    <row r="471" spans="1:5" x14ac:dyDescent="0.25">
      <c r="A471" s="2" t="str">
        <f>HYPERLINK("spreadsheet/469.xlsx", "469.xlsx")</f>
        <v>469.xlsx</v>
      </c>
      <c r="B471" s="2">
        <v>469</v>
      </c>
      <c r="C471" t="s">
        <v>22</v>
      </c>
      <c r="D471" t="s">
        <v>241</v>
      </c>
      <c r="E471" t="s">
        <v>115</v>
      </c>
    </row>
    <row r="472" spans="1:5" x14ac:dyDescent="0.25">
      <c r="A472" s="2" t="str">
        <f>HYPERLINK("spreadsheet/470.xlsx", "470.xlsx")</f>
        <v>470.xlsx</v>
      </c>
      <c r="B472" s="2">
        <v>470</v>
      </c>
      <c r="C472" t="s">
        <v>24</v>
      </c>
      <c r="D472" t="s">
        <v>241</v>
      </c>
      <c r="E472" t="s">
        <v>115</v>
      </c>
    </row>
    <row r="473" spans="1:5" x14ac:dyDescent="0.25">
      <c r="A473" s="2" t="s">
        <v>243</v>
      </c>
      <c r="B473" s="2">
        <v>471</v>
      </c>
      <c r="C473" t="s">
        <v>5</v>
      </c>
      <c r="D473" t="s">
        <v>244</v>
      </c>
      <c r="E473" t="s">
        <v>115</v>
      </c>
    </row>
    <row r="474" spans="1:5" x14ac:dyDescent="0.25">
      <c r="A474" s="2" t="str">
        <f>HYPERLINK("spreadsheet/472.xlsx", "472.xlsx")</f>
        <v>472.xlsx</v>
      </c>
      <c r="B474" s="2">
        <v>472</v>
      </c>
      <c r="C474" t="s">
        <v>14</v>
      </c>
      <c r="D474" t="s">
        <v>244</v>
      </c>
      <c r="E474" t="s">
        <v>115</v>
      </c>
    </row>
    <row r="475" spans="1:5" x14ac:dyDescent="0.25">
      <c r="A475" s="2" t="str">
        <f>HYPERLINK("spreadsheet/473.xlsx", "473.xlsx")</f>
        <v>473.xlsx</v>
      </c>
      <c r="B475" s="2">
        <v>473</v>
      </c>
      <c r="C475" t="s">
        <v>15</v>
      </c>
      <c r="D475" t="s">
        <v>244</v>
      </c>
      <c r="E475" t="s">
        <v>115</v>
      </c>
    </row>
    <row r="476" spans="1:5" x14ac:dyDescent="0.25">
      <c r="A476" s="2" t="s">
        <v>245</v>
      </c>
      <c r="B476" s="2">
        <v>474</v>
      </c>
      <c r="C476" t="s">
        <v>22</v>
      </c>
      <c r="D476" t="s">
        <v>244</v>
      </c>
      <c r="E476" t="s">
        <v>115</v>
      </c>
    </row>
    <row r="477" spans="1:5" x14ac:dyDescent="0.25">
      <c r="A477" s="2" t="s">
        <v>246</v>
      </c>
      <c r="B477" s="2">
        <v>475</v>
      </c>
      <c r="C477" t="s">
        <v>24</v>
      </c>
      <c r="D477" t="s">
        <v>244</v>
      </c>
      <c r="E477" t="s">
        <v>115</v>
      </c>
    </row>
    <row r="478" spans="1:5" x14ac:dyDescent="0.25">
      <c r="A478" s="2" t="str">
        <f>HYPERLINK("spreadsheet/476.xlsx", "476.xlsx")</f>
        <v>476.xlsx</v>
      </c>
      <c r="B478" s="2">
        <v>476</v>
      </c>
      <c r="C478" t="s">
        <v>60</v>
      </c>
      <c r="D478" t="s">
        <v>244</v>
      </c>
      <c r="E478" t="s">
        <v>115</v>
      </c>
    </row>
    <row r="479" spans="1:5" x14ac:dyDescent="0.25">
      <c r="A479" s="2" t="str">
        <f>HYPERLINK("spreadsheet/477.xlsx", "477.xlsx")</f>
        <v>477.xlsx</v>
      </c>
      <c r="B479" s="2">
        <v>477</v>
      </c>
      <c r="C479" t="s">
        <v>44</v>
      </c>
      <c r="D479" t="s">
        <v>244</v>
      </c>
      <c r="E479" t="s">
        <v>115</v>
      </c>
    </row>
    <row r="480" spans="1:5" x14ac:dyDescent="0.25">
      <c r="A480" s="2" t="str">
        <f>HYPERLINK("spreadsheet/478.xlsx", "478.xlsx")</f>
        <v>478.xlsx</v>
      </c>
      <c r="B480" s="2">
        <v>478</v>
      </c>
      <c r="C480" t="s">
        <v>5</v>
      </c>
      <c r="D480" t="s">
        <v>247</v>
      </c>
      <c r="E480" t="s">
        <v>115</v>
      </c>
    </row>
    <row r="481" spans="1:5" x14ac:dyDescent="0.25">
      <c r="A481" s="2" t="str">
        <f>HYPERLINK("spreadsheet/479.xlsx", "479.xlsx")</f>
        <v>479.xlsx</v>
      </c>
      <c r="B481" s="2">
        <v>479</v>
      </c>
      <c r="C481" t="s">
        <v>10</v>
      </c>
      <c r="D481" t="s">
        <v>247</v>
      </c>
      <c r="E481" t="s">
        <v>115</v>
      </c>
    </row>
    <row r="482" spans="1:5" x14ac:dyDescent="0.25">
      <c r="A482" s="2" t="s">
        <v>248</v>
      </c>
      <c r="B482" s="2">
        <v>480</v>
      </c>
      <c r="C482" t="s">
        <v>14</v>
      </c>
      <c r="D482" t="s">
        <v>247</v>
      </c>
      <c r="E482" t="s">
        <v>115</v>
      </c>
    </row>
    <row r="483" spans="1:5" x14ac:dyDescent="0.25">
      <c r="A483" s="2" t="s">
        <v>249</v>
      </c>
      <c r="B483" s="2">
        <v>481</v>
      </c>
      <c r="C483" t="s">
        <v>15</v>
      </c>
      <c r="D483" t="s">
        <v>247</v>
      </c>
      <c r="E483" t="s">
        <v>115</v>
      </c>
    </row>
    <row r="484" spans="1:5" x14ac:dyDescent="0.25">
      <c r="A484" s="2" t="str">
        <f>HYPERLINK("spreadsheet/482.xlsx", "482.xlsx")</f>
        <v>482.xlsx</v>
      </c>
      <c r="B484" s="2">
        <v>482</v>
      </c>
      <c r="C484" t="s">
        <v>5</v>
      </c>
      <c r="D484" t="s">
        <v>250</v>
      </c>
      <c r="E484" t="s">
        <v>147</v>
      </c>
    </row>
    <row r="485" spans="1:5" x14ac:dyDescent="0.25">
      <c r="A485" s="2" t="str">
        <f>HYPERLINK("spreadsheet/483.xlsx", "483.xlsx")</f>
        <v>483.xlsx</v>
      </c>
      <c r="B485" s="2">
        <v>483</v>
      </c>
      <c r="C485" t="s">
        <v>10</v>
      </c>
      <c r="D485" t="s">
        <v>250</v>
      </c>
      <c r="E485" t="s">
        <v>147</v>
      </c>
    </row>
    <row r="486" spans="1:5" x14ac:dyDescent="0.25">
      <c r="A486" s="2" t="str">
        <f>HYPERLINK("spreadsheet/484.xlsx", "484.xlsx")</f>
        <v>484.xlsx</v>
      </c>
      <c r="B486" s="2">
        <v>484</v>
      </c>
      <c r="C486" t="s">
        <v>14</v>
      </c>
      <c r="D486" t="s">
        <v>250</v>
      </c>
      <c r="E486" t="s">
        <v>147</v>
      </c>
    </row>
    <row r="487" spans="1:5" x14ac:dyDescent="0.25">
      <c r="A487" s="2" t="str">
        <f>HYPERLINK("spreadsheet/485.xlsx", "485.xlsx")</f>
        <v>485.xlsx</v>
      </c>
      <c r="B487" s="2">
        <v>485</v>
      </c>
      <c r="C487" t="s">
        <v>5</v>
      </c>
      <c r="D487" t="s">
        <v>251</v>
      </c>
      <c r="E487" t="s">
        <v>134</v>
      </c>
    </row>
    <row r="488" spans="1:5" x14ac:dyDescent="0.25">
      <c r="A488" s="2" t="str">
        <f>HYPERLINK("spreadsheet/486.xlsx", "486.xlsx")</f>
        <v>486.xlsx</v>
      </c>
      <c r="B488" s="2">
        <v>486</v>
      </c>
      <c r="C488" t="s">
        <v>5</v>
      </c>
      <c r="D488" t="s">
        <v>252</v>
      </c>
      <c r="E488" t="s">
        <v>115</v>
      </c>
    </row>
    <row r="489" spans="1:5" x14ac:dyDescent="0.25">
      <c r="A489" s="2" t="str">
        <f>HYPERLINK("spreadsheet/487.xlsx", "487.xlsx")</f>
        <v>487.xlsx</v>
      </c>
      <c r="B489" s="2">
        <v>487</v>
      </c>
      <c r="C489" t="s">
        <v>10</v>
      </c>
      <c r="D489" t="s">
        <v>252</v>
      </c>
      <c r="E489" t="s">
        <v>115</v>
      </c>
    </row>
    <row r="490" spans="1:5" x14ac:dyDescent="0.25">
      <c r="A490" s="2" t="str">
        <f>HYPERLINK("spreadsheet/488.xlsx", "488.xlsx")</f>
        <v>488.xlsx</v>
      </c>
      <c r="B490" s="2">
        <v>488</v>
      </c>
      <c r="C490" t="s">
        <v>14</v>
      </c>
      <c r="D490" t="s">
        <v>252</v>
      </c>
      <c r="E490" t="s">
        <v>115</v>
      </c>
    </row>
    <row r="491" spans="1:5" x14ac:dyDescent="0.25">
      <c r="A491" s="2" t="str">
        <f>HYPERLINK("spreadsheet/489.xlsx", "489.xlsx")</f>
        <v>489.xlsx</v>
      </c>
      <c r="B491" s="2">
        <v>489</v>
      </c>
      <c r="C491" t="s">
        <v>5</v>
      </c>
      <c r="D491" t="s">
        <v>253</v>
      </c>
      <c r="E491" t="s">
        <v>115</v>
      </c>
    </row>
    <row r="492" spans="1:5" x14ac:dyDescent="0.25">
      <c r="A492" s="2" t="str">
        <f>HYPERLINK("spreadsheet/490.xlsx", "490.xlsx")</f>
        <v>490.xlsx</v>
      </c>
      <c r="B492" s="2">
        <v>490</v>
      </c>
      <c r="C492" t="s">
        <v>10</v>
      </c>
      <c r="D492" t="s">
        <v>253</v>
      </c>
      <c r="E492" t="s">
        <v>115</v>
      </c>
    </row>
    <row r="493" spans="1:5" x14ac:dyDescent="0.25">
      <c r="A493" s="2" t="str">
        <f>HYPERLINK("spreadsheet/491.xlsx", "491.xlsx")</f>
        <v>491.xlsx</v>
      </c>
      <c r="B493" s="2">
        <v>491</v>
      </c>
      <c r="C493" t="s">
        <v>14</v>
      </c>
      <c r="D493" t="s">
        <v>253</v>
      </c>
      <c r="E493" t="s">
        <v>115</v>
      </c>
    </row>
    <row r="494" spans="1:5" x14ac:dyDescent="0.25">
      <c r="A494" s="2" t="str">
        <f>HYPERLINK("spreadsheet/492.xlsx", "492.xlsx")</f>
        <v>492.xlsx</v>
      </c>
      <c r="B494" s="2">
        <v>492</v>
      </c>
      <c r="C494" t="s">
        <v>5</v>
      </c>
      <c r="D494" t="s">
        <v>254</v>
      </c>
      <c r="E494" t="s">
        <v>173</v>
      </c>
    </row>
    <row r="495" spans="1:5" x14ac:dyDescent="0.25">
      <c r="A495" s="2" t="s">
        <v>255</v>
      </c>
      <c r="B495" s="2">
        <v>493</v>
      </c>
      <c r="C495" t="s">
        <v>5</v>
      </c>
      <c r="D495" t="s">
        <v>256</v>
      </c>
      <c r="E495" t="s">
        <v>218</v>
      </c>
    </row>
    <row r="496" spans="1:5" x14ac:dyDescent="0.25">
      <c r="A496" s="2" t="str">
        <f>HYPERLINK("spreadsheet/494.xlsx", "494.xlsx")</f>
        <v>494.xlsx</v>
      </c>
      <c r="B496" s="2">
        <v>494</v>
      </c>
      <c r="C496" t="s">
        <v>5</v>
      </c>
      <c r="D496" t="s">
        <v>257</v>
      </c>
      <c r="E496" t="s">
        <v>71</v>
      </c>
    </row>
    <row r="497" spans="1:5" x14ac:dyDescent="0.25">
      <c r="A497" s="2" t="str">
        <f>HYPERLINK("spreadsheet/495.xlsx", "495.xlsx")</f>
        <v>495.xlsx</v>
      </c>
      <c r="B497" s="2">
        <v>495</v>
      </c>
      <c r="C497" t="s">
        <v>10</v>
      </c>
      <c r="D497" t="s">
        <v>257</v>
      </c>
      <c r="E497" t="s">
        <v>71</v>
      </c>
    </row>
    <row r="498" spans="1:5" x14ac:dyDescent="0.25">
      <c r="A498" s="2" t="str">
        <f>HYPERLINK("spreadsheet/496.xlsx", "496.xlsx")</f>
        <v>496.xlsx</v>
      </c>
      <c r="B498" s="2">
        <v>496</v>
      </c>
      <c r="C498" t="s">
        <v>14</v>
      </c>
      <c r="D498" t="s">
        <v>257</v>
      </c>
      <c r="E498" t="s">
        <v>71</v>
      </c>
    </row>
    <row r="499" spans="1:5" x14ac:dyDescent="0.25">
      <c r="A499" s="2" t="str">
        <f>HYPERLINK("spreadsheet/497.xlsx", "497.xlsx")</f>
        <v>497.xlsx</v>
      </c>
      <c r="B499" s="2">
        <v>497</v>
      </c>
      <c r="C499" t="s">
        <v>15</v>
      </c>
      <c r="D499" t="s">
        <v>257</v>
      </c>
      <c r="E499" t="s">
        <v>71</v>
      </c>
    </row>
    <row r="500" spans="1:5" x14ac:dyDescent="0.25">
      <c r="A500" s="2" t="str">
        <f>HYPERLINK("spreadsheet/498.xlsx", "498.xlsx")</f>
        <v>498.xlsx</v>
      </c>
      <c r="B500" s="2">
        <v>498</v>
      </c>
      <c r="C500" t="s">
        <v>22</v>
      </c>
      <c r="D500" t="s">
        <v>257</v>
      </c>
      <c r="E500" t="s">
        <v>71</v>
      </c>
    </row>
    <row r="501" spans="1:5" x14ac:dyDescent="0.25">
      <c r="A501" s="2" t="str">
        <f>HYPERLINK("spreadsheet/499.xlsx", "499.xlsx")</f>
        <v>499.xlsx</v>
      </c>
      <c r="B501" s="2">
        <v>499</v>
      </c>
      <c r="C501" t="s">
        <v>5</v>
      </c>
      <c r="D501" t="s">
        <v>258</v>
      </c>
      <c r="E501" t="s">
        <v>115</v>
      </c>
    </row>
    <row r="502" spans="1:5" x14ac:dyDescent="0.25">
      <c r="A502" s="2" t="str">
        <f>HYPERLINK("spreadsheet/500.xlsx", "500.xlsx")</f>
        <v>500.xlsx</v>
      </c>
      <c r="B502" s="2">
        <v>500</v>
      </c>
      <c r="C502" t="s">
        <v>10</v>
      </c>
      <c r="D502" t="s">
        <v>258</v>
      </c>
      <c r="E502" t="s">
        <v>115</v>
      </c>
    </row>
    <row r="503" spans="1:5" x14ac:dyDescent="0.25">
      <c r="A503" s="2" t="str">
        <f>HYPERLINK("spreadsheet/501.xlsx", "501.xlsx")</f>
        <v>501.xlsx</v>
      </c>
      <c r="B503" s="2">
        <v>501</v>
      </c>
      <c r="C503" t="s">
        <v>14</v>
      </c>
      <c r="D503" t="s">
        <v>258</v>
      </c>
      <c r="E503" t="s">
        <v>115</v>
      </c>
    </row>
    <row r="504" spans="1:5" x14ac:dyDescent="0.25">
      <c r="A504" s="2" t="str">
        <f>HYPERLINK("spreadsheet/502.xlsx", "502.xlsx")</f>
        <v>502.xlsx</v>
      </c>
      <c r="B504" s="2">
        <v>502</v>
      </c>
      <c r="C504" t="s">
        <v>15</v>
      </c>
      <c r="D504" t="s">
        <v>258</v>
      </c>
      <c r="E504" t="s">
        <v>115</v>
      </c>
    </row>
    <row r="505" spans="1:5" x14ac:dyDescent="0.25">
      <c r="A505" s="2" t="s">
        <v>259</v>
      </c>
      <c r="B505" s="2">
        <v>503</v>
      </c>
      <c r="C505" t="s">
        <v>22</v>
      </c>
      <c r="D505" t="s">
        <v>258</v>
      </c>
      <c r="E505" t="s">
        <v>115</v>
      </c>
    </row>
    <row r="506" spans="1:5" x14ac:dyDescent="0.25">
      <c r="A506" s="2" t="str">
        <f>HYPERLINK("spreadsheet/504.xlsx", "504.xlsx")</f>
        <v>504.xlsx</v>
      </c>
      <c r="B506" s="2">
        <v>504</v>
      </c>
      <c r="C506" t="s">
        <v>5</v>
      </c>
      <c r="D506" t="s">
        <v>260</v>
      </c>
      <c r="E506" t="s">
        <v>115</v>
      </c>
    </row>
    <row r="507" spans="1:5" x14ac:dyDescent="0.25">
      <c r="A507" s="2" t="s">
        <v>261</v>
      </c>
      <c r="B507" s="2">
        <v>505</v>
      </c>
      <c r="C507" t="s">
        <v>10</v>
      </c>
      <c r="D507" t="s">
        <v>260</v>
      </c>
      <c r="E507" t="s">
        <v>115</v>
      </c>
    </row>
    <row r="508" spans="1:5" x14ac:dyDescent="0.25">
      <c r="A508" s="2" t="s">
        <v>262</v>
      </c>
      <c r="B508" s="2">
        <v>506</v>
      </c>
      <c r="C508" t="s">
        <v>14</v>
      </c>
      <c r="D508" t="s">
        <v>260</v>
      </c>
      <c r="E508" t="s">
        <v>115</v>
      </c>
    </row>
    <row r="509" spans="1:5" x14ac:dyDescent="0.25">
      <c r="A509" s="2" t="str">
        <f>HYPERLINK("spreadsheet/507.xlsx", "507.xlsx")</f>
        <v>507.xlsx</v>
      </c>
      <c r="B509" s="2">
        <v>507</v>
      </c>
      <c r="C509" t="s">
        <v>263</v>
      </c>
      <c r="D509" t="s">
        <v>264</v>
      </c>
      <c r="E509" t="s">
        <v>115</v>
      </c>
    </row>
    <row r="510" spans="1:5" x14ac:dyDescent="0.25">
      <c r="A510" s="2" t="str">
        <f>HYPERLINK("spreadsheet/508.xlsx", "508.xlsx")</f>
        <v>508.xlsx</v>
      </c>
      <c r="B510" s="2">
        <v>508</v>
      </c>
      <c r="C510" t="s">
        <v>265</v>
      </c>
      <c r="D510" t="s">
        <v>264</v>
      </c>
      <c r="E510" t="s">
        <v>115</v>
      </c>
    </row>
    <row r="511" spans="1:5" x14ac:dyDescent="0.25">
      <c r="A511" s="2" t="s">
        <v>266</v>
      </c>
      <c r="B511" s="2">
        <v>509</v>
      </c>
      <c r="C511" t="s">
        <v>5</v>
      </c>
      <c r="D511" t="s">
        <v>264</v>
      </c>
      <c r="E511" t="s">
        <v>115</v>
      </c>
    </row>
    <row r="512" spans="1:5" x14ac:dyDescent="0.25">
      <c r="A512" s="2" t="s">
        <v>267</v>
      </c>
      <c r="B512" s="2">
        <v>510</v>
      </c>
      <c r="C512" t="s">
        <v>10</v>
      </c>
      <c r="D512" t="s">
        <v>264</v>
      </c>
      <c r="E512" t="s">
        <v>115</v>
      </c>
    </row>
    <row r="513" spans="1:5" x14ac:dyDescent="0.25">
      <c r="A513" s="2" t="str">
        <f>HYPERLINK("spreadsheet/511.xlsx", "511.xlsx")</f>
        <v>511.xlsx</v>
      </c>
      <c r="B513" s="2">
        <v>511</v>
      </c>
      <c r="C513" t="s">
        <v>5</v>
      </c>
      <c r="D513" t="s">
        <v>268</v>
      </c>
      <c r="E513" t="s">
        <v>154</v>
      </c>
    </row>
    <row r="514" spans="1:5" x14ac:dyDescent="0.25">
      <c r="A514" s="2" t="s">
        <v>269</v>
      </c>
      <c r="B514" s="2">
        <v>512</v>
      </c>
      <c r="C514" t="s">
        <v>10</v>
      </c>
      <c r="D514" t="s">
        <v>268</v>
      </c>
      <c r="E514" t="s">
        <v>154</v>
      </c>
    </row>
    <row r="515" spans="1:5" x14ac:dyDescent="0.25">
      <c r="A515" s="2" t="str">
        <f>HYPERLINK("spreadsheet/513.xlsx", "513.xlsx")</f>
        <v>513.xlsx</v>
      </c>
      <c r="B515" s="2">
        <v>513</v>
      </c>
      <c r="C515" t="s">
        <v>15</v>
      </c>
      <c r="D515" t="s">
        <v>268</v>
      </c>
      <c r="E515" t="s">
        <v>154</v>
      </c>
    </row>
    <row r="516" spans="1:5" x14ac:dyDescent="0.25">
      <c r="A516" s="2" t="s">
        <v>270</v>
      </c>
      <c r="B516" s="2">
        <v>514</v>
      </c>
      <c r="C516" t="s">
        <v>5</v>
      </c>
      <c r="D516" t="s">
        <v>271</v>
      </c>
      <c r="E516" t="s">
        <v>150</v>
      </c>
    </row>
    <row r="517" spans="1:5" x14ac:dyDescent="0.25">
      <c r="A517" s="2" t="s">
        <v>272</v>
      </c>
      <c r="B517" s="2">
        <v>515</v>
      </c>
      <c r="C517" t="s">
        <v>10</v>
      </c>
      <c r="D517" t="s">
        <v>271</v>
      </c>
      <c r="E517" t="s">
        <v>150</v>
      </c>
    </row>
    <row r="518" spans="1:5" x14ac:dyDescent="0.25">
      <c r="A518" s="2" t="s">
        <v>273</v>
      </c>
      <c r="B518" s="2">
        <v>516</v>
      </c>
      <c r="C518" t="s">
        <v>14</v>
      </c>
      <c r="D518" t="s">
        <v>271</v>
      </c>
      <c r="E518" t="s">
        <v>150</v>
      </c>
    </row>
    <row r="519" spans="1:5" x14ac:dyDescent="0.25">
      <c r="A519" s="2" t="str">
        <f>HYPERLINK("spreadsheet/517.xlsx", "517.xlsx")</f>
        <v>517.xlsx</v>
      </c>
      <c r="B519" s="2">
        <v>517</v>
      </c>
      <c r="C519" t="s">
        <v>15</v>
      </c>
      <c r="D519" t="s">
        <v>271</v>
      </c>
      <c r="E519" t="s">
        <v>150</v>
      </c>
    </row>
    <row r="520" spans="1:5" x14ac:dyDescent="0.25">
      <c r="A520" s="2" t="s">
        <v>274</v>
      </c>
      <c r="B520" s="2">
        <v>518</v>
      </c>
      <c r="C520" t="s">
        <v>22</v>
      </c>
      <c r="D520" t="s">
        <v>271</v>
      </c>
      <c r="E520" t="s">
        <v>150</v>
      </c>
    </row>
    <row r="521" spans="1:5" x14ac:dyDescent="0.25">
      <c r="A521" s="2" t="s">
        <v>275</v>
      </c>
      <c r="B521" s="2">
        <v>519</v>
      </c>
      <c r="C521" t="s">
        <v>24</v>
      </c>
      <c r="D521" t="s">
        <v>271</v>
      </c>
      <c r="E521" t="s">
        <v>150</v>
      </c>
    </row>
    <row r="522" spans="1:5" x14ac:dyDescent="0.25">
      <c r="A522" s="2" t="str">
        <f>HYPERLINK("spreadsheet/520.xlsx", "520.xlsx")</f>
        <v>520.xlsx</v>
      </c>
      <c r="B522" s="2">
        <v>520</v>
      </c>
      <c r="C522" t="s">
        <v>5</v>
      </c>
      <c r="D522" t="s">
        <v>276</v>
      </c>
      <c r="E522" t="s">
        <v>115</v>
      </c>
    </row>
    <row r="523" spans="1:5" x14ac:dyDescent="0.25">
      <c r="A523" s="2" t="str">
        <f>HYPERLINK("spreadsheet/521.xlsx", "521.xlsx")</f>
        <v>521.xlsx</v>
      </c>
      <c r="B523" s="2">
        <v>521</v>
      </c>
      <c r="C523" t="s">
        <v>10</v>
      </c>
      <c r="D523" t="s">
        <v>276</v>
      </c>
      <c r="E523" t="s">
        <v>115</v>
      </c>
    </row>
    <row r="524" spans="1:5" x14ac:dyDescent="0.25">
      <c r="A524" s="2" t="s">
        <v>277</v>
      </c>
      <c r="B524" s="2">
        <v>522</v>
      </c>
      <c r="C524" t="s">
        <v>14</v>
      </c>
      <c r="D524" t="s">
        <v>276</v>
      </c>
      <c r="E524" t="s">
        <v>115</v>
      </c>
    </row>
    <row r="525" spans="1:5" x14ac:dyDescent="0.25">
      <c r="A525" s="2" t="str">
        <f>HYPERLINK("spreadsheet/523.xlsx", "523.xlsx")</f>
        <v>523.xlsx</v>
      </c>
      <c r="B525" s="2">
        <v>523</v>
      </c>
      <c r="C525" t="s">
        <v>15</v>
      </c>
      <c r="D525" t="s">
        <v>276</v>
      </c>
      <c r="E525" t="s">
        <v>115</v>
      </c>
    </row>
    <row r="526" spans="1:5" x14ac:dyDescent="0.25">
      <c r="A526" s="2" t="str">
        <f>HYPERLINK("spreadsheet/524.xlsx", "524.xlsx")</f>
        <v>524.xlsx</v>
      </c>
      <c r="B526" s="2">
        <v>524</v>
      </c>
      <c r="C526" t="s">
        <v>22</v>
      </c>
      <c r="D526" t="s">
        <v>276</v>
      </c>
      <c r="E526" t="s">
        <v>115</v>
      </c>
    </row>
    <row r="527" spans="1:5" x14ac:dyDescent="0.25">
      <c r="A527" s="2" t="str">
        <f>HYPERLINK("spreadsheet/525.xlsx", "525.xlsx")</f>
        <v>525.xlsx</v>
      </c>
      <c r="B527" s="2">
        <v>525</v>
      </c>
      <c r="C527" t="s">
        <v>24</v>
      </c>
      <c r="D527" t="s">
        <v>276</v>
      </c>
      <c r="E527" t="s">
        <v>115</v>
      </c>
    </row>
    <row r="528" spans="1:5" x14ac:dyDescent="0.25">
      <c r="A528" s="2" t="str">
        <f>HYPERLINK("spreadsheet/526.xlsx", "526.xlsx")</f>
        <v>526.xlsx</v>
      </c>
      <c r="B528" s="2">
        <v>526</v>
      </c>
      <c r="C528" t="s">
        <v>60</v>
      </c>
      <c r="D528" t="s">
        <v>276</v>
      </c>
      <c r="E528" t="s">
        <v>115</v>
      </c>
    </row>
    <row r="529" spans="1:5" x14ac:dyDescent="0.25">
      <c r="A529" s="2" t="str">
        <f>HYPERLINK("spreadsheet/527.xlsx", "527.xlsx")</f>
        <v>527.xlsx</v>
      </c>
      <c r="B529" s="2">
        <v>527</v>
      </c>
      <c r="C529" t="s">
        <v>5</v>
      </c>
      <c r="D529" t="s">
        <v>278</v>
      </c>
      <c r="E529" t="s">
        <v>115</v>
      </c>
    </row>
    <row r="530" spans="1:5" x14ac:dyDescent="0.25">
      <c r="A530" s="2" t="s">
        <v>279</v>
      </c>
      <c r="B530" s="2">
        <v>528</v>
      </c>
      <c r="C530" t="s">
        <v>10</v>
      </c>
      <c r="D530" t="s">
        <v>278</v>
      </c>
      <c r="E530" t="s">
        <v>115</v>
      </c>
    </row>
    <row r="531" spans="1:5" x14ac:dyDescent="0.25">
      <c r="A531" s="2" t="str">
        <f>HYPERLINK("spreadsheet/529.xlsx", "529.xlsx")</f>
        <v>529.xlsx</v>
      </c>
      <c r="B531" s="2">
        <v>529</v>
      </c>
      <c r="C531" t="s">
        <v>5</v>
      </c>
      <c r="D531" t="s">
        <v>280</v>
      </c>
      <c r="E531" t="s">
        <v>173</v>
      </c>
    </row>
    <row r="532" spans="1:5" x14ac:dyDescent="0.25">
      <c r="A532" s="2" t="str">
        <f>HYPERLINK("spreadsheet/530.xlsx", "530.xlsx")</f>
        <v>530.xlsx</v>
      </c>
      <c r="B532" s="2">
        <v>530</v>
      </c>
      <c r="C532" t="s">
        <v>10</v>
      </c>
      <c r="D532" t="s">
        <v>280</v>
      </c>
      <c r="E532" t="s">
        <v>173</v>
      </c>
    </row>
    <row r="533" spans="1:5" x14ac:dyDescent="0.25">
      <c r="A533" s="2" t="str">
        <f>HYPERLINK("spreadsheet/531.xlsx", "531.xlsx")</f>
        <v>531.xlsx</v>
      </c>
      <c r="B533" s="2">
        <v>531</v>
      </c>
      <c r="C533" t="s">
        <v>14</v>
      </c>
      <c r="D533" t="s">
        <v>280</v>
      </c>
      <c r="E533" t="s">
        <v>173</v>
      </c>
    </row>
    <row r="534" spans="1:5" x14ac:dyDescent="0.25">
      <c r="A534" s="2" t="str">
        <f>HYPERLINK("spreadsheet/532.xlsx", "532.xlsx")</f>
        <v>532.xlsx</v>
      </c>
      <c r="B534" s="2">
        <v>532</v>
      </c>
      <c r="C534" t="s">
        <v>15</v>
      </c>
      <c r="D534" t="s">
        <v>280</v>
      </c>
      <c r="E534" t="s">
        <v>173</v>
      </c>
    </row>
    <row r="535" spans="1:5" x14ac:dyDescent="0.25">
      <c r="A535" s="2" t="str">
        <f>HYPERLINK("spreadsheet/533.xlsx", "533.xlsx")</f>
        <v>533.xlsx</v>
      </c>
      <c r="B535" s="2">
        <v>533</v>
      </c>
      <c r="C535" t="s">
        <v>22</v>
      </c>
      <c r="D535" t="s">
        <v>280</v>
      </c>
      <c r="E535" t="s">
        <v>173</v>
      </c>
    </row>
    <row r="536" spans="1:5" x14ac:dyDescent="0.25">
      <c r="A536" s="2" t="str">
        <f>HYPERLINK("spreadsheet/534.xlsx", "534.xlsx")</f>
        <v>534.xlsx</v>
      </c>
      <c r="B536" s="2">
        <v>534</v>
      </c>
      <c r="C536" t="s">
        <v>24</v>
      </c>
      <c r="D536" t="s">
        <v>280</v>
      </c>
      <c r="E536" t="s">
        <v>173</v>
      </c>
    </row>
    <row r="537" spans="1:5" x14ac:dyDescent="0.25">
      <c r="A537" s="2" t="str">
        <f>HYPERLINK("spreadsheet/535.xlsx", "535.xlsx")</f>
        <v>535.xlsx</v>
      </c>
      <c r="B537" s="2">
        <v>535</v>
      </c>
      <c r="C537" t="s">
        <v>60</v>
      </c>
      <c r="D537" t="s">
        <v>280</v>
      </c>
      <c r="E537" t="s">
        <v>173</v>
      </c>
    </row>
    <row r="538" spans="1:5" x14ac:dyDescent="0.25">
      <c r="A538" s="2" t="str">
        <f>HYPERLINK("spreadsheet/536.xlsx", "536.xlsx")</f>
        <v>536.xlsx</v>
      </c>
      <c r="B538" s="2">
        <v>536</v>
      </c>
      <c r="C538" t="s">
        <v>281</v>
      </c>
      <c r="D538" t="s">
        <v>280</v>
      </c>
      <c r="E538" t="s">
        <v>173</v>
      </c>
    </row>
    <row r="539" spans="1:5" x14ac:dyDescent="0.25">
      <c r="A539" s="2" t="str">
        <f>HYPERLINK("spreadsheet/537.xlsx", "537.xlsx")</f>
        <v>537.xlsx</v>
      </c>
      <c r="B539" s="2">
        <v>537</v>
      </c>
      <c r="C539" t="s">
        <v>282</v>
      </c>
      <c r="D539" t="s">
        <v>280</v>
      </c>
      <c r="E539" t="s">
        <v>173</v>
      </c>
    </row>
    <row r="540" spans="1:5" x14ac:dyDescent="0.25">
      <c r="A540" s="2" t="str">
        <f>HYPERLINK("spreadsheet/538.xlsx", "538.xlsx")</f>
        <v>538.xlsx</v>
      </c>
      <c r="B540" s="2">
        <v>538</v>
      </c>
      <c r="C540" t="s">
        <v>5</v>
      </c>
      <c r="D540" t="s">
        <v>283</v>
      </c>
      <c r="E540" t="s">
        <v>134</v>
      </c>
    </row>
    <row r="541" spans="1:5" x14ac:dyDescent="0.25">
      <c r="A541" s="2" t="str">
        <f>HYPERLINK("spreadsheet/539.xlsx", "539.xlsx")</f>
        <v>539.xlsx</v>
      </c>
      <c r="B541" s="2">
        <v>539</v>
      </c>
      <c r="C541" t="s">
        <v>10</v>
      </c>
      <c r="D541" t="s">
        <v>283</v>
      </c>
      <c r="E541" t="s">
        <v>134</v>
      </c>
    </row>
    <row r="542" spans="1:5" x14ac:dyDescent="0.25">
      <c r="A542" s="2" t="str">
        <f>HYPERLINK("spreadsheet/540.xlsx", "540.xlsx")</f>
        <v>540.xlsx</v>
      </c>
      <c r="B542" s="2">
        <v>540</v>
      </c>
      <c r="C542" t="s">
        <v>14</v>
      </c>
      <c r="D542" t="s">
        <v>283</v>
      </c>
      <c r="E542" t="s">
        <v>134</v>
      </c>
    </row>
    <row r="543" spans="1:5" x14ac:dyDescent="0.25">
      <c r="A543" s="2" t="s">
        <v>284</v>
      </c>
      <c r="B543" s="2">
        <v>541</v>
      </c>
      <c r="C543" t="s">
        <v>15</v>
      </c>
      <c r="D543" t="s">
        <v>283</v>
      </c>
      <c r="E543" t="s">
        <v>134</v>
      </c>
    </row>
    <row r="544" spans="1:5" x14ac:dyDescent="0.25">
      <c r="A544" s="2" t="str">
        <f>HYPERLINK("spreadsheet/542.xlsx", "542.xlsx")</f>
        <v>542.xlsx</v>
      </c>
      <c r="B544" s="2">
        <v>542</v>
      </c>
      <c r="C544" t="s">
        <v>5</v>
      </c>
      <c r="D544" t="s">
        <v>285</v>
      </c>
      <c r="E544" t="s">
        <v>115</v>
      </c>
    </row>
    <row r="545" spans="1:5" x14ac:dyDescent="0.25">
      <c r="A545" s="2" t="str">
        <f>HYPERLINK("spreadsheet/543.xlsx", "543.xlsx")</f>
        <v>543.xlsx</v>
      </c>
      <c r="B545" s="2">
        <v>543</v>
      </c>
      <c r="C545" t="s">
        <v>10</v>
      </c>
      <c r="D545" t="s">
        <v>285</v>
      </c>
      <c r="E545" t="s">
        <v>115</v>
      </c>
    </row>
    <row r="546" spans="1:5" x14ac:dyDescent="0.25">
      <c r="A546" s="2" t="s">
        <v>286</v>
      </c>
      <c r="B546" s="2">
        <v>544</v>
      </c>
      <c r="C546" t="s">
        <v>14</v>
      </c>
      <c r="D546" t="s">
        <v>285</v>
      </c>
      <c r="E546" t="s">
        <v>115</v>
      </c>
    </row>
    <row r="547" spans="1:5" x14ac:dyDescent="0.25">
      <c r="A547" s="2" t="str">
        <f>HYPERLINK("spreadsheet/545.xlsx", "545.xlsx")</f>
        <v>545.xlsx</v>
      </c>
      <c r="B547" s="2">
        <v>545</v>
      </c>
      <c r="C547" t="s">
        <v>15</v>
      </c>
      <c r="D547" t="s">
        <v>285</v>
      </c>
      <c r="E547" t="s">
        <v>115</v>
      </c>
    </row>
    <row r="548" spans="1:5" x14ac:dyDescent="0.25">
      <c r="A548" s="2" t="str">
        <f>HYPERLINK("spreadsheet/546.xlsx", "546.xlsx")</f>
        <v>546.xlsx</v>
      </c>
      <c r="B548" s="2">
        <v>546</v>
      </c>
      <c r="C548" t="s">
        <v>22</v>
      </c>
      <c r="D548" t="s">
        <v>285</v>
      </c>
      <c r="E548" t="s">
        <v>115</v>
      </c>
    </row>
    <row r="549" spans="1:5" x14ac:dyDescent="0.25">
      <c r="A549" s="2" t="str">
        <f>HYPERLINK("spreadsheet/547.xlsx", "547.xlsx")</f>
        <v>547.xlsx</v>
      </c>
      <c r="B549" s="2">
        <v>547</v>
      </c>
      <c r="C549" t="s">
        <v>5</v>
      </c>
      <c r="D549" t="s">
        <v>287</v>
      </c>
      <c r="E549" t="s">
        <v>288</v>
      </c>
    </row>
    <row r="550" spans="1:5" x14ac:dyDescent="0.25">
      <c r="A550" s="2" t="s">
        <v>289</v>
      </c>
      <c r="B550" s="2">
        <v>548</v>
      </c>
      <c r="C550" t="s">
        <v>5</v>
      </c>
      <c r="D550" t="s">
        <v>290</v>
      </c>
      <c r="E550" t="s">
        <v>71</v>
      </c>
    </row>
    <row r="551" spans="1:5" x14ac:dyDescent="0.25">
      <c r="A551" s="2" t="str">
        <f>HYPERLINK("spreadsheet/549.xlsx", "549.xlsx")</f>
        <v>549.xlsx</v>
      </c>
      <c r="B551" s="2">
        <v>549</v>
      </c>
      <c r="C551" t="s">
        <v>10</v>
      </c>
      <c r="D551" t="s">
        <v>290</v>
      </c>
      <c r="E551" t="s">
        <v>71</v>
      </c>
    </row>
    <row r="552" spans="1:5" x14ac:dyDescent="0.25">
      <c r="A552" s="2" t="str">
        <f>HYPERLINK("spreadsheet/550.xlsx", "550.xlsx")</f>
        <v>550.xlsx</v>
      </c>
      <c r="B552" s="2">
        <v>550</v>
      </c>
      <c r="C552" t="s">
        <v>14</v>
      </c>
      <c r="D552" t="s">
        <v>290</v>
      </c>
      <c r="E552" t="s">
        <v>71</v>
      </c>
    </row>
    <row r="553" spans="1:5" x14ac:dyDescent="0.25">
      <c r="A553" s="2" t="s">
        <v>291</v>
      </c>
      <c r="B553" s="2">
        <v>551</v>
      </c>
      <c r="C553" t="s">
        <v>14</v>
      </c>
      <c r="D553" t="s">
        <v>292</v>
      </c>
      <c r="E553" t="s">
        <v>115</v>
      </c>
    </row>
    <row r="554" spans="1:5" x14ac:dyDescent="0.25">
      <c r="A554" s="2" t="s">
        <v>293</v>
      </c>
      <c r="B554" s="2">
        <v>552</v>
      </c>
      <c r="C554" t="s">
        <v>15</v>
      </c>
      <c r="D554" t="s">
        <v>292</v>
      </c>
      <c r="E554" t="s">
        <v>115</v>
      </c>
    </row>
    <row r="555" spans="1:5" x14ac:dyDescent="0.25">
      <c r="A555" s="2" t="s">
        <v>294</v>
      </c>
      <c r="B555" s="2">
        <v>553</v>
      </c>
      <c r="C555" t="s">
        <v>60</v>
      </c>
      <c r="D555" t="s">
        <v>292</v>
      </c>
      <c r="E555" t="s">
        <v>115</v>
      </c>
    </row>
    <row r="556" spans="1:5" x14ac:dyDescent="0.25">
      <c r="A556" s="2" t="str">
        <f>HYPERLINK("spreadsheet/554.xlsx", "554.xlsx")</f>
        <v>554.xlsx</v>
      </c>
      <c r="B556" s="2">
        <v>554</v>
      </c>
      <c r="C556" t="s">
        <v>10</v>
      </c>
      <c r="D556" t="s">
        <v>83</v>
      </c>
      <c r="E556" t="s">
        <v>71</v>
      </c>
    </row>
    <row r="557" spans="1:5" x14ac:dyDescent="0.25">
      <c r="A557" s="2" t="str">
        <f>HYPERLINK("spreadsheet/555.xlsx", "555.xlsx")</f>
        <v>555.xlsx</v>
      </c>
      <c r="B557" s="2">
        <v>555</v>
      </c>
      <c r="C557" t="s">
        <v>60</v>
      </c>
      <c r="D557" t="s">
        <v>83</v>
      </c>
      <c r="E557" t="s">
        <v>71</v>
      </c>
    </row>
    <row r="558" spans="1:5" x14ac:dyDescent="0.25">
      <c r="A558" s="2" t="str">
        <f>HYPERLINK("spreadsheet/556.xlsx", "556.xlsx")</f>
        <v>556.xlsx</v>
      </c>
      <c r="B558" s="2">
        <v>556</v>
      </c>
      <c r="C558" t="s">
        <v>5</v>
      </c>
      <c r="D558" t="s">
        <v>295</v>
      </c>
      <c r="E558" t="s">
        <v>115</v>
      </c>
    </row>
    <row r="559" spans="1:5" x14ac:dyDescent="0.25">
      <c r="A559" s="2" t="str">
        <f>HYPERLINK("spreadsheet/557.xlsx", "557.xlsx")</f>
        <v>557.xlsx</v>
      </c>
      <c r="B559" s="2">
        <v>557</v>
      </c>
      <c r="C559" t="s">
        <v>10</v>
      </c>
      <c r="D559" t="s">
        <v>295</v>
      </c>
      <c r="E559" t="s">
        <v>115</v>
      </c>
    </row>
    <row r="560" spans="1:5" x14ac:dyDescent="0.25">
      <c r="A560" s="2" t="str">
        <f>HYPERLINK("spreadsheet/558.xlsx", "558.xlsx")</f>
        <v>558.xlsx</v>
      </c>
      <c r="B560" s="2">
        <v>558</v>
      </c>
      <c r="C560" t="s">
        <v>5</v>
      </c>
      <c r="D560" t="s">
        <v>296</v>
      </c>
      <c r="E560" t="s">
        <v>218</v>
      </c>
    </row>
    <row r="561" spans="1:5" x14ac:dyDescent="0.25">
      <c r="A561" s="2" t="str">
        <f>HYPERLINK("spreadsheet/559.xlsx", "559.xlsx")</f>
        <v>559.xlsx</v>
      </c>
      <c r="B561" s="2">
        <v>559</v>
      </c>
      <c r="C561" t="s">
        <v>10</v>
      </c>
      <c r="D561" t="s">
        <v>296</v>
      </c>
      <c r="E561" t="s">
        <v>218</v>
      </c>
    </row>
    <row r="562" spans="1:5" x14ac:dyDescent="0.25">
      <c r="A562" s="2" t="str">
        <f>HYPERLINK("spreadsheet/560.xlsx", "560.xlsx")</f>
        <v>560.xlsx</v>
      </c>
      <c r="B562" s="2">
        <v>560</v>
      </c>
      <c r="C562" t="s">
        <v>14</v>
      </c>
      <c r="D562" t="s">
        <v>296</v>
      </c>
      <c r="E562" t="s">
        <v>218</v>
      </c>
    </row>
    <row r="563" spans="1:5" x14ac:dyDescent="0.25">
      <c r="A563" s="2" t="str">
        <f>HYPERLINK("spreadsheet/561.xlsx", "561.xlsx")</f>
        <v>561.xlsx</v>
      </c>
      <c r="B563" s="2">
        <v>561</v>
      </c>
      <c r="C563" t="s">
        <v>15</v>
      </c>
      <c r="D563" t="s">
        <v>296</v>
      </c>
      <c r="E563" t="s">
        <v>218</v>
      </c>
    </row>
    <row r="564" spans="1:5" x14ac:dyDescent="0.25">
      <c r="A564" s="2" t="str">
        <f>HYPERLINK("spreadsheet/562.xlsx", "562.xlsx")</f>
        <v>562.xlsx</v>
      </c>
      <c r="B564" s="2">
        <v>562</v>
      </c>
      <c r="C564" t="s">
        <v>5</v>
      </c>
      <c r="D564" t="s">
        <v>297</v>
      </c>
      <c r="E564" t="s">
        <v>115</v>
      </c>
    </row>
    <row r="565" spans="1:5" x14ac:dyDescent="0.25">
      <c r="A565" s="2" t="str">
        <f>HYPERLINK("spreadsheet/563.xlsx", "563.xlsx")</f>
        <v>563.xlsx</v>
      </c>
      <c r="B565" s="2">
        <v>563</v>
      </c>
      <c r="C565" t="s">
        <v>10</v>
      </c>
      <c r="D565" t="s">
        <v>297</v>
      </c>
      <c r="E565" t="s">
        <v>115</v>
      </c>
    </row>
    <row r="566" spans="1:5" x14ac:dyDescent="0.25">
      <c r="A566" s="2" t="str">
        <f>HYPERLINK("spreadsheet/564.xlsx", "564.xlsx")</f>
        <v>564.xlsx</v>
      </c>
      <c r="B566" s="2">
        <v>564</v>
      </c>
      <c r="C566" t="s">
        <v>14</v>
      </c>
      <c r="D566" t="s">
        <v>297</v>
      </c>
      <c r="E566" t="s">
        <v>115</v>
      </c>
    </row>
    <row r="567" spans="1:5" x14ac:dyDescent="0.25">
      <c r="A567" s="2" t="str">
        <f>HYPERLINK("spreadsheet/565.xlsx", "565.xlsx")</f>
        <v>565.xlsx</v>
      </c>
      <c r="B567" s="2">
        <v>565</v>
      </c>
      <c r="C567" t="s">
        <v>5</v>
      </c>
      <c r="D567" t="s">
        <v>298</v>
      </c>
      <c r="E567" t="s">
        <v>115</v>
      </c>
    </row>
    <row r="568" spans="1:5" x14ac:dyDescent="0.25">
      <c r="A568" s="2" t="str">
        <f>HYPERLINK("spreadsheet/566.xlsx", "566.xlsx")</f>
        <v>566.xlsx</v>
      </c>
      <c r="B568" s="2">
        <v>566</v>
      </c>
      <c r="C568" t="s">
        <v>10</v>
      </c>
      <c r="D568" t="s">
        <v>298</v>
      </c>
      <c r="E568" t="s">
        <v>115</v>
      </c>
    </row>
    <row r="569" spans="1:5" x14ac:dyDescent="0.25">
      <c r="A569" s="2" t="str">
        <f>HYPERLINK("spreadsheet/567.xlsx", "567.xlsx")</f>
        <v>567.xlsx</v>
      </c>
      <c r="B569" s="2">
        <v>567</v>
      </c>
      <c r="C569" t="s">
        <v>14</v>
      </c>
      <c r="D569" t="s">
        <v>298</v>
      </c>
      <c r="E569" t="s">
        <v>115</v>
      </c>
    </row>
    <row r="570" spans="1:5" x14ac:dyDescent="0.25">
      <c r="A570" s="2" t="str">
        <f>HYPERLINK("spreadsheet/568.xlsx", "568.xlsx")</f>
        <v>568.xlsx</v>
      </c>
      <c r="B570" s="2">
        <v>568</v>
      </c>
      <c r="C570" t="s">
        <v>15</v>
      </c>
      <c r="D570" t="s">
        <v>298</v>
      </c>
      <c r="E570" t="s">
        <v>115</v>
      </c>
    </row>
    <row r="571" spans="1:5" x14ac:dyDescent="0.25">
      <c r="A571" s="2" t="str">
        <f>HYPERLINK("spreadsheet/569.xlsx", "569.xlsx")</f>
        <v>569.xlsx</v>
      </c>
      <c r="B571" s="2">
        <v>569</v>
      </c>
      <c r="C571" t="s">
        <v>5</v>
      </c>
      <c r="D571" t="s">
        <v>299</v>
      </c>
      <c r="E571" t="s">
        <v>71</v>
      </c>
    </row>
    <row r="572" spans="1:5" x14ac:dyDescent="0.25">
      <c r="A572" s="2" t="str">
        <f>HYPERLINK("spreadsheet/570.xlsx", "570.xlsx")</f>
        <v>570.xlsx</v>
      </c>
      <c r="B572" s="2">
        <v>570</v>
      </c>
      <c r="C572" t="s">
        <v>10</v>
      </c>
      <c r="D572" t="s">
        <v>299</v>
      </c>
      <c r="E572" t="s">
        <v>71</v>
      </c>
    </row>
    <row r="573" spans="1:5" x14ac:dyDescent="0.25">
      <c r="A573" s="2" t="str">
        <f>HYPERLINK("spreadsheet/571.xlsx", "571.xlsx")</f>
        <v>571.xlsx</v>
      </c>
      <c r="B573" s="2">
        <v>571</v>
      </c>
      <c r="C573" t="s">
        <v>14</v>
      </c>
      <c r="D573" t="s">
        <v>299</v>
      </c>
      <c r="E573" t="s">
        <v>71</v>
      </c>
    </row>
    <row r="574" spans="1:5" x14ac:dyDescent="0.25">
      <c r="A574" s="2" t="str">
        <f>HYPERLINK("spreadsheet/572.xlsx", "572.xlsx")</f>
        <v>572.xlsx</v>
      </c>
      <c r="B574" s="2">
        <v>572</v>
      </c>
      <c r="C574" t="s">
        <v>15</v>
      </c>
      <c r="D574" t="s">
        <v>299</v>
      </c>
      <c r="E574" t="s">
        <v>71</v>
      </c>
    </row>
    <row r="575" spans="1:5" x14ac:dyDescent="0.25">
      <c r="A575" s="2" t="str">
        <f>HYPERLINK("spreadsheet/573.xlsx", "573.xlsx")</f>
        <v>573.xlsx</v>
      </c>
      <c r="B575" s="2">
        <v>573</v>
      </c>
      <c r="C575" t="s">
        <v>22</v>
      </c>
      <c r="D575" t="s">
        <v>299</v>
      </c>
      <c r="E575" t="s">
        <v>71</v>
      </c>
    </row>
    <row r="576" spans="1:5" x14ac:dyDescent="0.25">
      <c r="A576" s="2" t="str">
        <f>HYPERLINK("spreadsheet/574.xlsx", "574.xlsx")</f>
        <v>574.xlsx</v>
      </c>
      <c r="B576" s="2">
        <v>574</v>
      </c>
      <c r="C576" t="s">
        <v>24</v>
      </c>
      <c r="D576" t="s">
        <v>299</v>
      </c>
      <c r="E576" t="s">
        <v>71</v>
      </c>
    </row>
    <row r="577" spans="1:5" x14ac:dyDescent="0.25">
      <c r="A577" s="2" t="str">
        <f>HYPERLINK("spreadsheet/575.xlsx", "575.xlsx")</f>
        <v>575.xlsx</v>
      </c>
      <c r="B577" s="2">
        <v>575</v>
      </c>
      <c r="C577" t="s">
        <v>60</v>
      </c>
      <c r="D577" t="s">
        <v>299</v>
      </c>
      <c r="E577" t="s">
        <v>71</v>
      </c>
    </row>
    <row r="578" spans="1:5" x14ac:dyDescent="0.25">
      <c r="A578" s="2" t="str">
        <f>HYPERLINK("spreadsheet/576.xlsx", "576.xlsx")</f>
        <v>576.xlsx</v>
      </c>
      <c r="B578" s="2">
        <v>576</v>
      </c>
      <c r="C578" t="s">
        <v>44</v>
      </c>
      <c r="D578" t="s">
        <v>299</v>
      </c>
      <c r="E578" t="s">
        <v>71</v>
      </c>
    </row>
    <row r="579" spans="1:5" x14ac:dyDescent="0.25">
      <c r="A579" s="2" t="str">
        <f>HYPERLINK("spreadsheet/577.xlsx", "577.xlsx")</f>
        <v>577.xlsx</v>
      </c>
      <c r="B579" s="2">
        <v>577</v>
      </c>
      <c r="C579" t="s">
        <v>45</v>
      </c>
      <c r="D579" t="s">
        <v>299</v>
      </c>
      <c r="E579" t="s">
        <v>71</v>
      </c>
    </row>
    <row r="580" spans="1:5" x14ac:dyDescent="0.25">
      <c r="A580" s="2" t="str">
        <f>HYPERLINK("spreadsheet/578.xlsx", "578.xlsx")</f>
        <v>578.xlsx</v>
      </c>
      <c r="B580" s="2">
        <v>578</v>
      </c>
      <c r="C580" t="s">
        <v>48</v>
      </c>
      <c r="D580" t="s">
        <v>299</v>
      </c>
      <c r="E580" t="s">
        <v>71</v>
      </c>
    </row>
    <row r="581" spans="1:5" x14ac:dyDescent="0.25">
      <c r="A581" s="2" t="str">
        <f>HYPERLINK("spreadsheet/579.xlsx", "579.xlsx")</f>
        <v>579.xlsx</v>
      </c>
      <c r="B581" s="2">
        <v>579</v>
      </c>
      <c r="C581" t="s">
        <v>49</v>
      </c>
      <c r="D581" t="s">
        <v>299</v>
      </c>
      <c r="E581" t="s">
        <v>71</v>
      </c>
    </row>
    <row r="582" spans="1:5" x14ac:dyDescent="0.25">
      <c r="A582" s="2" t="str">
        <f>HYPERLINK("spreadsheet/580.xlsx", "580.xlsx")</f>
        <v>580.xlsx</v>
      </c>
      <c r="B582" s="2">
        <v>580</v>
      </c>
      <c r="C582" t="s">
        <v>50</v>
      </c>
      <c r="D582" t="s">
        <v>299</v>
      </c>
      <c r="E582" t="s">
        <v>71</v>
      </c>
    </row>
    <row r="583" spans="1:5" x14ac:dyDescent="0.25">
      <c r="A583" s="2" t="str">
        <f>HYPERLINK("spreadsheet/581.xlsx", "581.xlsx")</f>
        <v>581.xlsx</v>
      </c>
      <c r="B583" s="2">
        <v>581</v>
      </c>
      <c r="C583" t="s">
        <v>51</v>
      </c>
      <c r="D583" t="s">
        <v>299</v>
      </c>
      <c r="E583" t="s">
        <v>71</v>
      </c>
    </row>
    <row r="584" spans="1:5" x14ac:dyDescent="0.25">
      <c r="A584" s="2" t="str">
        <f>HYPERLINK("spreadsheet/582.xlsx", "582.xlsx")</f>
        <v>582.xlsx</v>
      </c>
      <c r="B584" s="2">
        <v>582</v>
      </c>
      <c r="C584" t="s">
        <v>52</v>
      </c>
      <c r="D584" t="s">
        <v>299</v>
      </c>
      <c r="E584" t="s">
        <v>71</v>
      </c>
    </row>
    <row r="585" spans="1:5" x14ac:dyDescent="0.25">
      <c r="A585" s="2" t="str">
        <f>HYPERLINK("spreadsheet/583.xlsx", "583.xlsx")</f>
        <v>583.xlsx</v>
      </c>
      <c r="B585" s="2">
        <v>583</v>
      </c>
      <c r="C585" t="s">
        <v>53</v>
      </c>
      <c r="D585" t="s">
        <v>299</v>
      </c>
      <c r="E585" t="s">
        <v>71</v>
      </c>
    </row>
    <row r="586" spans="1:5" x14ac:dyDescent="0.25">
      <c r="A586" s="2" t="str">
        <f>HYPERLINK("spreadsheet/584.xlsx", "584.xlsx")</f>
        <v>584.xlsx</v>
      </c>
      <c r="B586" s="2">
        <v>584</v>
      </c>
      <c r="C586" t="s">
        <v>54</v>
      </c>
      <c r="D586" t="s">
        <v>299</v>
      </c>
      <c r="E586" t="s">
        <v>71</v>
      </c>
    </row>
    <row r="587" spans="1:5" x14ac:dyDescent="0.25">
      <c r="A587" s="2" t="str">
        <f>HYPERLINK("spreadsheet/585.xlsx", "585.xlsx")</f>
        <v>585.xlsx</v>
      </c>
      <c r="B587" s="2">
        <v>585</v>
      </c>
      <c r="C587" t="s">
        <v>300</v>
      </c>
      <c r="D587" t="s">
        <v>299</v>
      </c>
      <c r="E587" t="s">
        <v>71</v>
      </c>
    </row>
    <row r="588" spans="1:5" x14ac:dyDescent="0.25">
      <c r="A588" s="2" t="str">
        <f>HYPERLINK("spreadsheet/586.xlsx", "586.xlsx")</f>
        <v>586.xlsx</v>
      </c>
      <c r="B588" s="2">
        <v>586</v>
      </c>
      <c r="C588" t="s">
        <v>301</v>
      </c>
      <c r="D588" t="s">
        <v>299</v>
      </c>
      <c r="E588" t="s">
        <v>71</v>
      </c>
    </row>
    <row r="589" spans="1:5" x14ac:dyDescent="0.25">
      <c r="A589" s="2" t="str">
        <f>HYPERLINK("spreadsheet/587.xlsx", "587.xlsx")</f>
        <v>587.xlsx</v>
      </c>
      <c r="B589" s="2">
        <v>587</v>
      </c>
      <c r="C589" t="s">
        <v>302</v>
      </c>
      <c r="D589" t="s">
        <v>299</v>
      </c>
      <c r="E589" t="s">
        <v>71</v>
      </c>
    </row>
    <row r="590" spans="1:5" x14ac:dyDescent="0.25">
      <c r="A590" s="2" t="str">
        <f>HYPERLINK("spreadsheet/588.xlsx", "588.xlsx")</f>
        <v>588.xlsx</v>
      </c>
      <c r="B590" s="2">
        <v>588</v>
      </c>
      <c r="C590" t="s">
        <v>303</v>
      </c>
      <c r="D590" t="s">
        <v>299</v>
      </c>
      <c r="E590" t="s">
        <v>71</v>
      </c>
    </row>
    <row r="591" spans="1:5" x14ac:dyDescent="0.25">
      <c r="A591" s="2" t="s">
        <v>304</v>
      </c>
      <c r="B591" s="2">
        <v>589</v>
      </c>
      <c r="C591" t="s">
        <v>305</v>
      </c>
      <c r="D591" t="s">
        <v>299</v>
      </c>
      <c r="E591" t="s">
        <v>71</v>
      </c>
    </row>
    <row r="592" spans="1:5" x14ac:dyDescent="0.25">
      <c r="A592" s="2" t="str">
        <f>HYPERLINK("spreadsheet/590.xlsx", "590.xlsx")</f>
        <v>590.xlsx</v>
      </c>
      <c r="B592" s="2">
        <v>590</v>
      </c>
      <c r="C592" t="s">
        <v>306</v>
      </c>
      <c r="D592" t="s">
        <v>299</v>
      </c>
      <c r="E592" t="s">
        <v>71</v>
      </c>
    </row>
    <row r="593" spans="1:5" x14ac:dyDescent="0.25">
      <c r="A593" s="2" t="str">
        <f>HYPERLINK("spreadsheet/591.xlsx", "591.xlsx")</f>
        <v>591.xlsx</v>
      </c>
      <c r="B593" s="2">
        <v>591</v>
      </c>
      <c r="C593" t="s">
        <v>307</v>
      </c>
      <c r="D593" t="s">
        <v>299</v>
      </c>
      <c r="E593" t="s">
        <v>71</v>
      </c>
    </row>
    <row r="594" spans="1:5" x14ac:dyDescent="0.25">
      <c r="A594" s="2" t="str">
        <f>HYPERLINK("spreadsheet/592.xlsx", "592.xlsx")</f>
        <v>592.xlsx</v>
      </c>
      <c r="B594" s="2">
        <v>592</v>
      </c>
      <c r="C594" t="s">
        <v>308</v>
      </c>
      <c r="D594" t="s">
        <v>299</v>
      </c>
      <c r="E594" t="s">
        <v>71</v>
      </c>
    </row>
    <row r="595" spans="1:5" x14ac:dyDescent="0.25">
      <c r="A595" s="2" t="s">
        <v>309</v>
      </c>
      <c r="B595" s="2">
        <v>593</v>
      </c>
      <c r="C595" t="s">
        <v>310</v>
      </c>
      <c r="D595" t="s">
        <v>299</v>
      </c>
      <c r="E595" t="s">
        <v>71</v>
      </c>
    </row>
    <row r="596" spans="1:5" x14ac:dyDescent="0.25">
      <c r="A596" s="2" t="str">
        <f>HYPERLINK("spreadsheet/594.xlsx", "594.xlsx")</f>
        <v>594.xlsx</v>
      </c>
      <c r="B596" s="2">
        <v>594</v>
      </c>
      <c r="C596" t="s">
        <v>5</v>
      </c>
      <c r="D596" t="s">
        <v>311</v>
      </c>
      <c r="E596" t="s">
        <v>126</v>
      </c>
    </row>
    <row r="597" spans="1:5" x14ac:dyDescent="0.25">
      <c r="A597" s="2" t="str">
        <f>HYPERLINK("spreadsheet/595.xlsx", "595.xlsx")</f>
        <v>595.xlsx</v>
      </c>
      <c r="B597" s="2">
        <v>595</v>
      </c>
      <c r="C597" t="s">
        <v>10</v>
      </c>
      <c r="D597" t="s">
        <v>311</v>
      </c>
      <c r="E597" t="s">
        <v>126</v>
      </c>
    </row>
    <row r="598" spans="1:5" x14ac:dyDescent="0.25">
      <c r="A598" s="2" t="s">
        <v>312</v>
      </c>
      <c r="B598" s="2">
        <v>596</v>
      </c>
      <c r="C598" t="s">
        <v>10</v>
      </c>
      <c r="D598" t="s">
        <v>313</v>
      </c>
      <c r="E598" t="s">
        <v>115</v>
      </c>
    </row>
    <row r="599" spans="1:5" x14ac:dyDescent="0.25">
      <c r="A599" s="2" t="str">
        <f>HYPERLINK("spreadsheet/597.xlsx", "597.xlsx")</f>
        <v>597.xlsx</v>
      </c>
      <c r="B599" s="2">
        <v>597</v>
      </c>
      <c r="C599" t="s">
        <v>5</v>
      </c>
      <c r="D599" t="s">
        <v>314</v>
      </c>
      <c r="E599" t="s">
        <v>126</v>
      </c>
    </row>
    <row r="600" spans="1:5" x14ac:dyDescent="0.25">
      <c r="A600" s="2" t="str">
        <f>HYPERLINK("spreadsheet/598.xlsx", "598.xlsx")</f>
        <v>598.xlsx</v>
      </c>
      <c r="B600" s="2">
        <v>598</v>
      </c>
      <c r="C600" t="s">
        <v>14</v>
      </c>
      <c r="D600" t="s">
        <v>315</v>
      </c>
      <c r="E600" t="s">
        <v>150</v>
      </c>
    </row>
    <row r="601" spans="1:5" x14ac:dyDescent="0.25">
      <c r="A601" s="2" t="str">
        <f>HYPERLINK("spreadsheet/599.xlsx", "599.xlsx")</f>
        <v>599.xlsx</v>
      </c>
      <c r="B601" s="2">
        <v>599</v>
      </c>
      <c r="C601" t="s">
        <v>60</v>
      </c>
      <c r="D601" t="s">
        <v>315</v>
      </c>
      <c r="E601" t="s">
        <v>150</v>
      </c>
    </row>
    <row r="602" spans="1:5" x14ac:dyDescent="0.25">
      <c r="A602" s="2" t="s">
        <v>316</v>
      </c>
      <c r="B602" s="2">
        <v>600</v>
      </c>
      <c r="C602" t="s">
        <v>5</v>
      </c>
      <c r="D602" t="s">
        <v>317</v>
      </c>
      <c r="E602" t="s">
        <v>126</v>
      </c>
    </row>
    <row r="603" spans="1:5" x14ac:dyDescent="0.25">
      <c r="A603" s="2" t="str">
        <f>HYPERLINK("spreadsheet/601.xlsx", "601.xlsx")</f>
        <v>601.xlsx</v>
      </c>
      <c r="B603" s="2">
        <v>601</v>
      </c>
      <c r="C603" t="s">
        <v>5</v>
      </c>
      <c r="D603" t="s">
        <v>318</v>
      </c>
      <c r="E603" t="s">
        <v>319</v>
      </c>
    </row>
    <row r="604" spans="1:5" x14ac:dyDescent="0.25">
      <c r="A604" s="2" t="str">
        <f>HYPERLINK("spreadsheet/602.xlsx", "602.xlsx")</f>
        <v>602.xlsx</v>
      </c>
      <c r="B604" s="2">
        <v>602</v>
      </c>
      <c r="C604" t="s">
        <v>10</v>
      </c>
      <c r="D604" t="s">
        <v>318</v>
      </c>
      <c r="E604" t="s">
        <v>319</v>
      </c>
    </row>
    <row r="605" spans="1:5" x14ac:dyDescent="0.25">
      <c r="A605" s="2" t="str">
        <f>HYPERLINK("spreadsheet/603.xlsx", "603.xlsx")</f>
        <v>603.xlsx</v>
      </c>
      <c r="B605" s="2">
        <v>603</v>
      </c>
      <c r="C605" t="s">
        <v>14</v>
      </c>
      <c r="D605" t="s">
        <v>318</v>
      </c>
      <c r="E605" t="s">
        <v>319</v>
      </c>
    </row>
    <row r="606" spans="1:5" x14ac:dyDescent="0.25">
      <c r="A606" s="2" t="str">
        <f>HYPERLINK("spreadsheet/604.xlsx", "604.xlsx")</f>
        <v>604.xlsx</v>
      </c>
      <c r="B606" s="2">
        <v>604</v>
      </c>
      <c r="C606" t="s">
        <v>15</v>
      </c>
      <c r="D606" t="s">
        <v>318</v>
      </c>
      <c r="E606" t="s">
        <v>319</v>
      </c>
    </row>
    <row r="607" spans="1:5" x14ac:dyDescent="0.25">
      <c r="A607" s="2" t="str">
        <f>HYPERLINK("spreadsheet/605.xlsx", "605.xlsx")</f>
        <v>605.xlsx</v>
      </c>
      <c r="B607" s="2">
        <v>605</v>
      </c>
      <c r="C607" t="s">
        <v>22</v>
      </c>
      <c r="D607" t="s">
        <v>318</v>
      </c>
      <c r="E607" t="s">
        <v>319</v>
      </c>
    </row>
    <row r="608" spans="1:5" x14ac:dyDescent="0.25">
      <c r="A608" s="2" t="str">
        <f>HYPERLINK("spreadsheet/606.xlsx", "606.xlsx")</f>
        <v>606.xlsx</v>
      </c>
      <c r="B608" s="2">
        <v>606</v>
      </c>
      <c r="C608" t="s">
        <v>5</v>
      </c>
      <c r="D608" t="s">
        <v>320</v>
      </c>
      <c r="E608" t="s">
        <v>164</v>
      </c>
    </row>
    <row r="609" spans="1:5" x14ac:dyDescent="0.25">
      <c r="A609" s="2" t="str">
        <f>HYPERLINK("spreadsheet/607.xlsx", "607.xlsx")</f>
        <v>607.xlsx</v>
      </c>
      <c r="B609" s="2">
        <v>607</v>
      </c>
      <c r="C609" t="s">
        <v>10</v>
      </c>
      <c r="D609" t="s">
        <v>320</v>
      </c>
      <c r="E609" t="s">
        <v>164</v>
      </c>
    </row>
    <row r="610" spans="1:5" x14ac:dyDescent="0.25">
      <c r="A610" s="2" t="str">
        <f>HYPERLINK("spreadsheet/608.xlsx", "608.xlsx")</f>
        <v>608.xlsx</v>
      </c>
      <c r="B610" s="2">
        <v>608</v>
      </c>
      <c r="C610" t="s">
        <v>14</v>
      </c>
      <c r="D610" t="s">
        <v>320</v>
      </c>
      <c r="E610" t="s">
        <v>164</v>
      </c>
    </row>
    <row r="611" spans="1:5" x14ac:dyDescent="0.25">
      <c r="A611" s="2" t="str">
        <f>HYPERLINK("spreadsheet/609.xlsx", "609.xlsx")</f>
        <v>609.xlsx</v>
      </c>
      <c r="B611" s="2">
        <v>609</v>
      </c>
      <c r="C611" t="s">
        <v>15</v>
      </c>
      <c r="D611" t="s">
        <v>320</v>
      </c>
      <c r="E611" t="s">
        <v>164</v>
      </c>
    </row>
    <row r="612" spans="1:5" x14ac:dyDescent="0.25">
      <c r="A612" s="2" t="str">
        <f>HYPERLINK("spreadsheet/610.xlsx", "610.xlsx")</f>
        <v>610.xlsx</v>
      </c>
      <c r="B612" s="2">
        <v>610</v>
      </c>
      <c r="C612" t="s">
        <v>5</v>
      </c>
      <c r="D612" t="s">
        <v>321</v>
      </c>
      <c r="E612" t="s">
        <v>115</v>
      </c>
    </row>
    <row r="613" spans="1:5" x14ac:dyDescent="0.25">
      <c r="A613" s="2" t="str">
        <f>HYPERLINK("spreadsheet/611.xlsx", "611.xlsx")</f>
        <v>611.xlsx</v>
      </c>
      <c r="B613" s="2">
        <v>611</v>
      </c>
      <c r="C613" t="s">
        <v>10</v>
      </c>
      <c r="D613" t="s">
        <v>321</v>
      </c>
      <c r="E613" t="s">
        <v>115</v>
      </c>
    </row>
    <row r="614" spans="1:5" x14ac:dyDescent="0.25">
      <c r="A614" s="2" t="str">
        <f>HYPERLINK("spreadsheet/612.xlsx", "612.xlsx")</f>
        <v>612.xlsx</v>
      </c>
      <c r="B614" s="2">
        <v>612</v>
      </c>
      <c r="C614" t="s">
        <v>14</v>
      </c>
      <c r="D614" t="s">
        <v>321</v>
      </c>
      <c r="E614" t="s">
        <v>115</v>
      </c>
    </row>
    <row r="615" spans="1:5" x14ac:dyDescent="0.25">
      <c r="A615" s="2" t="str">
        <f>HYPERLINK("spreadsheet/613.xlsx", "613.xlsx")</f>
        <v>613.xlsx</v>
      </c>
      <c r="B615" s="2">
        <v>613</v>
      </c>
      <c r="C615" t="s">
        <v>15</v>
      </c>
      <c r="D615" t="s">
        <v>321</v>
      </c>
      <c r="E615" t="s">
        <v>115</v>
      </c>
    </row>
    <row r="616" spans="1:5" x14ac:dyDescent="0.25">
      <c r="A616" s="2" t="str">
        <f>HYPERLINK("spreadsheet/614.xlsx", "614.xlsx")</f>
        <v>614.xlsx</v>
      </c>
      <c r="B616" s="2">
        <v>614</v>
      </c>
      <c r="C616" t="s">
        <v>22</v>
      </c>
      <c r="D616" t="s">
        <v>321</v>
      </c>
      <c r="E616" t="s">
        <v>115</v>
      </c>
    </row>
    <row r="617" spans="1:5" x14ac:dyDescent="0.25">
      <c r="A617" s="2" t="str">
        <f>HYPERLINK("spreadsheet/615.xlsx", "615.xlsx")</f>
        <v>615.xlsx</v>
      </c>
      <c r="B617" s="2">
        <v>615</v>
      </c>
      <c r="C617" t="s">
        <v>24</v>
      </c>
      <c r="D617" t="s">
        <v>321</v>
      </c>
      <c r="E617" t="s">
        <v>115</v>
      </c>
    </row>
    <row r="618" spans="1:5" x14ac:dyDescent="0.25">
      <c r="A618" s="2" t="str">
        <f>HYPERLINK("spreadsheet/616.xlsx", "616.xlsx")</f>
        <v>616.xlsx</v>
      </c>
      <c r="B618" s="2">
        <v>616</v>
      </c>
      <c r="C618" t="s">
        <v>60</v>
      </c>
      <c r="D618" t="s">
        <v>321</v>
      </c>
      <c r="E618" t="s">
        <v>115</v>
      </c>
    </row>
    <row r="619" spans="1:5" x14ac:dyDescent="0.25">
      <c r="A619" s="2" t="str">
        <f>HYPERLINK("spreadsheet/617.xlsx", "617.xlsx")</f>
        <v>617.xlsx</v>
      </c>
      <c r="B619" s="2">
        <v>617</v>
      </c>
      <c r="C619" t="s">
        <v>44</v>
      </c>
      <c r="D619" t="s">
        <v>321</v>
      </c>
      <c r="E619" t="s">
        <v>115</v>
      </c>
    </row>
    <row r="620" spans="1:5" x14ac:dyDescent="0.25">
      <c r="A620" s="2" t="str">
        <f>HYPERLINK("spreadsheet/618.xlsx", "618.xlsx")</f>
        <v>618.xlsx</v>
      </c>
      <c r="B620" s="2">
        <v>618</v>
      </c>
      <c r="C620" t="s">
        <v>45</v>
      </c>
      <c r="D620" t="s">
        <v>321</v>
      </c>
      <c r="E620" t="s">
        <v>115</v>
      </c>
    </row>
    <row r="621" spans="1:5" x14ac:dyDescent="0.25">
      <c r="A621" s="2" t="str">
        <f>HYPERLINK("spreadsheet/619.xlsx", "619.xlsx")</f>
        <v>619.xlsx</v>
      </c>
      <c r="B621" s="2">
        <v>619</v>
      </c>
      <c r="C621" t="s">
        <v>46</v>
      </c>
      <c r="D621" t="s">
        <v>321</v>
      </c>
      <c r="E621" t="s">
        <v>115</v>
      </c>
    </row>
    <row r="622" spans="1:5" x14ac:dyDescent="0.25">
      <c r="A622" s="2" t="str">
        <f>HYPERLINK("spreadsheet/620.xlsx", "620.xlsx")</f>
        <v>620.xlsx</v>
      </c>
      <c r="B622" s="2">
        <v>620</v>
      </c>
      <c r="C622" t="s">
        <v>47</v>
      </c>
      <c r="D622" t="s">
        <v>321</v>
      </c>
      <c r="E622" t="s">
        <v>115</v>
      </c>
    </row>
    <row r="623" spans="1:5" x14ac:dyDescent="0.25">
      <c r="A623" s="2" t="str">
        <f>HYPERLINK("spreadsheet/621.xlsx", "621.xlsx")</f>
        <v>621.xlsx</v>
      </c>
      <c r="B623" s="2">
        <v>621</v>
      </c>
      <c r="C623" t="s">
        <v>48</v>
      </c>
      <c r="D623" t="s">
        <v>321</v>
      </c>
      <c r="E623" t="s">
        <v>115</v>
      </c>
    </row>
    <row r="624" spans="1:5" x14ac:dyDescent="0.25">
      <c r="A624" s="2" t="str">
        <f>HYPERLINK("spreadsheet/622.xlsx", "622.xlsx")</f>
        <v>622.xlsx</v>
      </c>
      <c r="B624" s="2">
        <v>622</v>
      </c>
      <c r="C624" t="s">
        <v>49</v>
      </c>
      <c r="D624" t="s">
        <v>321</v>
      </c>
      <c r="E624" t="s">
        <v>115</v>
      </c>
    </row>
    <row r="625" spans="1:5" x14ac:dyDescent="0.25">
      <c r="A625" s="2" t="str">
        <f>HYPERLINK("spreadsheet/623.xlsx", "623.xlsx")</f>
        <v>623.xlsx</v>
      </c>
      <c r="B625" s="2">
        <v>623</v>
      </c>
      <c r="C625" t="s">
        <v>50</v>
      </c>
      <c r="D625" t="s">
        <v>321</v>
      </c>
      <c r="E625" t="s">
        <v>115</v>
      </c>
    </row>
    <row r="626" spans="1:5" x14ac:dyDescent="0.25">
      <c r="A626" s="2" t="str">
        <f>HYPERLINK("spreadsheet/624.xlsx", "624.xlsx")</f>
        <v>624.xlsx</v>
      </c>
      <c r="B626" s="2">
        <v>624</v>
      </c>
      <c r="C626" t="s">
        <v>51</v>
      </c>
      <c r="D626" t="s">
        <v>321</v>
      </c>
      <c r="E626" t="s">
        <v>115</v>
      </c>
    </row>
    <row r="627" spans="1:5" x14ac:dyDescent="0.25">
      <c r="A627" s="2" t="str">
        <f>HYPERLINK("spreadsheet/625.xlsx", "625.xlsx")</f>
        <v>625.xlsx</v>
      </c>
      <c r="B627" s="2">
        <v>625</v>
      </c>
      <c r="C627" t="s">
        <v>14</v>
      </c>
      <c r="D627" t="s">
        <v>322</v>
      </c>
      <c r="E627" t="s">
        <v>147</v>
      </c>
    </row>
    <row r="628" spans="1:5" x14ac:dyDescent="0.25">
      <c r="A628" s="2" t="str">
        <f>HYPERLINK("spreadsheet/626.xlsx", "626.xlsx")</f>
        <v>626.xlsx</v>
      </c>
      <c r="B628" s="2">
        <v>626</v>
      </c>
      <c r="C628" t="s">
        <v>15</v>
      </c>
      <c r="D628" t="s">
        <v>322</v>
      </c>
      <c r="E628" t="s">
        <v>147</v>
      </c>
    </row>
    <row r="629" spans="1:5" x14ac:dyDescent="0.25">
      <c r="A629" s="2" t="str">
        <f>HYPERLINK("spreadsheet/627.xlsx", "627.xlsx")</f>
        <v>627.xlsx</v>
      </c>
      <c r="B629" s="2">
        <v>627</v>
      </c>
      <c r="C629" t="s">
        <v>22</v>
      </c>
      <c r="D629" t="s">
        <v>322</v>
      </c>
      <c r="E629" t="s">
        <v>147</v>
      </c>
    </row>
    <row r="630" spans="1:5" x14ac:dyDescent="0.25">
      <c r="A630" s="2" t="s">
        <v>323</v>
      </c>
      <c r="B630" s="2">
        <v>628</v>
      </c>
      <c r="C630" t="s">
        <v>24</v>
      </c>
      <c r="D630" t="s">
        <v>322</v>
      </c>
      <c r="E630" t="s">
        <v>147</v>
      </c>
    </row>
    <row r="631" spans="1:5" x14ac:dyDescent="0.25">
      <c r="A631" s="2" t="str">
        <f>HYPERLINK("spreadsheet/629.xlsx", "629.xlsx")</f>
        <v>629.xlsx</v>
      </c>
      <c r="B631" s="2">
        <v>629</v>
      </c>
      <c r="C631" t="s">
        <v>5</v>
      </c>
      <c r="D631" t="s">
        <v>324</v>
      </c>
      <c r="E631" t="s">
        <v>115</v>
      </c>
    </row>
    <row r="632" spans="1:5" x14ac:dyDescent="0.25">
      <c r="A632" s="2" t="str">
        <f>HYPERLINK("spreadsheet/630.xlsx", "630.xlsx")</f>
        <v>630.xlsx</v>
      </c>
      <c r="B632" s="2">
        <v>630</v>
      </c>
      <c r="C632" t="s">
        <v>10</v>
      </c>
      <c r="D632" t="s">
        <v>324</v>
      </c>
      <c r="E632" t="s">
        <v>115</v>
      </c>
    </row>
    <row r="633" spans="1:5" x14ac:dyDescent="0.25">
      <c r="A633" s="2" t="str">
        <f>HYPERLINK("spreadsheet/631.xlsx", "631.xlsx")</f>
        <v>631.xlsx</v>
      </c>
      <c r="B633" s="2">
        <v>631</v>
      </c>
      <c r="C633" t="s">
        <v>14</v>
      </c>
      <c r="D633" t="s">
        <v>324</v>
      </c>
      <c r="E633" t="s">
        <v>115</v>
      </c>
    </row>
    <row r="634" spans="1:5" x14ac:dyDescent="0.25">
      <c r="A634" s="2" t="str">
        <f>HYPERLINK("spreadsheet/632.xlsx", "632.xlsx")</f>
        <v>632.xlsx</v>
      </c>
      <c r="B634" s="2">
        <v>632</v>
      </c>
      <c r="C634" t="s">
        <v>5</v>
      </c>
      <c r="D634" t="s">
        <v>325</v>
      </c>
      <c r="E634" t="s">
        <v>115</v>
      </c>
    </row>
    <row r="635" spans="1:5" x14ac:dyDescent="0.25">
      <c r="A635" s="2" t="str">
        <f>HYPERLINK("spreadsheet/633.xlsx", "633.xlsx")</f>
        <v>633.xlsx</v>
      </c>
      <c r="B635" s="2">
        <v>633</v>
      </c>
      <c r="C635" t="s">
        <v>10</v>
      </c>
      <c r="D635" t="s">
        <v>325</v>
      </c>
      <c r="E635" t="s">
        <v>115</v>
      </c>
    </row>
    <row r="636" spans="1:5" x14ac:dyDescent="0.25">
      <c r="A636" s="2" t="s">
        <v>326</v>
      </c>
      <c r="B636" s="2">
        <v>634</v>
      </c>
      <c r="C636" t="s">
        <v>14</v>
      </c>
      <c r="D636" t="s">
        <v>325</v>
      </c>
      <c r="E636" t="s">
        <v>115</v>
      </c>
    </row>
    <row r="637" spans="1:5" x14ac:dyDescent="0.25">
      <c r="A637" s="2" t="s">
        <v>327</v>
      </c>
      <c r="B637" s="2">
        <v>635</v>
      </c>
      <c r="C637" t="s">
        <v>15</v>
      </c>
      <c r="D637" t="s">
        <v>325</v>
      </c>
      <c r="E637" t="s">
        <v>115</v>
      </c>
    </row>
    <row r="638" spans="1:5" x14ac:dyDescent="0.25">
      <c r="A638" s="2" t="s">
        <v>328</v>
      </c>
      <c r="B638" s="2">
        <v>636</v>
      </c>
      <c r="C638" t="s">
        <v>22</v>
      </c>
      <c r="D638" t="s">
        <v>325</v>
      </c>
      <c r="E638" t="s">
        <v>115</v>
      </c>
    </row>
    <row r="639" spans="1:5" x14ac:dyDescent="0.25">
      <c r="A639" s="2" t="str">
        <f>HYPERLINK("spreadsheet/637.xlsx", "637.xlsx")</f>
        <v>637.xlsx</v>
      </c>
      <c r="B639" s="2">
        <v>637</v>
      </c>
      <c r="C639" t="s">
        <v>5</v>
      </c>
      <c r="D639" t="s">
        <v>329</v>
      </c>
      <c r="E639" t="s">
        <v>164</v>
      </c>
    </row>
    <row r="640" spans="1:5" x14ac:dyDescent="0.25">
      <c r="A640" s="2" t="s">
        <v>330</v>
      </c>
      <c r="B640" s="2">
        <v>638</v>
      </c>
      <c r="C640" t="s">
        <v>5</v>
      </c>
      <c r="D640" t="s">
        <v>331</v>
      </c>
      <c r="E640" t="s">
        <v>332</v>
      </c>
    </row>
    <row r="641" spans="1:5" x14ac:dyDescent="0.25">
      <c r="A641" s="2" t="str">
        <f>HYPERLINK("spreadsheet/639.xlsx", "639.xlsx")</f>
        <v>639.xlsx</v>
      </c>
      <c r="B641" s="2">
        <v>639</v>
      </c>
      <c r="C641" t="s">
        <v>10</v>
      </c>
      <c r="D641" t="s">
        <v>331</v>
      </c>
      <c r="E641" t="s">
        <v>332</v>
      </c>
    </row>
    <row r="642" spans="1:5" x14ac:dyDescent="0.25">
      <c r="A642" s="2" t="str">
        <f>HYPERLINK("spreadsheet/640.xlsx", "640.xlsx")</f>
        <v>640.xlsx</v>
      </c>
      <c r="B642" s="2">
        <v>640</v>
      </c>
      <c r="C642" t="s">
        <v>5</v>
      </c>
      <c r="D642" t="s">
        <v>333</v>
      </c>
      <c r="E642" t="s">
        <v>126</v>
      </c>
    </row>
    <row r="643" spans="1:5" x14ac:dyDescent="0.25">
      <c r="A643" s="2" t="str">
        <f>HYPERLINK("spreadsheet/641.xlsx", "641.xlsx")</f>
        <v>641.xlsx</v>
      </c>
      <c r="B643" s="2">
        <v>641</v>
      </c>
      <c r="C643" t="s">
        <v>10</v>
      </c>
      <c r="D643" t="s">
        <v>333</v>
      </c>
      <c r="E643" t="s">
        <v>126</v>
      </c>
    </row>
    <row r="644" spans="1:5" x14ac:dyDescent="0.25">
      <c r="A644" s="2" t="s">
        <v>334</v>
      </c>
      <c r="B644" s="2">
        <v>642</v>
      </c>
      <c r="C644" t="s">
        <v>14</v>
      </c>
      <c r="D644" t="s">
        <v>333</v>
      </c>
      <c r="E644" t="s">
        <v>126</v>
      </c>
    </row>
    <row r="645" spans="1:5" x14ac:dyDescent="0.25">
      <c r="A645" s="2" t="str">
        <f>HYPERLINK("spreadsheet/643.xlsx", "643.xlsx")</f>
        <v>643.xlsx</v>
      </c>
      <c r="B645" s="2">
        <v>643</v>
      </c>
      <c r="C645" t="s">
        <v>15</v>
      </c>
      <c r="D645" t="s">
        <v>333</v>
      </c>
      <c r="E645" t="s">
        <v>126</v>
      </c>
    </row>
    <row r="646" spans="1:5" x14ac:dyDescent="0.25">
      <c r="A646" s="2" t="str">
        <f>HYPERLINK("spreadsheet/644.xlsx", "644.xlsx")</f>
        <v>644.xlsx</v>
      </c>
      <c r="B646" s="2">
        <v>644</v>
      </c>
      <c r="C646" t="s">
        <v>22</v>
      </c>
      <c r="D646" t="s">
        <v>333</v>
      </c>
      <c r="E646" t="s">
        <v>126</v>
      </c>
    </row>
    <row r="647" spans="1:5" x14ac:dyDescent="0.25">
      <c r="A647" s="2" t="s">
        <v>335</v>
      </c>
      <c r="B647" s="2">
        <v>645</v>
      </c>
      <c r="C647" t="s">
        <v>60</v>
      </c>
      <c r="D647" t="s">
        <v>333</v>
      </c>
      <c r="E647" t="s">
        <v>126</v>
      </c>
    </row>
    <row r="648" spans="1:5" x14ac:dyDescent="0.25">
      <c r="A648" s="2" t="str">
        <f>HYPERLINK("spreadsheet/646.xlsx", "646.xlsx")</f>
        <v>646.xlsx</v>
      </c>
      <c r="B648" s="2">
        <v>646</v>
      </c>
      <c r="C648" t="s">
        <v>5</v>
      </c>
      <c r="D648" t="s">
        <v>336</v>
      </c>
      <c r="E648" t="s">
        <v>150</v>
      </c>
    </row>
    <row r="649" spans="1:5" x14ac:dyDescent="0.25">
      <c r="A649" s="2" t="str">
        <f>HYPERLINK("spreadsheet/647.xlsx", "647.xlsx")</f>
        <v>647.xlsx</v>
      </c>
      <c r="B649" s="2">
        <v>647</v>
      </c>
      <c r="C649" t="s">
        <v>10</v>
      </c>
      <c r="D649" t="s">
        <v>336</v>
      </c>
      <c r="E649" t="s">
        <v>150</v>
      </c>
    </row>
    <row r="650" spans="1:5" x14ac:dyDescent="0.25">
      <c r="A650" s="2" t="str">
        <f>HYPERLINK("spreadsheet/648.xlsx", "648.xlsx")</f>
        <v>648.xlsx</v>
      </c>
      <c r="B650" s="2">
        <v>648</v>
      </c>
      <c r="C650" t="s">
        <v>14</v>
      </c>
      <c r="D650" t="s">
        <v>336</v>
      </c>
      <c r="E650" t="s">
        <v>150</v>
      </c>
    </row>
    <row r="651" spans="1:5" x14ac:dyDescent="0.25">
      <c r="A651" s="2" t="str">
        <f>HYPERLINK("spreadsheet/649.xlsx", "649.xlsx")</f>
        <v>649.xlsx</v>
      </c>
      <c r="B651" s="2">
        <v>649</v>
      </c>
      <c r="C651" t="s">
        <v>15</v>
      </c>
      <c r="D651" t="s">
        <v>336</v>
      </c>
      <c r="E651" t="s">
        <v>150</v>
      </c>
    </row>
    <row r="652" spans="1:5" x14ac:dyDescent="0.25">
      <c r="A652" s="2" t="str">
        <f>HYPERLINK("spreadsheet/650.xlsx", "650.xlsx")</f>
        <v>650.xlsx</v>
      </c>
      <c r="B652" s="2">
        <v>650</v>
      </c>
      <c r="C652" t="s">
        <v>22</v>
      </c>
      <c r="D652" t="s">
        <v>336</v>
      </c>
      <c r="E652" t="s">
        <v>150</v>
      </c>
    </row>
    <row r="653" spans="1:5" x14ac:dyDescent="0.25">
      <c r="A653" s="2" t="str">
        <f>HYPERLINK("spreadsheet/651.xlsx", "651.xlsx")</f>
        <v>651.xlsx</v>
      </c>
      <c r="B653" s="2">
        <v>651</v>
      </c>
      <c r="C653" t="s">
        <v>5</v>
      </c>
      <c r="D653" t="s">
        <v>337</v>
      </c>
      <c r="E653" t="s">
        <v>338</v>
      </c>
    </row>
    <row r="654" spans="1:5" x14ac:dyDescent="0.25">
      <c r="A654" s="2" t="str">
        <f>HYPERLINK("spreadsheet/652.xlsx", "652.xlsx")</f>
        <v>652.xlsx</v>
      </c>
      <c r="B654" s="2">
        <v>652</v>
      </c>
      <c r="C654" t="s">
        <v>5</v>
      </c>
      <c r="D654" t="s">
        <v>339</v>
      </c>
      <c r="E654" t="s">
        <v>160</v>
      </c>
    </row>
    <row r="655" spans="1:5" x14ac:dyDescent="0.25">
      <c r="A655" s="2" t="str">
        <f>HYPERLINK("spreadsheet/653.xlsx", "653.xlsx")</f>
        <v>653.xlsx</v>
      </c>
      <c r="B655" s="2">
        <v>653</v>
      </c>
      <c r="C655" t="s">
        <v>10</v>
      </c>
      <c r="D655" t="s">
        <v>339</v>
      </c>
      <c r="E655" t="s">
        <v>160</v>
      </c>
    </row>
    <row r="656" spans="1:5" x14ac:dyDescent="0.25">
      <c r="A656" s="2" t="s">
        <v>340</v>
      </c>
      <c r="B656" s="2">
        <v>654</v>
      </c>
      <c r="C656" t="s">
        <v>5</v>
      </c>
      <c r="D656" t="s">
        <v>341</v>
      </c>
      <c r="E656" t="s">
        <v>150</v>
      </c>
    </row>
    <row r="657" spans="1:5" x14ac:dyDescent="0.25">
      <c r="A657" s="2" t="str">
        <f>HYPERLINK("spreadsheet/655.xlsx", "655.xlsx")</f>
        <v>655.xlsx</v>
      </c>
      <c r="B657" s="2">
        <v>655</v>
      </c>
      <c r="C657" t="s">
        <v>10</v>
      </c>
      <c r="D657" t="s">
        <v>341</v>
      </c>
      <c r="E657" t="s">
        <v>150</v>
      </c>
    </row>
    <row r="658" spans="1:5" x14ac:dyDescent="0.25">
      <c r="A658" s="2" t="s">
        <v>342</v>
      </c>
      <c r="B658" s="2">
        <v>656</v>
      </c>
      <c r="C658" t="s">
        <v>14</v>
      </c>
      <c r="D658" t="s">
        <v>341</v>
      </c>
      <c r="E658" t="s">
        <v>150</v>
      </c>
    </row>
    <row r="659" spans="1:5" x14ac:dyDescent="0.25">
      <c r="A659" s="2" t="str">
        <f>HYPERLINK("spreadsheet/657.xlsx", "657.xlsx")</f>
        <v>657.xlsx</v>
      </c>
      <c r="B659" s="2">
        <v>657</v>
      </c>
      <c r="C659" t="s">
        <v>15</v>
      </c>
      <c r="D659" t="s">
        <v>341</v>
      </c>
      <c r="E659" t="s">
        <v>150</v>
      </c>
    </row>
    <row r="660" spans="1:5" x14ac:dyDescent="0.25">
      <c r="A660" s="2" t="s">
        <v>343</v>
      </c>
      <c r="B660" s="2">
        <v>658</v>
      </c>
      <c r="C660" t="s">
        <v>5</v>
      </c>
      <c r="D660" t="s">
        <v>344</v>
      </c>
      <c r="E660" t="s">
        <v>120</v>
      </c>
    </row>
    <row r="661" spans="1:5" x14ac:dyDescent="0.25">
      <c r="A661" s="2" t="s">
        <v>345</v>
      </c>
      <c r="B661" s="2">
        <v>659</v>
      </c>
      <c r="C661" t="s">
        <v>10</v>
      </c>
      <c r="D661" t="s">
        <v>344</v>
      </c>
      <c r="E661" t="s">
        <v>120</v>
      </c>
    </row>
    <row r="662" spans="1:5" x14ac:dyDescent="0.25">
      <c r="A662" s="2" t="str">
        <f>HYPERLINK("spreadsheet/660.xlsx", "660.xlsx")</f>
        <v>660.xlsx</v>
      </c>
      <c r="B662" s="2">
        <v>660</v>
      </c>
      <c r="C662" t="s">
        <v>10</v>
      </c>
      <c r="D662" t="s">
        <v>346</v>
      </c>
      <c r="E662" t="s">
        <v>150</v>
      </c>
    </row>
    <row r="663" spans="1:5" x14ac:dyDescent="0.25">
      <c r="A663" s="2" t="str">
        <f>HYPERLINK("spreadsheet/661.xlsx", "661.xlsx")</f>
        <v>661.xlsx</v>
      </c>
      <c r="B663" s="2">
        <v>661</v>
      </c>
      <c r="C663" t="s">
        <v>14</v>
      </c>
      <c r="D663" t="s">
        <v>346</v>
      </c>
      <c r="E663" t="s">
        <v>150</v>
      </c>
    </row>
    <row r="664" spans="1:5" x14ac:dyDescent="0.25">
      <c r="A664" s="2" t="str">
        <f>HYPERLINK("spreadsheet/662.xlsx", "662.xlsx")</f>
        <v>662.xlsx</v>
      </c>
      <c r="B664" s="2">
        <v>662</v>
      </c>
      <c r="C664" t="s">
        <v>15</v>
      </c>
      <c r="D664" t="s">
        <v>346</v>
      </c>
      <c r="E664" t="s">
        <v>150</v>
      </c>
    </row>
    <row r="665" spans="1:5" x14ac:dyDescent="0.25">
      <c r="A665" s="2" t="str">
        <f>HYPERLINK("spreadsheet/663.xlsx", "663.xlsx")</f>
        <v>663.xlsx</v>
      </c>
      <c r="B665" s="2">
        <v>663</v>
      </c>
      <c r="C665" t="s">
        <v>22</v>
      </c>
      <c r="D665" t="s">
        <v>346</v>
      </c>
      <c r="E665" t="s">
        <v>150</v>
      </c>
    </row>
    <row r="666" spans="1:5" x14ac:dyDescent="0.25">
      <c r="A666" s="2" t="str">
        <f>HYPERLINK("spreadsheet/664.xlsx", "664.xlsx")</f>
        <v>664.xlsx</v>
      </c>
      <c r="B666" s="2">
        <v>664</v>
      </c>
      <c r="C666" t="s">
        <v>24</v>
      </c>
      <c r="D666" t="s">
        <v>346</v>
      </c>
      <c r="E666" t="s">
        <v>150</v>
      </c>
    </row>
    <row r="667" spans="1:5" x14ac:dyDescent="0.25">
      <c r="A667" s="2" t="str">
        <f>HYPERLINK("spreadsheet/665.xlsx", "665.xlsx")</f>
        <v>665.xlsx</v>
      </c>
      <c r="B667" s="2">
        <v>665</v>
      </c>
      <c r="C667" t="s">
        <v>44</v>
      </c>
      <c r="D667" t="s">
        <v>346</v>
      </c>
      <c r="E667" t="s">
        <v>150</v>
      </c>
    </row>
    <row r="668" spans="1:5" x14ac:dyDescent="0.25">
      <c r="A668" s="2" t="str">
        <f>HYPERLINK("spreadsheet/666.xlsx", "666.xlsx")</f>
        <v>666.xlsx</v>
      </c>
      <c r="B668" s="2">
        <v>666</v>
      </c>
      <c r="C668" t="s">
        <v>5</v>
      </c>
      <c r="D668" t="s">
        <v>347</v>
      </c>
      <c r="E668" t="s">
        <v>134</v>
      </c>
    </row>
    <row r="669" spans="1:5" x14ac:dyDescent="0.25">
      <c r="A669" s="2" t="str">
        <f>HYPERLINK("spreadsheet/667.xlsx", "667.xlsx")</f>
        <v>667.xlsx</v>
      </c>
      <c r="B669" s="2">
        <v>667</v>
      </c>
      <c r="C669" t="s">
        <v>14</v>
      </c>
      <c r="D669" t="s">
        <v>347</v>
      </c>
      <c r="E669" t="s">
        <v>134</v>
      </c>
    </row>
    <row r="670" spans="1:5" x14ac:dyDescent="0.25">
      <c r="A670" s="2" t="str">
        <f>HYPERLINK("spreadsheet/668.xlsx", "668.xlsx")</f>
        <v>668.xlsx</v>
      </c>
      <c r="B670" s="2">
        <v>668</v>
      </c>
      <c r="C670" t="s">
        <v>15</v>
      </c>
      <c r="D670" t="s">
        <v>347</v>
      </c>
      <c r="E670" t="s">
        <v>134</v>
      </c>
    </row>
    <row r="671" spans="1:5" x14ac:dyDescent="0.25">
      <c r="A671" s="2" t="str">
        <f>HYPERLINK("spreadsheet/669.xlsx", "669.xlsx")</f>
        <v>669.xlsx</v>
      </c>
      <c r="B671" s="2">
        <v>669</v>
      </c>
      <c r="C671" t="s">
        <v>22</v>
      </c>
      <c r="D671" t="s">
        <v>347</v>
      </c>
      <c r="E671" t="s">
        <v>134</v>
      </c>
    </row>
    <row r="672" spans="1:5" x14ac:dyDescent="0.25">
      <c r="A672" s="2" t="str">
        <f>HYPERLINK("spreadsheet/670.xlsx", "670.xlsx")</f>
        <v>670.xlsx</v>
      </c>
      <c r="B672" s="2">
        <v>670</v>
      </c>
      <c r="C672" t="s">
        <v>60</v>
      </c>
      <c r="D672" t="s">
        <v>347</v>
      </c>
      <c r="E672" t="s">
        <v>134</v>
      </c>
    </row>
    <row r="673" spans="1:5" x14ac:dyDescent="0.25">
      <c r="A673" s="2" t="str">
        <f>HYPERLINK("spreadsheet/671.xlsx", "671.xlsx")</f>
        <v>671.xlsx</v>
      </c>
      <c r="B673" s="2">
        <v>671</v>
      </c>
      <c r="C673" t="s">
        <v>5</v>
      </c>
      <c r="D673" t="s">
        <v>348</v>
      </c>
      <c r="E673" t="s">
        <v>126</v>
      </c>
    </row>
    <row r="674" spans="1:5" x14ac:dyDescent="0.25">
      <c r="A674" s="2" t="s">
        <v>349</v>
      </c>
      <c r="B674" s="2">
        <v>672</v>
      </c>
      <c r="C674" t="s">
        <v>5</v>
      </c>
      <c r="D674" t="s">
        <v>350</v>
      </c>
      <c r="E674" t="s">
        <v>134</v>
      </c>
    </row>
    <row r="675" spans="1:5" x14ac:dyDescent="0.25">
      <c r="A675" s="2" t="str">
        <f>HYPERLINK("spreadsheet/673.xlsx", "673.xlsx")</f>
        <v>673.xlsx</v>
      </c>
      <c r="B675" s="2">
        <v>673</v>
      </c>
      <c r="C675" t="s">
        <v>5</v>
      </c>
      <c r="D675" t="s">
        <v>351</v>
      </c>
      <c r="E675" t="s">
        <v>173</v>
      </c>
    </row>
    <row r="676" spans="1:5" x14ac:dyDescent="0.25">
      <c r="A676" s="2" t="str">
        <f>HYPERLINK("spreadsheet/674.xlsx", "674.xlsx")</f>
        <v>674.xlsx</v>
      </c>
      <c r="B676" s="2">
        <v>674</v>
      </c>
      <c r="C676" t="s">
        <v>10</v>
      </c>
      <c r="D676" t="s">
        <v>351</v>
      </c>
      <c r="E676" t="s">
        <v>173</v>
      </c>
    </row>
    <row r="677" spans="1:5" x14ac:dyDescent="0.25">
      <c r="A677" s="2" t="str">
        <f>HYPERLINK("spreadsheet/675.xlsx", "675.xlsx")</f>
        <v>675.xlsx</v>
      </c>
      <c r="B677" s="2">
        <v>675</v>
      </c>
      <c r="C677" t="s">
        <v>14</v>
      </c>
      <c r="D677" t="s">
        <v>351</v>
      </c>
      <c r="E677" t="s">
        <v>173</v>
      </c>
    </row>
    <row r="678" spans="1:5" x14ac:dyDescent="0.25">
      <c r="A678" s="2" t="str">
        <f>HYPERLINK("spreadsheet/676.xlsx", "676.xlsx")</f>
        <v>676.xlsx</v>
      </c>
      <c r="B678" s="2">
        <v>676</v>
      </c>
      <c r="C678" t="s">
        <v>15</v>
      </c>
      <c r="D678" t="s">
        <v>351</v>
      </c>
      <c r="E678" t="s">
        <v>173</v>
      </c>
    </row>
    <row r="679" spans="1:5" x14ac:dyDescent="0.25">
      <c r="A679" s="2" t="s">
        <v>352</v>
      </c>
      <c r="B679" s="2">
        <v>677</v>
      </c>
      <c r="C679" t="s">
        <v>5</v>
      </c>
      <c r="D679" t="s">
        <v>353</v>
      </c>
      <c r="E679" t="s">
        <v>115</v>
      </c>
    </row>
    <row r="680" spans="1:5" x14ac:dyDescent="0.25">
      <c r="A680" s="2" t="str">
        <f>HYPERLINK("spreadsheet/678.xlsx", "678.xlsx")</f>
        <v>678.xlsx</v>
      </c>
      <c r="B680" s="2">
        <v>678</v>
      </c>
      <c r="C680" t="s">
        <v>10</v>
      </c>
      <c r="D680" t="s">
        <v>353</v>
      </c>
      <c r="E680" t="s">
        <v>115</v>
      </c>
    </row>
    <row r="681" spans="1:5" x14ac:dyDescent="0.25">
      <c r="A681" s="2" t="s">
        <v>354</v>
      </c>
      <c r="B681" s="2">
        <v>679</v>
      </c>
      <c r="C681" t="s">
        <v>14</v>
      </c>
      <c r="D681" t="s">
        <v>353</v>
      </c>
      <c r="E681" t="s">
        <v>115</v>
      </c>
    </row>
    <row r="682" spans="1:5" x14ac:dyDescent="0.25">
      <c r="A682" s="2" t="s">
        <v>355</v>
      </c>
      <c r="B682" s="2">
        <v>680</v>
      </c>
      <c r="C682" t="s">
        <v>15</v>
      </c>
      <c r="D682" t="s">
        <v>353</v>
      </c>
      <c r="E682" t="s">
        <v>115</v>
      </c>
    </row>
    <row r="683" spans="1:5" x14ac:dyDescent="0.25">
      <c r="A683" s="2" t="str">
        <f>HYPERLINK("spreadsheet/681.xlsx", "681.xlsx")</f>
        <v>681.xlsx</v>
      </c>
      <c r="B683" s="2">
        <v>681</v>
      </c>
      <c r="C683" t="s">
        <v>22</v>
      </c>
      <c r="D683" t="s">
        <v>353</v>
      </c>
      <c r="E683" t="s">
        <v>115</v>
      </c>
    </row>
    <row r="684" spans="1:5" x14ac:dyDescent="0.25">
      <c r="A684" s="2" t="str">
        <f>HYPERLINK("spreadsheet/682.xlsx", "682.xlsx")</f>
        <v>682.xlsx</v>
      </c>
      <c r="B684" s="2">
        <v>682</v>
      </c>
      <c r="C684" t="s">
        <v>24</v>
      </c>
      <c r="D684" t="s">
        <v>353</v>
      </c>
      <c r="E684" t="s">
        <v>115</v>
      </c>
    </row>
    <row r="685" spans="1:5" x14ac:dyDescent="0.25">
      <c r="A685" s="2" t="str">
        <f>HYPERLINK("spreadsheet/683.xlsx", "683.xlsx")</f>
        <v>683.xlsx</v>
      </c>
      <c r="B685" s="2">
        <v>683</v>
      </c>
      <c r="C685" t="s">
        <v>60</v>
      </c>
      <c r="D685" t="s">
        <v>353</v>
      </c>
      <c r="E685" t="s">
        <v>115</v>
      </c>
    </row>
    <row r="686" spans="1:5" x14ac:dyDescent="0.25">
      <c r="A686" s="2" t="str">
        <f>HYPERLINK("spreadsheet/684.xlsx", "684.xlsx")</f>
        <v>684.xlsx</v>
      </c>
      <c r="B686" s="2">
        <v>684</v>
      </c>
      <c r="C686" t="s">
        <v>44</v>
      </c>
      <c r="D686" t="s">
        <v>353</v>
      </c>
      <c r="E686" t="s">
        <v>115</v>
      </c>
    </row>
    <row r="687" spans="1:5" x14ac:dyDescent="0.25">
      <c r="A687" s="2" t="str">
        <f>HYPERLINK("spreadsheet/685.xlsx", "685.xlsx")</f>
        <v>685.xlsx</v>
      </c>
      <c r="B687" s="2">
        <v>685</v>
      </c>
      <c r="C687" t="s">
        <v>45</v>
      </c>
      <c r="D687" t="s">
        <v>353</v>
      </c>
      <c r="E687" t="s">
        <v>115</v>
      </c>
    </row>
    <row r="688" spans="1:5" x14ac:dyDescent="0.25">
      <c r="A688" s="2" t="str">
        <f>HYPERLINK("spreadsheet/686.xlsx", "686.xlsx")</f>
        <v>686.xlsx</v>
      </c>
      <c r="B688" s="2">
        <v>686</v>
      </c>
      <c r="C688" t="s">
        <v>46</v>
      </c>
      <c r="D688" t="s">
        <v>353</v>
      </c>
      <c r="E688" t="s">
        <v>115</v>
      </c>
    </row>
    <row r="689" spans="1:5" x14ac:dyDescent="0.25">
      <c r="A689" s="2" t="str">
        <f>HYPERLINK("spreadsheet/687.xlsx", "687.xlsx")</f>
        <v>687.xlsx</v>
      </c>
      <c r="B689" s="2">
        <v>687</v>
      </c>
      <c r="C689" t="s">
        <v>47</v>
      </c>
      <c r="D689" t="s">
        <v>353</v>
      </c>
      <c r="E689" t="s">
        <v>115</v>
      </c>
    </row>
    <row r="690" spans="1:5" x14ac:dyDescent="0.25">
      <c r="A690" s="2" t="str">
        <f>HYPERLINK("spreadsheet/688.xlsx", "688.xlsx")</f>
        <v>688.xlsx</v>
      </c>
      <c r="B690" s="2">
        <v>688</v>
      </c>
      <c r="C690" t="s">
        <v>48</v>
      </c>
      <c r="D690" t="s">
        <v>353</v>
      </c>
      <c r="E690" t="s">
        <v>115</v>
      </c>
    </row>
    <row r="691" spans="1:5" x14ac:dyDescent="0.25">
      <c r="A691" s="2" t="str">
        <f>HYPERLINK("spreadsheet/689.xlsx", "689.xlsx")</f>
        <v>689.xlsx</v>
      </c>
      <c r="B691" s="2">
        <v>689</v>
      </c>
      <c r="C691" t="s">
        <v>5</v>
      </c>
      <c r="D691" t="s">
        <v>356</v>
      </c>
      <c r="E691" t="s">
        <v>332</v>
      </c>
    </row>
    <row r="692" spans="1:5" x14ac:dyDescent="0.25">
      <c r="A692" s="2" t="str">
        <f>HYPERLINK("spreadsheet/690.xlsx", "690.xlsx")</f>
        <v>690.xlsx</v>
      </c>
      <c r="B692" s="2">
        <v>690</v>
      </c>
      <c r="C692" t="s">
        <v>10</v>
      </c>
      <c r="D692" t="s">
        <v>356</v>
      </c>
      <c r="E692" t="s">
        <v>332</v>
      </c>
    </row>
    <row r="693" spans="1:5" x14ac:dyDescent="0.25">
      <c r="A693" s="2" t="str">
        <f>HYPERLINK("spreadsheet/691.xlsx", "691.xlsx")</f>
        <v>691.xlsx</v>
      </c>
      <c r="B693" s="2">
        <v>691</v>
      </c>
      <c r="C693" t="s">
        <v>14</v>
      </c>
      <c r="D693" t="s">
        <v>356</v>
      </c>
      <c r="E693" t="s">
        <v>332</v>
      </c>
    </row>
    <row r="694" spans="1:5" x14ac:dyDescent="0.25">
      <c r="A694" s="2" t="str">
        <f>HYPERLINK("spreadsheet/692.xlsx", "692.xlsx")</f>
        <v>692.xlsx</v>
      </c>
      <c r="B694" s="2">
        <v>692</v>
      </c>
      <c r="C694" t="s">
        <v>5</v>
      </c>
      <c r="D694" t="s">
        <v>357</v>
      </c>
      <c r="E694" t="s">
        <v>150</v>
      </c>
    </row>
    <row r="695" spans="1:5" x14ac:dyDescent="0.25">
      <c r="A695" s="2" t="str">
        <f>HYPERLINK("spreadsheet/693.xlsx", "693.xlsx")</f>
        <v>693.xlsx</v>
      </c>
      <c r="B695" s="2">
        <v>693</v>
      </c>
      <c r="C695" t="s">
        <v>10</v>
      </c>
      <c r="D695" t="s">
        <v>357</v>
      </c>
      <c r="E695" t="s">
        <v>150</v>
      </c>
    </row>
    <row r="696" spans="1:5" x14ac:dyDescent="0.25">
      <c r="A696" s="2" t="str">
        <f>HYPERLINK("spreadsheet/694.xlsx", "694.xlsx")</f>
        <v>694.xlsx</v>
      </c>
      <c r="B696" s="2">
        <v>694</v>
      </c>
      <c r="C696" t="s">
        <v>14</v>
      </c>
      <c r="D696" t="s">
        <v>357</v>
      </c>
      <c r="E696" t="s">
        <v>150</v>
      </c>
    </row>
    <row r="697" spans="1:5" x14ac:dyDescent="0.25">
      <c r="A697" s="2" t="str">
        <f>HYPERLINK("spreadsheet/695.xlsx", "695.xlsx")</f>
        <v>695.xlsx</v>
      </c>
      <c r="B697" s="2">
        <v>695</v>
      </c>
      <c r="C697" t="s">
        <v>5</v>
      </c>
      <c r="D697" t="s">
        <v>358</v>
      </c>
      <c r="E697" t="s">
        <v>173</v>
      </c>
    </row>
    <row r="698" spans="1:5" x14ac:dyDescent="0.25">
      <c r="A698" s="2" t="str">
        <f>HYPERLINK("spreadsheet/696.xlsx", "696.xlsx")</f>
        <v>696.xlsx</v>
      </c>
      <c r="B698" s="2">
        <v>696</v>
      </c>
      <c r="C698" t="s">
        <v>10</v>
      </c>
      <c r="D698" t="s">
        <v>358</v>
      </c>
      <c r="E698" t="s">
        <v>173</v>
      </c>
    </row>
    <row r="699" spans="1:5" x14ac:dyDescent="0.25">
      <c r="A699" s="2" t="str">
        <f>HYPERLINK("spreadsheet/697.xlsx", "697.xlsx")</f>
        <v>697.xlsx</v>
      </c>
      <c r="B699" s="2">
        <v>697</v>
      </c>
      <c r="C699" t="s">
        <v>5</v>
      </c>
      <c r="D699" t="s">
        <v>359</v>
      </c>
      <c r="E699" t="s">
        <v>173</v>
      </c>
    </row>
    <row r="700" spans="1:5" x14ac:dyDescent="0.25">
      <c r="A700" s="2" t="str">
        <f>HYPERLINK("spreadsheet/698.xlsx", "698.xlsx")</f>
        <v>698.xlsx</v>
      </c>
      <c r="B700" s="2">
        <v>698</v>
      </c>
      <c r="C700" t="s">
        <v>360</v>
      </c>
      <c r="D700" t="s">
        <v>359</v>
      </c>
      <c r="E700" t="s">
        <v>173</v>
      </c>
    </row>
    <row r="701" spans="1:5" x14ac:dyDescent="0.25">
      <c r="A701" s="2" t="str">
        <f>HYPERLINK("spreadsheet/699.xlsx", "699.xlsx")</f>
        <v>699.xlsx</v>
      </c>
      <c r="B701" s="2">
        <v>699</v>
      </c>
      <c r="C701" t="s">
        <v>361</v>
      </c>
      <c r="D701" t="s">
        <v>359</v>
      </c>
      <c r="E701" t="s">
        <v>173</v>
      </c>
    </row>
    <row r="702" spans="1:5" x14ac:dyDescent="0.25">
      <c r="A702" s="2" t="s">
        <v>362</v>
      </c>
      <c r="B702" s="2">
        <v>700</v>
      </c>
      <c r="C702" t="s">
        <v>14</v>
      </c>
      <c r="D702" t="s">
        <v>359</v>
      </c>
      <c r="E702" t="s">
        <v>173</v>
      </c>
    </row>
    <row r="703" spans="1:5" x14ac:dyDescent="0.25">
      <c r="A703" s="2" t="str">
        <f>HYPERLINK("spreadsheet/701.xlsx", "701.xlsx")</f>
        <v>701.xlsx</v>
      </c>
      <c r="B703" s="2">
        <v>701</v>
      </c>
      <c r="C703" t="s">
        <v>22</v>
      </c>
      <c r="D703" t="s">
        <v>359</v>
      </c>
      <c r="E703" t="s">
        <v>173</v>
      </c>
    </row>
    <row r="704" spans="1:5" x14ac:dyDescent="0.25">
      <c r="A704" s="2" t="str">
        <f>HYPERLINK("spreadsheet/702.xlsx", "702.xlsx")</f>
        <v>702.xlsx</v>
      </c>
      <c r="B704" s="2">
        <v>702</v>
      </c>
      <c r="C704" t="s">
        <v>5</v>
      </c>
      <c r="D704" t="s">
        <v>363</v>
      </c>
      <c r="E704" t="s">
        <v>115</v>
      </c>
    </row>
    <row r="705" spans="1:5" x14ac:dyDescent="0.25">
      <c r="A705" s="2" t="str">
        <f>HYPERLINK("spreadsheet/703.xlsx", "703.xlsx")</f>
        <v>703.xlsx</v>
      </c>
      <c r="B705" s="2">
        <v>703</v>
      </c>
      <c r="C705" t="s">
        <v>10</v>
      </c>
      <c r="D705" t="s">
        <v>363</v>
      </c>
      <c r="E705" t="s">
        <v>115</v>
      </c>
    </row>
    <row r="706" spans="1:5" x14ac:dyDescent="0.25">
      <c r="A706" s="2" t="s">
        <v>364</v>
      </c>
      <c r="B706" s="2">
        <v>704</v>
      </c>
      <c r="C706" t="s">
        <v>5</v>
      </c>
      <c r="D706" t="s">
        <v>365</v>
      </c>
      <c r="E706" t="s">
        <v>288</v>
      </c>
    </row>
    <row r="707" spans="1:5" x14ac:dyDescent="0.25">
      <c r="A707" s="2" t="str">
        <f>HYPERLINK("spreadsheet/705.xlsx", "705.xlsx")</f>
        <v>705.xlsx</v>
      </c>
      <c r="B707" s="2">
        <v>705</v>
      </c>
      <c r="C707" t="s">
        <v>10</v>
      </c>
      <c r="D707" t="s">
        <v>365</v>
      </c>
      <c r="E707" t="s">
        <v>288</v>
      </c>
    </row>
    <row r="708" spans="1:5" x14ac:dyDescent="0.25">
      <c r="A708" s="2" t="str">
        <f>HYPERLINK("spreadsheet/706.xlsx", "706.xlsx")</f>
        <v>706.xlsx</v>
      </c>
      <c r="B708" s="2">
        <v>706</v>
      </c>
      <c r="C708" t="s">
        <v>5</v>
      </c>
      <c r="D708" t="s">
        <v>366</v>
      </c>
      <c r="E708" t="s">
        <v>115</v>
      </c>
    </row>
    <row r="709" spans="1:5" x14ac:dyDescent="0.25">
      <c r="A709" s="2" t="str">
        <f>HYPERLINK("spreadsheet/707.xlsx", "707.xlsx")</f>
        <v>707.xlsx</v>
      </c>
      <c r="B709" s="2">
        <v>707</v>
      </c>
      <c r="C709" t="s">
        <v>10</v>
      </c>
      <c r="D709" t="s">
        <v>366</v>
      </c>
      <c r="E709" t="s">
        <v>115</v>
      </c>
    </row>
    <row r="710" spans="1:5" x14ac:dyDescent="0.25">
      <c r="A710" s="2" t="str">
        <f>HYPERLINK("spreadsheet/708.xlsx", "708.xlsx")</f>
        <v>708.xlsx</v>
      </c>
      <c r="B710" s="2">
        <v>708</v>
      </c>
      <c r="C710" t="s">
        <v>14</v>
      </c>
      <c r="D710" t="s">
        <v>366</v>
      </c>
      <c r="E710" t="s">
        <v>115</v>
      </c>
    </row>
    <row r="711" spans="1:5" x14ac:dyDescent="0.25">
      <c r="A711" s="2" t="str">
        <f>HYPERLINK("spreadsheet/709.xlsx", "709.xlsx")</f>
        <v>709.xlsx</v>
      </c>
      <c r="B711" s="2">
        <v>709</v>
      </c>
      <c r="C711" t="s">
        <v>15</v>
      </c>
      <c r="D711" t="s">
        <v>366</v>
      </c>
      <c r="E711" t="s">
        <v>115</v>
      </c>
    </row>
    <row r="712" spans="1:5" x14ac:dyDescent="0.25">
      <c r="A712" s="2" t="str">
        <f>HYPERLINK("spreadsheet/710.xlsx", "710.xlsx")</f>
        <v>710.xlsx</v>
      </c>
      <c r="B712" s="2">
        <v>710</v>
      </c>
      <c r="C712" t="s">
        <v>22</v>
      </c>
      <c r="D712" t="s">
        <v>366</v>
      </c>
      <c r="E712" t="s">
        <v>115</v>
      </c>
    </row>
    <row r="713" spans="1:5" x14ac:dyDescent="0.25">
      <c r="A713" s="2" t="str">
        <f>HYPERLINK("spreadsheet/711.xlsx", "711.xlsx")</f>
        <v>711.xlsx</v>
      </c>
      <c r="B713" s="2">
        <v>711</v>
      </c>
      <c r="C713" t="s">
        <v>5</v>
      </c>
      <c r="D713" t="s">
        <v>367</v>
      </c>
      <c r="E713" t="s">
        <v>126</v>
      </c>
    </row>
    <row r="714" spans="1:5" x14ac:dyDescent="0.25">
      <c r="A714" s="2" t="str">
        <f>HYPERLINK("spreadsheet/712.xlsx", "712.xlsx")</f>
        <v>712.xlsx</v>
      </c>
      <c r="B714" s="2">
        <v>712</v>
      </c>
      <c r="C714" t="s">
        <v>5</v>
      </c>
      <c r="D714" t="s">
        <v>368</v>
      </c>
      <c r="E714" t="s">
        <v>134</v>
      </c>
    </row>
    <row r="715" spans="1:5" x14ac:dyDescent="0.25">
      <c r="A715" s="2" t="str">
        <f>HYPERLINK("spreadsheet/713.xlsx", "713.xlsx")</f>
        <v>713.xlsx</v>
      </c>
      <c r="B715" s="2">
        <v>713</v>
      </c>
      <c r="C715" t="s">
        <v>10</v>
      </c>
      <c r="D715" t="s">
        <v>368</v>
      </c>
      <c r="E715" t="s">
        <v>134</v>
      </c>
    </row>
    <row r="716" spans="1:5" x14ac:dyDescent="0.25">
      <c r="A716" s="2" t="str">
        <f>HYPERLINK("spreadsheet/714.xlsx", "714.xlsx")</f>
        <v>714.xlsx</v>
      </c>
      <c r="B716" s="2">
        <v>714</v>
      </c>
      <c r="C716" t="s">
        <v>5</v>
      </c>
      <c r="D716" t="s">
        <v>369</v>
      </c>
      <c r="E716" t="s">
        <v>147</v>
      </c>
    </row>
    <row r="717" spans="1:5" x14ac:dyDescent="0.25">
      <c r="A717" s="2" t="str">
        <f>HYPERLINK("spreadsheet/715.xlsx", "715.xlsx")</f>
        <v>715.xlsx</v>
      </c>
      <c r="B717" s="2">
        <v>715</v>
      </c>
      <c r="C717" t="s">
        <v>10</v>
      </c>
      <c r="D717" t="s">
        <v>369</v>
      </c>
      <c r="E717" t="s">
        <v>147</v>
      </c>
    </row>
    <row r="718" spans="1:5" x14ac:dyDescent="0.25">
      <c r="A718" s="2" t="str">
        <f>HYPERLINK("spreadsheet/716.xlsx", "716.xlsx")</f>
        <v>716.xlsx</v>
      </c>
      <c r="B718" s="2">
        <v>716</v>
      </c>
      <c r="C718" t="s">
        <v>5</v>
      </c>
      <c r="D718" t="s">
        <v>370</v>
      </c>
      <c r="E718" t="s">
        <v>115</v>
      </c>
    </row>
    <row r="719" spans="1:5" x14ac:dyDescent="0.25">
      <c r="A719" s="2" t="str">
        <f>HYPERLINK("spreadsheet/717.xlsx", "717.xlsx")</f>
        <v>717.xlsx</v>
      </c>
      <c r="B719" s="2">
        <v>717</v>
      </c>
      <c r="C719" t="s">
        <v>10</v>
      </c>
      <c r="D719" t="s">
        <v>370</v>
      </c>
      <c r="E719" t="s">
        <v>115</v>
      </c>
    </row>
    <row r="720" spans="1:5" x14ac:dyDescent="0.25">
      <c r="A720" s="2" t="s">
        <v>371</v>
      </c>
      <c r="B720" s="2">
        <v>718</v>
      </c>
      <c r="C720" t="s">
        <v>5</v>
      </c>
      <c r="D720" t="s">
        <v>372</v>
      </c>
      <c r="E720" t="s">
        <v>120</v>
      </c>
    </row>
    <row r="721" spans="1:5" x14ac:dyDescent="0.25">
      <c r="A721" s="2" t="s">
        <v>373</v>
      </c>
      <c r="B721" s="2">
        <v>719</v>
      </c>
      <c r="C721" t="s">
        <v>10</v>
      </c>
      <c r="D721" t="s">
        <v>372</v>
      </c>
      <c r="E721" t="s">
        <v>120</v>
      </c>
    </row>
    <row r="722" spans="1:5" x14ac:dyDescent="0.25">
      <c r="A722" s="2" t="str">
        <f>HYPERLINK("spreadsheet/720.xlsx", "720.xlsx")</f>
        <v>720.xlsx</v>
      </c>
      <c r="B722" s="2">
        <v>720</v>
      </c>
      <c r="C722" t="s">
        <v>5</v>
      </c>
      <c r="D722" t="s">
        <v>374</v>
      </c>
      <c r="E722" t="s">
        <v>164</v>
      </c>
    </row>
    <row r="723" spans="1:5" x14ac:dyDescent="0.25">
      <c r="A723" s="2" t="s">
        <v>375</v>
      </c>
      <c r="B723" s="2">
        <v>721</v>
      </c>
      <c r="C723" t="s">
        <v>5</v>
      </c>
      <c r="D723" t="s">
        <v>376</v>
      </c>
      <c r="E723" t="s">
        <v>115</v>
      </c>
    </row>
    <row r="724" spans="1:5" x14ac:dyDescent="0.25">
      <c r="A724" s="2" t="str">
        <f>HYPERLINK("spreadsheet/722.xlsx", "722.xlsx")</f>
        <v>722.xlsx</v>
      </c>
      <c r="B724" s="2">
        <v>722</v>
      </c>
      <c r="C724" t="s">
        <v>10</v>
      </c>
      <c r="D724" t="s">
        <v>376</v>
      </c>
      <c r="E724" t="s">
        <v>115</v>
      </c>
    </row>
    <row r="725" spans="1:5" x14ac:dyDescent="0.25">
      <c r="A725" s="2" t="str">
        <f>HYPERLINK("spreadsheet/723.xlsx", "723.xlsx")</f>
        <v>723.xlsx</v>
      </c>
      <c r="B725" s="2">
        <v>723</v>
      </c>
      <c r="C725" t="s">
        <v>14</v>
      </c>
      <c r="D725" t="s">
        <v>376</v>
      </c>
      <c r="E725" t="s">
        <v>115</v>
      </c>
    </row>
    <row r="726" spans="1:5" x14ac:dyDescent="0.25">
      <c r="A726" s="2" t="str">
        <f>HYPERLINK("spreadsheet/724.xlsx", "724.xlsx")</f>
        <v>724.xlsx</v>
      </c>
      <c r="B726" s="2">
        <v>724</v>
      </c>
      <c r="C726" t="s">
        <v>5</v>
      </c>
      <c r="D726" t="s">
        <v>377</v>
      </c>
      <c r="E726" t="s">
        <v>115</v>
      </c>
    </row>
    <row r="727" spans="1:5" x14ac:dyDescent="0.25">
      <c r="A727" s="2" t="str">
        <f>HYPERLINK("spreadsheet/725.xlsx", "725.xlsx")</f>
        <v>725.xlsx</v>
      </c>
      <c r="B727" s="2">
        <v>725</v>
      </c>
      <c r="C727" t="s">
        <v>10</v>
      </c>
      <c r="D727" t="s">
        <v>377</v>
      </c>
      <c r="E727" t="s">
        <v>115</v>
      </c>
    </row>
    <row r="728" spans="1:5" x14ac:dyDescent="0.25">
      <c r="A728" s="2" t="str">
        <f>HYPERLINK("spreadsheet/726.xlsx", "726.xlsx")</f>
        <v>726.xlsx</v>
      </c>
      <c r="B728" s="2">
        <v>726</v>
      </c>
      <c r="C728" t="s">
        <v>14</v>
      </c>
      <c r="D728" t="s">
        <v>377</v>
      </c>
      <c r="E728" t="s">
        <v>115</v>
      </c>
    </row>
    <row r="729" spans="1:5" x14ac:dyDescent="0.25">
      <c r="A729" s="2" t="str">
        <f>HYPERLINK("spreadsheet/727.xlsx", "727.xlsx")</f>
        <v>727.xlsx</v>
      </c>
      <c r="B729" s="2">
        <v>727</v>
      </c>
      <c r="C729" t="s">
        <v>15</v>
      </c>
      <c r="D729" t="s">
        <v>377</v>
      </c>
      <c r="E729" t="s">
        <v>115</v>
      </c>
    </row>
    <row r="730" spans="1:5" x14ac:dyDescent="0.25">
      <c r="A730" s="2" t="str">
        <f>HYPERLINK("spreadsheet/728.xlsx", "728.xlsx")</f>
        <v>728.xlsx</v>
      </c>
      <c r="B730" s="2">
        <v>728</v>
      </c>
      <c r="C730" t="s">
        <v>22</v>
      </c>
      <c r="D730" t="s">
        <v>377</v>
      </c>
      <c r="E730" t="s">
        <v>115</v>
      </c>
    </row>
    <row r="731" spans="1:5" x14ac:dyDescent="0.25">
      <c r="A731" s="2" t="str">
        <f>HYPERLINK("spreadsheet/729.xlsx", "729.xlsx")</f>
        <v>729.xlsx</v>
      </c>
      <c r="B731" s="2">
        <v>729</v>
      </c>
      <c r="C731" t="s">
        <v>5</v>
      </c>
      <c r="D731" t="s">
        <v>378</v>
      </c>
      <c r="E731" t="s">
        <v>154</v>
      </c>
    </row>
    <row r="732" spans="1:5" x14ac:dyDescent="0.25">
      <c r="A732" s="2" t="s">
        <v>379</v>
      </c>
      <c r="B732" s="2">
        <v>730</v>
      </c>
      <c r="C732" t="s">
        <v>10</v>
      </c>
      <c r="D732" t="s">
        <v>378</v>
      </c>
      <c r="E732" t="s">
        <v>154</v>
      </c>
    </row>
    <row r="733" spans="1:5" x14ac:dyDescent="0.25">
      <c r="A733" s="2" t="str">
        <f>HYPERLINK("spreadsheet/731.xlsx", "731.xlsx")</f>
        <v>731.xlsx</v>
      </c>
      <c r="B733" s="2">
        <v>731</v>
      </c>
      <c r="C733" t="s">
        <v>14</v>
      </c>
      <c r="D733" t="s">
        <v>378</v>
      </c>
      <c r="E733" t="s">
        <v>154</v>
      </c>
    </row>
    <row r="734" spans="1:5" x14ac:dyDescent="0.25">
      <c r="A734" s="2" t="str">
        <f>HYPERLINK("spreadsheet/732.xlsx", "732.xlsx")</f>
        <v>732.xlsx</v>
      </c>
      <c r="B734" s="2">
        <v>732</v>
      </c>
      <c r="C734" t="s">
        <v>22</v>
      </c>
      <c r="D734" t="s">
        <v>378</v>
      </c>
      <c r="E734" t="s">
        <v>154</v>
      </c>
    </row>
    <row r="735" spans="1:5" x14ac:dyDescent="0.25">
      <c r="A735" s="2" t="str">
        <f>HYPERLINK("spreadsheet/733.xlsx", "733.xlsx")</f>
        <v>733.xlsx</v>
      </c>
      <c r="B735" s="2">
        <v>733</v>
      </c>
      <c r="C735" t="s">
        <v>5</v>
      </c>
      <c r="D735" t="s">
        <v>380</v>
      </c>
      <c r="E735" t="s">
        <v>115</v>
      </c>
    </row>
    <row r="736" spans="1:5" x14ac:dyDescent="0.25">
      <c r="A736" s="2" t="s">
        <v>381</v>
      </c>
      <c r="B736" s="2">
        <v>734</v>
      </c>
      <c r="C736" t="s">
        <v>10</v>
      </c>
      <c r="D736" t="s">
        <v>380</v>
      </c>
      <c r="E736" t="s">
        <v>115</v>
      </c>
    </row>
    <row r="737" spans="1:5" x14ac:dyDescent="0.25">
      <c r="A737" s="2" t="str">
        <f>HYPERLINK("spreadsheet/735.xlsx", "735.xlsx")</f>
        <v>735.xlsx</v>
      </c>
      <c r="B737" s="2">
        <v>735</v>
      </c>
      <c r="C737" t="s">
        <v>5</v>
      </c>
      <c r="D737" t="s">
        <v>382</v>
      </c>
      <c r="E737" t="s">
        <v>115</v>
      </c>
    </row>
    <row r="738" spans="1:5" x14ac:dyDescent="0.25">
      <c r="A738" s="2" t="s">
        <v>383</v>
      </c>
      <c r="B738" s="2">
        <v>736</v>
      </c>
      <c r="C738" t="s">
        <v>10</v>
      </c>
      <c r="D738" t="s">
        <v>382</v>
      </c>
      <c r="E738" t="s">
        <v>115</v>
      </c>
    </row>
    <row r="739" spans="1:5" x14ac:dyDescent="0.25">
      <c r="A739" s="2" t="str">
        <f>HYPERLINK("spreadsheet/737.xlsx", "737.xlsx")</f>
        <v>737.xlsx</v>
      </c>
      <c r="B739" s="2">
        <v>737</v>
      </c>
      <c r="C739" t="s">
        <v>5</v>
      </c>
      <c r="D739" t="s">
        <v>384</v>
      </c>
      <c r="E739" t="s">
        <v>150</v>
      </c>
    </row>
    <row r="740" spans="1:5" x14ac:dyDescent="0.25">
      <c r="A740" s="2" t="s">
        <v>385</v>
      </c>
      <c r="B740" s="2">
        <v>738</v>
      </c>
      <c r="C740" t="s">
        <v>10</v>
      </c>
      <c r="D740" t="s">
        <v>384</v>
      </c>
      <c r="E740" t="s">
        <v>150</v>
      </c>
    </row>
    <row r="741" spans="1:5" x14ac:dyDescent="0.25">
      <c r="A741" s="2" t="str">
        <f>HYPERLINK("spreadsheet/739.xlsx", "739.xlsx")</f>
        <v>739.xlsx</v>
      </c>
      <c r="B741" s="2">
        <v>739</v>
      </c>
      <c r="C741" t="s">
        <v>14</v>
      </c>
      <c r="D741" t="s">
        <v>384</v>
      </c>
      <c r="E741" t="s">
        <v>150</v>
      </c>
    </row>
    <row r="742" spans="1:5" x14ac:dyDescent="0.25">
      <c r="A742" s="2" t="str">
        <f>HYPERLINK("spreadsheet/740.xlsx", "740.xlsx")</f>
        <v>740.xlsx</v>
      </c>
      <c r="B742" s="2">
        <v>740</v>
      </c>
      <c r="C742" t="s">
        <v>15</v>
      </c>
      <c r="D742" t="s">
        <v>384</v>
      </c>
      <c r="E742" t="s">
        <v>150</v>
      </c>
    </row>
    <row r="743" spans="1:5" x14ac:dyDescent="0.25">
      <c r="A743" s="2" t="str">
        <f>HYPERLINK("spreadsheet/741.xlsx", "741.xlsx")</f>
        <v>741.xlsx</v>
      </c>
      <c r="B743" s="2">
        <v>741</v>
      </c>
      <c r="C743" t="s">
        <v>22</v>
      </c>
      <c r="D743" t="s">
        <v>384</v>
      </c>
      <c r="E743" t="s">
        <v>150</v>
      </c>
    </row>
    <row r="744" spans="1:5" x14ac:dyDescent="0.25">
      <c r="A744" s="2" t="str">
        <f>HYPERLINK("spreadsheet/742.xlsx", "742.xlsx")</f>
        <v>742.xlsx</v>
      </c>
      <c r="B744" s="2">
        <v>742</v>
      </c>
      <c r="C744" t="s">
        <v>24</v>
      </c>
      <c r="D744" t="s">
        <v>384</v>
      </c>
      <c r="E744" t="s">
        <v>150</v>
      </c>
    </row>
    <row r="745" spans="1:5" x14ac:dyDescent="0.25">
      <c r="A745" s="2" t="str">
        <f>HYPERLINK("spreadsheet/743.xlsx", "743.xlsx")</f>
        <v>743.xlsx</v>
      </c>
      <c r="B745" s="2">
        <v>743</v>
      </c>
      <c r="C745" t="s">
        <v>60</v>
      </c>
      <c r="D745" t="s">
        <v>384</v>
      </c>
      <c r="E745" t="s">
        <v>150</v>
      </c>
    </row>
    <row r="746" spans="1:5" x14ac:dyDescent="0.25">
      <c r="A746" s="2" t="str">
        <f>HYPERLINK("spreadsheet/744.xlsx", "744.xlsx")</f>
        <v>744.xlsx</v>
      </c>
      <c r="B746" s="2">
        <v>744</v>
      </c>
      <c r="C746" t="s">
        <v>44</v>
      </c>
      <c r="D746" t="s">
        <v>384</v>
      </c>
      <c r="E746" t="s">
        <v>150</v>
      </c>
    </row>
    <row r="747" spans="1:5" x14ac:dyDescent="0.25">
      <c r="A747" s="2" t="str">
        <f>HYPERLINK("spreadsheet/745.xlsx", "745.xlsx")</f>
        <v>745.xlsx</v>
      </c>
      <c r="B747" s="2">
        <v>745</v>
      </c>
      <c r="C747" t="s">
        <v>45</v>
      </c>
      <c r="D747" t="s">
        <v>384</v>
      </c>
      <c r="E747" t="s">
        <v>150</v>
      </c>
    </row>
    <row r="748" spans="1:5" x14ac:dyDescent="0.25">
      <c r="A748" s="2" t="str">
        <f>HYPERLINK("spreadsheet/746.xlsx", "746.xlsx")</f>
        <v>746.xlsx</v>
      </c>
      <c r="B748" s="2">
        <v>746</v>
      </c>
      <c r="C748" t="s">
        <v>5</v>
      </c>
      <c r="D748" t="s">
        <v>386</v>
      </c>
      <c r="E748" t="s">
        <v>134</v>
      </c>
    </row>
    <row r="749" spans="1:5" x14ac:dyDescent="0.25">
      <c r="A749" s="2" t="s">
        <v>387</v>
      </c>
      <c r="B749" s="2">
        <v>747</v>
      </c>
      <c r="C749" t="s">
        <v>10</v>
      </c>
      <c r="D749" t="s">
        <v>386</v>
      </c>
      <c r="E749" t="s">
        <v>134</v>
      </c>
    </row>
    <row r="750" spans="1:5" x14ac:dyDescent="0.25">
      <c r="A750" s="2" t="str">
        <f>HYPERLINK("spreadsheet/748.xlsx", "748.xlsx")</f>
        <v>748.xlsx</v>
      </c>
      <c r="B750" s="2">
        <v>748</v>
      </c>
      <c r="C750" t="s">
        <v>14</v>
      </c>
      <c r="D750" t="s">
        <v>386</v>
      </c>
      <c r="E750" t="s">
        <v>134</v>
      </c>
    </row>
    <row r="751" spans="1:5" x14ac:dyDescent="0.25">
      <c r="A751" s="2" t="str">
        <f>HYPERLINK("spreadsheet/749.xlsx", "749.xlsx")</f>
        <v>749.xlsx</v>
      </c>
      <c r="B751" s="2">
        <v>749</v>
      </c>
      <c r="C751" t="s">
        <v>15</v>
      </c>
      <c r="D751" t="s">
        <v>386</v>
      </c>
      <c r="E751" t="s">
        <v>134</v>
      </c>
    </row>
    <row r="752" spans="1:5" x14ac:dyDescent="0.25">
      <c r="A752" s="2" t="str">
        <f>HYPERLINK("spreadsheet/750.xlsx", "750.xlsx")</f>
        <v>750.xlsx</v>
      </c>
      <c r="B752" s="2">
        <v>750</v>
      </c>
      <c r="C752" t="s">
        <v>22</v>
      </c>
      <c r="D752" t="s">
        <v>386</v>
      </c>
      <c r="E752" t="s">
        <v>134</v>
      </c>
    </row>
    <row r="753" spans="1:5" x14ac:dyDescent="0.25">
      <c r="A753" s="2" t="str">
        <f>HYPERLINK("spreadsheet/751.xlsx", "751.xlsx")</f>
        <v>751.xlsx</v>
      </c>
      <c r="B753" s="2">
        <v>751</v>
      </c>
      <c r="C753" t="s">
        <v>24</v>
      </c>
      <c r="D753" t="s">
        <v>386</v>
      </c>
      <c r="E753" t="s">
        <v>134</v>
      </c>
    </row>
    <row r="754" spans="1:5" x14ac:dyDescent="0.25">
      <c r="A754" s="2" t="s">
        <v>388</v>
      </c>
      <c r="B754" s="2">
        <v>752</v>
      </c>
      <c r="C754" t="s">
        <v>60</v>
      </c>
      <c r="D754" t="s">
        <v>386</v>
      </c>
      <c r="E754" t="s">
        <v>134</v>
      </c>
    </row>
    <row r="755" spans="1:5" x14ac:dyDescent="0.25">
      <c r="A755" s="2" t="s">
        <v>389</v>
      </c>
      <c r="B755" s="2">
        <v>753</v>
      </c>
      <c r="C755" t="s">
        <v>44</v>
      </c>
      <c r="D755" t="s">
        <v>386</v>
      </c>
      <c r="E755" t="s">
        <v>134</v>
      </c>
    </row>
    <row r="756" spans="1:5" x14ac:dyDescent="0.25">
      <c r="A756" s="2" t="s">
        <v>390</v>
      </c>
      <c r="B756" s="2">
        <v>754</v>
      </c>
      <c r="C756" t="s">
        <v>45</v>
      </c>
      <c r="D756" t="s">
        <v>386</v>
      </c>
      <c r="E756" t="s">
        <v>134</v>
      </c>
    </row>
    <row r="757" spans="1:5" x14ac:dyDescent="0.25">
      <c r="A757" s="2" t="str">
        <f>HYPERLINK("spreadsheet/755.xlsx", "755.xlsx")</f>
        <v>755.xlsx</v>
      </c>
      <c r="B757" s="2">
        <v>755</v>
      </c>
      <c r="C757" t="s">
        <v>46</v>
      </c>
      <c r="D757" t="s">
        <v>386</v>
      </c>
      <c r="E757" t="s">
        <v>134</v>
      </c>
    </row>
    <row r="758" spans="1:5" x14ac:dyDescent="0.25">
      <c r="A758" s="2" t="s">
        <v>391</v>
      </c>
      <c r="B758" s="2">
        <v>756</v>
      </c>
      <c r="C758" t="s">
        <v>47</v>
      </c>
      <c r="D758" t="s">
        <v>386</v>
      </c>
      <c r="E758" t="s">
        <v>134</v>
      </c>
    </row>
    <row r="759" spans="1:5" x14ac:dyDescent="0.25">
      <c r="A759" s="2" t="s">
        <v>392</v>
      </c>
      <c r="B759" s="2">
        <v>757</v>
      </c>
      <c r="C759" t="s">
        <v>48</v>
      </c>
      <c r="D759" t="s">
        <v>386</v>
      </c>
      <c r="E759" t="s">
        <v>134</v>
      </c>
    </row>
    <row r="760" spans="1:5" x14ac:dyDescent="0.25">
      <c r="A760" s="2" t="str">
        <f>HYPERLINK("spreadsheet/758.xlsx", "758.xlsx")</f>
        <v>758.xlsx</v>
      </c>
      <c r="B760" s="2">
        <v>758</v>
      </c>
      <c r="C760" t="s">
        <v>49</v>
      </c>
      <c r="D760" t="s">
        <v>386</v>
      </c>
      <c r="E760" t="s">
        <v>134</v>
      </c>
    </row>
    <row r="761" spans="1:5" x14ac:dyDescent="0.25">
      <c r="A761" s="2" t="str">
        <f>HYPERLINK("spreadsheet/759.xlsx", "759.xlsx")</f>
        <v>759.xlsx</v>
      </c>
      <c r="B761" s="2">
        <v>759</v>
      </c>
      <c r="C761" t="s">
        <v>50</v>
      </c>
      <c r="D761" t="s">
        <v>386</v>
      </c>
      <c r="E761" t="s">
        <v>134</v>
      </c>
    </row>
    <row r="762" spans="1:5" x14ac:dyDescent="0.25">
      <c r="A762" s="2" t="str">
        <f>HYPERLINK("spreadsheet/760.xlsx", "760.xlsx")</f>
        <v>760.xlsx</v>
      </c>
      <c r="B762" s="2">
        <v>760</v>
      </c>
      <c r="C762" t="s">
        <v>51</v>
      </c>
      <c r="D762" t="s">
        <v>386</v>
      </c>
      <c r="E762" t="s">
        <v>134</v>
      </c>
    </row>
    <row r="763" spans="1:5" x14ac:dyDescent="0.25">
      <c r="A763" s="2" t="str">
        <f>HYPERLINK("spreadsheet/761.xlsx", "761.xlsx")</f>
        <v>761.xlsx</v>
      </c>
      <c r="B763" s="2">
        <v>761</v>
      </c>
      <c r="C763" t="s">
        <v>52</v>
      </c>
      <c r="D763" t="s">
        <v>386</v>
      </c>
      <c r="E763" t="s">
        <v>134</v>
      </c>
    </row>
    <row r="764" spans="1:5" x14ac:dyDescent="0.25">
      <c r="A764" s="2" t="str">
        <f>HYPERLINK("spreadsheet/762.xlsx", "762.xlsx")</f>
        <v>762.xlsx</v>
      </c>
      <c r="B764" s="2">
        <v>762</v>
      </c>
      <c r="C764" t="s">
        <v>53</v>
      </c>
      <c r="D764" t="s">
        <v>386</v>
      </c>
      <c r="E764" t="s">
        <v>134</v>
      </c>
    </row>
    <row r="765" spans="1:5" x14ac:dyDescent="0.25">
      <c r="A765" s="2" t="str">
        <f>HYPERLINK("spreadsheet/763.xlsx", "763.xlsx")</f>
        <v>763.xlsx</v>
      </c>
      <c r="B765" s="2">
        <v>763</v>
      </c>
      <c r="C765" t="s">
        <v>54</v>
      </c>
      <c r="D765" t="s">
        <v>386</v>
      </c>
      <c r="E765" t="s">
        <v>134</v>
      </c>
    </row>
    <row r="766" spans="1:5" x14ac:dyDescent="0.25">
      <c r="A766" s="2" t="str">
        <f>HYPERLINK("spreadsheet/764.xlsx", "764.xlsx")</f>
        <v>764.xlsx</v>
      </c>
      <c r="B766" s="2">
        <v>764</v>
      </c>
      <c r="C766" t="s">
        <v>55</v>
      </c>
      <c r="D766" t="s">
        <v>386</v>
      </c>
      <c r="E766" t="s">
        <v>134</v>
      </c>
    </row>
    <row r="767" spans="1:5" x14ac:dyDescent="0.25">
      <c r="A767" s="2" t="str">
        <f>HYPERLINK("spreadsheet/765.xlsx", "765.xlsx")</f>
        <v>765.xlsx</v>
      </c>
      <c r="B767" s="2">
        <v>765</v>
      </c>
      <c r="C767" t="s">
        <v>56</v>
      </c>
      <c r="D767" t="s">
        <v>386</v>
      </c>
      <c r="E767" t="s">
        <v>134</v>
      </c>
    </row>
    <row r="768" spans="1:5" x14ac:dyDescent="0.25">
      <c r="A768" s="2" t="str">
        <f>HYPERLINK("spreadsheet/766.xlsx", "766.xlsx")</f>
        <v>766.xlsx</v>
      </c>
      <c r="B768" s="2">
        <v>766</v>
      </c>
      <c r="C768" t="s">
        <v>57</v>
      </c>
      <c r="D768" t="s">
        <v>386</v>
      </c>
      <c r="E768" t="s">
        <v>134</v>
      </c>
    </row>
    <row r="769" spans="1:5" x14ac:dyDescent="0.25">
      <c r="A769" s="2" t="str">
        <f>HYPERLINK("spreadsheet/767.xlsx", "767.xlsx")</f>
        <v>767.xlsx</v>
      </c>
      <c r="B769" s="2">
        <v>767</v>
      </c>
      <c r="C769" t="s">
        <v>393</v>
      </c>
      <c r="D769" t="s">
        <v>386</v>
      </c>
      <c r="E769" t="s">
        <v>134</v>
      </c>
    </row>
    <row r="770" spans="1:5" x14ac:dyDescent="0.25">
      <c r="A770" s="2" t="str">
        <f>HYPERLINK("spreadsheet/768.xlsx", "768.xlsx")</f>
        <v>768.xlsx</v>
      </c>
      <c r="B770" s="2">
        <v>768</v>
      </c>
      <c r="C770" t="s">
        <v>300</v>
      </c>
      <c r="D770" t="s">
        <v>386</v>
      </c>
      <c r="E770" t="s">
        <v>134</v>
      </c>
    </row>
    <row r="771" spans="1:5" x14ac:dyDescent="0.25">
      <c r="A771" s="2" t="s">
        <v>394</v>
      </c>
      <c r="B771" s="2">
        <v>769</v>
      </c>
      <c r="C771" t="s">
        <v>301</v>
      </c>
      <c r="D771" t="s">
        <v>386</v>
      </c>
      <c r="E771" t="s">
        <v>134</v>
      </c>
    </row>
    <row r="772" spans="1:5" x14ac:dyDescent="0.25">
      <c r="A772" s="2" t="str">
        <f>HYPERLINK("spreadsheet/770.xlsx", "770.xlsx")</f>
        <v>770.xlsx</v>
      </c>
      <c r="B772" s="2">
        <v>770</v>
      </c>
      <c r="C772" t="s">
        <v>302</v>
      </c>
      <c r="D772" t="s">
        <v>386</v>
      </c>
      <c r="E772" t="s">
        <v>134</v>
      </c>
    </row>
    <row r="773" spans="1:5" x14ac:dyDescent="0.25">
      <c r="A773" s="2" t="str">
        <f>HYPERLINK("spreadsheet/771.xlsx", "771.xlsx")</f>
        <v>771.xlsx</v>
      </c>
      <c r="B773" s="2">
        <v>771</v>
      </c>
      <c r="C773" t="s">
        <v>303</v>
      </c>
      <c r="D773" t="s">
        <v>386</v>
      </c>
      <c r="E773" t="s">
        <v>134</v>
      </c>
    </row>
    <row r="774" spans="1:5" x14ac:dyDescent="0.25">
      <c r="A774" s="2" t="str">
        <f>HYPERLINK("spreadsheet/772.xlsx", "772.xlsx")</f>
        <v>772.xlsx</v>
      </c>
      <c r="B774" s="2">
        <v>772</v>
      </c>
      <c r="C774" t="s">
        <v>305</v>
      </c>
      <c r="D774" t="s">
        <v>386</v>
      </c>
      <c r="E774" t="s">
        <v>134</v>
      </c>
    </row>
    <row r="775" spans="1:5" x14ac:dyDescent="0.25">
      <c r="A775" s="2" t="s">
        <v>395</v>
      </c>
      <c r="B775" s="2">
        <v>773</v>
      </c>
      <c r="C775" t="s">
        <v>306</v>
      </c>
      <c r="D775" t="s">
        <v>386</v>
      </c>
      <c r="E775" t="s">
        <v>134</v>
      </c>
    </row>
    <row r="776" spans="1:5" x14ac:dyDescent="0.25">
      <c r="A776" s="2" t="s">
        <v>396</v>
      </c>
      <c r="B776" s="2">
        <v>774</v>
      </c>
      <c r="C776" t="s">
        <v>397</v>
      </c>
      <c r="D776" t="s">
        <v>386</v>
      </c>
      <c r="E776" t="s">
        <v>134</v>
      </c>
    </row>
    <row r="777" spans="1:5" x14ac:dyDescent="0.25">
      <c r="A777" s="2" t="str">
        <f>HYPERLINK("spreadsheet/775.xlsx", "775.xlsx")</f>
        <v>775.xlsx</v>
      </c>
      <c r="B777" s="2">
        <v>775</v>
      </c>
      <c r="C777" t="s">
        <v>398</v>
      </c>
      <c r="D777" t="s">
        <v>386</v>
      </c>
      <c r="E777" t="s">
        <v>134</v>
      </c>
    </row>
    <row r="778" spans="1:5" x14ac:dyDescent="0.25">
      <c r="A778" s="2" t="str">
        <f>HYPERLINK("spreadsheet/776.xlsx", "776.xlsx")</f>
        <v>776.xlsx</v>
      </c>
      <c r="B778" s="2">
        <v>776</v>
      </c>
      <c r="C778" t="s">
        <v>307</v>
      </c>
      <c r="D778" t="s">
        <v>386</v>
      </c>
      <c r="E778" t="s">
        <v>134</v>
      </c>
    </row>
    <row r="779" spans="1:5" x14ac:dyDescent="0.25">
      <c r="A779" s="2" t="s">
        <v>399</v>
      </c>
      <c r="B779" s="2">
        <v>777</v>
      </c>
      <c r="C779" t="s">
        <v>308</v>
      </c>
      <c r="D779" t="s">
        <v>386</v>
      </c>
      <c r="E779" t="s">
        <v>134</v>
      </c>
    </row>
    <row r="780" spans="1:5" x14ac:dyDescent="0.25">
      <c r="A780" s="2" t="s">
        <v>400</v>
      </c>
      <c r="B780" s="2">
        <v>778</v>
      </c>
      <c r="C780" t="s">
        <v>310</v>
      </c>
      <c r="D780" t="s">
        <v>386</v>
      </c>
      <c r="E780" t="s">
        <v>134</v>
      </c>
    </row>
    <row r="781" spans="1:5" x14ac:dyDescent="0.25">
      <c r="A781" s="2" t="s">
        <v>401</v>
      </c>
      <c r="B781" s="2">
        <v>779</v>
      </c>
      <c r="C781" t="s">
        <v>402</v>
      </c>
      <c r="D781" t="s">
        <v>386</v>
      </c>
      <c r="E781" t="s">
        <v>134</v>
      </c>
    </row>
    <row r="782" spans="1:5" x14ac:dyDescent="0.25">
      <c r="A782" s="2" t="str">
        <f>HYPERLINK("spreadsheet/780.xlsx", "780.xlsx")</f>
        <v>780.xlsx</v>
      </c>
      <c r="B782" s="2">
        <v>780</v>
      </c>
      <c r="C782" t="s">
        <v>5</v>
      </c>
      <c r="D782" t="s">
        <v>403</v>
      </c>
      <c r="E782" t="s">
        <v>115</v>
      </c>
    </row>
    <row r="783" spans="1:5" x14ac:dyDescent="0.25">
      <c r="A783" s="2" t="str">
        <f>HYPERLINK("spreadsheet/781.xlsx", "781.xlsx")</f>
        <v>781.xlsx</v>
      </c>
      <c r="B783" s="2">
        <v>781</v>
      </c>
      <c r="C783" t="s">
        <v>10</v>
      </c>
      <c r="D783" t="s">
        <v>403</v>
      </c>
      <c r="E783" t="s">
        <v>115</v>
      </c>
    </row>
    <row r="784" spans="1:5" x14ac:dyDescent="0.25">
      <c r="A784" s="2" t="str">
        <f>HYPERLINK("spreadsheet/782.xlsx", "782.xlsx")</f>
        <v>782.xlsx</v>
      </c>
      <c r="B784" s="2">
        <v>782</v>
      </c>
      <c r="C784" t="s">
        <v>14</v>
      </c>
      <c r="D784" t="s">
        <v>403</v>
      </c>
      <c r="E784" t="s">
        <v>115</v>
      </c>
    </row>
    <row r="785" spans="1:5" x14ac:dyDescent="0.25">
      <c r="A785" s="2" t="str">
        <f>HYPERLINK("spreadsheet/783.xlsx", "783.xlsx")</f>
        <v>783.xlsx</v>
      </c>
      <c r="B785" s="2">
        <v>783</v>
      </c>
      <c r="C785" t="s">
        <v>5</v>
      </c>
      <c r="D785" t="s">
        <v>404</v>
      </c>
      <c r="E785" t="s">
        <v>139</v>
      </c>
    </row>
    <row r="786" spans="1:5" x14ac:dyDescent="0.25">
      <c r="A786" s="2" t="str">
        <f>HYPERLINK("spreadsheet/784.xlsx", "784.xlsx")</f>
        <v>784.xlsx</v>
      </c>
      <c r="B786" s="2">
        <v>784</v>
      </c>
      <c r="C786" t="s">
        <v>10</v>
      </c>
      <c r="D786" t="s">
        <v>404</v>
      </c>
      <c r="E786" t="s">
        <v>139</v>
      </c>
    </row>
    <row r="787" spans="1:5" x14ac:dyDescent="0.25">
      <c r="A787" s="2" t="str">
        <f>HYPERLINK("spreadsheet/785.xlsx", "785.xlsx")</f>
        <v>785.xlsx</v>
      </c>
      <c r="B787" s="2">
        <v>785</v>
      </c>
      <c r="C787" t="s">
        <v>14</v>
      </c>
      <c r="D787" t="s">
        <v>404</v>
      </c>
      <c r="E787" t="s">
        <v>139</v>
      </c>
    </row>
    <row r="788" spans="1:5" x14ac:dyDescent="0.25">
      <c r="A788" s="2" t="str">
        <f>HYPERLINK("spreadsheet/786.xlsx", "786.xlsx")</f>
        <v>786.xlsx</v>
      </c>
      <c r="B788" s="2">
        <v>786</v>
      </c>
      <c r="C788" t="s">
        <v>15</v>
      </c>
      <c r="D788" t="s">
        <v>404</v>
      </c>
      <c r="E788" t="s">
        <v>139</v>
      </c>
    </row>
    <row r="789" spans="1:5" x14ac:dyDescent="0.25">
      <c r="A789" s="2" t="s">
        <v>405</v>
      </c>
      <c r="B789" s="2">
        <v>787</v>
      </c>
      <c r="C789" t="s">
        <v>22</v>
      </c>
      <c r="D789" t="s">
        <v>404</v>
      </c>
      <c r="E789" t="s">
        <v>139</v>
      </c>
    </row>
    <row r="790" spans="1:5" x14ac:dyDescent="0.25">
      <c r="A790" s="2" t="str">
        <f>HYPERLINK("spreadsheet/788.xlsx", "788.xlsx")</f>
        <v>788.xlsx</v>
      </c>
      <c r="B790" s="2">
        <v>788</v>
      </c>
      <c r="C790" t="s">
        <v>24</v>
      </c>
      <c r="D790" t="s">
        <v>404</v>
      </c>
      <c r="E790" t="s">
        <v>139</v>
      </c>
    </row>
    <row r="791" spans="1:5" x14ac:dyDescent="0.25">
      <c r="A791" s="2" t="str">
        <f>HYPERLINK("spreadsheet/789.xlsx", "789.xlsx")</f>
        <v>789.xlsx</v>
      </c>
      <c r="B791" s="2">
        <v>789</v>
      </c>
      <c r="C791" t="s">
        <v>60</v>
      </c>
      <c r="D791" t="s">
        <v>404</v>
      </c>
      <c r="E791" t="s">
        <v>139</v>
      </c>
    </row>
    <row r="792" spans="1:5" x14ac:dyDescent="0.25">
      <c r="A792" s="2" t="str">
        <f>HYPERLINK("spreadsheet/790.xlsx", "790.xlsx")</f>
        <v>790.xlsx</v>
      </c>
      <c r="B792" s="2">
        <v>790</v>
      </c>
      <c r="C792" t="s">
        <v>44</v>
      </c>
      <c r="D792" t="s">
        <v>404</v>
      </c>
      <c r="E792" t="s">
        <v>139</v>
      </c>
    </row>
    <row r="793" spans="1:5" x14ac:dyDescent="0.25">
      <c r="A793" s="2" t="str">
        <f>HYPERLINK("spreadsheet/791.xlsx", "791.xlsx")</f>
        <v>791.xlsx</v>
      </c>
      <c r="B793" s="2">
        <v>791</v>
      </c>
      <c r="C793" t="s">
        <v>45</v>
      </c>
      <c r="D793" t="s">
        <v>404</v>
      </c>
      <c r="E793" t="s">
        <v>139</v>
      </c>
    </row>
    <row r="794" spans="1:5" x14ac:dyDescent="0.25">
      <c r="A794" s="2" t="s">
        <v>406</v>
      </c>
      <c r="B794" s="2">
        <v>792</v>
      </c>
      <c r="C794" t="s">
        <v>407</v>
      </c>
      <c r="D794" t="s">
        <v>408</v>
      </c>
      <c r="E794" t="s">
        <v>115</v>
      </c>
    </row>
    <row r="795" spans="1:5" x14ac:dyDescent="0.25">
      <c r="A795" s="2" t="s">
        <v>409</v>
      </c>
      <c r="B795" s="2">
        <v>793</v>
      </c>
      <c r="C795" t="s">
        <v>410</v>
      </c>
      <c r="D795" t="s">
        <v>408</v>
      </c>
      <c r="E795" t="s">
        <v>115</v>
      </c>
    </row>
    <row r="796" spans="1:5" x14ac:dyDescent="0.25">
      <c r="A796" s="2" t="s">
        <v>411</v>
      </c>
      <c r="B796" s="2">
        <v>794</v>
      </c>
      <c r="C796" t="s">
        <v>412</v>
      </c>
      <c r="D796" t="s">
        <v>408</v>
      </c>
      <c r="E796" t="s">
        <v>115</v>
      </c>
    </row>
    <row r="797" spans="1:5" x14ac:dyDescent="0.25">
      <c r="A797" s="2" t="s">
        <v>413</v>
      </c>
      <c r="B797" s="2">
        <v>795</v>
      </c>
      <c r="C797" t="s">
        <v>414</v>
      </c>
      <c r="D797" t="s">
        <v>408</v>
      </c>
      <c r="E797" t="s">
        <v>115</v>
      </c>
    </row>
    <row r="798" spans="1:5" x14ac:dyDescent="0.25">
      <c r="A798" s="2" t="s">
        <v>415</v>
      </c>
      <c r="B798" s="2">
        <v>796</v>
      </c>
      <c r="C798" t="s">
        <v>416</v>
      </c>
      <c r="D798" t="s">
        <v>408</v>
      </c>
      <c r="E798" t="s">
        <v>115</v>
      </c>
    </row>
    <row r="799" spans="1:5" x14ac:dyDescent="0.25">
      <c r="A799" s="2" t="s">
        <v>417</v>
      </c>
      <c r="B799" s="2">
        <v>797</v>
      </c>
      <c r="C799" t="s">
        <v>418</v>
      </c>
      <c r="D799" t="s">
        <v>408</v>
      </c>
      <c r="E799" t="s">
        <v>115</v>
      </c>
    </row>
    <row r="800" spans="1:5" x14ac:dyDescent="0.25">
      <c r="A800" s="2" t="str">
        <f>HYPERLINK("spreadsheet/798.xlsx", "798.xlsx")</f>
        <v>798.xlsx</v>
      </c>
      <c r="B800" s="2">
        <v>798</v>
      </c>
      <c r="C800" t="s">
        <v>5</v>
      </c>
      <c r="D800" t="s">
        <v>419</v>
      </c>
      <c r="E800" t="s">
        <v>164</v>
      </c>
    </row>
    <row r="801" spans="1:5" x14ac:dyDescent="0.25">
      <c r="A801" s="2" t="str">
        <f>HYPERLINK("spreadsheet/799.xlsx", "799.xlsx")</f>
        <v>799.xlsx</v>
      </c>
      <c r="B801" s="2">
        <v>799</v>
      </c>
      <c r="C801" t="s">
        <v>5</v>
      </c>
      <c r="D801" t="s">
        <v>420</v>
      </c>
      <c r="E801" t="s">
        <v>126</v>
      </c>
    </row>
    <row r="802" spans="1:5" x14ac:dyDescent="0.25">
      <c r="A802" s="2" t="str">
        <f>HYPERLINK("spreadsheet/800.xlsx", "800.xlsx")</f>
        <v>800.xlsx</v>
      </c>
      <c r="B802" s="2">
        <v>800</v>
      </c>
      <c r="C802" t="s">
        <v>14</v>
      </c>
      <c r="D802" t="s">
        <v>421</v>
      </c>
      <c r="E802" t="s">
        <v>115</v>
      </c>
    </row>
    <row r="803" spans="1:5" x14ac:dyDescent="0.25">
      <c r="A803" s="2" t="str">
        <f>HYPERLINK("spreadsheet/801.xlsx", "801.xlsx")</f>
        <v>801.xlsx</v>
      </c>
      <c r="B803" s="2">
        <v>801</v>
      </c>
      <c r="C803" t="s">
        <v>15</v>
      </c>
      <c r="D803" t="s">
        <v>421</v>
      </c>
      <c r="E803" t="s">
        <v>115</v>
      </c>
    </row>
    <row r="804" spans="1:5" x14ac:dyDescent="0.25">
      <c r="A804" s="2" t="s">
        <v>422</v>
      </c>
      <c r="B804" s="2">
        <v>802</v>
      </c>
      <c r="C804" t="s">
        <v>5</v>
      </c>
      <c r="D804" t="s">
        <v>423</v>
      </c>
      <c r="E804" t="s">
        <v>115</v>
      </c>
    </row>
    <row r="805" spans="1:5" x14ac:dyDescent="0.25">
      <c r="A805" s="2" t="str">
        <f>HYPERLINK("spreadsheet/803.xlsx", "803.xlsx")</f>
        <v>803.xlsx</v>
      </c>
      <c r="B805" s="2">
        <v>803</v>
      </c>
      <c r="C805" t="s">
        <v>10</v>
      </c>
      <c r="D805" t="s">
        <v>423</v>
      </c>
      <c r="E805" t="s">
        <v>115</v>
      </c>
    </row>
    <row r="806" spans="1:5" x14ac:dyDescent="0.25">
      <c r="A806" s="2" t="str">
        <f>HYPERLINK("spreadsheet/804.xlsx", "804.xlsx")</f>
        <v>804.xlsx</v>
      </c>
      <c r="B806" s="2">
        <v>804</v>
      </c>
      <c r="C806" t="s">
        <v>5</v>
      </c>
      <c r="D806" t="s">
        <v>424</v>
      </c>
      <c r="E806" t="s">
        <v>126</v>
      </c>
    </row>
    <row r="807" spans="1:5" x14ac:dyDescent="0.25">
      <c r="A807" s="2" t="s">
        <v>425</v>
      </c>
      <c r="B807" s="2">
        <v>805</v>
      </c>
      <c r="C807" t="s">
        <v>10</v>
      </c>
      <c r="D807" t="s">
        <v>424</v>
      </c>
      <c r="E807" t="s">
        <v>126</v>
      </c>
    </row>
    <row r="808" spans="1:5" x14ac:dyDescent="0.25">
      <c r="A808" s="2" t="str">
        <f>HYPERLINK("spreadsheet/806.xlsx", "806.xlsx")</f>
        <v>806.xlsx</v>
      </c>
      <c r="B808" s="2">
        <v>806</v>
      </c>
      <c r="C808" t="s">
        <v>14</v>
      </c>
      <c r="D808" t="s">
        <v>424</v>
      </c>
      <c r="E808" t="s">
        <v>126</v>
      </c>
    </row>
    <row r="809" spans="1:5" x14ac:dyDescent="0.25">
      <c r="A809" s="2" t="str">
        <f>HYPERLINK("spreadsheet/807.xlsx", "807.xlsx")</f>
        <v>807.xlsx</v>
      </c>
      <c r="B809" s="2">
        <v>807</v>
      </c>
      <c r="C809" t="s">
        <v>15</v>
      </c>
      <c r="D809" t="s">
        <v>424</v>
      </c>
      <c r="E809" t="s">
        <v>126</v>
      </c>
    </row>
    <row r="810" spans="1:5" x14ac:dyDescent="0.25">
      <c r="A810" s="2" t="str">
        <f>HYPERLINK("spreadsheet/808.xlsx", "808.xlsx")</f>
        <v>808.xlsx</v>
      </c>
      <c r="B810" s="2">
        <v>808</v>
      </c>
      <c r="C810" t="s">
        <v>22</v>
      </c>
      <c r="D810" t="s">
        <v>424</v>
      </c>
      <c r="E810" t="s">
        <v>126</v>
      </c>
    </row>
    <row r="811" spans="1:5" x14ac:dyDescent="0.25">
      <c r="A811" s="2" t="str">
        <f>HYPERLINK("spreadsheet/809.xlsx", "809.xlsx")</f>
        <v>809.xlsx</v>
      </c>
      <c r="B811" s="2">
        <v>809</v>
      </c>
      <c r="C811" t="s">
        <v>5</v>
      </c>
      <c r="D811" t="s">
        <v>426</v>
      </c>
      <c r="E811" t="s">
        <v>115</v>
      </c>
    </row>
    <row r="812" spans="1:5" x14ac:dyDescent="0.25">
      <c r="A812" s="2" t="str">
        <f>HYPERLINK("spreadsheet/810.xlsx", "810.xlsx")</f>
        <v>810.xlsx</v>
      </c>
      <c r="B812" s="2">
        <v>810</v>
      </c>
      <c r="C812" t="s">
        <v>10</v>
      </c>
      <c r="D812" t="s">
        <v>426</v>
      </c>
      <c r="E812" t="s">
        <v>115</v>
      </c>
    </row>
    <row r="813" spans="1:5" x14ac:dyDescent="0.25">
      <c r="A813" s="2" t="str">
        <f>HYPERLINK("spreadsheet/811.xlsx", "811.xlsx")</f>
        <v>811.xlsx</v>
      </c>
      <c r="B813" s="2">
        <v>811</v>
      </c>
      <c r="C813" t="s">
        <v>14</v>
      </c>
      <c r="D813" t="s">
        <v>426</v>
      </c>
      <c r="E813" t="s">
        <v>115</v>
      </c>
    </row>
    <row r="814" spans="1:5" x14ac:dyDescent="0.25">
      <c r="A814" s="2" t="str">
        <f>HYPERLINK("spreadsheet/812.xlsx", "812.xlsx")</f>
        <v>812.xlsx</v>
      </c>
      <c r="B814" s="2">
        <v>812</v>
      </c>
      <c r="C814" t="s">
        <v>14</v>
      </c>
      <c r="D814" t="s">
        <v>427</v>
      </c>
      <c r="E814" t="s">
        <v>218</v>
      </c>
    </row>
    <row r="815" spans="1:5" x14ac:dyDescent="0.25">
      <c r="A815" s="2" t="s">
        <v>428</v>
      </c>
      <c r="B815" s="2">
        <v>813</v>
      </c>
      <c r="C815" t="s">
        <v>5</v>
      </c>
      <c r="D815" t="s">
        <v>429</v>
      </c>
      <c r="E815" t="s">
        <v>115</v>
      </c>
    </row>
    <row r="816" spans="1:5" x14ac:dyDescent="0.25">
      <c r="A816" s="2" t="s">
        <v>430</v>
      </c>
      <c r="B816" s="2">
        <v>814</v>
      </c>
      <c r="C816" t="s">
        <v>10</v>
      </c>
      <c r="D816" t="s">
        <v>429</v>
      </c>
      <c r="E816" t="s">
        <v>115</v>
      </c>
    </row>
    <row r="817" spans="1:5" x14ac:dyDescent="0.25">
      <c r="A817" s="2" t="str">
        <f>HYPERLINK("spreadsheet/815.xlsx", "815.xlsx")</f>
        <v>815.xlsx</v>
      </c>
      <c r="B817" s="2">
        <v>815</v>
      </c>
      <c r="C817" t="s">
        <v>5</v>
      </c>
      <c r="D817" t="s">
        <v>431</v>
      </c>
      <c r="E817" t="s">
        <v>71</v>
      </c>
    </row>
    <row r="818" spans="1:5" x14ac:dyDescent="0.25">
      <c r="A818" s="2" t="str">
        <f>HYPERLINK("spreadsheet/816.xlsx", "816.xlsx")</f>
        <v>816.xlsx</v>
      </c>
      <c r="B818" s="2">
        <v>816</v>
      </c>
      <c r="C818" t="s">
        <v>10</v>
      </c>
      <c r="D818" t="s">
        <v>431</v>
      </c>
      <c r="E818" t="s">
        <v>71</v>
      </c>
    </row>
    <row r="819" spans="1:5" x14ac:dyDescent="0.25">
      <c r="A819" s="2" t="str">
        <f>HYPERLINK("spreadsheet/817.xlsx", "817.xlsx")</f>
        <v>817.xlsx</v>
      </c>
      <c r="B819" s="2">
        <v>817</v>
      </c>
      <c r="C819" t="s">
        <v>14</v>
      </c>
      <c r="D819" t="s">
        <v>431</v>
      </c>
      <c r="E819" t="s">
        <v>71</v>
      </c>
    </row>
    <row r="820" spans="1:5" x14ac:dyDescent="0.25">
      <c r="A820" s="2" t="str">
        <f>HYPERLINK("spreadsheet/818.xlsx", "818.xlsx")</f>
        <v>818.xlsx</v>
      </c>
      <c r="B820" s="2">
        <v>818</v>
      </c>
      <c r="C820" t="s">
        <v>15</v>
      </c>
      <c r="D820" t="s">
        <v>431</v>
      </c>
      <c r="E820" t="s">
        <v>71</v>
      </c>
    </row>
    <row r="821" spans="1:5" x14ac:dyDescent="0.25">
      <c r="A821" s="2" t="str">
        <f>HYPERLINK("spreadsheet/819.xlsx", "819.xlsx")</f>
        <v>819.xlsx</v>
      </c>
      <c r="B821" s="2">
        <v>819</v>
      </c>
      <c r="C821" t="s">
        <v>22</v>
      </c>
      <c r="D821" t="s">
        <v>431</v>
      </c>
      <c r="E821" t="s">
        <v>71</v>
      </c>
    </row>
    <row r="822" spans="1:5" x14ac:dyDescent="0.25">
      <c r="A822" s="2" t="s">
        <v>432</v>
      </c>
      <c r="B822" s="2">
        <v>820</v>
      </c>
      <c r="C822" t="s">
        <v>45</v>
      </c>
      <c r="D822" t="s">
        <v>431</v>
      </c>
      <c r="E822" t="s">
        <v>71</v>
      </c>
    </row>
    <row r="823" spans="1:5" x14ac:dyDescent="0.25">
      <c r="A823" s="2" t="str">
        <f>HYPERLINK("spreadsheet/821.xlsx", "821.xlsx")</f>
        <v>821.xlsx</v>
      </c>
      <c r="B823" s="2">
        <v>821</v>
      </c>
      <c r="C823" t="s">
        <v>46</v>
      </c>
      <c r="D823" t="s">
        <v>431</v>
      </c>
      <c r="E823" t="s">
        <v>71</v>
      </c>
    </row>
    <row r="824" spans="1:5" x14ac:dyDescent="0.25">
      <c r="A824" s="2" t="str">
        <f>HYPERLINK("spreadsheet/822.xlsx", "822.xlsx")</f>
        <v>822.xlsx</v>
      </c>
      <c r="B824" s="2">
        <v>822</v>
      </c>
      <c r="C824" t="s">
        <v>5</v>
      </c>
      <c r="D824" t="s">
        <v>433</v>
      </c>
      <c r="E824" t="s">
        <v>338</v>
      </c>
    </row>
    <row r="825" spans="1:5" x14ac:dyDescent="0.25">
      <c r="A825" s="2" t="str">
        <f>HYPERLINK("spreadsheet/823.xlsx", "823.xlsx")</f>
        <v>823.xlsx</v>
      </c>
      <c r="B825" s="2">
        <v>823</v>
      </c>
      <c r="C825" t="s">
        <v>60</v>
      </c>
      <c r="D825" t="s">
        <v>93</v>
      </c>
      <c r="E825" t="s">
        <v>71</v>
      </c>
    </row>
    <row r="826" spans="1:5" x14ac:dyDescent="0.25">
      <c r="A826" s="2" t="str">
        <f>HYPERLINK("spreadsheet/824.xlsx", "824.xlsx")</f>
        <v>824.xlsx</v>
      </c>
      <c r="B826" s="2">
        <v>824</v>
      </c>
      <c r="C826" t="s">
        <v>5</v>
      </c>
      <c r="D826" t="s">
        <v>434</v>
      </c>
      <c r="E826" t="s">
        <v>115</v>
      </c>
    </row>
    <row r="827" spans="1:5" x14ac:dyDescent="0.25">
      <c r="A827" s="2" t="str">
        <f>HYPERLINK("spreadsheet/825.xlsx", "825.xlsx")</f>
        <v>825.xlsx</v>
      </c>
      <c r="B827" s="2">
        <v>825</v>
      </c>
      <c r="C827" t="s">
        <v>10</v>
      </c>
      <c r="D827" t="s">
        <v>434</v>
      </c>
      <c r="E827" t="s">
        <v>115</v>
      </c>
    </row>
    <row r="828" spans="1:5" x14ac:dyDescent="0.25">
      <c r="A828" s="2" t="str">
        <f>HYPERLINK("spreadsheet/826.xlsx", "826.xlsx")</f>
        <v>826.xlsx</v>
      </c>
      <c r="B828" s="2">
        <v>826</v>
      </c>
      <c r="C828" t="s">
        <v>5</v>
      </c>
      <c r="D828" t="s">
        <v>435</v>
      </c>
      <c r="E828" t="s">
        <v>164</v>
      </c>
    </row>
    <row r="829" spans="1:5" x14ac:dyDescent="0.25">
      <c r="A829" s="2" t="str">
        <f>HYPERLINK("spreadsheet/827.xlsx", "827.xlsx")</f>
        <v>827.xlsx</v>
      </c>
      <c r="B829" s="2">
        <v>827</v>
      </c>
      <c r="C829" t="s">
        <v>10</v>
      </c>
      <c r="D829" t="s">
        <v>435</v>
      </c>
      <c r="E829" t="s">
        <v>164</v>
      </c>
    </row>
    <row r="830" spans="1:5" x14ac:dyDescent="0.25">
      <c r="A830" s="2" t="str">
        <f>HYPERLINK("spreadsheet/828.xlsx", "828.xlsx")</f>
        <v>828.xlsx</v>
      </c>
      <c r="B830" s="2">
        <v>828</v>
      </c>
      <c r="C830" t="s">
        <v>14</v>
      </c>
      <c r="D830" t="s">
        <v>435</v>
      </c>
      <c r="E830" t="s">
        <v>164</v>
      </c>
    </row>
    <row r="831" spans="1:5" x14ac:dyDescent="0.25">
      <c r="A831" s="2" t="s">
        <v>436</v>
      </c>
      <c r="B831" s="2">
        <v>829</v>
      </c>
      <c r="C831" t="s">
        <v>15</v>
      </c>
      <c r="D831" t="s">
        <v>435</v>
      </c>
      <c r="E831" t="s">
        <v>164</v>
      </c>
    </row>
    <row r="832" spans="1:5" x14ac:dyDescent="0.25">
      <c r="A832" s="2" t="str">
        <f>HYPERLINK("spreadsheet/830.xlsx", "830.xlsx")</f>
        <v>830.xlsx</v>
      </c>
      <c r="B832" s="2">
        <v>830</v>
      </c>
      <c r="C832" t="s">
        <v>22</v>
      </c>
      <c r="D832" t="s">
        <v>435</v>
      </c>
      <c r="E832" t="s">
        <v>164</v>
      </c>
    </row>
    <row r="833" spans="1:5" x14ac:dyDescent="0.25">
      <c r="A833" s="2" t="str">
        <f>HYPERLINK("spreadsheet/831.xlsx", "831.xlsx")</f>
        <v>831.xlsx</v>
      </c>
      <c r="B833" s="2">
        <v>831</v>
      </c>
      <c r="C833" t="s">
        <v>5</v>
      </c>
      <c r="D833" t="s">
        <v>437</v>
      </c>
      <c r="E833" t="s">
        <v>150</v>
      </c>
    </row>
    <row r="834" spans="1:5" x14ac:dyDescent="0.25">
      <c r="A834" s="2" t="str">
        <f>HYPERLINK("spreadsheet/832.xlsx", "832.xlsx")</f>
        <v>832.xlsx</v>
      </c>
      <c r="B834" s="2">
        <v>832</v>
      </c>
      <c r="C834" t="s">
        <v>10</v>
      </c>
      <c r="D834" t="s">
        <v>437</v>
      </c>
      <c r="E834" t="s">
        <v>150</v>
      </c>
    </row>
    <row r="835" spans="1:5" x14ac:dyDescent="0.25">
      <c r="A835" s="2" t="str">
        <f>HYPERLINK("spreadsheet/833.xlsx", "833.xlsx")</f>
        <v>833.xlsx</v>
      </c>
      <c r="B835" s="2">
        <v>833</v>
      </c>
      <c r="C835" t="s">
        <v>14</v>
      </c>
      <c r="D835" t="s">
        <v>437</v>
      </c>
      <c r="E835" t="s">
        <v>150</v>
      </c>
    </row>
    <row r="836" spans="1:5" x14ac:dyDescent="0.25">
      <c r="A836" s="2" t="str">
        <f>HYPERLINK("spreadsheet/834.xlsx", "834.xlsx")</f>
        <v>834.xlsx</v>
      </c>
      <c r="B836" s="2">
        <v>834</v>
      </c>
      <c r="C836" t="s">
        <v>15</v>
      </c>
      <c r="D836" t="s">
        <v>437</v>
      </c>
      <c r="E836" t="s">
        <v>150</v>
      </c>
    </row>
    <row r="837" spans="1:5" x14ac:dyDescent="0.25">
      <c r="A837" s="2" t="str">
        <f>HYPERLINK("spreadsheet/835.xlsx", "835.xlsx")</f>
        <v>835.xlsx</v>
      </c>
      <c r="B837" s="2">
        <v>835</v>
      </c>
      <c r="C837" t="s">
        <v>22</v>
      </c>
      <c r="D837" t="s">
        <v>437</v>
      </c>
      <c r="E837" t="s">
        <v>150</v>
      </c>
    </row>
    <row r="838" spans="1:5" x14ac:dyDescent="0.25">
      <c r="A838" s="2" t="str">
        <f>HYPERLINK("spreadsheet/836.xlsx", "836.xlsx")</f>
        <v>836.xlsx</v>
      </c>
      <c r="B838" s="2">
        <v>836</v>
      </c>
      <c r="C838" t="s">
        <v>24</v>
      </c>
      <c r="D838" t="s">
        <v>437</v>
      </c>
      <c r="E838" t="s">
        <v>150</v>
      </c>
    </row>
    <row r="839" spans="1:5" x14ac:dyDescent="0.25">
      <c r="A839" s="2" t="str">
        <f>HYPERLINK("spreadsheet/837.xlsx", "837.xlsx")</f>
        <v>837.xlsx</v>
      </c>
      <c r="B839" s="2">
        <v>837</v>
      </c>
      <c r="C839" t="s">
        <v>60</v>
      </c>
      <c r="D839" t="s">
        <v>437</v>
      </c>
      <c r="E839" t="s">
        <v>150</v>
      </c>
    </row>
    <row r="840" spans="1:5" x14ac:dyDescent="0.25">
      <c r="A840" s="2" t="str">
        <f>HYPERLINK("spreadsheet/838.xlsx", "838.xlsx")</f>
        <v>838.xlsx</v>
      </c>
      <c r="B840" s="2">
        <v>838</v>
      </c>
      <c r="C840" t="s">
        <v>44</v>
      </c>
      <c r="D840" t="s">
        <v>437</v>
      </c>
      <c r="E840" t="s">
        <v>150</v>
      </c>
    </row>
    <row r="841" spans="1:5" x14ac:dyDescent="0.25">
      <c r="A841" s="2" t="str">
        <f>HYPERLINK("spreadsheet/839.xlsx", "839.xlsx")</f>
        <v>839.xlsx</v>
      </c>
      <c r="B841" s="2">
        <v>839</v>
      </c>
      <c r="C841" t="s">
        <v>5</v>
      </c>
      <c r="D841" t="s">
        <v>438</v>
      </c>
      <c r="E841" t="s">
        <v>115</v>
      </c>
    </row>
    <row r="842" spans="1:5" x14ac:dyDescent="0.25">
      <c r="A842" s="2" t="str">
        <f>HYPERLINK("spreadsheet/840.xlsx", "840.xlsx")</f>
        <v>840.xlsx</v>
      </c>
      <c r="B842" s="2">
        <v>840</v>
      </c>
      <c r="C842" t="s">
        <v>10</v>
      </c>
      <c r="D842" t="s">
        <v>438</v>
      </c>
      <c r="E842" t="s">
        <v>115</v>
      </c>
    </row>
    <row r="843" spans="1:5" x14ac:dyDescent="0.25">
      <c r="A843" s="2" t="str">
        <f>HYPERLINK("spreadsheet/841.xlsx", "841.xlsx")</f>
        <v>841.xlsx</v>
      </c>
      <c r="B843" s="2">
        <v>841</v>
      </c>
      <c r="C843" t="s">
        <v>14</v>
      </c>
      <c r="D843" t="s">
        <v>438</v>
      </c>
      <c r="E843" t="s">
        <v>115</v>
      </c>
    </row>
    <row r="844" spans="1:5" x14ac:dyDescent="0.25">
      <c r="A844" s="2" t="str">
        <f>HYPERLINK("spreadsheet/842.xlsx", "842.xlsx")</f>
        <v>842.xlsx</v>
      </c>
      <c r="B844" s="2">
        <v>842</v>
      </c>
      <c r="C844" t="s">
        <v>15</v>
      </c>
      <c r="D844" t="s">
        <v>438</v>
      </c>
      <c r="E844" t="s">
        <v>115</v>
      </c>
    </row>
    <row r="845" spans="1:5" x14ac:dyDescent="0.25">
      <c r="A845" s="2" t="str">
        <f>HYPERLINK("spreadsheet/843.xlsx", "843.xlsx")</f>
        <v>843.xlsx</v>
      </c>
      <c r="B845" s="2">
        <v>843</v>
      </c>
      <c r="C845" t="s">
        <v>5</v>
      </c>
      <c r="D845" t="s">
        <v>439</v>
      </c>
      <c r="E845" t="s">
        <v>154</v>
      </c>
    </row>
    <row r="846" spans="1:5" x14ac:dyDescent="0.25">
      <c r="A846" s="2" t="str">
        <f>HYPERLINK("spreadsheet/844.xlsx", "844.xlsx")</f>
        <v>844.xlsx</v>
      </c>
      <c r="B846" s="2">
        <v>844</v>
      </c>
      <c r="C846" t="s">
        <v>10</v>
      </c>
      <c r="D846" t="s">
        <v>439</v>
      </c>
      <c r="E846" t="s">
        <v>154</v>
      </c>
    </row>
    <row r="847" spans="1:5" x14ac:dyDescent="0.25">
      <c r="A847" s="2" t="str">
        <f>HYPERLINK("spreadsheet/845.xlsx", "845.xlsx")</f>
        <v>845.xlsx</v>
      </c>
      <c r="B847" s="2">
        <v>845</v>
      </c>
      <c r="C847" t="s">
        <v>14</v>
      </c>
      <c r="D847" t="s">
        <v>439</v>
      </c>
      <c r="E847" t="s">
        <v>154</v>
      </c>
    </row>
    <row r="848" spans="1:5" x14ac:dyDescent="0.25">
      <c r="A848" s="2" t="str">
        <f>HYPERLINK("spreadsheet/846.xlsx", "846.xlsx")</f>
        <v>846.xlsx</v>
      </c>
      <c r="B848" s="2">
        <v>846</v>
      </c>
      <c r="C848" t="s">
        <v>15</v>
      </c>
      <c r="D848" t="s">
        <v>439</v>
      </c>
      <c r="E848" t="s">
        <v>154</v>
      </c>
    </row>
    <row r="849" spans="1:5" x14ac:dyDescent="0.25">
      <c r="A849" s="2" t="str">
        <f>HYPERLINK("spreadsheet/847.xlsx", "847.xlsx")</f>
        <v>847.xlsx</v>
      </c>
      <c r="B849" s="2">
        <v>847</v>
      </c>
      <c r="C849" t="s">
        <v>5</v>
      </c>
      <c r="D849" t="s">
        <v>440</v>
      </c>
      <c r="E849" t="s">
        <v>154</v>
      </c>
    </row>
    <row r="850" spans="1:5" x14ac:dyDescent="0.25">
      <c r="A850" s="2" t="str">
        <f>HYPERLINK("spreadsheet/848.xlsx", "848.xlsx")</f>
        <v>848.xlsx</v>
      </c>
      <c r="B850" s="2">
        <v>848</v>
      </c>
      <c r="C850" t="s">
        <v>10</v>
      </c>
      <c r="D850" t="s">
        <v>440</v>
      </c>
      <c r="E850" t="s">
        <v>154</v>
      </c>
    </row>
    <row r="851" spans="1:5" x14ac:dyDescent="0.25">
      <c r="A851" s="2" t="str">
        <f>HYPERLINK("spreadsheet/849.xlsx", "849.xlsx")</f>
        <v>849.xlsx</v>
      </c>
      <c r="B851" s="2">
        <v>849</v>
      </c>
      <c r="C851" t="s">
        <v>14</v>
      </c>
      <c r="D851" t="s">
        <v>440</v>
      </c>
      <c r="E851" t="s">
        <v>154</v>
      </c>
    </row>
    <row r="852" spans="1:5" x14ac:dyDescent="0.25">
      <c r="A852" s="2" t="str">
        <f>HYPERLINK("spreadsheet/850.xlsx", "850.xlsx")</f>
        <v>850.xlsx</v>
      </c>
      <c r="B852" s="2">
        <v>850</v>
      </c>
      <c r="C852" t="s">
        <v>15</v>
      </c>
      <c r="D852" t="s">
        <v>440</v>
      </c>
      <c r="E852" t="s">
        <v>154</v>
      </c>
    </row>
    <row r="853" spans="1:5" x14ac:dyDescent="0.25">
      <c r="A853" s="2" t="str">
        <f>HYPERLINK("spreadsheet/851.xlsx", "851.xlsx")</f>
        <v>851.xlsx</v>
      </c>
      <c r="B853" s="2">
        <v>851</v>
      </c>
      <c r="C853" t="s">
        <v>22</v>
      </c>
      <c r="D853" t="s">
        <v>440</v>
      </c>
      <c r="E853" t="s">
        <v>154</v>
      </c>
    </row>
    <row r="854" spans="1:5" x14ac:dyDescent="0.25">
      <c r="A854" s="2" t="str">
        <f>HYPERLINK("spreadsheet/852.xlsx", "852.xlsx")</f>
        <v>852.xlsx</v>
      </c>
      <c r="B854" s="2">
        <v>852</v>
      </c>
      <c r="C854" t="s">
        <v>60</v>
      </c>
      <c r="D854" t="s">
        <v>440</v>
      </c>
      <c r="E854" t="s">
        <v>154</v>
      </c>
    </row>
    <row r="855" spans="1:5" x14ac:dyDescent="0.25">
      <c r="A855" s="2" t="s">
        <v>441</v>
      </c>
      <c r="B855" s="2">
        <v>853</v>
      </c>
      <c r="C855" t="s">
        <v>5</v>
      </c>
      <c r="D855" t="s">
        <v>442</v>
      </c>
      <c r="E855" t="s">
        <v>173</v>
      </c>
    </row>
    <row r="856" spans="1:5" x14ac:dyDescent="0.25">
      <c r="A856" s="2" t="s">
        <v>443</v>
      </c>
      <c r="B856" s="2">
        <v>854</v>
      </c>
      <c r="C856" t="s">
        <v>10</v>
      </c>
      <c r="D856" t="s">
        <v>442</v>
      </c>
      <c r="E856" t="s">
        <v>173</v>
      </c>
    </row>
    <row r="857" spans="1:5" x14ac:dyDescent="0.25">
      <c r="A857" s="2" t="s">
        <v>444</v>
      </c>
      <c r="B857" s="2">
        <v>855</v>
      </c>
      <c r="C857" t="s">
        <v>14</v>
      </c>
      <c r="D857" t="s">
        <v>442</v>
      </c>
      <c r="E857" t="s">
        <v>173</v>
      </c>
    </row>
    <row r="858" spans="1:5" x14ac:dyDescent="0.25">
      <c r="A858" s="2" t="s">
        <v>445</v>
      </c>
      <c r="B858" s="2">
        <v>856</v>
      </c>
      <c r="C858" t="s">
        <v>15</v>
      </c>
      <c r="D858" t="s">
        <v>442</v>
      </c>
      <c r="E858" t="s">
        <v>173</v>
      </c>
    </row>
    <row r="859" spans="1:5" x14ac:dyDescent="0.25">
      <c r="A859" s="2" t="s">
        <v>446</v>
      </c>
      <c r="B859" s="2">
        <v>857</v>
      </c>
      <c r="C859" t="s">
        <v>22</v>
      </c>
      <c r="D859" t="s">
        <v>442</v>
      </c>
      <c r="E859" t="s">
        <v>173</v>
      </c>
    </row>
    <row r="860" spans="1:5" x14ac:dyDescent="0.25">
      <c r="A860" s="2" t="s">
        <v>447</v>
      </c>
      <c r="B860" s="2">
        <v>858</v>
      </c>
      <c r="C860" t="s">
        <v>24</v>
      </c>
      <c r="D860" t="s">
        <v>442</v>
      </c>
      <c r="E860" t="s">
        <v>173</v>
      </c>
    </row>
    <row r="861" spans="1:5" x14ac:dyDescent="0.25">
      <c r="A861" s="2" t="s">
        <v>448</v>
      </c>
      <c r="B861" s="2">
        <v>859</v>
      </c>
      <c r="C861" t="s">
        <v>60</v>
      </c>
      <c r="D861" t="s">
        <v>442</v>
      </c>
      <c r="E861" t="s">
        <v>173</v>
      </c>
    </row>
    <row r="862" spans="1:5" x14ac:dyDescent="0.25">
      <c r="A862" s="2" t="s">
        <v>449</v>
      </c>
      <c r="B862" s="2">
        <v>860</v>
      </c>
      <c r="C862" t="s">
        <v>44</v>
      </c>
      <c r="D862" t="s">
        <v>442</v>
      </c>
      <c r="E862" t="s">
        <v>173</v>
      </c>
    </row>
    <row r="863" spans="1:5" x14ac:dyDescent="0.25">
      <c r="A863" s="2" t="str">
        <f>HYPERLINK("spreadsheet/861.xlsx", "861.xlsx")</f>
        <v>861.xlsx</v>
      </c>
      <c r="B863" s="2">
        <v>861</v>
      </c>
      <c r="C863" t="s">
        <v>5</v>
      </c>
      <c r="D863" t="s">
        <v>450</v>
      </c>
      <c r="E863" t="s">
        <v>150</v>
      </c>
    </row>
    <row r="864" spans="1:5" x14ac:dyDescent="0.25">
      <c r="A864" s="2" t="str">
        <f>HYPERLINK("spreadsheet/862.xlsx", "862.xlsx")</f>
        <v>862.xlsx</v>
      </c>
      <c r="B864" s="2">
        <v>862</v>
      </c>
      <c r="C864" t="s">
        <v>10</v>
      </c>
      <c r="D864" t="s">
        <v>450</v>
      </c>
      <c r="E864" t="s">
        <v>150</v>
      </c>
    </row>
    <row r="865" spans="1:5" x14ac:dyDescent="0.25">
      <c r="A865" s="2" t="str">
        <f>HYPERLINK("spreadsheet/863.xlsx", "863.xlsx")</f>
        <v>863.xlsx</v>
      </c>
      <c r="B865" s="2">
        <v>863</v>
      </c>
      <c r="C865" t="s">
        <v>14</v>
      </c>
      <c r="D865" t="s">
        <v>450</v>
      </c>
      <c r="E865" t="s">
        <v>150</v>
      </c>
    </row>
    <row r="866" spans="1:5" x14ac:dyDescent="0.25">
      <c r="A866" s="2" t="s">
        <v>451</v>
      </c>
      <c r="B866" s="2">
        <v>864</v>
      </c>
      <c r="C866" t="s">
        <v>22</v>
      </c>
      <c r="D866" t="s">
        <v>450</v>
      </c>
      <c r="E866" t="s">
        <v>150</v>
      </c>
    </row>
    <row r="867" spans="1:5" x14ac:dyDescent="0.25">
      <c r="A867" s="2" t="str">
        <f>HYPERLINK("spreadsheet/865.xlsx", "865.xlsx")</f>
        <v>865.xlsx</v>
      </c>
      <c r="B867" s="2">
        <v>865</v>
      </c>
      <c r="C867" t="s">
        <v>5</v>
      </c>
      <c r="D867" t="s">
        <v>452</v>
      </c>
      <c r="E867" t="s">
        <v>71</v>
      </c>
    </row>
    <row r="868" spans="1:5" x14ac:dyDescent="0.25">
      <c r="A868" s="2" t="s">
        <v>453</v>
      </c>
      <c r="B868" s="2">
        <v>866</v>
      </c>
      <c r="C868" t="s">
        <v>281</v>
      </c>
      <c r="D868" t="s">
        <v>452</v>
      </c>
      <c r="E868" t="s">
        <v>71</v>
      </c>
    </row>
    <row r="869" spans="1:5" x14ac:dyDescent="0.25">
      <c r="A869" s="2" t="s">
        <v>454</v>
      </c>
      <c r="B869" s="2">
        <v>867</v>
      </c>
      <c r="C869" t="s">
        <v>282</v>
      </c>
      <c r="D869" t="s">
        <v>452</v>
      </c>
      <c r="E869" t="s">
        <v>71</v>
      </c>
    </row>
    <row r="870" spans="1:5" x14ac:dyDescent="0.25">
      <c r="A870" s="2" t="s">
        <v>455</v>
      </c>
      <c r="B870" s="2">
        <v>868</v>
      </c>
      <c r="C870" t="s">
        <v>456</v>
      </c>
      <c r="D870" t="s">
        <v>452</v>
      </c>
      <c r="E870" t="s">
        <v>71</v>
      </c>
    </row>
    <row r="871" spans="1:5" x14ac:dyDescent="0.25">
      <c r="A871" s="2" t="str">
        <f>HYPERLINK("spreadsheet/869.xlsx", "869.xlsx")</f>
        <v>869.xlsx</v>
      </c>
      <c r="B871" s="2">
        <v>869</v>
      </c>
      <c r="C871" t="s">
        <v>5</v>
      </c>
      <c r="D871" t="s">
        <v>457</v>
      </c>
      <c r="E871" t="s">
        <v>115</v>
      </c>
    </row>
    <row r="872" spans="1:5" x14ac:dyDescent="0.25">
      <c r="A872" s="2" t="str">
        <f>HYPERLINK("spreadsheet/870.xlsx", "870.xlsx")</f>
        <v>870.xlsx</v>
      </c>
      <c r="B872" s="2">
        <v>870</v>
      </c>
      <c r="C872" t="s">
        <v>10</v>
      </c>
      <c r="D872" t="s">
        <v>457</v>
      </c>
      <c r="E872" t="s">
        <v>115</v>
      </c>
    </row>
    <row r="873" spans="1:5" x14ac:dyDescent="0.25">
      <c r="A873" s="2" t="str">
        <f>HYPERLINK("spreadsheet/871.xlsx", "871.xlsx")</f>
        <v>871.xlsx</v>
      </c>
      <c r="B873" s="2">
        <v>871</v>
      </c>
      <c r="C873" t="s">
        <v>14</v>
      </c>
      <c r="D873" t="s">
        <v>457</v>
      </c>
      <c r="E873" t="s">
        <v>115</v>
      </c>
    </row>
    <row r="874" spans="1:5" x14ac:dyDescent="0.25">
      <c r="A874" s="2" t="str">
        <f>HYPERLINK("spreadsheet/872.xlsx", "872.xlsx")</f>
        <v>872.xlsx</v>
      </c>
      <c r="B874" s="2">
        <v>872</v>
      </c>
      <c r="C874" t="s">
        <v>5</v>
      </c>
      <c r="D874" t="s">
        <v>458</v>
      </c>
      <c r="E874" t="s">
        <v>332</v>
      </c>
    </row>
    <row r="875" spans="1:5" x14ac:dyDescent="0.25">
      <c r="A875" s="2" t="str">
        <f>HYPERLINK("spreadsheet/873.xlsx", "873.xlsx")</f>
        <v>873.xlsx</v>
      </c>
      <c r="B875" s="2">
        <v>873</v>
      </c>
      <c r="C875" t="s">
        <v>10</v>
      </c>
      <c r="D875" t="s">
        <v>458</v>
      </c>
      <c r="E875" t="s">
        <v>332</v>
      </c>
    </row>
    <row r="876" spans="1:5" x14ac:dyDescent="0.25">
      <c r="A876" s="2" t="str">
        <f>HYPERLINK("spreadsheet/874.xlsx", "874.xlsx")</f>
        <v>874.xlsx</v>
      </c>
      <c r="B876" s="2">
        <v>874</v>
      </c>
      <c r="C876" t="s">
        <v>14</v>
      </c>
      <c r="D876" t="s">
        <v>458</v>
      </c>
      <c r="E876" t="s">
        <v>332</v>
      </c>
    </row>
    <row r="877" spans="1:5" x14ac:dyDescent="0.25">
      <c r="A877" s="2" t="str">
        <f>HYPERLINK("spreadsheet/875.xlsx", "875.xlsx")</f>
        <v>875.xlsx</v>
      </c>
      <c r="B877" s="2">
        <v>875</v>
      </c>
      <c r="C877" t="s">
        <v>15</v>
      </c>
      <c r="D877" t="s">
        <v>458</v>
      </c>
      <c r="E877" t="s">
        <v>332</v>
      </c>
    </row>
    <row r="878" spans="1:5" x14ac:dyDescent="0.25">
      <c r="A878" s="2" t="str">
        <f>HYPERLINK("spreadsheet/876.xlsx", "876.xlsx")</f>
        <v>876.xlsx</v>
      </c>
      <c r="B878" s="2">
        <v>876</v>
      </c>
      <c r="C878" t="s">
        <v>459</v>
      </c>
      <c r="D878" t="s">
        <v>460</v>
      </c>
      <c r="E878" t="s">
        <v>126</v>
      </c>
    </row>
    <row r="879" spans="1:5" x14ac:dyDescent="0.25">
      <c r="A879" s="2" t="str">
        <f>HYPERLINK("spreadsheet/877.xlsx", "877.xlsx")</f>
        <v>877.xlsx</v>
      </c>
      <c r="B879" s="2">
        <v>877</v>
      </c>
      <c r="C879" t="s">
        <v>461</v>
      </c>
      <c r="D879" t="s">
        <v>460</v>
      </c>
      <c r="E879" t="s">
        <v>126</v>
      </c>
    </row>
    <row r="880" spans="1:5" x14ac:dyDescent="0.25">
      <c r="A880" s="2" t="str">
        <f>HYPERLINK("spreadsheet/878.xlsx", "878.xlsx")</f>
        <v>878.xlsx</v>
      </c>
      <c r="B880" s="2">
        <v>878</v>
      </c>
      <c r="C880" t="s">
        <v>462</v>
      </c>
      <c r="D880" t="s">
        <v>460</v>
      </c>
      <c r="E880" t="s">
        <v>126</v>
      </c>
    </row>
    <row r="881" spans="1:5" x14ac:dyDescent="0.25">
      <c r="A881" s="2" t="str">
        <f>HYPERLINK("spreadsheet/879.xlsx", "879.xlsx")</f>
        <v>879.xlsx</v>
      </c>
      <c r="B881" s="2">
        <v>879</v>
      </c>
      <c r="C881" t="s">
        <v>463</v>
      </c>
      <c r="D881" t="s">
        <v>460</v>
      </c>
      <c r="E881" t="s">
        <v>126</v>
      </c>
    </row>
    <row r="882" spans="1:5" x14ac:dyDescent="0.25">
      <c r="A882" s="2" t="str">
        <f>HYPERLINK("spreadsheet/880.xlsx", "880.xlsx")</f>
        <v>880.xlsx</v>
      </c>
      <c r="B882" s="2">
        <v>880</v>
      </c>
      <c r="C882" t="s">
        <v>464</v>
      </c>
      <c r="D882" t="s">
        <v>460</v>
      </c>
      <c r="E882" t="s">
        <v>126</v>
      </c>
    </row>
    <row r="883" spans="1:5" x14ac:dyDescent="0.25">
      <c r="A883" s="2" t="str">
        <f>HYPERLINK("spreadsheet/881.xlsx", "881.xlsx")</f>
        <v>881.xlsx</v>
      </c>
      <c r="B883" s="2">
        <v>881</v>
      </c>
      <c r="C883" t="s">
        <v>465</v>
      </c>
      <c r="D883" t="s">
        <v>460</v>
      </c>
      <c r="E883" t="s">
        <v>126</v>
      </c>
    </row>
    <row r="884" spans="1:5" x14ac:dyDescent="0.25">
      <c r="A884" s="2" t="str">
        <f>HYPERLINK("spreadsheet/882.xlsx", "882.xlsx")</f>
        <v>882.xlsx</v>
      </c>
      <c r="B884" s="2">
        <v>882</v>
      </c>
      <c r="C884" t="s">
        <v>466</v>
      </c>
      <c r="D884" t="s">
        <v>460</v>
      </c>
      <c r="E884" t="s">
        <v>126</v>
      </c>
    </row>
    <row r="885" spans="1:5" x14ac:dyDescent="0.25">
      <c r="A885" s="2" t="str">
        <f>HYPERLINK("spreadsheet/883.xlsx", "883.xlsx")</f>
        <v>883.xlsx</v>
      </c>
      <c r="B885" s="2">
        <v>883</v>
      </c>
      <c r="C885" t="s">
        <v>203</v>
      </c>
      <c r="D885" t="s">
        <v>460</v>
      </c>
      <c r="E885" t="s">
        <v>126</v>
      </c>
    </row>
    <row r="886" spans="1:5" x14ac:dyDescent="0.25">
      <c r="A886" s="2" t="str">
        <f>HYPERLINK("spreadsheet/884.xlsx", "884.xlsx")</f>
        <v>884.xlsx</v>
      </c>
      <c r="B886" s="2">
        <v>884</v>
      </c>
      <c r="C886" t="s">
        <v>5</v>
      </c>
      <c r="D886" t="s">
        <v>467</v>
      </c>
      <c r="E886" t="s">
        <v>173</v>
      </c>
    </row>
    <row r="887" spans="1:5" x14ac:dyDescent="0.25">
      <c r="A887" s="2" t="str">
        <f>HYPERLINK("spreadsheet/885.xlsx", "885.xlsx")</f>
        <v>885.xlsx</v>
      </c>
      <c r="B887" s="2">
        <v>885</v>
      </c>
      <c r="C887" t="s">
        <v>10</v>
      </c>
      <c r="D887" t="s">
        <v>467</v>
      </c>
      <c r="E887" t="s">
        <v>173</v>
      </c>
    </row>
    <row r="888" spans="1:5" x14ac:dyDescent="0.25">
      <c r="A888" s="2" t="str">
        <f>HYPERLINK("spreadsheet/886.xlsx", "886.xlsx")</f>
        <v>886.xlsx</v>
      </c>
      <c r="B888" s="2">
        <v>886</v>
      </c>
      <c r="C888" t="s">
        <v>15</v>
      </c>
      <c r="D888" t="s">
        <v>467</v>
      </c>
      <c r="E888" t="s">
        <v>173</v>
      </c>
    </row>
    <row r="889" spans="1:5" x14ac:dyDescent="0.25">
      <c r="A889" s="2" t="str">
        <f>HYPERLINK("spreadsheet/887.xlsx", "887.xlsx")</f>
        <v>887.xlsx</v>
      </c>
      <c r="B889" s="2">
        <v>887</v>
      </c>
      <c r="C889" t="s">
        <v>24</v>
      </c>
      <c r="D889" t="s">
        <v>467</v>
      </c>
      <c r="E889" t="s">
        <v>173</v>
      </c>
    </row>
    <row r="890" spans="1:5" x14ac:dyDescent="0.25">
      <c r="A890" s="2" t="str">
        <f>HYPERLINK("spreadsheet/888.xlsx", "888.xlsx")</f>
        <v>888.xlsx</v>
      </c>
      <c r="B890" s="2">
        <v>888</v>
      </c>
      <c r="C890" t="s">
        <v>60</v>
      </c>
      <c r="D890" t="s">
        <v>467</v>
      </c>
      <c r="E890" t="s">
        <v>173</v>
      </c>
    </row>
    <row r="891" spans="1:5" x14ac:dyDescent="0.25">
      <c r="A891" s="2" t="str">
        <f>HYPERLINK("spreadsheet/889.xlsx", "889.xlsx")</f>
        <v>889.xlsx</v>
      </c>
      <c r="B891" s="2">
        <v>889</v>
      </c>
      <c r="C891" t="s">
        <v>5</v>
      </c>
      <c r="D891" t="s">
        <v>468</v>
      </c>
      <c r="E891" t="s">
        <v>218</v>
      </c>
    </row>
    <row r="892" spans="1:5" x14ac:dyDescent="0.25">
      <c r="A892" s="2" t="str">
        <f>HYPERLINK("spreadsheet/890.xlsx", "890.xlsx")</f>
        <v>890.xlsx</v>
      </c>
      <c r="B892" s="2">
        <v>890</v>
      </c>
      <c r="C892" t="s">
        <v>10</v>
      </c>
      <c r="D892" t="s">
        <v>468</v>
      </c>
      <c r="E892" t="s">
        <v>218</v>
      </c>
    </row>
    <row r="893" spans="1:5" x14ac:dyDescent="0.25">
      <c r="A893" s="2" t="str">
        <f>HYPERLINK("spreadsheet/891.xlsx", "891.xlsx")</f>
        <v>891.xlsx</v>
      </c>
      <c r="B893" s="2">
        <v>891</v>
      </c>
      <c r="C893" t="s">
        <v>14</v>
      </c>
      <c r="D893" t="s">
        <v>468</v>
      </c>
      <c r="E893" t="s">
        <v>218</v>
      </c>
    </row>
    <row r="894" spans="1:5" x14ac:dyDescent="0.25">
      <c r="A894" s="2" t="str">
        <f>HYPERLINK("spreadsheet/892.xlsx", "892.xlsx")</f>
        <v>892.xlsx</v>
      </c>
      <c r="B894" s="2">
        <v>892</v>
      </c>
      <c r="C894" t="s">
        <v>22</v>
      </c>
      <c r="D894" t="s">
        <v>468</v>
      </c>
      <c r="E894" t="s">
        <v>218</v>
      </c>
    </row>
    <row r="895" spans="1:5" x14ac:dyDescent="0.25">
      <c r="A895" s="2" t="str">
        <f>HYPERLINK("spreadsheet/893.xlsx", "893.xlsx")</f>
        <v>893.xlsx</v>
      </c>
      <c r="B895" s="2">
        <v>893</v>
      </c>
      <c r="C895" t="s">
        <v>24</v>
      </c>
      <c r="D895" t="s">
        <v>468</v>
      </c>
      <c r="E895" t="s">
        <v>218</v>
      </c>
    </row>
    <row r="896" spans="1:5" x14ac:dyDescent="0.25">
      <c r="A896" s="2" t="str">
        <f>HYPERLINK("spreadsheet/894.xlsx", "894.xlsx")</f>
        <v>894.xlsx</v>
      </c>
      <c r="B896" s="2">
        <v>894</v>
      </c>
      <c r="C896" t="s">
        <v>5</v>
      </c>
      <c r="D896" t="s">
        <v>469</v>
      </c>
      <c r="E896" t="s">
        <v>145</v>
      </c>
    </row>
    <row r="897" spans="1:5" x14ac:dyDescent="0.25">
      <c r="A897" s="2" t="str">
        <f>HYPERLINK("spreadsheet/895.xlsx", "895.xlsx")</f>
        <v>895.xlsx</v>
      </c>
      <c r="B897" s="2">
        <v>895</v>
      </c>
      <c r="C897" t="s">
        <v>10</v>
      </c>
      <c r="D897" t="s">
        <v>469</v>
      </c>
      <c r="E897" t="s">
        <v>145</v>
      </c>
    </row>
    <row r="898" spans="1:5" x14ac:dyDescent="0.25">
      <c r="A898" s="2" t="str">
        <f>HYPERLINK("spreadsheet/896.xlsx", "896.xlsx")</f>
        <v>896.xlsx</v>
      </c>
      <c r="B898" s="2">
        <v>896</v>
      </c>
      <c r="C898" t="s">
        <v>14</v>
      </c>
      <c r="D898" t="s">
        <v>469</v>
      </c>
      <c r="E898" t="s">
        <v>145</v>
      </c>
    </row>
    <row r="899" spans="1:5" x14ac:dyDescent="0.25">
      <c r="A899" s="2" t="str">
        <f>HYPERLINK("spreadsheet/897.xlsx", "897.xlsx")</f>
        <v>897.xlsx</v>
      </c>
      <c r="B899" s="2">
        <v>897</v>
      </c>
      <c r="C899" t="s">
        <v>15</v>
      </c>
      <c r="D899" t="s">
        <v>469</v>
      </c>
      <c r="E899" t="s">
        <v>145</v>
      </c>
    </row>
    <row r="900" spans="1:5" x14ac:dyDescent="0.25">
      <c r="A900" s="2" t="str">
        <f>HYPERLINK("spreadsheet/898.xlsx", "898.xlsx")</f>
        <v>898.xlsx</v>
      </c>
      <c r="B900" s="2">
        <v>898</v>
      </c>
      <c r="C900" t="s">
        <v>22</v>
      </c>
      <c r="D900" t="s">
        <v>469</v>
      </c>
      <c r="E900" t="s">
        <v>145</v>
      </c>
    </row>
    <row r="901" spans="1:5" x14ac:dyDescent="0.25">
      <c r="A901" s="2" t="str">
        <f>HYPERLINK("spreadsheet/899.xlsx", "899.xlsx")</f>
        <v>899.xlsx</v>
      </c>
      <c r="B901" s="2">
        <v>899</v>
      </c>
      <c r="C901" t="s">
        <v>5</v>
      </c>
      <c r="D901" t="s">
        <v>470</v>
      </c>
      <c r="E901" t="s">
        <v>115</v>
      </c>
    </row>
    <row r="902" spans="1:5" x14ac:dyDescent="0.25">
      <c r="A902" s="2" t="str">
        <f>HYPERLINK("spreadsheet/900.xlsx", "900.xlsx")</f>
        <v>900.xlsx</v>
      </c>
      <c r="B902" s="2">
        <v>900</v>
      </c>
      <c r="C902" t="s">
        <v>10</v>
      </c>
      <c r="D902" t="s">
        <v>470</v>
      </c>
      <c r="E902" t="s">
        <v>115</v>
      </c>
    </row>
    <row r="903" spans="1:5" x14ac:dyDescent="0.25">
      <c r="A903" s="2" t="str">
        <f>HYPERLINK("spreadsheet/901.xlsx", "901.xlsx")</f>
        <v>901.xlsx</v>
      </c>
      <c r="B903" s="2">
        <v>901</v>
      </c>
      <c r="C903" t="s">
        <v>5</v>
      </c>
      <c r="D903" t="s">
        <v>471</v>
      </c>
      <c r="E903" t="s">
        <v>71</v>
      </c>
    </row>
    <row r="904" spans="1:5" x14ac:dyDescent="0.25">
      <c r="A904" s="2" t="str">
        <f>HYPERLINK("spreadsheet/902.xlsx", "902.xlsx")</f>
        <v>902.xlsx</v>
      </c>
      <c r="B904" s="2">
        <v>902</v>
      </c>
      <c r="C904" t="s">
        <v>10</v>
      </c>
      <c r="D904" t="s">
        <v>471</v>
      </c>
      <c r="E904" t="s">
        <v>71</v>
      </c>
    </row>
    <row r="905" spans="1:5" x14ac:dyDescent="0.25">
      <c r="A905" s="2" t="str">
        <f>HYPERLINK("spreadsheet/903.xlsx", "903.xlsx")</f>
        <v>903.xlsx</v>
      </c>
      <c r="B905" s="2">
        <v>903</v>
      </c>
      <c r="C905" t="s">
        <v>14</v>
      </c>
      <c r="D905" t="s">
        <v>471</v>
      </c>
      <c r="E905" t="s">
        <v>71</v>
      </c>
    </row>
    <row r="906" spans="1:5" x14ac:dyDescent="0.25">
      <c r="A906" s="2" t="str">
        <f>HYPERLINK("spreadsheet/904.xlsx", "904.xlsx")</f>
        <v>904.xlsx</v>
      </c>
      <c r="B906" s="2">
        <v>904</v>
      </c>
      <c r="C906" t="s">
        <v>15</v>
      </c>
      <c r="D906" t="s">
        <v>471</v>
      </c>
      <c r="E906" t="s">
        <v>71</v>
      </c>
    </row>
    <row r="907" spans="1:5" x14ac:dyDescent="0.25">
      <c r="A907" s="2" t="str">
        <f>HYPERLINK("spreadsheet/905.xlsx", "905.xlsx")</f>
        <v>905.xlsx</v>
      </c>
      <c r="B907" s="2">
        <v>905</v>
      </c>
      <c r="C907" t="s">
        <v>22</v>
      </c>
      <c r="D907" t="s">
        <v>471</v>
      </c>
      <c r="E907" t="s">
        <v>71</v>
      </c>
    </row>
    <row r="908" spans="1:5" x14ac:dyDescent="0.25">
      <c r="A908" s="2" t="str">
        <f>HYPERLINK("spreadsheet/906.xlsx", "906.xlsx")</f>
        <v>906.xlsx</v>
      </c>
      <c r="B908" s="2">
        <v>906</v>
      </c>
      <c r="C908" t="s">
        <v>5</v>
      </c>
      <c r="D908" t="s">
        <v>472</v>
      </c>
      <c r="E908" t="s">
        <v>218</v>
      </c>
    </row>
    <row r="909" spans="1:5" x14ac:dyDescent="0.25">
      <c r="A909" s="2" t="str">
        <f>HYPERLINK("spreadsheet/907.xlsx", "907.xlsx")</f>
        <v>907.xlsx</v>
      </c>
      <c r="B909" s="2">
        <v>907</v>
      </c>
      <c r="C909" t="s">
        <v>10</v>
      </c>
      <c r="D909" t="s">
        <v>472</v>
      </c>
      <c r="E909" t="s">
        <v>218</v>
      </c>
    </row>
    <row r="910" spans="1:5" x14ac:dyDescent="0.25">
      <c r="A910" s="2" t="str">
        <f>HYPERLINK("spreadsheet/908.xlsx", "908.xlsx")</f>
        <v>908.xlsx</v>
      </c>
      <c r="B910" s="2">
        <v>908</v>
      </c>
      <c r="C910" t="s">
        <v>15</v>
      </c>
      <c r="D910" t="s">
        <v>472</v>
      </c>
      <c r="E910" t="s">
        <v>218</v>
      </c>
    </row>
    <row r="911" spans="1:5" x14ac:dyDescent="0.25">
      <c r="A911" s="2" t="s">
        <v>473</v>
      </c>
      <c r="B911" s="2">
        <v>909</v>
      </c>
      <c r="C911" t="s">
        <v>22</v>
      </c>
      <c r="D911" t="s">
        <v>472</v>
      </c>
      <c r="E911" t="s">
        <v>218</v>
      </c>
    </row>
    <row r="912" spans="1:5" x14ac:dyDescent="0.25">
      <c r="A912" s="2" t="str">
        <f>HYPERLINK("spreadsheet/910.xlsx", "910.xlsx")</f>
        <v>910.xlsx</v>
      </c>
      <c r="B912" s="2">
        <v>910</v>
      </c>
      <c r="C912" t="s">
        <v>24</v>
      </c>
      <c r="D912" t="s">
        <v>472</v>
      </c>
      <c r="E912" t="s">
        <v>218</v>
      </c>
    </row>
    <row r="913" spans="1:5" x14ac:dyDescent="0.25">
      <c r="A913" s="2" t="str">
        <f>HYPERLINK("spreadsheet/911.xlsx", "911.xlsx")</f>
        <v>911.xlsx</v>
      </c>
      <c r="B913" s="2">
        <v>911</v>
      </c>
      <c r="C913" t="s">
        <v>60</v>
      </c>
      <c r="D913" t="s">
        <v>472</v>
      </c>
      <c r="E913" t="s">
        <v>218</v>
      </c>
    </row>
    <row r="914" spans="1:5" x14ac:dyDescent="0.25">
      <c r="A914" s="2" t="str">
        <f>HYPERLINK("spreadsheet/912.xlsx", "912.xlsx")</f>
        <v>912.xlsx</v>
      </c>
      <c r="B914" s="2">
        <v>912</v>
      </c>
      <c r="C914" t="s">
        <v>45</v>
      </c>
      <c r="D914" t="s">
        <v>472</v>
      </c>
      <c r="E914" t="s">
        <v>218</v>
      </c>
    </row>
    <row r="915" spans="1:5" x14ac:dyDescent="0.25">
      <c r="A915" s="2" t="str">
        <f>HYPERLINK("spreadsheet/913.xlsx", "913.xlsx")</f>
        <v>913.xlsx</v>
      </c>
      <c r="B915" s="2">
        <v>913</v>
      </c>
      <c r="C915" t="s">
        <v>46</v>
      </c>
      <c r="D915" t="s">
        <v>472</v>
      </c>
      <c r="E915" t="s">
        <v>218</v>
      </c>
    </row>
    <row r="916" spans="1:5" x14ac:dyDescent="0.25">
      <c r="A916" s="2" t="str">
        <f>HYPERLINK("spreadsheet/914.xlsx", "914.xlsx")</f>
        <v>914.xlsx</v>
      </c>
      <c r="B916" s="2">
        <v>914</v>
      </c>
      <c r="C916" t="s">
        <v>5</v>
      </c>
      <c r="D916" t="s">
        <v>474</v>
      </c>
      <c r="E916" t="s">
        <v>150</v>
      </c>
    </row>
    <row r="917" spans="1:5" x14ac:dyDescent="0.25">
      <c r="A917" s="2" t="str">
        <f>HYPERLINK("spreadsheet/915.xlsx", "915.xlsx")</f>
        <v>915.xlsx</v>
      </c>
      <c r="B917" s="2">
        <v>915</v>
      </c>
      <c r="C917" t="s">
        <v>10</v>
      </c>
      <c r="D917" t="s">
        <v>474</v>
      </c>
      <c r="E917" t="s">
        <v>150</v>
      </c>
    </row>
    <row r="918" spans="1:5" x14ac:dyDescent="0.25">
      <c r="A918" s="2" t="s">
        <v>475</v>
      </c>
      <c r="B918" s="2">
        <v>916</v>
      </c>
      <c r="C918" t="s">
        <v>14</v>
      </c>
      <c r="D918" t="s">
        <v>474</v>
      </c>
      <c r="E918" t="s">
        <v>150</v>
      </c>
    </row>
    <row r="919" spans="1:5" x14ac:dyDescent="0.25">
      <c r="A919" s="2" t="str">
        <f>HYPERLINK("spreadsheet/917.xlsx", "917.xlsx")</f>
        <v>917.xlsx</v>
      </c>
      <c r="B919" s="2">
        <v>917</v>
      </c>
      <c r="C919" t="s">
        <v>15</v>
      </c>
      <c r="D919" t="s">
        <v>474</v>
      </c>
      <c r="E919" t="s">
        <v>150</v>
      </c>
    </row>
    <row r="920" spans="1:5" x14ac:dyDescent="0.25">
      <c r="A920" s="2" t="str">
        <f>HYPERLINK("spreadsheet/918.xlsx", "918.xlsx")</f>
        <v>918.xlsx</v>
      </c>
      <c r="B920" s="2">
        <v>918</v>
      </c>
      <c r="C920" t="s">
        <v>22</v>
      </c>
      <c r="D920" t="s">
        <v>474</v>
      </c>
      <c r="E920" t="s">
        <v>150</v>
      </c>
    </row>
    <row r="921" spans="1:5" x14ac:dyDescent="0.25">
      <c r="A921" s="2" t="str">
        <f>HYPERLINK("spreadsheet/919.xlsx", "919.xlsx")</f>
        <v>919.xlsx</v>
      </c>
      <c r="B921" s="2">
        <v>919</v>
      </c>
      <c r="C921" t="s">
        <v>24</v>
      </c>
      <c r="D921" t="s">
        <v>474</v>
      </c>
      <c r="E921" t="s">
        <v>150</v>
      </c>
    </row>
    <row r="922" spans="1:5" x14ac:dyDescent="0.25">
      <c r="A922" s="2" t="str">
        <f>HYPERLINK("spreadsheet/920.xlsx", "920.xlsx")</f>
        <v>920.xlsx</v>
      </c>
      <c r="B922" s="2">
        <v>920</v>
      </c>
      <c r="C922" t="s">
        <v>60</v>
      </c>
      <c r="D922" t="s">
        <v>474</v>
      </c>
      <c r="E922" t="s">
        <v>150</v>
      </c>
    </row>
    <row r="923" spans="1:5" x14ac:dyDescent="0.25">
      <c r="A923" s="2" t="s">
        <v>476</v>
      </c>
      <c r="B923" s="2">
        <v>921</v>
      </c>
      <c r="C923" t="s">
        <v>44</v>
      </c>
      <c r="D923" t="s">
        <v>474</v>
      </c>
      <c r="E923" t="s">
        <v>150</v>
      </c>
    </row>
    <row r="924" spans="1:5" x14ac:dyDescent="0.25">
      <c r="A924" s="2" t="s">
        <v>477</v>
      </c>
      <c r="B924" s="2">
        <v>922</v>
      </c>
      <c r="C924" t="s">
        <v>45</v>
      </c>
      <c r="D924" t="s">
        <v>474</v>
      </c>
      <c r="E924" t="s">
        <v>150</v>
      </c>
    </row>
    <row r="925" spans="1:5" x14ac:dyDescent="0.25">
      <c r="A925" s="2" t="str">
        <f>HYPERLINK("spreadsheet/923.xlsx", "923.xlsx")</f>
        <v>923.xlsx</v>
      </c>
      <c r="B925" s="2">
        <v>923</v>
      </c>
      <c r="C925" t="s">
        <v>46</v>
      </c>
      <c r="D925" t="s">
        <v>474</v>
      </c>
      <c r="E925" t="s">
        <v>150</v>
      </c>
    </row>
    <row r="926" spans="1:5" x14ac:dyDescent="0.25">
      <c r="A926" s="2" t="s">
        <v>478</v>
      </c>
      <c r="B926" s="2">
        <v>924</v>
      </c>
      <c r="C926" t="s">
        <v>47</v>
      </c>
      <c r="D926" t="s">
        <v>474</v>
      </c>
      <c r="E926" t="s">
        <v>150</v>
      </c>
    </row>
    <row r="927" spans="1:5" x14ac:dyDescent="0.25">
      <c r="A927" s="2" t="s">
        <v>479</v>
      </c>
      <c r="B927" s="2">
        <v>925</v>
      </c>
      <c r="C927" t="s">
        <v>48</v>
      </c>
      <c r="D927" t="s">
        <v>474</v>
      </c>
      <c r="E927" t="s">
        <v>150</v>
      </c>
    </row>
    <row r="928" spans="1:5" x14ac:dyDescent="0.25">
      <c r="A928" s="2" t="str">
        <f>HYPERLINK("spreadsheet/926.xlsx", "926.xlsx")</f>
        <v>926.xlsx</v>
      </c>
      <c r="B928" s="2">
        <v>926</v>
      </c>
      <c r="C928" t="s">
        <v>5</v>
      </c>
      <c r="D928" t="s">
        <v>480</v>
      </c>
      <c r="E928" t="s">
        <v>150</v>
      </c>
    </row>
    <row r="929" spans="1:5" x14ac:dyDescent="0.25">
      <c r="A929" s="2" t="str">
        <f>HYPERLINK("spreadsheet/927.xlsx", "927.xlsx")</f>
        <v>927.xlsx</v>
      </c>
      <c r="B929" s="2">
        <v>927</v>
      </c>
      <c r="C929" t="s">
        <v>10</v>
      </c>
      <c r="D929" t="s">
        <v>480</v>
      </c>
      <c r="E929" t="s">
        <v>150</v>
      </c>
    </row>
    <row r="930" spans="1:5" x14ac:dyDescent="0.25">
      <c r="A930" s="2" t="str">
        <f>HYPERLINK("spreadsheet/928.xlsx", "928.xlsx")</f>
        <v>928.xlsx</v>
      </c>
      <c r="B930" s="2">
        <v>928</v>
      </c>
      <c r="C930" t="s">
        <v>14</v>
      </c>
      <c r="D930" t="s">
        <v>480</v>
      </c>
      <c r="E930" t="s">
        <v>150</v>
      </c>
    </row>
    <row r="931" spans="1:5" x14ac:dyDescent="0.25">
      <c r="A931" s="2" t="str">
        <f>HYPERLINK("spreadsheet/929.xlsx", "929.xlsx")</f>
        <v>929.xlsx</v>
      </c>
      <c r="B931" s="2">
        <v>929</v>
      </c>
      <c r="C931" t="s">
        <v>15</v>
      </c>
      <c r="D931" t="s">
        <v>480</v>
      </c>
      <c r="E931" t="s">
        <v>150</v>
      </c>
    </row>
    <row r="932" spans="1:5" x14ac:dyDescent="0.25">
      <c r="A932" s="2" t="str">
        <f>HYPERLINK("spreadsheet/930.xlsx", "930.xlsx")</f>
        <v>930.xlsx</v>
      </c>
      <c r="B932" s="2">
        <v>930</v>
      </c>
      <c r="C932" t="s">
        <v>22</v>
      </c>
      <c r="D932" t="s">
        <v>480</v>
      </c>
      <c r="E932" t="s">
        <v>150</v>
      </c>
    </row>
    <row r="933" spans="1:5" x14ac:dyDescent="0.25">
      <c r="A933" s="2" t="str">
        <f>HYPERLINK("spreadsheet/931.xlsx", "931.xlsx")</f>
        <v>931.xlsx</v>
      </c>
      <c r="B933" s="2">
        <v>931</v>
      </c>
      <c r="C933" t="s">
        <v>24</v>
      </c>
      <c r="D933" t="s">
        <v>480</v>
      </c>
      <c r="E933" t="s">
        <v>150</v>
      </c>
    </row>
    <row r="934" spans="1:5" x14ac:dyDescent="0.25">
      <c r="A934" s="2" t="str">
        <f>HYPERLINK("spreadsheet/932.xlsx", "932.xlsx")</f>
        <v>932.xlsx</v>
      </c>
      <c r="B934" s="2">
        <v>932</v>
      </c>
      <c r="C934" t="s">
        <v>60</v>
      </c>
      <c r="D934" t="s">
        <v>480</v>
      </c>
      <c r="E934" t="s">
        <v>150</v>
      </c>
    </row>
    <row r="935" spans="1:5" x14ac:dyDescent="0.25">
      <c r="A935" s="2" t="str">
        <f>HYPERLINK("spreadsheet/933.xlsx", "933.xlsx")</f>
        <v>933.xlsx</v>
      </c>
      <c r="B935" s="2">
        <v>933</v>
      </c>
      <c r="C935" t="s">
        <v>44</v>
      </c>
      <c r="D935" t="s">
        <v>480</v>
      </c>
      <c r="E935" t="s">
        <v>150</v>
      </c>
    </row>
    <row r="936" spans="1:5" x14ac:dyDescent="0.25">
      <c r="A936" s="2" t="str">
        <f>HYPERLINK("spreadsheet/934.xlsx", "934.xlsx")</f>
        <v>934.xlsx</v>
      </c>
      <c r="B936" s="2">
        <v>934</v>
      </c>
      <c r="C936" t="s">
        <v>45</v>
      </c>
      <c r="D936" t="s">
        <v>480</v>
      </c>
      <c r="E936" t="s">
        <v>150</v>
      </c>
    </row>
    <row r="937" spans="1:5" x14ac:dyDescent="0.25">
      <c r="A937" s="2" t="str">
        <f>HYPERLINK("spreadsheet/935.xlsx", "935.xlsx")</f>
        <v>935.xlsx</v>
      </c>
      <c r="B937" s="2">
        <v>935</v>
      </c>
      <c r="C937" t="s">
        <v>46</v>
      </c>
      <c r="D937" t="s">
        <v>480</v>
      </c>
      <c r="E937" t="s">
        <v>150</v>
      </c>
    </row>
    <row r="938" spans="1:5" x14ac:dyDescent="0.25">
      <c r="A938" s="2" t="str">
        <f>HYPERLINK("spreadsheet/936.xlsx", "936.xlsx")</f>
        <v>936.xlsx</v>
      </c>
      <c r="B938" s="2">
        <v>936</v>
      </c>
      <c r="C938" t="s">
        <v>47</v>
      </c>
      <c r="D938" t="s">
        <v>480</v>
      </c>
      <c r="E938" t="s">
        <v>150</v>
      </c>
    </row>
    <row r="939" spans="1:5" x14ac:dyDescent="0.25">
      <c r="A939" s="2" t="str">
        <f>HYPERLINK("spreadsheet/937.xlsx", "937.xlsx")</f>
        <v>937.xlsx</v>
      </c>
      <c r="B939" s="2">
        <v>937</v>
      </c>
      <c r="C939" t="s">
        <v>5</v>
      </c>
      <c r="D939" t="s">
        <v>481</v>
      </c>
      <c r="E939" t="s">
        <v>115</v>
      </c>
    </row>
    <row r="940" spans="1:5" x14ac:dyDescent="0.25">
      <c r="A940" s="2" t="s">
        <v>482</v>
      </c>
      <c r="B940" s="2">
        <v>938</v>
      </c>
      <c r="C940" t="s">
        <v>10</v>
      </c>
      <c r="D940" t="s">
        <v>481</v>
      </c>
      <c r="E940" t="s">
        <v>115</v>
      </c>
    </row>
    <row r="941" spans="1:5" x14ac:dyDescent="0.25">
      <c r="A941" s="2" t="str">
        <f>HYPERLINK("spreadsheet/939.xlsx", "939.xlsx")</f>
        <v>939.xlsx</v>
      </c>
      <c r="B941" s="2">
        <v>939</v>
      </c>
      <c r="C941" t="s">
        <v>5</v>
      </c>
      <c r="D941" t="s">
        <v>483</v>
      </c>
      <c r="E941" t="s">
        <v>115</v>
      </c>
    </row>
    <row r="942" spans="1:5" x14ac:dyDescent="0.25">
      <c r="A942" s="2" t="s">
        <v>484</v>
      </c>
      <c r="B942" s="2">
        <v>940</v>
      </c>
      <c r="C942" t="s">
        <v>10</v>
      </c>
      <c r="D942" t="s">
        <v>483</v>
      </c>
      <c r="E942" t="s">
        <v>115</v>
      </c>
    </row>
    <row r="943" spans="1:5" x14ac:dyDescent="0.25">
      <c r="A943" s="2" t="str">
        <f>HYPERLINK("spreadsheet/941.xlsx", "941.xlsx")</f>
        <v>941.xlsx</v>
      </c>
      <c r="B943" s="2">
        <v>941</v>
      </c>
      <c r="C943" t="s">
        <v>14</v>
      </c>
      <c r="D943" t="s">
        <v>483</v>
      </c>
      <c r="E943" t="s">
        <v>115</v>
      </c>
    </row>
    <row r="944" spans="1:5" x14ac:dyDescent="0.25">
      <c r="A944" s="2" t="str">
        <f>HYPERLINK("spreadsheet/942.xlsx", "942.xlsx")</f>
        <v>942.xlsx</v>
      </c>
      <c r="B944" s="2">
        <v>942</v>
      </c>
      <c r="C944" t="s">
        <v>5</v>
      </c>
      <c r="D944" t="s">
        <v>485</v>
      </c>
      <c r="E944" t="s">
        <v>134</v>
      </c>
    </row>
    <row r="945" spans="1:5" x14ac:dyDescent="0.25">
      <c r="A945" s="2" t="str">
        <f>HYPERLINK("spreadsheet/943.xlsx", "943.xlsx")</f>
        <v>943.xlsx</v>
      </c>
      <c r="B945" s="2">
        <v>943</v>
      </c>
      <c r="C945" t="s">
        <v>10</v>
      </c>
      <c r="D945" t="s">
        <v>485</v>
      </c>
      <c r="E945" t="s">
        <v>134</v>
      </c>
    </row>
    <row r="946" spans="1:5" x14ac:dyDescent="0.25">
      <c r="A946" s="2" t="str">
        <f>HYPERLINK("spreadsheet/944.xlsx", "944.xlsx")</f>
        <v>944.xlsx</v>
      </c>
      <c r="B946" s="2">
        <v>944</v>
      </c>
      <c r="C946" t="s">
        <v>14</v>
      </c>
      <c r="D946" t="s">
        <v>485</v>
      </c>
      <c r="E946" t="s">
        <v>134</v>
      </c>
    </row>
    <row r="947" spans="1:5" x14ac:dyDescent="0.25">
      <c r="A947" s="2" t="str">
        <f>HYPERLINK("spreadsheet/945.xlsx", "945.xlsx")</f>
        <v>945.xlsx</v>
      </c>
      <c r="B947" s="2">
        <v>945</v>
      </c>
      <c r="C947" t="s">
        <v>15</v>
      </c>
      <c r="D947" t="s">
        <v>485</v>
      </c>
      <c r="E947" t="s">
        <v>134</v>
      </c>
    </row>
    <row r="948" spans="1:5" x14ac:dyDescent="0.25">
      <c r="A948" s="2" t="str">
        <f>HYPERLINK("spreadsheet/946.xlsx", "946.xlsx")</f>
        <v>946.xlsx</v>
      </c>
      <c r="B948" s="2">
        <v>946</v>
      </c>
      <c r="C948" t="s">
        <v>22</v>
      </c>
      <c r="D948" t="s">
        <v>485</v>
      </c>
      <c r="E948" t="s">
        <v>134</v>
      </c>
    </row>
    <row r="949" spans="1:5" x14ac:dyDescent="0.25">
      <c r="A949" s="2" t="str">
        <f>HYPERLINK("spreadsheet/947.xlsx", "947.xlsx")</f>
        <v>947.xlsx</v>
      </c>
      <c r="B949" s="2">
        <v>947</v>
      </c>
      <c r="C949" t="s">
        <v>5</v>
      </c>
      <c r="D949" t="s">
        <v>486</v>
      </c>
      <c r="E949" t="s">
        <v>115</v>
      </c>
    </row>
    <row r="950" spans="1:5" x14ac:dyDescent="0.25">
      <c r="A950" s="2" t="s">
        <v>487</v>
      </c>
      <c r="B950" s="2">
        <v>948</v>
      </c>
      <c r="C950" t="s">
        <v>5</v>
      </c>
      <c r="D950" t="s">
        <v>488</v>
      </c>
      <c r="E950" t="s">
        <v>218</v>
      </c>
    </row>
    <row r="951" spans="1:5" x14ac:dyDescent="0.25">
      <c r="A951" s="2" t="str">
        <f>HYPERLINK("spreadsheet/949.xlsx", "949.xlsx")</f>
        <v>949.xlsx</v>
      </c>
      <c r="B951" s="2">
        <v>949</v>
      </c>
      <c r="C951" t="s">
        <v>5</v>
      </c>
      <c r="D951" t="s">
        <v>489</v>
      </c>
      <c r="E951" t="s">
        <v>134</v>
      </c>
    </row>
    <row r="952" spans="1:5" x14ac:dyDescent="0.25">
      <c r="A952" s="2" t="str">
        <f>HYPERLINK("spreadsheet/950.xlsx", "950.xlsx")</f>
        <v>950.xlsx</v>
      </c>
      <c r="B952" s="2">
        <v>950</v>
      </c>
      <c r="C952" t="s">
        <v>10</v>
      </c>
      <c r="D952" t="s">
        <v>489</v>
      </c>
      <c r="E952" t="s">
        <v>134</v>
      </c>
    </row>
    <row r="953" spans="1:5" x14ac:dyDescent="0.25">
      <c r="A953" s="2" t="str">
        <f>HYPERLINK("spreadsheet/951.xlsx", "951.xlsx")</f>
        <v>951.xlsx</v>
      </c>
      <c r="B953" s="2">
        <v>951</v>
      </c>
      <c r="C953" t="s">
        <v>14</v>
      </c>
      <c r="D953" t="s">
        <v>489</v>
      </c>
      <c r="E953" t="s">
        <v>134</v>
      </c>
    </row>
    <row r="954" spans="1:5" x14ac:dyDescent="0.25">
      <c r="A954" s="2" t="str">
        <f>HYPERLINK("spreadsheet/952.xlsx", "952.xlsx")</f>
        <v>952.xlsx</v>
      </c>
      <c r="B954" s="2">
        <v>952</v>
      </c>
      <c r="C954" t="s">
        <v>15</v>
      </c>
      <c r="D954" t="s">
        <v>489</v>
      </c>
      <c r="E954" t="s">
        <v>134</v>
      </c>
    </row>
    <row r="955" spans="1:5" x14ac:dyDescent="0.25">
      <c r="A955" s="2" t="str">
        <f>HYPERLINK("spreadsheet/953.xlsx", "953.xlsx")</f>
        <v>953.xlsx</v>
      </c>
      <c r="B955" s="2">
        <v>953</v>
      </c>
      <c r="C955" t="s">
        <v>5</v>
      </c>
      <c r="D955" t="s">
        <v>490</v>
      </c>
      <c r="E955" t="s">
        <v>150</v>
      </c>
    </row>
    <row r="956" spans="1:5" x14ac:dyDescent="0.25">
      <c r="A956" s="2" t="str">
        <f>HYPERLINK("spreadsheet/954.xlsx", "954.xlsx")</f>
        <v>954.xlsx</v>
      </c>
      <c r="B956" s="2">
        <v>954</v>
      </c>
      <c r="C956" t="s">
        <v>10</v>
      </c>
      <c r="D956" t="s">
        <v>490</v>
      </c>
      <c r="E956" t="s">
        <v>150</v>
      </c>
    </row>
    <row r="957" spans="1:5" x14ac:dyDescent="0.25">
      <c r="A957" s="2" t="str">
        <f>HYPERLINK("spreadsheet/955.xlsx", "955.xlsx")</f>
        <v>955.xlsx</v>
      </c>
      <c r="B957" s="2">
        <v>955</v>
      </c>
      <c r="C957" t="s">
        <v>14</v>
      </c>
      <c r="D957" t="s">
        <v>490</v>
      </c>
      <c r="E957" t="s">
        <v>150</v>
      </c>
    </row>
    <row r="958" spans="1:5" x14ac:dyDescent="0.25">
      <c r="A958" s="2" t="str">
        <f>HYPERLINK("spreadsheet/956.xlsx", "956.xlsx")</f>
        <v>956.xlsx</v>
      </c>
      <c r="B958" s="2">
        <v>956</v>
      </c>
      <c r="C958" t="s">
        <v>15</v>
      </c>
      <c r="D958" t="s">
        <v>490</v>
      </c>
      <c r="E958" t="s">
        <v>150</v>
      </c>
    </row>
    <row r="959" spans="1:5" x14ac:dyDescent="0.25">
      <c r="A959" s="2" t="str">
        <f>HYPERLINK("spreadsheet/957.xlsx", "957.xlsx")</f>
        <v>957.xlsx</v>
      </c>
      <c r="B959" s="2">
        <v>957</v>
      </c>
      <c r="C959" t="s">
        <v>22</v>
      </c>
      <c r="D959" t="s">
        <v>490</v>
      </c>
      <c r="E959" t="s">
        <v>150</v>
      </c>
    </row>
    <row r="960" spans="1:5" x14ac:dyDescent="0.25">
      <c r="A960" s="2" t="str">
        <f>HYPERLINK("spreadsheet/958.xlsx", "958.xlsx")</f>
        <v>958.xlsx</v>
      </c>
      <c r="B960" s="2">
        <v>958</v>
      </c>
      <c r="C960" t="s">
        <v>24</v>
      </c>
      <c r="D960" t="s">
        <v>490</v>
      </c>
      <c r="E960" t="s">
        <v>150</v>
      </c>
    </row>
    <row r="961" spans="1:5" x14ac:dyDescent="0.25">
      <c r="A961" s="2" t="str">
        <f>HYPERLINK("spreadsheet/959.xlsx", "959.xlsx")</f>
        <v>959.xlsx</v>
      </c>
      <c r="B961" s="2">
        <v>959</v>
      </c>
      <c r="C961" t="s">
        <v>60</v>
      </c>
      <c r="D961" t="s">
        <v>490</v>
      </c>
      <c r="E961" t="s">
        <v>150</v>
      </c>
    </row>
    <row r="962" spans="1:5" x14ac:dyDescent="0.25">
      <c r="A962" s="2" t="str">
        <f>HYPERLINK("spreadsheet/960.xlsx", "960.xlsx")</f>
        <v>960.xlsx</v>
      </c>
      <c r="B962" s="2">
        <v>960</v>
      </c>
      <c r="C962" t="s">
        <v>44</v>
      </c>
      <c r="D962" t="s">
        <v>490</v>
      </c>
      <c r="E962" t="s">
        <v>150</v>
      </c>
    </row>
    <row r="963" spans="1:5" x14ac:dyDescent="0.25">
      <c r="A963" s="2" t="str">
        <f>HYPERLINK("spreadsheet/961.xlsx", "961.xlsx")</f>
        <v>961.xlsx</v>
      </c>
      <c r="B963" s="2">
        <v>961</v>
      </c>
      <c r="C963" t="s">
        <v>45</v>
      </c>
      <c r="D963" t="s">
        <v>490</v>
      </c>
      <c r="E963" t="s">
        <v>150</v>
      </c>
    </row>
    <row r="964" spans="1:5" x14ac:dyDescent="0.25">
      <c r="A964" s="2" t="str">
        <f>HYPERLINK("spreadsheet/962.xlsx", "962.xlsx")</f>
        <v>962.xlsx</v>
      </c>
      <c r="B964" s="2">
        <v>962</v>
      </c>
      <c r="C964" t="s">
        <v>5</v>
      </c>
      <c r="D964" t="s">
        <v>491</v>
      </c>
      <c r="E964" t="s">
        <v>173</v>
      </c>
    </row>
    <row r="965" spans="1:5" x14ac:dyDescent="0.25">
      <c r="A965" s="2" t="str">
        <f>HYPERLINK("spreadsheet/963.xlsx", "963.xlsx")</f>
        <v>963.xlsx</v>
      </c>
      <c r="B965" s="2">
        <v>963</v>
      </c>
      <c r="C965" t="s">
        <v>10</v>
      </c>
      <c r="D965" t="s">
        <v>491</v>
      </c>
      <c r="E965" t="s">
        <v>173</v>
      </c>
    </row>
    <row r="966" spans="1:5" x14ac:dyDescent="0.25">
      <c r="A966" s="2" t="s">
        <v>492</v>
      </c>
      <c r="B966" s="2">
        <v>964</v>
      </c>
      <c r="C966" t="s">
        <v>5</v>
      </c>
      <c r="D966" t="s">
        <v>493</v>
      </c>
      <c r="E966" t="s">
        <v>115</v>
      </c>
    </row>
    <row r="967" spans="1:5" x14ac:dyDescent="0.25">
      <c r="A967" s="2" t="s">
        <v>494</v>
      </c>
      <c r="B967" s="2">
        <v>965</v>
      </c>
      <c r="C967" t="s">
        <v>10</v>
      </c>
      <c r="D967" t="s">
        <v>493</v>
      </c>
      <c r="E967" t="s">
        <v>115</v>
      </c>
    </row>
    <row r="968" spans="1:5" x14ac:dyDescent="0.25">
      <c r="A968" s="2" t="str">
        <f>HYPERLINK("spreadsheet/966.xlsx", "966.xlsx")</f>
        <v>966.xlsx</v>
      </c>
      <c r="B968" s="2">
        <v>966</v>
      </c>
      <c r="C968" t="s">
        <v>14</v>
      </c>
      <c r="D968" t="s">
        <v>493</v>
      </c>
      <c r="E968" t="s">
        <v>115</v>
      </c>
    </row>
    <row r="969" spans="1:5" x14ac:dyDescent="0.25">
      <c r="A969" s="2" t="s">
        <v>495</v>
      </c>
      <c r="B969" s="2">
        <v>967</v>
      </c>
      <c r="C969" t="s">
        <v>15</v>
      </c>
      <c r="D969" t="s">
        <v>493</v>
      </c>
      <c r="E969" t="s">
        <v>115</v>
      </c>
    </row>
    <row r="970" spans="1:5" x14ac:dyDescent="0.25">
      <c r="A970" s="2" t="s">
        <v>496</v>
      </c>
      <c r="B970" s="2">
        <v>968</v>
      </c>
      <c r="C970" t="s">
        <v>22</v>
      </c>
      <c r="D970" t="s">
        <v>493</v>
      </c>
      <c r="E970" t="s">
        <v>115</v>
      </c>
    </row>
    <row r="971" spans="1:5" x14ac:dyDescent="0.25">
      <c r="A971" s="2" t="str">
        <f>HYPERLINK("spreadsheet/969.xlsx", "969.xlsx")</f>
        <v>969.xlsx</v>
      </c>
      <c r="B971" s="2">
        <v>969</v>
      </c>
      <c r="C971" t="s">
        <v>5</v>
      </c>
      <c r="D971" t="s">
        <v>497</v>
      </c>
      <c r="E971" t="s">
        <v>319</v>
      </c>
    </row>
    <row r="972" spans="1:5" x14ac:dyDescent="0.25">
      <c r="A972" s="2" t="str">
        <f>HYPERLINK("spreadsheet/970.xlsx", "970.xlsx")</f>
        <v>970.xlsx</v>
      </c>
      <c r="B972" s="2">
        <v>970</v>
      </c>
      <c r="C972" t="s">
        <v>10</v>
      </c>
      <c r="D972" t="s">
        <v>497</v>
      </c>
      <c r="E972" t="s">
        <v>319</v>
      </c>
    </row>
    <row r="973" spans="1:5" x14ac:dyDescent="0.25">
      <c r="A973" s="2" t="str">
        <f>HYPERLINK("spreadsheet/971.xlsx", "971.xlsx")</f>
        <v>971.xlsx</v>
      </c>
      <c r="B973" s="2">
        <v>971</v>
      </c>
      <c r="C973" t="s">
        <v>14</v>
      </c>
      <c r="D973" t="s">
        <v>497</v>
      </c>
      <c r="E973" t="s">
        <v>319</v>
      </c>
    </row>
    <row r="974" spans="1:5" x14ac:dyDescent="0.25">
      <c r="A974" s="2" t="str">
        <f>HYPERLINK("spreadsheet/972.xlsx", "972.xlsx")</f>
        <v>972.xlsx</v>
      </c>
      <c r="B974" s="2">
        <v>972</v>
      </c>
      <c r="C974" t="s">
        <v>15</v>
      </c>
      <c r="D974" t="s">
        <v>497</v>
      </c>
      <c r="E974" t="s">
        <v>319</v>
      </c>
    </row>
    <row r="975" spans="1:5" x14ac:dyDescent="0.25">
      <c r="A975" s="2" t="str">
        <f>HYPERLINK("spreadsheet/973.xlsx", "973.xlsx")</f>
        <v>973.xlsx</v>
      </c>
      <c r="B975" s="2">
        <v>973</v>
      </c>
      <c r="C975" t="s">
        <v>22</v>
      </c>
      <c r="D975" t="s">
        <v>497</v>
      </c>
      <c r="E975" t="s">
        <v>319</v>
      </c>
    </row>
    <row r="976" spans="1:5" x14ac:dyDescent="0.25">
      <c r="A976" s="2" t="str">
        <f>HYPERLINK("spreadsheet/974.xlsx", "974.xlsx")</f>
        <v>974.xlsx</v>
      </c>
      <c r="B976" s="2">
        <v>974</v>
      </c>
      <c r="C976" t="s">
        <v>24</v>
      </c>
      <c r="D976" t="s">
        <v>497</v>
      </c>
      <c r="E976" t="s">
        <v>319</v>
      </c>
    </row>
    <row r="977" spans="1:5" x14ac:dyDescent="0.25">
      <c r="A977" s="2" t="s">
        <v>498</v>
      </c>
      <c r="B977" s="2">
        <v>975</v>
      </c>
      <c r="C977" t="s">
        <v>5</v>
      </c>
      <c r="D977" t="s">
        <v>499</v>
      </c>
      <c r="E977" t="s">
        <v>134</v>
      </c>
    </row>
    <row r="978" spans="1:5" x14ac:dyDescent="0.25">
      <c r="A978" s="2" t="s">
        <v>500</v>
      </c>
      <c r="B978" s="2">
        <v>976</v>
      </c>
      <c r="C978" t="s">
        <v>10</v>
      </c>
      <c r="D978" t="s">
        <v>499</v>
      </c>
      <c r="E978" t="s">
        <v>134</v>
      </c>
    </row>
    <row r="979" spans="1:5" x14ac:dyDescent="0.25">
      <c r="A979" s="2" t="s">
        <v>501</v>
      </c>
      <c r="B979" s="2">
        <v>977</v>
      </c>
      <c r="C979" t="s">
        <v>14</v>
      </c>
      <c r="D979" t="s">
        <v>499</v>
      </c>
      <c r="E979" t="s">
        <v>134</v>
      </c>
    </row>
    <row r="980" spans="1:5" x14ac:dyDescent="0.25">
      <c r="A980" s="2" t="str">
        <f>HYPERLINK("spreadsheet/978.xlsx", "978.xlsx")</f>
        <v>978.xlsx</v>
      </c>
      <c r="B980" s="2">
        <v>978</v>
      </c>
      <c r="C980" t="s">
        <v>15</v>
      </c>
      <c r="D980" t="s">
        <v>499</v>
      </c>
      <c r="E980" t="s">
        <v>134</v>
      </c>
    </row>
    <row r="981" spans="1:5" x14ac:dyDescent="0.25">
      <c r="A981" s="2" t="s">
        <v>502</v>
      </c>
      <c r="B981" s="2">
        <v>979</v>
      </c>
      <c r="C981" t="s">
        <v>22</v>
      </c>
      <c r="D981" t="s">
        <v>499</v>
      </c>
      <c r="E981" t="s">
        <v>134</v>
      </c>
    </row>
    <row r="982" spans="1:5" x14ac:dyDescent="0.25">
      <c r="A982" s="2" t="s">
        <v>503</v>
      </c>
      <c r="B982" s="2">
        <v>980</v>
      </c>
      <c r="C982" t="s">
        <v>5</v>
      </c>
      <c r="D982" t="s">
        <v>504</v>
      </c>
      <c r="E982" t="s">
        <v>150</v>
      </c>
    </row>
    <row r="983" spans="1:5" x14ac:dyDescent="0.25">
      <c r="A983" s="2" t="str">
        <f>HYPERLINK("spreadsheet/981.xlsx", "981.xlsx")</f>
        <v>981.xlsx</v>
      </c>
      <c r="B983" s="2">
        <v>981</v>
      </c>
      <c r="C983" t="s">
        <v>10</v>
      </c>
      <c r="D983" t="s">
        <v>504</v>
      </c>
      <c r="E983" t="s">
        <v>150</v>
      </c>
    </row>
    <row r="984" spans="1:5" x14ac:dyDescent="0.25">
      <c r="A984" s="2" t="str">
        <f>HYPERLINK("spreadsheet/982.xlsx", "982.xlsx")</f>
        <v>982.xlsx</v>
      </c>
      <c r="B984" s="2">
        <v>982</v>
      </c>
      <c r="C984" t="s">
        <v>22</v>
      </c>
      <c r="D984" t="s">
        <v>504</v>
      </c>
      <c r="E984" t="s">
        <v>150</v>
      </c>
    </row>
    <row r="985" spans="1:5" x14ac:dyDescent="0.25">
      <c r="A985" s="2" t="str">
        <f>HYPERLINK("spreadsheet/983.xlsx", "983.xlsx")</f>
        <v>983.xlsx</v>
      </c>
      <c r="B985" s="2">
        <v>983</v>
      </c>
      <c r="C985" t="s">
        <v>505</v>
      </c>
      <c r="D985" t="s">
        <v>504</v>
      </c>
      <c r="E985" t="s">
        <v>150</v>
      </c>
    </row>
    <row r="986" spans="1:5" x14ac:dyDescent="0.25">
      <c r="A986" s="2" t="str">
        <f>HYPERLINK("spreadsheet/984.xlsx", "984.xlsx")</f>
        <v>984.xlsx</v>
      </c>
      <c r="B986" s="2">
        <v>984</v>
      </c>
      <c r="C986" t="s">
        <v>506</v>
      </c>
      <c r="D986" t="s">
        <v>504</v>
      </c>
      <c r="E986" t="s">
        <v>150</v>
      </c>
    </row>
    <row r="987" spans="1:5" x14ac:dyDescent="0.25">
      <c r="A987" s="2" t="str">
        <f>HYPERLINK("spreadsheet/985.xlsx", "985.xlsx")</f>
        <v>985.xlsx</v>
      </c>
      <c r="B987" s="2">
        <v>985</v>
      </c>
      <c r="C987" t="s">
        <v>507</v>
      </c>
      <c r="D987" t="s">
        <v>504</v>
      </c>
      <c r="E987" t="s">
        <v>150</v>
      </c>
    </row>
    <row r="988" spans="1:5" x14ac:dyDescent="0.25">
      <c r="A988" s="2" t="str">
        <f>HYPERLINK("spreadsheet/986.xlsx", "986.xlsx")</f>
        <v>986.xlsx</v>
      </c>
      <c r="B988" s="2">
        <v>986</v>
      </c>
      <c r="C988" t="s">
        <v>508</v>
      </c>
      <c r="D988" t="s">
        <v>504</v>
      </c>
      <c r="E988" t="s">
        <v>150</v>
      </c>
    </row>
    <row r="989" spans="1:5" x14ac:dyDescent="0.25">
      <c r="A989" s="2" t="str">
        <f>HYPERLINK("spreadsheet/987.xlsx", "987.xlsx")</f>
        <v>987.xlsx</v>
      </c>
      <c r="B989" s="2">
        <v>987</v>
      </c>
      <c r="C989" t="s">
        <v>5</v>
      </c>
      <c r="D989" t="s">
        <v>509</v>
      </c>
      <c r="E989" t="s">
        <v>154</v>
      </c>
    </row>
    <row r="990" spans="1:5" x14ac:dyDescent="0.25">
      <c r="A990" s="2" t="str">
        <f>HYPERLINK("spreadsheet/988.xlsx", "988.xlsx")</f>
        <v>988.xlsx</v>
      </c>
      <c r="B990" s="2">
        <v>988</v>
      </c>
      <c r="C990" t="s">
        <v>10</v>
      </c>
      <c r="D990" t="s">
        <v>509</v>
      </c>
      <c r="E990" t="s">
        <v>154</v>
      </c>
    </row>
    <row r="991" spans="1:5" x14ac:dyDescent="0.25">
      <c r="A991" s="2" t="str">
        <f>HYPERLINK("spreadsheet/989.xlsx", "989.xlsx")</f>
        <v>989.xlsx</v>
      </c>
      <c r="B991" s="2">
        <v>989</v>
      </c>
      <c r="C991" t="s">
        <v>5</v>
      </c>
      <c r="D991" t="s">
        <v>510</v>
      </c>
      <c r="E991" t="s">
        <v>150</v>
      </c>
    </row>
    <row r="992" spans="1:5" x14ac:dyDescent="0.25">
      <c r="A992" s="2" t="str">
        <f>HYPERLINK("spreadsheet/990.xlsx", "990.xlsx")</f>
        <v>990.xlsx</v>
      </c>
      <c r="B992" s="2">
        <v>990</v>
      </c>
      <c r="C992" t="s">
        <v>10</v>
      </c>
      <c r="D992" t="s">
        <v>510</v>
      </c>
      <c r="E992" t="s">
        <v>150</v>
      </c>
    </row>
    <row r="993" spans="1:5" x14ac:dyDescent="0.25">
      <c r="A993" s="2" t="str">
        <f>HYPERLINK("spreadsheet/991.xlsx", "991.xlsx")</f>
        <v>991.xlsx</v>
      </c>
      <c r="B993" s="2">
        <v>991</v>
      </c>
      <c r="C993" t="s">
        <v>5</v>
      </c>
      <c r="D993" t="s">
        <v>511</v>
      </c>
      <c r="E993" t="s">
        <v>338</v>
      </c>
    </row>
    <row r="994" spans="1:5" x14ac:dyDescent="0.25">
      <c r="A994" s="2" t="str">
        <f>HYPERLINK("spreadsheet/992.xlsx", "992.xlsx")</f>
        <v>992.xlsx</v>
      </c>
      <c r="B994" s="2">
        <v>992</v>
      </c>
      <c r="C994" t="s">
        <v>10</v>
      </c>
      <c r="D994" t="s">
        <v>511</v>
      </c>
      <c r="E994" t="s">
        <v>338</v>
      </c>
    </row>
    <row r="995" spans="1:5" x14ac:dyDescent="0.25">
      <c r="A995" s="2" t="s">
        <v>512</v>
      </c>
      <c r="B995" s="2">
        <v>993</v>
      </c>
      <c r="C995" t="s">
        <v>14</v>
      </c>
      <c r="D995" t="s">
        <v>511</v>
      </c>
      <c r="E995" t="s">
        <v>338</v>
      </c>
    </row>
    <row r="996" spans="1:5" x14ac:dyDescent="0.25">
      <c r="A996" s="2" t="str">
        <f>HYPERLINK("spreadsheet/994.xlsx", "994.xlsx")</f>
        <v>994.xlsx</v>
      </c>
      <c r="B996" s="2">
        <v>994</v>
      </c>
      <c r="C996" t="s">
        <v>513</v>
      </c>
      <c r="D996" t="s">
        <v>511</v>
      </c>
      <c r="E996" t="s">
        <v>338</v>
      </c>
    </row>
    <row r="997" spans="1:5" x14ac:dyDescent="0.25">
      <c r="A997" s="2" t="str">
        <f>HYPERLINK("spreadsheet/995.xlsx", "995.xlsx")</f>
        <v>995.xlsx</v>
      </c>
      <c r="B997" s="2">
        <v>995</v>
      </c>
      <c r="C997" t="s">
        <v>463</v>
      </c>
      <c r="D997" t="s">
        <v>511</v>
      </c>
      <c r="E997" t="s">
        <v>338</v>
      </c>
    </row>
    <row r="998" spans="1:5" x14ac:dyDescent="0.25">
      <c r="A998" s="2" t="str">
        <f>HYPERLINK("spreadsheet/996.xlsx", "996.xlsx")</f>
        <v>996.xlsx</v>
      </c>
      <c r="B998" s="2">
        <v>996</v>
      </c>
      <c r="C998" t="s">
        <v>24</v>
      </c>
      <c r="D998" t="s">
        <v>511</v>
      </c>
      <c r="E998" t="s">
        <v>338</v>
      </c>
    </row>
    <row r="999" spans="1:5" x14ac:dyDescent="0.25">
      <c r="A999" s="2" t="s">
        <v>514</v>
      </c>
      <c r="B999" s="2">
        <v>997</v>
      </c>
      <c r="C999" t="s">
        <v>44</v>
      </c>
      <c r="D999" t="s">
        <v>511</v>
      </c>
      <c r="E999" t="s">
        <v>338</v>
      </c>
    </row>
    <row r="1000" spans="1:5" x14ac:dyDescent="0.25">
      <c r="A1000" s="2" t="s">
        <v>515</v>
      </c>
      <c r="B1000" s="2">
        <v>998</v>
      </c>
      <c r="C1000" t="s">
        <v>5</v>
      </c>
      <c r="D1000" t="s">
        <v>516</v>
      </c>
      <c r="E1000" t="s">
        <v>115</v>
      </c>
    </row>
    <row r="1001" spans="1:5" x14ac:dyDescent="0.25">
      <c r="A1001" s="2" t="str">
        <f>HYPERLINK("spreadsheet/999.xlsx", "999.xlsx")</f>
        <v>999.xlsx</v>
      </c>
      <c r="B1001" s="2">
        <v>999</v>
      </c>
      <c r="C1001" t="s">
        <v>15</v>
      </c>
      <c r="D1001" t="s">
        <v>516</v>
      </c>
      <c r="E1001" t="s">
        <v>115</v>
      </c>
    </row>
    <row r="1002" spans="1:5" x14ac:dyDescent="0.25">
      <c r="A1002" s="2" t="str">
        <f>HYPERLINK("spreadsheet/1000.xlsx", "1000.xlsx")</f>
        <v>1000.xlsx</v>
      </c>
      <c r="B1002" s="2">
        <v>1000</v>
      </c>
      <c r="C1002" t="s">
        <v>517</v>
      </c>
      <c r="D1002" t="s">
        <v>518</v>
      </c>
      <c r="E1002" t="s">
        <v>115</v>
      </c>
    </row>
    <row r="1003" spans="1:5" x14ac:dyDescent="0.25">
      <c r="A1003" s="2" t="str">
        <f>HYPERLINK("spreadsheet/1001.xlsx", "1001.xlsx")</f>
        <v>1001.xlsx</v>
      </c>
      <c r="B1003" s="2">
        <v>1001</v>
      </c>
      <c r="C1003" t="s">
        <v>519</v>
      </c>
      <c r="D1003" t="s">
        <v>518</v>
      </c>
      <c r="E1003" t="s">
        <v>115</v>
      </c>
    </row>
    <row r="1004" spans="1:5" x14ac:dyDescent="0.25">
      <c r="A1004" s="2" t="str">
        <f>HYPERLINK("spreadsheet/1002.xlsx", "1002.xlsx")</f>
        <v>1002.xlsx</v>
      </c>
      <c r="B1004" s="2">
        <v>1002</v>
      </c>
      <c r="C1004" t="s">
        <v>520</v>
      </c>
      <c r="D1004" t="s">
        <v>518</v>
      </c>
      <c r="E1004" t="s">
        <v>115</v>
      </c>
    </row>
    <row r="1005" spans="1:5" x14ac:dyDescent="0.25">
      <c r="A1005" s="2" t="str">
        <f>HYPERLINK("spreadsheet/1003.xlsx", "1003.xlsx")</f>
        <v>1003.xlsx</v>
      </c>
      <c r="B1005" s="2">
        <v>1003</v>
      </c>
      <c r="C1005" t="s">
        <v>521</v>
      </c>
      <c r="D1005" t="s">
        <v>518</v>
      </c>
      <c r="E1005" t="s">
        <v>115</v>
      </c>
    </row>
    <row r="1006" spans="1:5" x14ac:dyDescent="0.25">
      <c r="A1006" s="2" t="str">
        <f>HYPERLINK("spreadsheet/1004.xlsx", "1004.xlsx")</f>
        <v>1004.xlsx</v>
      </c>
      <c r="B1006" s="2">
        <v>1004</v>
      </c>
      <c r="C1006" t="s">
        <v>522</v>
      </c>
      <c r="D1006" t="s">
        <v>518</v>
      </c>
      <c r="E1006" t="s">
        <v>115</v>
      </c>
    </row>
    <row r="1007" spans="1:5" x14ac:dyDescent="0.25">
      <c r="A1007" s="2" t="str">
        <f>HYPERLINK("spreadsheet/1005.xlsx", "1005.xlsx")</f>
        <v>1005.xlsx</v>
      </c>
      <c r="B1007" s="2">
        <v>1005</v>
      </c>
      <c r="C1007" t="s">
        <v>523</v>
      </c>
      <c r="D1007" t="s">
        <v>518</v>
      </c>
      <c r="E1007" t="s">
        <v>115</v>
      </c>
    </row>
    <row r="1008" spans="1:5" x14ac:dyDescent="0.25">
      <c r="A1008" s="2" t="str">
        <f>HYPERLINK("spreadsheet/1006.xlsx", "1006.xlsx")</f>
        <v>1006.xlsx</v>
      </c>
      <c r="B1008" s="2">
        <v>1006</v>
      </c>
      <c r="C1008" t="s">
        <v>524</v>
      </c>
      <c r="D1008" t="s">
        <v>518</v>
      </c>
      <c r="E1008" t="s">
        <v>115</v>
      </c>
    </row>
    <row r="1009" spans="1:5" x14ac:dyDescent="0.25">
      <c r="A1009" s="2" t="str">
        <f>HYPERLINK("spreadsheet/1007.xlsx", "1007.xlsx")</f>
        <v>1007.xlsx</v>
      </c>
      <c r="B1009" s="2">
        <v>1007</v>
      </c>
      <c r="C1009" t="s">
        <v>525</v>
      </c>
      <c r="D1009" t="s">
        <v>518</v>
      </c>
      <c r="E1009" t="s">
        <v>115</v>
      </c>
    </row>
    <row r="1010" spans="1:5" x14ac:dyDescent="0.25">
      <c r="A1010" s="2" t="str">
        <f>HYPERLINK("spreadsheet/1008.xlsx", "1008.xlsx")</f>
        <v>1008.xlsx</v>
      </c>
      <c r="B1010" s="2">
        <v>1008</v>
      </c>
      <c r="C1010" t="s">
        <v>526</v>
      </c>
      <c r="D1010" t="s">
        <v>518</v>
      </c>
      <c r="E1010" t="s">
        <v>115</v>
      </c>
    </row>
    <row r="1011" spans="1:5" x14ac:dyDescent="0.25">
      <c r="A1011" s="2" t="s">
        <v>527</v>
      </c>
      <c r="B1011" s="2">
        <v>1009</v>
      </c>
      <c r="C1011" t="s">
        <v>407</v>
      </c>
      <c r="D1011" t="s">
        <v>518</v>
      </c>
      <c r="E1011" t="s">
        <v>115</v>
      </c>
    </row>
    <row r="1012" spans="1:5" x14ac:dyDescent="0.25">
      <c r="A1012" s="2" t="str">
        <f>HYPERLINK("spreadsheet/1010.xlsx", "1010.xlsx")</f>
        <v>1010.xlsx</v>
      </c>
      <c r="B1012" s="2">
        <v>1010</v>
      </c>
      <c r="C1012" t="s">
        <v>528</v>
      </c>
      <c r="D1012" t="s">
        <v>518</v>
      </c>
      <c r="E1012" t="s">
        <v>115</v>
      </c>
    </row>
    <row r="1013" spans="1:5" x14ac:dyDescent="0.25">
      <c r="A1013" s="2" t="str">
        <f>HYPERLINK("spreadsheet/1011.xlsx", "1011.xlsx")</f>
        <v>1011.xlsx</v>
      </c>
      <c r="B1013" s="2">
        <v>1011</v>
      </c>
      <c r="C1013" t="s">
        <v>529</v>
      </c>
      <c r="D1013" t="s">
        <v>518</v>
      </c>
      <c r="E1013" t="s">
        <v>115</v>
      </c>
    </row>
    <row r="1014" spans="1:5" x14ac:dyDescent="0.25">
      <c r="A1014" s="2" t="str">
        <f>HYPERLINK("spreadsheet/1012.xlsx", "1012.xlsx")</f>
        <v>1012.xlsx</v>
      </c>
      <c r="B1014" s="2">
        <v>1012</v>
      </c>
      <c r="C1014" t="s">
        <v>5</v>
      </c>
      <c r="D1014" t="s">
        <v>530</v>
      </c>
      <c r="E1014" t="s">
        <v>150</v>
      </c>
    </row>
    <row r="1015" spans="1:5" x14ac:dyDescent="0.25">
      <c r="A1015" s="2" t="str">
        <f>HYPERLINK("spreadsheet/1013.xlsx", "1013.xlsx")</f>
        <v>1013.xlsx</v>
      </c>
      <c r="B1015" s="2">
        <v>1013</v>
      </c>
      <c r="C1015" t="s">
        <v>10</v>
      </c>
      <c r="D1015" t="s">
        <v>530</v>
      </c>
      <c r="E1015" t="s">
        <v>150</v>
      </c>
    </row>
    <row r="1016" spans="1:5" x14ac:dyDescent="0.25">
      <c r="A1016" s="2" t="str">
        <f>HYPERLINK("spreadsheet/1014.xlsx", "1014.xlsx")</f>
        <v>1014.xlsx</v>
      </c>
      <c r="B1016" s="2">
        <v>1014</v>
      </c>
      <c r="C1016" t="s">
        <v>14</v>
      </c>
      <c r="D1016" t="s">
        <v>530</v>
      </c>
      <c r="E1016" t="s">
        <v>150</v>
      </c>
    </row>
    <row r="1017" spans="1:5" x14ac:dyDescent="0.25">
      <c r="A1017" s="2" t="str">
        <f>HYPERLINK("spreadsheet/1015.xlsx", "1015.xlsx")</f>
        <v>1015.xlsx</v>
      </c>
      <c r="B1017" s="2">
        <v>1015</v>
      </c>
      <c r="C1017" t="s">
        <v>15</v>
      </c>
      <c r="D1017" t="s">
        <v>530</v>
      </c>
      <c r="E1017" t="s">
        <v>150</v>
      </c>
    </row>
    <row r="1018" spans="1:5" x14ac:dyDescent="0.25">
      <c r="A1018" s="2" t="str">
        <f>HYPERLINK("spreadsheet/1016.xlsx", "1016.xlsx")</f>
        <v>1016.xlsx</v>
      </c>
      <c r="B1018" s="2">
        <v>1016</v>
      </c>
      <c r="C1018" t="s">
        <v>22</v>
      </c>
      <c r="D1018" t="s">
        <v>530</v>
      </c>
      <c r="E1018" t="s">
        <v>150</v>
      </c>
    </row>
    <row r="1019" spans="1:5" x14ac:dyDescent="0.25">
      <c r="A1019" s="2" t="str">
        <f>HYPERLINK("spreadsheet/1017.xlsx", "1017.xlsx")</f>
        <v>1017.xlsx</v>
      </c>
      <c r="B1019" s="2">
        <v>1017</v>
      </c>
      <c r="C1019" t="s">
        <v>24</v>
      </c>
      <c r="D1019" t="s">
        <v>530</v>
      </c>
      <c r="E1019" t="s">
        <v>150</v>
      </c>
    </row>
    <row r="1020" spans="1:5" x14ac:dyDescent="0.25">
      <c r="A1020" s="2" t="str">
        <f>HYPERLINK("spreadsheet/1018.xlsx", "1018.xlsx")</f>
        <v>1018.xlsx</v>
      </c>
      <c r="B1020" s="2">
        <v>1018</v>
      </c>
      <c r="C1020" t="s">
        <v>60</v>
      </c>
      <c r="D1020" t="s">
        <v>530</v>
      </c>
      <c r="E1020" t="s">
        <v>150</v>
      </c>
    </row>
    <row r="1021" spans="1:5" x14ac:dyDescent="0.25">
      <c r="A1021" s="2" t="s">
        <v>531</v>
      </c>
      <c r="B1021" s="2">
        <v>1019</v>
      </c>
      <c r="C1021" t="s">
        <v>5</v>
      </c>
      <c r="D1021" t="s">
        <v>532</v>
      </c>
      <c r="E1021" t="s">
        <v>115</v>
      </c>
    </row>
    <row r="1022" spans="1:5" x14ac:dyDescent="0.25">
      <c r="A1022" s="2" t="s">
        <v>533</v>
      </c>
      <c r="B1022" s="2">
        <v>1020</v>
      </c>
      <c r="C1022" t="s">
        <v>10</v>
      </c>
      <c r="D1022" t="s">
        <v>532</v>
      </c>
      <c r="E1022" t="s">
        <v>115</v>
      </c>
    </row>
    <row r="1023" spans="1:5" x14ac:dyDescent="0.25">
      <c r="A1023" s="2" t="str">
        <f>HYPERLINK("spreadsheet/1021.xlsx", "1021.xlsx")</f>
        <v>1021.xlsx</v>
      </c>
      <c r="B1023" s="2">
        <v>1021</v>
      </c>
      <c r="C1023" t="s">
        <v>14</v>
      </c>
      <c r="D1023" t="s">
        <v>532</v>
      </c>
      <c r="E1023" t="s">
        <v>115</v>
      </c>
    </row>
    <row r="1024" spans="1:5" x14ac:dyDescent="0.25">
      <c r="A1024" s="2" t="s">
        <v>534</v>
      </c>
      <c r="B1024" s="2">
        <v>1022</v>
      </c>
      <c r="C1024" t="s">
        <v>5</v>
      </c>
      <c r="D1024" t="s">
        <v>535</v>
      </c>
      <c r="E1024" t="s">
        <v>150</v>
      </c>
    </row>
    <row r="1025" spans="1:5" x14ac:dyDescent="0.25">
      <c r="A1025" s="2" t="s">
        <v>536</v>
      </c>
      <c r="B1025" s="2">
        <v>1023</v>
      </c>
      <c r="C1025" t="s">
        <v>5</v>
      </c>
      <c r="D1025" t="s">
        <v>537</v>
      </c>
      <c r="E1025" t="s">
        <v>115</v>
      </c>
    </row>
    <row r="1026" spans="1:5" x14ac:dyDescent="0.25">
      <c r="A1026" s="2" t="s">
        <v>538</v>
      </c>
      <c r="B1026" s="2">
        <v>1024</v>
      </c>
      <c r="C1026" t="s">
        <v>10</v>
      </c>
      <c r="D1026" t="s">
        <v>537</v>
      </c>
      <c r="E1026" t="s">
        <v>115</v>
      </c>
    </row>
    <row r="1027" spans="1:5" x14ac:dyDescent="0.25">
      <c r="A1027" s="2" t="s">
        <v>539</v>
      </c>
      <c r="B1027" s="2">
        <v>1025</v>
      </c>
      <c r="C1027" t="s">
        <v>14</v>
      </c>
      <c r="D1027" t="s">
        <v>537</v>
      </c>
      <c r="E1027" t="s">
        <v>115</v>
      </c>
    </row>
    <row r="1028" spans="1:5" x14ac:dyDescent="0.25">
      <c r="A1028" s="2" t="str">
        <f>HYPERLINK("spreadsheet/1026.xlsx", "1026.xlsx")</f>
        <v>1026.xlsx</v>
      </c>
      <c r="B1028" s="2">
        <v>1026</v>
      </c>
      <c r="C1028" t="s">
        <v>5</v>
      </c>
      <c r="D1028" t="s">
        <v>540</v>
      </c>
      <c r="E1028" t="s">
        <v>134</v>
      </c>
    </row>
    <row r="1029" spans="1:5" x14ac:dyDescent="0.25">
      <c r="A1029" s="2" t="str">
        <f>HYPERLINK("spreadsheet/1027.xlsx", "1027.xlsx")</f>
        <v>1027.xlsx</v>
      </c>
      <c r="B1029" s="2">
        <v>1027</v>
      </c>
      <c r="C1029" t="s">
        <v>10</v>
      </c>
      <c r="D1029" t="s">
        <v>540</v>
      </c>
      <c r="E1029" t="s">
        <v>134</v>
      </c>
    </row>
    <row r="1030" spans="1:5" x14ac:dyDescent="0.25">
      <c r="A1030" s="2" t="str">
        <f>HYPERLINK("spreadsheet/1028.xlsx", "1028.xlsx")</f>
        <v>1028.xlsx</v>
      </c>
      <c r="B1030" s="2">
        <v>1028</v>
      </c>
      <c r="C1030" t="s">
        <v>5</v>
      </c>
      <c r="D1030" t="s">
        <v>541</v>
      </c>
      <c r="E1030" t="s">
        <v>150</v>
      </c>
    </row>
    <row r="1031" spans="1:5" x14ac:dyDescent="0.25">
      <c r="A1031" s="2" t="str">
        <f>HYPERLINK("spreadsheet/1029.xlsx", "1029.xlsx")</f>
        <v>1029.xlsx</v>
      </c>
      <c r="B1031" s="2">
        <v>1029</v>
      </c>
      <c r="C1031" t="s">
        <v>10</v>
      </c>
      <c r="D1031" t="s">
        <v>541</v>
      </c>
      <c r="E1031" t="s">
        <v>150</v>
      </c>
    </row>
    <row r="1032" spans="1:5" x14ac:dyDescent="0.25">
      <c r="A1032" s="2" t="str">
        <f>HYPERLINK("spreadsheet/1030.xlsx", "1030.xlsx")</f>
        <v>1030.xlsx</v>
      </c>
      <c r="B1032" s="2">
        <v>1030</v>
      </c>
      <c r="C1032" t="s">
        <v>14</v>
      </c>
      <c r="D1032" t="s">
        <v>541</v>
      </c>
      <c r="E1032" t="s">
        <v>150</v>
      </c>
    </row>
    <row r="1033" spans="1:5" x14ac:dyDescent="0.25">
      <c r="A1033" s="2" t="str">
        <f>HYPERLINK("spreadsheet/1031.xlsx", "1031.xlsx")</f>
        <v>1031.xlsx</v>
      </c>
      <c r="B1033" s="2">
        <v>1031</v>
      </c>
      <c r="C1033" t="s">
        <v>15</v>
      </c>
      <c r="D1033" t="s">
        <v>541</v>
      </c>
      <c r="E1033" t="s">
        <v>150</v>
      </c>
    </row>
    <row r="1034" spans="1:5" x14ac:dyDescent="0.25">
      <c r="A1034" s="2" t="str">
        <f>HYPERLINK("spreadsheet/1032.xlsx", "1032.xlsx")</f>
        <v>1032.xlsx</v>
      </c>
      <c r="B1034" s="2">
        <v>1032</v>
      </c>
      <c r="C1034" t="s">
        <v>22</v>
      </c>
      <c r="D1034" t="s">
        <v>541</v>
      </c>
      <c r="E1034" t="s">
        <v>150</v>
      </c>
    </row>
    <row r="1035" spans="1:5" x14ac:dyDescent="0.25">
      <c r="A1035" s="2" t="str">
        <f>HYPERLINK("spreadsheet/1033.xlsx", "1033.xlsx")</f>
        <v>1033.xlsx</v>
      </c>
      <c r="B1035" s="2">
        <v>1033</v>
      </c>
      <c r="C1035" t="s">
        <v>14</v>
      </c>
      <c r="D1035" t="s">
        <v>542</v>
      </c>
      <c r="E1035" t="s">
        <v>164</v>
      </c>
    </row>
    <row r="1036" spans="1:5" x14ac:dyDescent="0.25">
      <c r="A1036" s="2" t="s">
        <v>543</v>
      </c>
      <c r="B1036" s="2">
        <v>1034</v>
      </c>
      <c r="C1036" t="s">
        <v>15</v>
      </c>
      <c r="D1036" t="s">
        <v>542</v>
      </c>
      <c r="E1036" t="s">
        <v>164</v>
      </c>
    </row>
    <row r="1037" spans="1:5" x14ac:dyDescent="0.25">
      <c r="A1037" s="2" t="str">
        <f>HYPERLINK("spreadsheet/1035.xlsx", "1035.xlsx")</f>
        <v>1035.xlsx</v>
      </c>
      <c r="B1037" s="2">
        <v>1035</v>
      </c>
      <c r="C1037" t="s">
        <v>5</v>
      </c>
      <c r="D1037" t="s">
        <v>544</v>
      </c>
      <c r="E1037" t="s">
        <v>126</v>
      </c>
    </row>
    <row r="1038" spans="1:5" x14ac:dyDescent="0.25">
      <c r="A1038" s="2" t="str">
        <f>HYPERLINK("spreadsheet/1036.xlsx", "1036.xlsx")</f>
        <v>1036.xlsx</v>
      </c>
      <c r="B1038" s="2">
        <v>1036</v>
      </c>
      <c r="C1038" t="s">
        <v>10</v>
      </c>
      <c r="D1038" t="s">
        <v>544</v>
      </c>
      <c r="E1038" t="s">
        <v>126</v>
      </c>
    </row>
    <row r="1039" spans="1:5" x14ac:dyDescent="0.25">
      <c r="A1039" s="2" t="str">
        <f>HYPERLINK("spreadsheet/1037.xlsx", "1037.xlsx")</f>
        <v>1037.xlsx</v>
      </c>
      <c r="B1039" s="2">
        <v>1037</v>
      </c>
      <c r="C1039" t="s">
        <v>5</v>
      </c>
      <c r="D1039" t="s">
        <v>545</v>
      </c>
      <c r="E1039" t="s">
        <v>71</v>
      </c>
    </row>
    <row r="1040" spans="1:5" x14ac:dyDescent="0.25">
      <c r="A1040" s="2" t="str">
        <f>HYPERLINK("spreadsheet/1038.xlsx", "1038.xlsx")</f>
        <v>1038.xlsx</v>
      </c>
      <c r="B1040" s="2">
        <v>1038</v>
      </c>
      <c r="C1040" t="s">
        <v>10</v>
      </c>
      <c r="D1040" t="s">
        <v>545</v>
      </c>
      <c r="E1040" t="s">
        <v>71</v>
      </c>
    </row>
    <row r="1041" spans="1:5" x14ac:dyDescent="0.25">
      <c r="A1041" s="2" t="s">
        <v>546</v>
      </c>
      <c r="B1041" s="2">
        <v>1039</v>
      </c>
      <c r="C1041" t="s">
        <v>5</v>
      </c>
      <c r="D1041" t="s">
        <v>547</v>
      </c>
      <c r="E1041" t="s">
        <v>115</v>
      </c>
    </row>
    <row r="1042" spans="1:5" x14ac:dyDescent="0.25">
      <c r="A1042" s="2" t="s">
        <v>548</v>
      </c>
      <c r="B1042" s="2">
        <v>1040</v>
      </c>
      <c r="C1042" t="s">
        <v>10</v>
      </c>
      <c r="D1042" t="s">
        <v>547</v>
      </c>
      <c r="E1042" t="s">
        <v>115</v>
      </c>
    </row>
    <row r="1043" spans="1:5" x14ac:dyDescent="0.25">
      <c r="A1043" s="2" t="s">
        <v>549</v>
      </c>
      <c r="B1043" s="2">
        <v>1041</v>
      </c>
      <c r="C1043" t="s">
        <v>14</v>
      </c>
      <c r="D1043" t="s">
        <v>547</v>
      </c>
      <c r="E1043" t="s">
        <v>115</v>
      </c>
    </row>
    <row r="1044" spans="1:5" x14ac:dyDescent="0.25">
      <c r="A1044" s="2" t="str">
        <f>HYPERLINK("spreadsheet/1042.xlsx", "1042.xlsx")</f>
        <v>1042.xlsx</v>
      </c>
      <c r="B1044" s="2">
        <v>1042</v>
      </c>
      <c r="C1044" t="s">
        <v>15</v>
      </c>
      <c r="D1044" t="s">
        <v>547</v>
      </c>
      <c r="E1044" t="s">
        <v>115</v>
      </c>
    </row>
    <row r="1045" spans="1:5" x14ac:dyDescent="0.25">
      <c r="A1045" s="2" t="str">
        <f>HYPERLINK("spreadsheet/1043.xlsx", "1043.xlsx")</f>
        <v>1043.xlsx</v>
      </c>
      <c r="B1045" s="2">
        <v>1043</v>
      </c>
      <c r="C1045" t="s">
        <v>5</v>
      </c>
      <c r="D1045" t="s">
        <v>550</v>
      </c>
      <c r="E1045" t="s">
        <v>71</v>
      </c>
    </row>
    <row r="1046" spans="1:5" x14ac:dyDescent="0.25">
      <c r="A1046" s="2" t="str">
        <f>HYPERLINK("spreadsheet/1044.xlsx", "1044.xlsx")</f>
        <v>1044.xlsx</v>
      </c>
      <c r="B1046" s="2">
        <v>1044</v>
      </c>
      <c r="C1046" t="s">
        <v>14</v>
      </c>
      <c r="D1046" t="s">
        <v>550</v>
      </c>
      <c r="E1046" t="s">
        <v>71</v>
      </c>
    </row>
    <row r="1047" spans="1:5" x14ac:dyDescent="0.25">
      <c r="A1047" s="2" t="str">
        <f>HYPERLINK("spreadsheet/1045.xlsx", "1045.xlsx")</f>
        <v>1045.xlsx</v>
      </c>
      <c r="B1047" s="2">
        <v>1045</v>
      </c>
      <c r="C1047" t="s">
        <v>15</v>
      </c>
      <c r="D1047" t="s">
        <v>550</v>
      </c>
      <c r="E1047" t="s">
        <v>71</v>
      </c>
    </row>
    <row r="1048" spans="1:5" x14ac:dyDescent="0.25">
      <c r="A1048" s="2" t="str">
        <f>HYPERLINK("spreadsheet/1046.xlsx", "1046.xlsx")</f>
        <v>1046.xlsx</v>
      </c>
      <c r="B1048" s="2">
        <v>1046</v>
      </c>
      <c r="C1048" t="s">
        <v>22</v>
      </c>
      <c r="D1048" t="s">
        <v>550</v>
      </c>
      <c r="E1048" t="s">
        <v>71</v>
      </c>
    </row>
    <row r="1049" spans="1:5" x14ac:dyDescent="0.25">
      <c r="A1049" s="2" t="str">
        <f>HYPERLINK("spreadsheet/1047.xlsx", "1047.xlsx")</f>
        <v>1047.xlsx</v>
      </c>
      <c r="B1049" s="2">
        <v>1047</v>
      </c>
      <c r="C1049" t="s">
        <v>24</v>
      </c>
      <c r="D1049" t="s">
        <v>550</v>
      </c>
      <c r="E1049" t="s">
        <v>71</v>
      </c>
    </row>
    <row r="1050" spans="1:5" x14ac:dyDescent="0.25">
      <c r="A1050" s="2" t="str">
        <f>HYPERLINK("spreadsheet/1048.xlsx", "1048.xlsx")</f>
        <v>1048.xlsx</v>
      </c>
      <c r="B1050" s="2">
        <v>1048</v>
      </c>
      <c r="C1050" t="s">
        <v>60</v>
      </c>
      <c r="D1050" t="s">
        <v>550</v>
      </c>
      <c r="E1050" t="s">
        <v>71</v>
      </c>
    </row>
    <row r="1051" spans="1:5" x14ac:dyDescent="0.25">
      <c r="A1051" s="2" t="str">
        <f>HYPERLINK("spreadsheet/1049.xlsx", "1049.xlsx")</f>
        <v>1049.xlsx</v>
      </c>
      <c r="B1051" s="2">
        <v>1049</v>
      </c>
      <c r="C1051" t="s">
        <v>5</v>
      </c>
      <c r="D1051" t="s">
        <v>551</v>
      </c>
      <c r="E1051" t="s">
        <v>150</v>
      </c>
    </row>
    <row r="1052" spans="1:5" x14ac:dyDescent="0.25">
      <c r="A1052" s="2" t="s">
        <v>552</v>
      </c>
      <c r="B1052" s="2">
        <v>1050</v>
      </c>
      <c r="C1052" t="s">
        <v>10</v>
      </c>
      <c r="D1052" t="s">
        <v>551</v>
      </c>
      <c r="E1052" t="s">
        <v>150</v>
      </c>
    </row>
    <row r="1053" spans="1:5" x14ac:dyDescent="0.25">
      <c r="A1053" s="2" t="s">
        <v>553</v>
      </c>
      <c r="B1053" s="2">
        <v>1051</v>
      </c>
      <c r="C1053" t="s">
        <v>14</v>
      </c>
      <c r="D1053" t="s">
        <v>551</v>
      </c>
      <c r="E1053" t="s">
        <v>150</v>
      </c>
    </row>
    <row r="1054" spans="1:5" x14ac:dyDescent="0.25">
      <c r="A1054" s="2" t="s">
        <v>554</v>
      </c>
      <c r="B1054" s="2">
        <v>1052</v>
      </c>
      <c r="C1054" t="s">
        <v>15</v>
      </c>
      <c r="D1054" t="s">
        <v>551</v>
      </c>
      <c r="E1054" t="s">
        <v>150</v>
      </c>
    </row>
    <row r="1055" spans="1:5" x14ac:dyDescent="0.25">
      <c r="A1055" s="2" t="s">
        <v>555</v>
      </c>
      <c r="B1055" s="2">
        <v>1053</v>
      </c>
      <c r="C1055" t="s">
        <v>22</v>
      </c>
      <c r="D1055" t="s">
        <v>551</v>
      </c>
      <c r="E1055" t="s">
        <v>150</v>
      </c>
    </row>
    <row r="1056" spans="1:5" x14ac:dyDescent="0.25">
      <c r="A1056" s="2" t="str">
        <f>HYPERLINK("spreadsheet/1054.xlsx", "1054.xlsx")</f>
        <v>1054.xlsx</v>
      </c>
      <c r="B1056" s="2">
        <v>1054</v>
      </c>
      <c r="C1056" t="s">
        <v>24</v>
      </c>
      <c r="D1056" t="s">
        <v>551</v>
      </c>
      <c r="E1056" t="s">
        <v>150</v>
      </c>
    </row>
    <row r="1057" spans="1:5" x14ac:dyDescent="0.25">
      <c r="A1057" s="2" t="s">
        <v>556</v>
      </c>
      <c r="B1057" s="2">
        <v>1055</v>
      </c>
      <c r="C1057" t="s">
        <v>60</v>
      </c>
      <c r="D1057" t="s">
        <v>551</v>
      </c>
      <c r="E1057" t="s">
        <v>150</v>
      </c>
    </row>
    <row r="1058" spans="1:5" x14ac:dyDescent="0.25">
      <c r="A1058" s="2" t="str">
        <f>HYPERLINK("spreadsheet/1056.xlsx", "1056.xlsx")</f>
        <v>1056.xlsx</v>
      </c>
      <c r="B1058" s="2">
        <v>1056</v>
      </c>
      <c r="C1058" t="s">
        <v>44</v>
      </c>
      <c r="D1058" t="s">
        <v>551</v>
      </c>
      <c r="E1058" t="s">
        <v>150</v>
      </c>
    </row>
    <row r="1059" spans="1:5" x14ac:dyDescent="0.25">
      <c r="A1059" s="2" t="str">
        <f>HYPERLINK("spreadsheet/1057.xlsx", "1057.xlsx")</f>
        <v>1057.xlsx</v>
      </c>
      <c r="B1059" s="2">
        <v>1057</v>
      </c>
      <c r="C1059" t="s">
        <v>45</v>
      </c>
      <c r="D1059" t="s">
        <v>551</v>
      </c>
      <c r="E1059" t="s">
        <v>150</v>
      </c>
    </row>
    <row r="1060" spans="1:5" x14ac:dyDescent="0.25">
      <c r="A1060" s="2" t="str">
        <f>HYPERLINK("spreadsheet/1058.xlsx", "1058.xlsx")</f>
        <v>1058.xlsx</v>
      </c>
      <c r="B1060" s="2">
        <v>1058</v>
      </c>
      <c r="C1060" t="s">
        <v>46</v>
      </c>
      <c r="D1060" t="s">
        <v>551</v>
      </c>
      <c r="E1060" t="s">
        <v>150</v>
      </c>
    </row>
    <row r="1061" spans="1:5" x14ac:dyDescent="0.25">
      <c r="A1061" s="2" t="str">
        <f>HYPERLINK("spreadsheet/1059.xlsx", "1059.xlsx")</f>
        <v>1059.xlsx</v>
      </c>
      <c r="B1061" s="2">
        <v>1059</v>
      </c>
      <c r="C1061" t="s">
        <v>47</v>
      </c>
      <c r="D1061" t="s">
        <v>551</v>
      </c>
      <c r="E1061" t="s">
        <v>150</v>
      </c>
    </row>
    <row r="1062" spans="1:5" x14ac:dyDescent="0.25">
      <c r="A1062" s="2" t="str">
        <f>HYPERLINK("spreadsheet/1060.xlsx", "1060.xlsx")</f>
        <v>1060.xlsx</v>
      </c>
      <c r="B1062" s="2">
        <v>1060</v>
      </c>
      <c r="C1062" t="s">
        <v>48</v>
      </c>
      <c r="D1062" t="s">
        <v>551</v>
      </c>
      <c r="E1062" t="s">
        <v>150</v>
      </c>
    </row>
    <row r="1063" spans="1:5" x14ac:dyDescent="0.25">
      <c r="A1063" s="2" t="str">
        <f>HYPERLINK("spreadsheet/1061.xlsx", "1061.xlsx")</f>
        <v>1061.xlsx</v>
      </c>
      <c r="B1063" s="2">
        <v>1061</v>
      </c>
      <c r="C1063" t="s">
        <v>49</v>
      </c>
      <c r="D1063" t="s">
        <v>551</v>
      </c>
      <c r="E1063" t="s">
        <v>150</v>
      </c>
    </row>
    <row r="1064" spans="1:5" x14ac:dyDescent="0.25">
      <c r="A1064" s="2" t="str">
        <f>HYPERLINK("spreadsheet/1062.xlsx", "1062.xlsx")</f>
        <v>1062.xlsx</v>
      </c>
      <c r="B1064" s="2">
        <v>1062</v>
      </c>
      <c r="C1064" t="s">
        <v>50</v>
      </c>
      <c r="D1064" t="s">
        <v>551</v>
      </c>
      <c r="E1064" t="s">
        <v>150</v>
      </c>
    </row>
    <row r="1065" spans="1:5" x14ac:dyDescent="0.25">
      <c r="A1065" s="2" t="str">
        <f>HYPERLINK("spreadsheet/1063.xlsx", "1063.xlsx")</f>
        <v>1063.xlsx</v>
      </c>
      <c r="B1065" s="2">
        <v>1063</v>
      </c>
      <c r="C1065" t="s">
        <v>5</v>
      </c>
      <c r="D1065" t="s">
        <v>557</v>
      </c>
      <c r="E1065" t="s">
        <v>150</v>
      </c>
    </row>
    <row r="1066" spans="1:5" x14ac:dyDescent="0.25">
      <c r="A1066" s="2" t="str">
        <f>HYPERLINK("spreadsheet/1064.xlsx", "1064.xlsx")</f>
        <v>1064.xlsx</v>
      </c>
      <c r="B1066" s="2">
        <v>1064</v>
      </c>
      <c r="C1066" t="s">
        <v>10</v>
      </c>
      <c r="D1066" t="s">
        <v>557</v>
      </c>
      <c r="E1066" t="s">
        <v>150</v>
      </c>
    </row>
    <row r="1067" spans="1:5" x14ac:dyDescent="0.25">
      <c r="A1067" s="2" t="str">
        <f>HYPERLINK("spreadsheet/1065.xlsx", "1065.xlsx")</f>
        <v>1065.xlsx</v>
      </c>
      <c r="B1067" s="2">
        <v>1065</v>
      </c>
      <c r="C1067" t="s">
        <v>14</v>
      </c>
      <c r="D1067" t="s">
        <v>557</v>
      </c>
      <c r="E1067" t="s">
        <v>150</v>
      </c>
    </row>
    <row r="1068" spans="1:5" x14ac:dyDescent="0.25">
      <c r="A1068" s="2" t="str">
        <f>HYPERLINK("spreadsheet/1066.xlsx", "1066.xlsx")</f>
        <v>1066.xlsx</v>
      </c>
      <c r="B1068" s="2">
        <v>1066</v>
      </c>
      <c r="C1068" t="s">
        <v>15</v>
      </c>
      <c r="D1068" t="s">
        <v>557</v>
      </c>
      <c r="E1068" t="s">
        <v>150</v>
      </c>
    </row>
    <row r="1069" spans="1:5" x14ac:dyDescent="0.25">
      <c r="A1069" s="2" t="str">
        <f>HYPERLINK("spreadsheet/1067.xlsx", "1067.xlsx")</f>
        <v>1067.xlsx</v>
      </c>
      <c r="B1069" s="2">
        <v>1067</v>
      </c>
      <c r="C1069" t="s">
        <v>521</v>
      </c>
      <c r="D1069" t="s">
        <v>558</v>
      </c>
      <c r="E1069" t="s">
        <v>173</v>
      </c>
    </row>
    <row r="1070" spans="1:5" x14ac:dyDescent="0.25">
      <c r="A1070" s="2" t="s">
        <v>559</v>
      </c>
      <c r="B1070" s="2">
        <v>1068</v>
      </c>
      <c r="C1070" t="s">
        <v>5</v>
      </c>
      <c r="D1070" t="s">
        <v>560</v>
      </c>
      <c r="E1070" t="s">
        <v>115</v>
      </c>
    </row>
    <row r="1071" spans="1:5" x14ac:dyDescent="0.25">
      <c r="A1071" s="2" t="s">
        <v>561</v>
      </c>
      <c r="B1071" s="2">
        <v>1069</v>
      </c>
      <c r="C1071" t="s">
        <v>10</v>
      </c>
      <c r="D1071" t="s">
        <v>560</v>
      </c>
      <c r="E1071" t="s">
        <v>115</v>
      </c>
    </row>
    <row r="1072" spans="1:5" x14ac:dyDescent="0.25">
      <c r="A1072" s="2" t="s">
        <v>562</v>
      </c>
      <c r="B1072" s="2">
        <v>1070</v>
      </c>
      <c r="C1072" t="s">
        <v>14</v>
      </c>
      <c r="D1072" t="s">
        <v>560</v>
      </c>
      <c r="E1072" t="s">
        <v>115</v>
      </c>
    </row>
    <row r="1073" spans="1:5" x14ac:dyDescent="0.25">
      <c r="A1073" s="2" t="s">
        <v>563</v>
      </c>
      <c r="B1073" s="2">
        <v>1071</v>
      </c>
      <c r="C1073" t="s">
        <v>15</v>
      </c>
      <c r="D1073" t="s">
        <v>560</v>
      </c>
      <c r="E1073" t="s">
        <v>115</v>
      </c>
    </row>
    <row r="1074" spans="1:5" x14ac:dyDescent="0.25">
      <c r="A1074" s="2" t="str">
        <f>HYPERLINK("spreadsheet/1072.xlsx", "1072.xlsx")</f>
        <v>1072.xlsx</v>
      </c>
      <c r="B1074" s="2">
        <v>1072</v>
      </c>
      <c r="C1074" t="s">
        <v>22</v>
      </c>
      <c r="D1074" t="s">
        <v>560</v>
      </c>
      <c r="E1074" t="s">
        <v>115</v>
      </c>
    </row>
    <row r="1075" spans="1:5" x14ac:dyDescent="0.25">
      <c r="A1075" s="2" t="s">
        <v>564</v>
      </c>
      <c r="B1075" s="2">
        <v>1073</v>
      </c>
      <c r="C1075" t="s">
        <v>5</v>
      </c>
      <c r="D1075" t="s">
        <v>565</v>
      </c>
      <c r="E1075" t="s">
        <v>115</v>
      </c>
    </row>
    <row r="1076" spans="1:5" x14ac:dyDescent="0.25">
      <c r="A1076" s="2" t="s">
        <v>566</v>
      </c>
      <c r="B1076" s="2">
        <v>1074</v>
      </c>
      <c r="C1076" t="s">
        <v>10</v>
      </c>
      <c r="D1076" t="s">
        <v>565</v>
      </c>
      <c r="E1076" t="s">
        <v>115</v>
      </c>
    </row>
    <row r="1077" spans="1:5" x14ac:dyDescent="0.25">
      <c r="A1077" s="2" t="s">
        <v>567</v>
      </c>
      <c r="B1077" s="2">
        <v>1075</v>
      </c>
      <c r="C1077" t="s">
        <v>14</v>
      </c>
      <c r="D1077" t="s">
        <v>565</v>
      </c>
      <c r="E1077" t="s">
        <v>115</v>
      </c>
    </row>
    <row r="1078" spans="1:5" x14ac:dyDescent="0.25">
      <c r="A1078" s="2" t="s">
        <v>568</v>
      </c>
      <c r="B1078" s="2">
        <v>1076</v>
      </c>
      <c r="C1078" t="s">
        <v>15</v>
      </c>
      <c r="D1078" t="s">
        <v>565</v>
      </c>
      <c r="E1078" t="s">
        <v>115</v>
      </c>
    </row>
    <row r="1079" spans="1:5" x14ac:dyDescent="0.25">
      <c r="A1079" s="2" t="str">
        <f>HYPERLINK("spreadsheet/1077.xlsx", "1077.xlsx")</f>
        <v>1077.xlsx</v>
      </c>
      <c r="B1079" s="2">
        <v>1077</v>
      </c>
      <c r="C1079" t="s">
        <v>5</v>
      </c>
      <c r="D1079" t="s">
        <v>569</v>
      </c>
      <c r="E1079" t="s">
        <v>71</v>
      </c>
    </row>
    <row r="1080" spans="1:5" x14ac:dyDescent="0.25">
      <c r="A1080" s="2" t="str">
        <f>HYPERLINK("spreadsheet/1078.xlsx", "1078.xlsx")</f>
        <v>1078.xlsx</v>
      </c>
      <c r="B1080" s="2">
        <v>1078</v>
      </c>
      <c r="C1080" t="s">
        <v>10</v>
      </c>
      <c r="D1080" t="s">
        <v>569</v>
      </c>
      <c r="E1080" t="s">
        <v>71</v>
      </c>
    </row>
    <row r="1081" spans="1:5" x14ac:dyDescent="0.25">
      <c r="A1081" s="2" t="str">
        <f>HYPERLINK("spreadsheet/1079.xlsx", "1079.xlsx")</f>
        <v>1079.xlsx</v>
      </c>
      <c r="B1081" s="2">
        <v>1079</v>
      </c>
      <c r="C1081" t="s">
        <v>14</v>
      </c>
      <c r="D1081" t="s">
        <v>569</v>
      </c>
      <c r="E1081" t="s">
        <v>71</v>
      </c>
    </row>
    <row r="1082" spans="1:5" x14ac:dyDescent="0.25">
      <c r="A1082" s="2" t="str">
        <f>HYPERLINK("spreadsheet/1080.xlsx", "1080.xlsx")</f>
        <v>1080.xlsx</v>
      </c>
      <c r="B1082" s="2">
        <v>1080</v>
      </c>
      <c r="C1082" t="s">
        <v>15</v>
      </c>
      <c r="D1082" t="s">
        <v>569</v>
      </c>
      <c r="E1082" t="s">
        <v>71</v>
      </c>
    </row>
    <row r="1083" spans="1:5" x14ac:dyDescent="0.25">
      <c r="A1083" s="2" t="str">
        <f>HYPERLINK("spreadsheet/1081.xlsx", "1081.xlsx")</f>
        <v>1081.xlsx</v>
      </c>
      <c r="B1083" s="2">
        <v>1081</v>
      </c>
      <c r="C1083" t="s">
        <v>22</v>
      </c>
      <c r="D1083" t="s">
        <v>569</v>
      </c>
      <c r="E1083" t="s">
        <v>71</v>
      </c>
    </row>
    <row r="1084" spans="1:5" x14ac:dyDescent="0.25">
      <c r="A1084" s="2" t="str">
        <f>HYPERLINK("spreadsheet/1082.xlsx", "1082.xlsx")</f>
        <v>1082.xlsx</v>
      </c>
      <c r="B1084" s="2">
        <v>1082</v>
      </c>
      <c r="C1084" t="s">
        <v>5</v>
      </c>
      <c r="D1084" t="s">
        <v>570</v>
      </c>
      <c r="E1084" t="s">
        <v>126</v>
      </c>
    </row>
    <row r="1085" spans="1:5" x14ac:dyDescent="0.25">
      <c r="A1085" s="2" t="str">
        <f>HYPERLINK("spreadsheet/1083.xlsx", "1083.xlsx")</f>
        <v>1083.xlsx</v>
      </c>
      <c r="B1085" s="2">
        <v>1083</v>
      </c>
      <c r="C1085" t="s">
        <v>10</v>
      </c>
      <c r="D1085" t="s">
        <v>570</v>
      </c>
      <c r="E1085" t="s">
        <v>126</v>
      </c>
    </row>
    <row r="1086" spans="1:5" x14ac:dyDescent="0.25">
      <c r="A1086" s="2" t="str">
        <f>HYPERLINK("spreadsheet/1084.xlsx", "1084.xlsx")</f>
        <v>1084.xlsx</v>
      </c>
      <c r="B1086" s="2">
        <v>1084</v>
      </c>
      <c r="C1086" t="s">
        <v>14</v>
      </c>
      <c r="D1086" t="s">
        <v>570</v>
      </c>
      <c r="E1086" t="s">
        <v>126</v>
      </c>
    </row>
    <row r="1087" spans="1:5" x14ac:dyDescent="0.25">
      <c r="A1087" s="2" t="str">
        <f>HYPERLINK("spreadsheet/1085.xlsx", "1085.xlsx")</f>
        <v>1085.xlsx</v>
      </c>
      <c r="B1087" s="2">
        <v>1085</v>
      </c>
      <c r="C1087" t="s">
        <v>15</v>
      </c>
      <c r="D1087" t="s">
        <v>570</v>
      </c>
      <c r="E1087" t="s">
        <v>126</v>
      </c>
    </row>
    <row r="1088" spans="1:5" x14ac:dyDescent="0.25">
      <c r="A1088" s="2" t="s">
        <v>571</v>
      </c>
      <c r="B1088" s="2">
        <v>1086</v>
      </c>
      <c r="C1088" t="s">
        <v>22</v>
      </c>
      <c r="D1088" t="s">
        <v>570</v>
      </c>
      <c r="E1088" t="s">
        <v>126</v>
      </c>
    </row>
    <row r="1089" spans="1:5" x14ac:dyDescent="0.25">
      <c r="A1089" s="2" t="str">
        <f>HYPERLINK("spreadsheet/1087.xlsx", "1087.xlsx")</f>
        <v>1087.xlsx</v>
      </c>
      <c r="B1089" s="2">
        <v>1087</v>
      </c>
      <c r="C1089" t="s">
        <v>24</v>
      </c>
      <c r="D1089" t="s">
        <v>570</v>
      </c>
      <c r="E1089" t="s">
        <v>126</v>
      </c>
    </row>
    <row r="1090" spans="1:5" x14ac:dyDescent="0.25">
      <c r="A1090" s="2" t="str">
        <f>HYPERLINK("spreadsheet/1088.xlsx", "1088.xlsx")</f>
        <v>1088.xlsx</v>
      </c>
      <c r="B1090" s="2">
        <v>1088</v>
      </c>
      <c r="C1090" t="s">
        <v>60</v>
      </c>
      <c r="D1090" t="s">
        <v>570</v>
      </c>
      <c r="E1090" t="s">
        <v>126</v>
      </c>
    </row>
    <row r="1091" spans="1:5" x14ac:dyDescent="0.25">
      <c r="A1091" s="2" t="str">
        <f>HYPERLINK("spreadsheet/1089.xlsx", "1089.xlsx")</f>
        <v>1089.xlsx</v>
      </c>
      <c r="B1091" s="2">
        <v>1089</v>
      </c>
      <c r="C1091" t="s">
        <v>5</v>
      </c>
      <c r="D1091" t="s">
        <v>572</v>
      </c>
      <c r="E1091" t="s">
        <v>126</v>
      </c>
    </row>
    <row r="1092" spans="1:5" x14ac:dyDescent="0.25">
      <c r="A1092" s="2" t="str">
        <f>HYPERLINK("spreadsheet/1090.xlsx", "1090.xlsx")</f>
        <v>1090.xlsx</v>
      </c>
      <c r="B1092" s="2">
        <v>1090</v>
      </c>
      <c r="C1092" t="s">
        <v>10</v>
      </c>
      <c r="D1092" t="s">
        <v>572</v>
      </c>
      <c r="E1092" t="s">
        <v>126</v>
      </c>
    </row>
    <row r="1093" spans="1:5" x14ac:dyDescent="0.25">
      <c r="A1093" s="2" t="str">
        <f>HYPERLINK("spreadsheet/1091.xlsx", "1091.xlsx")</f>
        <v>1091.xlsx</v>
      </c>
      <c r="B1093" s="2">
        <v>1091</v>
      </c>
      <c r="C1093" t="s">
        <v>14</v>
      </c>
      <c r="D1093" t="s">
        <v>572</v>
      </c>
      <c r="E1093" t="s">
        <v>126</v>
      </c>
    </row>
    <row r="1094" spans="1:5" x14ac:dyDescent="0.25">
      <c r="A1094" s="2" t="str">
        <f>HYPERLINK("spreadsheet/1092.xlsx", "1092.xlsx")</f>
        <v>1092.xlsx</v>
      </c>
      <c r="B1094" s="2">
        <v>1092</v>
      </c>
      <c r="C1094" t="s">
        <v>5</v>
      </c>
      <c r="D1094" t="s">
        <v>573</v>
      </c>
      <c r="E1094" t="s">
        <v>126</v>
      </c>
    </row>
    <row r="1095" spans="1:5" x14ac:dyDescent="0.25">
      <c r="A1095" s="2" t="str">
        <f>HYPERLINK("spreadsheet/1093.xlsx", "1093.xlsx")</f>
        <v>1093.xlsx</v>
      </c>
      <c r="B1095" s="2">
        <v>1093</v>
      </c>
      <c r="C1095" t="s">
        <v>10</v>
      </c>
      <c r="D1095" t="s">
        <v>573</v>
      </c>
      <c r="E1095" t="s">
        <v>126</v>
      </c>
    </row>
    <row r="1096" spans="1:5" x14ac:dyDescent="0.25">
      <c r="A1096" s="2" t="s">
        <v>574</v>
      </c>
      <c r="B1096" s="2">
        <v>1094</v>
      </c>
      <c r="C1096" t="s">
        <v>14</v>
      </c>
      <c r="D1096" t="s">
        <v>573</v>
      </c>
      <c r="E1096" t="s">
        <v>126</v>
      </c>
    </row>
    <row r="1097" spans="1:5" x14ac:dyDescent="0.25">
      <c r="A1097" s="2" t="str">
        <f>HYPERLINK("spreadsheet/1095.xlsx", "1095.xlsx")</f>
        <v>1095.xlsx</v>
      </c>
      <c r="B1097" s="2">
        <v>1095</v>
      </c>
      <c r="C1097" t="s">
        <v>15</v>
      </c>
      <c r="D1097" t="s">
        <v>573</v>
      </c>
      <c r="E1097" t="s">
        <v>126</v>
      </c>
    </row>
    <row r="1098" spans="1:5" x14ac:dyDescent="0.25">
      <c r="A1098" s="2" t="str">
        <f>HYPERLINK("spreadsheet/1096.xlsx", "1096.xlsx")</f>
        <v>1096.xlsx</v>
      </c>
      <c r="B1098" s="2">
        <v>1096</v>
      </c>
      <c r="C1098" t="s">
        <v>22</v>
      </c>
      <c r="D1098" t="s">
        <v>573</v>
      </c>
      <c r="E1098" t="s">
        <v>126</v>
      </c>
    </row>
    <row r="1099" spans="1:5" x14ac:dyDescent="0.25">
      <c r="A1099" s="2" t="str">
        <f>HYPERLINK("spreadsheet/1097.xlsx", "1097.xlsx")</f>
        <v>1097.xlsx</v>
      </c>
      <c r="B1099" s="2">
        <v>1097</v>
      </c>
      <c r="C1099" t="s">
        <v>10</v>
      </c>
      <c r="D1099" t="s">
        <v>575</v>
      </c>
      <c r="E1099" t="s">
        <v>147</v>
      </c>
    </row>
    <row r="1100" spans="1:5" x14ac:dyDescent="0.25">
      <c r="A1100" s="2" t="s">
        <v>576</v>
      </c>
      <c r="B1100" s="2">
        <v>1098</v>
      </c>
      <c r="C1100" t="s">
        <v>14</v>
      </c>
      <c r="D1100" t="s">
        <v>575</v>
      </c>
      <c r="E1100" t="s">
        <v>147</v>
      </c>
    </row>
    <row r="1101" spans="1:5" x14ac:dyDescent="0.25">
      <c r="A1101" s="2" t="str">
        <f>HYPERLINK("spreadsheet/1099.xlsx", "1099.xlsx")</f>
        <v>1099.xlsx</v>
      </c>
      <c r="B1101" s="2">
        <v>1099</v>
      </c>
      <c r="C1101" t="s">
        <v>15</v>
      </c>
      <c r="D1101" t="s">
        <v>575</v>
      </c>
      <c r="E1101" t="s">
        <v>147</v>
      </c>
    </row>
    <row r="1102" spans="1:5" x14ac:dyDescent="0.25">
      <c r="A1102" s="2" t="str">
        <f>HYPERLINK("spreadsheet/1100.xlsx", "1100.xlsx")</f>
        <v>1100.xlsx</v>
      </c>
      <c r="B1102" s="2">
        <v>1100</v>
      </c>
      <c r="C1102" t="s">
        <v>22</v>
      </c>
      <c r="D1102" t="s">
        <v>575</v>
      </c>
      <c r="E1102" t="s">
        <v>147</v>
      </c>
    </row>
    <row r="1103" spans="1:5" x14ac:dyDescent="0.25">
      <c r="A1103" s="2" t="s">
        <v>577</v>
      </c>
      <c r="B1103" s="2">
        <v>1101</v>
      </c>
      <c r="C1103" t="s">
        <v>24</v>
      </c>
      <c r="D1103" t="s">
        <v>575</v>
      </c>
      <c r="E1103" t="s">
        <v>147</v>
      </c>
    </row>
    <row r="1104" spans="1:5" x14ac:dyDescent="0.25">
      <c r="A1104" s="2" t="str">
        <f>HYPERLINK("spreadsheet/1102.xlsx", "1102.xlsx")</f>
        <v>1102.xlsx</v>
      </c>
      <c r="B1104" s="2">
        <v>1102</v>
      </c>
      <c r="C1104" t="s">
        <v>578</v>
      </c>
      <c r="D1104" t="s">
        <v>579</v>
      </c>
      <c r="E1104" t="s">
        <v>147</v>
      </c>
    </row>
    <row r="1105" spans="1:5" x14ac:dyDescent="0.25">
      <c r="A1105" s="2" t="str">
        <f>HYPERLINK("spreadsheet/1103.xlsx", "1103.xlsx")</f>
        <v>1103.xlsx</v>
      </c>
      <c r="B1105" s="2">
        <v>1103</v>
      </c>
      <c r="C1105" t="s">
        <v>580</v>
      </c>
      <c r="D1105" t="s">
        <v>579</v>
      </c>
      <c r="E1105" t="s">
        <v>147</v>
      </c>
    </row>
    <row r="1106" spans="1:5" x14ac:dyDescent="0.25">
      <c r="A1106" s="2" t="str">
        <f>HYPERLINK("spreadsheet/1104.xlsx", "1104.xlsx")</f>
        <v>1104.xlsx</v>
      </c>
      <c r="B1106" s="2">
        <v>1104</v>
      </c>
      <c r="C1106" t="s">
        <v>581</v>
      </c>
      <c r="D1106" t="s">
        <v>579</v>
      </c>
      <c r="E1106" t="s">
        <v>147</v>
      </c>
    </row>
    <row r="1107" spans="1:5" x14ac:dyDescent="0.25">
      <c r="A1107" s="2" t="str">
        <f>HYPERLINK("spreadsheet/1105.xlsx", "1105.xlsx")</f>
        <v>1105.xlsx</v>
      </c>
      <c r="B1107" s="2">
        <v>1105</v>
      </c>
      <c r="C1107" t="s">
        <v>582</v>
      </c>
      <c r="D1107" t="s">
        <v>579</v>
      </c>
      <c r="E1107" t="s">
        <v>147</v>
      </c>
    </row>
    <row r="1108" spans="1:5" x14ac:dyDescent="0.25">
      <c r="A1108" s="2" t="str">
        <f>HYPERLINK("spreadsheet/1106.xlsx", "1106.xlsx")</f>
        <v>1106.xlsx</v>
      </c>
      <c r="B1108" s="2">
        <v>1106</v>
      </c>
      <c r="C1108" t="s">
        <v>5</v>
      </c>
      <c r="D1108" t="s">
        <v>583</v>
      </c>
      <c r="E1108" t="s">
        <v>115</v>
      </c>
    </row>
    <row r="1109" spans="1:5" x14ac:dyDescent="0.25">
      <c r="A1109" s="2" t="str">
        <f>HYPERLINK("spreadsheet/1107.xlsx", "1107.xlsx")</f>
        <v>1107.xlsx</v>
      </c>
      <c r="B1109" s="2">
        <v>1107</v>
      </c>
      <c r="C1109" t="s">
        <v>10</v>
      </c>
      <c r="D1109" t="s">
        <v>583</v>
      </c>
      <c r="E1109" t="s">
        <v>115</v>
      </c>
    </row>
    <row r="1110" spans="1:5" x14ac:dyDescent="0.25">
      <c r="A1110" s="2" t="str">
        <f>HYPERLINK("spreadsheet/1108.xlsx", "1108.xlsx")</f>
        <v>1108.xlsx</v>
      </c>
      <c r="B1110" s="2">
        <v>1108</v>
      </c>
      <c r="C1110" t="s">
        <v>14</v>
      </c>
      <c r="D1110" t="s">
        <v>583</v>
      </c>
      <c r="E1110" t="s">
        <v>115</v>
      </c>
    </row>
    <row r="1111" spans="1:5" x14ac:dyDescent="0.25">
      <c r="A1111" s="2" t="str">
        <f>HYPERLINK("spreadsheet/1109.xlsx", "1109.xlsx")</f>
        <v>1109.xlsx</v>
      </c>
      <c r="B1111" s="2">
        <v>1109</v>
      </c>
      <c r="C1111" t="s">
        <v>15</v>
      </c>
      <c r="D1111" t="s">
        <v>583</v>
      </c>
      <c r="E1111" t="s">
        <v>115</v>
      </c>
    </row>
    <row r="1112" spans="1:5" x14ac:dyDescent="0.25">
      <c r="A1112" s="2" t="str">
        <f>HYPERLINK("spreadsheet/1110.xlsx", "1110.xlsx")</f>
        <v>1110.xlsx</v>
      </c>
      <c r="B1112" s="2">
        <v>1110</v>
      </c>
      <c r="C1112" t="s">
        <v>15</v>
      </c>
      <c r="D1112" t="s">
        <v>584</v>
      </c>
      <c r="E1112" t="s">
        <v>218</v>
      </c>
    </row>
    <row r="1113" spans="1:5" x14ac:dyDescent="0.25">
      <c r="A1113" s="2" t="str">
        <f>HYPERLINK("spreadsheet/1111.xlsx", "1111.xlsx")</f>
        <v>1111.xlsx</v>
      </c>
      <c r="B1113" s="2">
        <v>1111</v>
      </c>
      <c r="C1113" t="s">
        <v>15</v>
      </c>
      <c r="D1113" t="s">
        <v>585</v>
      </c>
      <c r="E1113" t="s">
        <v>115</v>
      </c>
    </row>
    <row r="1114" spans="1:5" x14ac:dyDescent="0.25">
      <c r="A1114" s="2" t="str">
        <f>HYPERLINK("spreadsheet/1112.xlsx", "1112.xlsx")</f>
        <v>1112.xlsx</v>
      </c>
      <c r="B1114" s="2">
        <v>1112</v>
      </c>
      <c r="C1114" t="s">
        <v>22</v>
      </c>
      <c r="D1114" t="s">
        <v>585</v>
      </c>
      <c r="E1114" t="s">
        <v>115</v>
      </c>
    </row>
    <row r="1115" spans="1:5" x14ac:dyDescent="0.25">
      <c r="A1115" s="2" t="str">
        <f>HYPERLINK("spreadsheet/1113.xlsx", "1113.xlsx")</f>
        <v>1113.xlsx</v>
      </c>
      <c r="B1115" s="2">
        <v>1113</v>
      </c>
      <c r="C1115" t="s">
        <v>456</v>
      </c>
      <c r="D1115" t="s">
        <v>585</v>
      </c>
      <c r="E1115" t="s">
        <v>115</v>
      </c>
    </row>
    <row r="1116" spans="1:5" x14ac:dyDescent="0.25">
      <c r="A1116" s="2" t="str">
        <f>HYPERLINK("spreadsheet/1114.xlsx", "1114.xlsx")</f>
        <v>1114.xlsx</v>
      </c>
      <c r="B1116" s="2">
        <v>1114</v>
      </c>
      <c r="C1116" t="s">
        <v>24</v>
      </c>
      <c r="D1116" t="s">
        <v>585</v>
      </c>
      <c r="E1116" t="s">
        <v>115</v>
      </c>
    </row>
    <row r="1117" spans="1:5" x14ac:dyDescent="0.25">
      <c r="A1117" s="2" t="str">
        <f>HYPERLINK("spreadsheet/1115.xlsx", "1115.xlsx")</f>
        <v>1115.xlsx</v>
      </c>
      <c r="B1117" s="2">
        <v>1115</v>
      </c>
      <c r="C1117" t="s">
        <v>586</v>
      </c>
      <c r="D1117" t="s">
        <v>585</v>
      </c>
      <c r="E1117" t="s">
        <v>115</v>
      </c>
    </row>
    <row r="1118" spans="1:5" x14ac:dyDescent="0.25">
      <c r="A1118" s="2" t="str">
        <f>HYPERLINK("spreadsheet/1116.xlsx", "1116.xlsx")</f>
        <v>1116.xlsx</v>
      </c>
      <c r="B1118" s="2">
        <v>1116</v>
      </c>
      <c r="C1118" t="s">
        <v>60</v>
      </c>
      <c r="D1118" t="s">
        <v>585</v>
      </c>
      <c r="E1118" t="s">
        <v>115</v>
      </c>
    </row>
    <row r="1119" spans="1:5" x14ac:dyDescent="0.25">
      <c r="A1119" s="2" t="str">
        <f>HYPERLINK("spreadsheet/1117.xlsx", "1117.xlsx")</f>
        <v>1117.xlsx</v>
      </c>
      <c r="B1119" s="2">
        <v>1117</v>
      </c>
      <c r="C1119" t="s">
        <v>587</v>
      </c>
      <c r="D1119" t="s">
        <v>585</v>
      </c>
      <c r="E1119" t="s">
        <v>115</v>
      </c>
    </row>
    <row r="1120" spans="1:5" x14ac:dyDescent="0.25">
      <c r="A1120" s="2" t="str">
        <f>HYPERLINK("spreadsheet/1118.xlsx", "1118.xlsx")</f>
        <v>1118.xlsx</v>
      </c>
      <c r="B1120" s="2">
        <v>1118</v>
      </c>
      <c r="C1120" t="s">
        <v>44</v>
      </c>
      <c r="D1120" t="s">
        <v>585</v>
      </c>
      <c r="E1120" t="s">
        <v>115</v>
      </c>
    </row>
    <row r="1121" spans="1:5" x14ac:dyDescent="0.25">
      <c r="A1121" s="2" t="str">
        <f>HYPERLINK("spreadsheet/1119.xlsx", "1119.xlsx")</f>
        <v>1119.xlsx</v>
      </c>
      <c r="B1121" s="2">
        <v>1119</v>
      </c>
      <c r="C1121" t="s">
        <v>588</v>
      </c>
      <c r="D1121" t="s">
        <v>585</v>
      </c>
      <c r="E1121" t="s">
        <v>115</v>
      </c>
    </row>
    <row r="1122" spans="1:5" x14ac:dyDescent="0.25">
      <c r="A1122" s="2" t="str">
        <f>HYPERLINK("spreadsheet/1120.xlsx", "1120.xlsx")</f>
        <v>1120.xlsx</v>
      </c>
      <c r="B1122" s="2">
        <v>1120</v>
      </c>
      <c r="C1122" t="s">
        <v>45</v>
      </c>
      <c r="D1122" t="s">
        <v>585</v>
      </c>
      <c r="E1122" t="s">
        <v>115</v>
      </c>
    </row>
    <row r="1123" spans="1:5" x14ac:dyDescent="0.25">
      <c r="A1123" s="2" t="str">
        <f>HYPERLINK("spreadsheet/1121.xlsx", "1121.xlsx")</f>
        <v>1121.xlsx</v>
      </c>
      <c r="B1123" s="2">
        <v>1121</v>
      </c>
      <c r="C1123" t="s">
        <v>589</v>
      </c>
      <c r="D1123" t="s">
        <v>585</v>
      </c>
      <c r="E1123" t="s">
        <v>115</v>
      </c>
    </row>
    <row r="1124" spans="1:5" x14ac:dyDescent="0.25">
      <c r="A1124" s="2" t="str">
        <f>HYPERLINK("spreadsheet/1122.xlsx", "1122.xlsx")</f>
        <v>1122.xlsx</v>
      </c>
      <c r="B1124" s="2">
        <v>1122</v>
      </c>
      <c r="C1124" t="s">
        <v>46</v>
      </c>
      <c r="D1124" t="s">
        <v>585</v>
      </c>
      <c r="E1124" t="s">
        <v>115</v>
      </c>
    </row>
    <row r="1125" spans="1:5" x14ac:dyDescent="0.25">
      <c r="A1125" s="2" t="str">
        <f>HYPERLINK("spreadsheet/1123.xlsx", "1123.xlsx")</f>
        <v>1123.xlsx</v>
      </c>
      <c r="B1125" s="2">
        <v>1123</v>
      </c>
      <c r="C1125" t="s">
        <v>590</v>
      </c>
      <c r="D1125" t="s">
        <v>585</v>
      </c>
      <c r="E1125" t="s">
        <v>115</v>
      </c>
    </row>
    <row r="1126" spans="1:5" x14ac:dyDescent="0.25">
      <c r="A1126" s="2" t="str">
        <f>HYPERLINK("spreadsheet/1124.xlsx", "1124.xlsx")</f>
        <v>1124.xlsx</v>
      </c>
      <c r="B1126" s="2">
        <v>1124</v>
      </c>
      <c r="C1126" t="s">
        <v>5</v>
      </c>
      <c r="D1126" t="s">
        <v>591</v>
      </c>
      <c r="E1126" t="s">
        <v>150</v>
      </c>
    </row>
    <row r="1127" spans="1:5" x14ac:dyDescent="0.25">
      <c r="A1127" s="2" t="s">
        <v>592</v>
      </c>
      <c r="B1127" s="2">
        <v>1125</v>
      </c>
      <c r="C1127" t="s">
        <v>10</v>
      </c>
      <c r="D1127" t="s">
        <v>591</v>
      </c>
      <c r="E1127" t="s">
        <v>150</v>
      </c>
    </row>
    <row r="1128" spans="1:5" x14ac:dyDescent="0.25">
      <c r="A1128" s="2" t="str">
        <f>HYPERLINK("spreadsheet/1126.xlsx", "1126.xlsx")</f>
        <v>1126.xlsx</v>
      </c>
      <c r="B1128" s="2">
        <v>1126</v>
      </c>
      <c r="C1128" t="s">
        <v>14</v>
      </c>
      <c r="D1128" t="s">
        <v>591</v>
      </c>
      <c r="E1128" t="s">
        <v>150</v>
      </c>
    </row>
    <row r="1129" spans="1:5" x14ac:dyDescent="0.25">
      <c r="A1129" s="2" t="str">
        <f>HYPERLINK("spreadsheet/1127.xlsx", "1127.xlsx")</f>
        <v>1127.xlsx</v>
      </c>
      <c r="B1129" s="2">
        <v>1127</v>
      </c>
      <c r="C1129" t="s">
        <v>15</v>
      </c>
      <c r="D1129" t="s">
        <v>591</v>
      </c>
      <c r="E1129" t="s">
        <v>150</v>
      </c>
    </row>
    <row r="1130" spans="1:5" x14ac:dyDescent="0.25">
      <c r="A1130" s="2" t="str">
        <f>HYPERLINK("spreadsheet/1128.xlsx", "1128.xlsx")</f>
        <v>1128.xlsx</v>
      </c>
      <c r="B1130" s="2">
        <v>1128</v>
      </c>
      <c r="C1130" t="s">
        <v>22</v>
      </c>
      <c r="D1130" t="s">
        <v>591</v>
      </c>
      <c r="E1130" t="s">
        <v>150</v>
      </c>
    </row>
    <row r="1131" spans="1:5" x14ac:dyDescent="0.25">
      <c r="A1131" s="2" t="str">
        <f>HYPERLINK("spreadsheet/1129.xlsx", "1129.xlsx")</f>
        <v>1129.xlsx</v>
      </c>
      <c r="B1131" s="2">
        <v>1129</v>
      </c>
      <c r="C1131" t="s">
        <v>24</v>
      </c>
      <c r="D1131" t="s">
        <v>591</v>
      </c>
      <c r="E1131" t="s">
        <v>150</v>
      </c>
    </row>
    <row r="1132" spans="1:5" x14ac:dyDescent="0.25">
      <c r="A1132" s="2" t="str">
        <f>HYPERLINK("spreadsheet/1130.xlsx", "1130.xlsx")</f>
        <v>1130.xlsx</v>
      </c>
      <c r="B1132" s="2">
        <v>1130</v>
      </c>
      <c r="C1132" t="s">
        <v>60</v>
      </c>
      <c r="D1132" t="s">
        <v>591</v>
      </c>
      <c r="E1132" t="s">
        <v>150</v>
      </c>
    </row>
    <row r="1133" spans="1:5" x14ac:dyDescent="0.25">
      <c r="A1133" s="2" t="str">
        <f>HYPERLINK("spreadsheet/1131.xlsx", "1131.xlsx")</f>
        <v>1131.xlsx</v>
      </c>
      <c r="B1133" s="2">
        <v>1131</v>
      </c>
      <c r="C1133" t="s">
        <v>44</v>
      </c>
      <c r="D1133" t="s">
        <v>591</v>
      </c>
      <c r="E1133" t="s">
        <v>150</v>
      </c>
    </row>
    <row r="1134" spans="1:5" x14ac:dyDescent="0.25">
      <c r="A1134" s="2" t="str">
        <f>HYPERLINK("spreadsheet/1132.xlsx", "1132.xlsx")</f>
        <v>1132.xlsx</v>
      </c>
      <c r="B1134" s="2">
        <v>1132</v>
      </c>
      <c r="C1134" t="s">
        <v>45</v>
      </c>
      <c r="D1134" t="s">
        <v>591</v>
      </c>
      <c r="E1134" t="s">
        <v>150</v>
      </c>
    </row>
    <row r="1135" spans="1:5" x14ac:dyDescent="0.25">
      <c r="A1135" s="2" t="str">
        <f>HYPERLINK("spreadsheet/1133.xlsx", "1133.xlsx")</f>
        <v>1133.xlsx</v>
      </c>
      <c r="B1135" s="2">
        <v>1133</v>
      </c>
      <c r="C1135" t="s">
        <v>46</v>
      </c>
      <c r="D1135" t="s">
        <v>591</v>
      </c>
      <c r="E1135" t="s">
        <v>150</v>
      </c>
    </row>
    <row r="1136" spans="1:5" x14ac:dyDescent="0.25">
      <c r="A1136" s="2" t="str">
        <f>HYPERLINK("spreadsheet/1134.xlsx", "1134.xlsx")</f>
        <v>1134.xlsx</v>
      </c>
      <c r="B1136" s="2">
        <v>1134</v>
      </c>
      <c r="C1136" t="s">
        <v>5</v>
      </c>
      <c r="D1136" t="s">
        <v>593</v>
      </c>
      <c r="E1136" t="s">
        <v>134</v>
      </c>
    </row>
    <row r="1137" spans="1:5" x14ac:dyDescent="0.25">
      <c r="A1137" s="2" t="str">
        <f>HYPERLINK("spreadsheet/1135.xlsx", "1135.xlsx")</f>
        <v>1135.xlsx</v>
      </c>
      <c r="B1137" s="2">
        <v>1135</v>
      </c>
      <c r="C1137" t="s">
        <v>10</v>
      </c>
      <c r="D1137" t="s">
        <v>593</v>
      </c>
      <c r="E1137" t="s">
        <v>134</v>
      </c>
    </row>
    <row r="1138" spans="1:5" x14ac:dyDescent="0.25">
      <c r="A1138" s="2" t="s">
        <v>594</v>
      </c>
      <c r="B1138" s="2">
        <v>1136</v>
      </c>
      <c r="C1138" t="s">
        <v>14</v>
      </c>
      <c r="D1138" t="s">
        <v>593</v>
      </c>
      <c r="E1138" t="s">
        <v>134</v>
      </c>
    </row>
    <row r="1139" spans="1:5" x14ac:dyDescent="0.25">
      <c r="A1139" s="2" t="str">
        <f>HYPERLINK("spreadsheet/1137.xlsx", "1137.xlsx")</f>
        <v>1137.xlsx</v>
      </c>
      <c r="B1139" s="2">
        <v>1137</v>
      </c>
      <c r="C1139" t="s">
        <v>5</v>
      </c>
      <c r="D1139" t="s">
        <v>595</v>
      </c>
      <c r="E1139" t="s">
        <v>147</v>
      </c>
    </row>
    <row r="1140" spans="1:5" x14ac:dyDescent="0.25">
      <c r="A1140" s="2" t="str">
        <f>HYPERLINK("spreadsheet/1138.xlsx", "1138.xlsx")</f>
        <v>1138.xlsx</v>
      </c>
      <c r="B1140" s="2">
        <v>1138</v>
      </c>
      <c r="C1140" t="s">
        <v>10</v>
      </c>
      <c r="D1140" t="s">
        <v>595</v>
      </c>
      <c r="E1140" t="s">
        <v>147</v>
      </c>
    </row>
    <row r="1141" spans="1:5" x14ac:dyDescent="0.25">
      <c r="A1141" s="2" t="s">
        <v>596</v>
      </c>
      <c r="B1141" s="2">
        <v>1139</v>
      </c>
      <c r="C1141" t="s">
        <v>14</v>
      </c>
      <c r="D1141" t="s">
        <v>595</v>
      </c>
      <c r="E1141" t="s">
        <v>147</v>
      </c>
    </row>
    <row r="1142" spans="1:5" x14ac:dyDescent="0.25">
      <c r="A1142" s="2" t="str">
        <f>HYPERLINK("spreadsheet/1140.xlsx", "1140.xlsx")</f>
        <v>1140.xlsx</v>
      </c>
      <c r="B1142" s="2">
        <v>1140</v>
      </c>
      <c r="C1142" t="s">
        <v>15</v>
      </c>
      <c r="D1142" t="s">
        <v>595</v>
      </c>
      <c r="E1142" t="s">
        <v>147</v>
      </c>
    </row>
    <row r="1143" spans="1:5" x14ac:dyDescent="0.25">
      <c r="A1143" s="2" t="str">
        <f>HYPERLINK("spreadsheet/1141.xlsx", "1141.xlsx")</f>
        <v>1141.xlsx</v>
      </c>
      <c r="B1143" s="2">
        <v>1141</v>
      </c>
      <c r="C1143" t="s">
        <v>22</v>
      </c>
      <c r="D1143" t="s">
        <v>595</v>
      </c>
      <c r="E1143" t="s">
        <v>147</v>
      </c>
    </row>
    <row r="1144" spans="1:5" x14ac:dyDescent="0.25">
      <c r="A1144" s="2" t="s">
        <v>597</v>
      </c>
      <c r="B1144" s="2">
        <v>1142</v>
      </c>
      <c r="C1144" t="s">
        <v>5</v>
      </c>
      <c r="D1144" t="s">
        <v>598</v>
      </c>
      <c r="E1144" t="s">
        <v>173</v>
      </c>
    </row>
    <row r="1145" spans="1:5" x14ac:dyDescent="0.25">
      <c r="A1145" s="2" t="s">
        <v>599</v>
      </c>
      <c r="B1145" s="2">
        <v>1143</v>
      </c>
      <c r="C1145" t="s">
        <v>10</v>
      </c>
      <c r="D1145" t="s">
        <v>598</v>
      </c>
      <c r="E1145" t="s">
        <v>173</v>
      </c>
    </row>
    <row r="1146" spans="1:5" x14ac:dyDescent="0.25">
      <c r="A1146" s="2" t="s">
        <v>600</v>
      </c>
      <c r="B1146" s="2">
        <v>1144</v>
      </c>
      <c r="C1146" t="s">
        <v>14</v>
      </c>
      <c r="D1146" t="s">
        <v>598</v>
      </c>
      <c r="E1146" t="s">
        <v>173</v>
      </c>
    </row>
    <row r="1147" spans="1:5" x14ac:dyDescent="0.25">
      <c r="A1147" s="2" t="s">
        <v>601</v>
      </c>
      <c r="B1147" s="2">
        <v>1145</v>
      </c>
      <c r="C1147" t="s">
        <v>15</v>
      </c>
      <c r="D1147" t="s">
        <v>598</v>
      </c>
      <c r="E1147" t="s">
        <v>173</v>
      </c>
    </row>
    <row r="1148" spans="1:5" x14ac:dyDescent="0.25">
      <c r="A1148" s="2" t="s">
        <v>602</v>
      </c>
      <c r="B1148" s="2">
        <v>1146</v>
      </c>
      <c r="C1148" t="s">
        <v>22</v>
      </c>
      <c r="D1148" t="s">
        <v>598</v>
      </c>
      <c r="E1148" t="s">
        <v>173</v>
      </c>
    </row>
    <row r="1149" spans="1:5" x14ac:dyDescent="0.25">
      <c r="A1149" s="2" t="s">
        <v>603</v>
      </c>
      <c r="B1149" s="2">
        <v>1147</v>
      </c>
      <c r="C1149" t="s">
        <v>24</v>
      </c>
      <c r="D1149" t="s">
        <v>598</v>
      </c>
      <c r="E1149" t="s">
        <v>173</v>
      </c>
    </row>
    <row r="1150" spans="1:5" x14ac:dyDescent="0.25">
      <c r="A1150" s="2" t="s">
        <v>604</v>
      </c>
      <c r="B1150" s="2">
        <v>1148</v>
      </c>
      <c r="C1150" t="s">
        <v>60</v>
      </c>
      <c r="D1150" t="s">
        <v>598</v>
      </c>
      <c r="E1150" t="s">
        <v>173</v>
      </c>
    </row>
    <row r="1151" spans="1:5" x14ac:dyDescent="0.25">
      <c r="A1151" s="2" t="str">
        <f>HYPERLINK("spreadsheet/1149.xlsx", "1149.xlsx")</f>
        <v>1149.xlsx</v>
      </c>
      <c r="B1151" s="2">
        <v>1149</v>
      </c>
      <c r="C1151" t="s">
        <v>5</v>
      </c>
      <c r="D1151" t="s">
        <v>605</v>
      </c>
      <c r="E1151" t="s">
        <v>115</v>
      </c>
    </row>
    <row r="1152" spans="1:5" x14ac:dyDescent="0.25">
      <c r="A1152" s="2" t="str">
        <f>HYPERLINK("spreadsheet/1150.xlsx", "1150.xlsx")</f>
        <v>1150.xlsx</v>
      </c>
      <c r="B1152" s="2">
        <v>1150</v>
      </c>
      <c r="C1152" t="s">
        <v>10</v>
      </c>
      <c r="D1152" t="s">
        <v>605</v>
      </c>
      <c r="E1152" t="s">
        <v>115</v>
      </c>
    </row>
    <row r="1153" spans="1:5" x14ac:dyDescent="0.25">
      <c r="A1153" s="2" t="str">
        <f>HYPERLINK("spreadsheet/1151.xlsx", "1151.xlsx")</f>
        <v>1151.xlsx</v>
      </c>
      <c r="B1153" s="2">
        <v>1151</v>
      </c>
      <c r="C1153" t="s">
        <v>14</v>
      </c>
      <c r="D1153" t="s">
        <v>605</v>
      </c>
      <c r="E1153" t="s">
        <v>115</v>
      </c>
    </row>
    <row r="1154" spans="1:5" x14ac:dyDescent="0.25">
      <c r="A1154" s="2" t="str">
        <f>HYPERLINK("spreadsheet/1152.xlsx", "1152.xlsx")</f>
        <v>1152.xlsx</v>
      </c>
      <c r="B1154" s="2">
        <v>1152</v>
      </c>
      <c r="C1154" t="s">
        <v>15</v>
      </c>
      <c r="D1154" t="s">
        <v>605</v>
      </c>
      <c r="E1154" t="s">
        <v>115</v>
      </c>
    </row>
    <row r="1155" spans="1:5" x14ac:dyDescent="0.25">
      <c r="A1155" s="2" t="str">
        <f>HYPERLINK("spreadsheet/1153.xlsx", "1153.xlsx")</f>
        <v>1153.xlsx</v>
      </c>
      <c r="B1155" s="2">
        <v>1153</v>
      </c>
      <c r="C1155" t="s">
        <v>22</v>
      </c>
      <c r="D1155" t="s">
        <v>605</v>
      </c>
      <c r="E1155" t="s">
        <v>115</v>
      </c>
    </row>
    <row r="1156" spans="1:5" x14ac:dyDescent="0.25">
      <c r="A1156" s="2" t="str">
        <f>HYPERLINK("spreadsheet/1154.xlsx", "1154.xlsx")</f>
        <v>1154.xlsx</v>
      </c>
      <c r="B1156" s="2">
        <v>1154</v>
      </c>
      <c r="C1156" t="s">
        <v>24</v>
      </c>
      <c r="D1156" t="s">
        <v>605</v>
      </c>
      <c r="E1156" t="s">
        <v>115</v>
      </c>
    </row>
    <row r="1157" spans="1:5" x14ac:dyDescent="0.25">
      <c r="A1157" s="2" t="s">
        <v>606</v>
      </c>
      <c r="B1157" s="2">
        <v>1155</v>
      </c>
      <c r="C1157" t="s">
        <v>60</v>
      </c>
      <c r="D1157" t="s">
        <v>605</v>
      </c>
      <c r="E1157" t="s">
        <v>115</v>
      </c>
    </row>
    <row r="1158" spans="1:5" x14ac:dyDescent="0.25">
      <c r="A1158" s="2" t="str">
        <f>HYPERLINK("spreadsheet/1156.xlsx", "1156.xlsx")</f>
        <v>1156.xlsx</v>
      </c>
      <c r="B1158" s="2">
        <v>1156</v>
      </c>
      <c r="C1158" t="s">
        <v>44</v>
      </c>
      <c r="D1158" t="s">
        <v>605</v>
      </c>
      <c r="E1158" t="s">
        <v>115</v>
      </c>
    </row>
    <row r="1159" spans="1:5" x14ac:dyDescent="0.25">
      <c r="A1159" s="2" t="str">
        <f>HYPERLINK("spreadsheet/1157.xlsx", "1157.xlsx")</f>
        <v>1157.xlsx</v>
      </c>
      <c r="B1159" s="2">
        <v>1157</v>
      </c>
      <c r="C1159" t="s">
        <v>45</v>
      </c>
      <c r="D1159" t="s">
        <v>605</v>
      </c>
      <c r="E1159" t="s">
        <v>115</v>
      </c>
    </row>
    <row r="1160" spans="1:5" x14ac:dyDescent="0.25">
      <c r="A1160" s="2" t="str">
        <f>HYPERLINK("spreadsheet/1158.xlsx", "1158.xlsx")</f>
        <v>1158.xlsx</v>
      </c>
      <c r="B1160" s="2">
        <v>1158</v>
      </c>
      <c r="C1160" t="s">
        <v>46</v>
      </c>
      <c r="D1160" t="s">
        <v>605</v>
      </c>
      <c r="E1160" t="s">
        <v>115</v>
      </c>
    </row>
    <row r="1161" spans="1:5" x14ac:dyDescent="0.25">
      <c r="A1161" s="2" t="str">
        <f>HYPERLINK("spreadsheet/1159.xlsx", "1159.xlsx")</f>
        <v>1159.xlsx</v>
      </c>
      <c r="B1161" s="2">
        <v>1159</v>
      </c>
      <c r="C1161" t="s">
        <v>47</v>
      </c>
      <c r="D1161" t="s">
        <v>605</v>
      </c>
      <c r="E1161" t="s">
        <v>115</v>
      </c>
    </row>
    <row r="1162" spans="1:5" x14ac:dyDescent="0.25">
      <c r="A1162" s="2" t="str">
        <f>HYPERLINK("spreadsheet/1160.xlsx", "1160.xlsx")</f>
        <v>1160.xlsx</v>
      </c>
      <c r="B1162" s="2">
        <v>1160</v>
      </c>
      <c r="C1162" t="s">
        <v>48</v>
      </c>
      <c r="D1162" t="s">
        <v>605</v>
      </c>
      <c r="E1162" t="s">
        <v>115</v>
      </c>
    </row>
    <row r="1163" spans="1:5" x14ac:dyDescent="0.25">
      <c r="A1163" s="2" t="str">
        <f>HYPERLINK("spreadsheet/1161.xlsx", "1161.xlsx")</f>
        <v>1161.xlsx</v>
      </c>
      <c r="B1163" s="2">
        <v>1161</v>
      </c>
      <c r="C1163" t="s">
        <v>49</v>
      </c>
      <c r="D1163" t="s">
        <v>605</v>
      </c>
      <c r="E1163" t="s">
        <v>115</v>
      </c>
    </row>
    <row r="1164" spans="1:5" x14ac:dyDescent="0.25">
      <c r="A1164" s="2" t="str">
        <f>HYPERLINK("spreadsheet/1162.xlsx", "1162.xlsx")</f>
        <v>1162.xlsx</v>
      </c>
      <c r="B1164" s="2">
        <v>1162</v>
      </c>
      <c r="C1164" t="s">
        <v>50</v>
      </c>
      <c r="D1164" t="s">
        <v>605</v>
      </c>
      <c r="E1164" t="s">
        <v>115</v>
      </c>
    </row>
    <row r="1165" spans="1:5" x14ac:dyDescent="0.25">
      <c r="A1165" s="2" t="s">
        <v>607</v>
      </c>
      <c r="B1165" s="2">
        <v>1163</v>
      </c>
      <c r="C1165" t="s">
        <v>5</v>
      </c>
      <c r="D1165" t="s">
        <v>608</v>
      </c>
      <c r="E1165" t="s">
        <v>154</v>
      </c>
    </row>
    <row r="1166" spans="1:5" x14ac:dyDescent="0.25">
      <c r="A1166" s="2" t="str">
        <f>HYPERLINK("spreadsheet/1164.xlsx", "1164.xlsx")</f>
        <v>1164.xlsx</v>
      </c>
      <c r="B1166" s="2">
        <v>1164</v>
      </c>
      <c r="C1166" t="s">
        <v>10</v>
      </c>
      <c r="D1166" t="s">
        <v>608</v>
      </c>
      <c r="E1166" t="s">
        <v>154</v>
      </c>
    </row>
    <row r="1167" spans="1:5" x14ac:dyDescent="0.25">
      <c r="A1167" s="2" t="str">
        <f>HYPERLINK("spreadsheet/1165.xlsx", "1165.xlsx")</f>
        <v>1165.xlsx</v>
      </c>
      <c r="B1167" s="2">
        <v>1165</v>
      </c>
      <c r="C1167" t="s">
        <v>14</v>
      </c>
      <c r="D1167" t="s">
        <v>608</v>
      </c>
      <c r="E1167" t="s">
        <v>154</v>
      </c>
    </row>
    <row r="1168" spans="1:5" x14ac:dyDescent="0.25">
      <c r="A1168" s="2" t="str">
        <f>HYPERLINK("spreadsheet/1166.xlsx", "1166.xlsx")</f>
        <v>1166.xlsx</v>
      </c>
      <c r="B1168" s="2">
        <v>1166</v>
      </c>
      <c r="C1168" t="s">
        <v>15</v>
      </c>
      <c r="D1168" t="s">
        <v>608</v>
      </c>
      <c r="E1168" t="s">
        <v>154</v>
      </c>
    </row>
    <row r="1169" spans="1:5" x14ac:dyDescent="0.25">
      <c r="A1169" s="2" t="str">
        <f>HYPERLINK("spreadsheet/1167.xlsx", "1167.xlsx")</f>
        <v>1167.xlsx</v>
      </c>
      <c r="B1169" s="2">
        <v>1167</v>
      </c>
      <c r="C1169" t="s">
        <v>22</v>
      </c>
      <c r="D1169" t="s">
        <v>608</v>
      </c>
      <c r="E1169" t="s">
        <v>154</v>
      </c>
    </row>
    <row r="1170" spans="1:5" x14ac:dyDescent="0.25">
      <c r="A1170" s="2" t="s">
        <v>609</v>
      </c>
      <c r="B1170" s="2">
        <v>1168</v>
      </c>
      <c r="C1170" t="s">
        <v>5</v>
      </c>
      <c r="D1170" t="s">
        <v>610</v>
      </c>
      <c r="E1170" t="s">
        <v>115</v>
      </c>
    </row>
    <row r="1171" spans="1:5" x14ac:dyDescent="0.25">
      <c r="A1171" s="2" t="str">
        <f>HYPERLINK("spreadsheet/1169.xlsx", "1169.xlsx")</f>
        <v>1169.xlsx</v>
      </c>
      <c r="B1171" s="2">
        <v>1169</v>
      </c>
      <c r="C1171" t="s">
        <v>10</v>
      </c>
      <c r="D1171" t="s">
        <v>610</v>
      </c>
      <c r="E1171" t="s">
        <v>115</v>
      </c>
    </row>
    <row r="1172" spans="1:5" x14ac:dyDescent="0.25">
      <c r="A1172" s="2" t="str">
        <f>HYPERLINK("spreadsheet/1170.xlsx", "1170.xlsx")</f>
        <v>1170.xlsx</v>
      </c>
      <c r="B1172" s="2">
        <v>1170</v>
      </c>
      <c r="C1172" t="s">
        <v>14</v>
      </c>
      <c r="D1172" t="s">
        <v>610</v>
      </c>
      <c r="E1172" t="s">
        <v>115</v>
      </c>
    </row>
    <row r="1173" spans="1:5" x14ac:dyDescent="0.25">
      <c r="A1173" s="2" t="str">
        <f>HYPERLINK("spreadsheet/1171.xlsx", "1171.xlsx")</f>
        <v>1171.xlsx</v>
      </c>
      <c r="B1173" s="2">
        <v>1171</v>
      </c>
      <c r="C1173" t="s">
        <v>5</v>
      </c>
      <c r="D1173" t="s">
        <v>611</v>
      </c>
      <c r="E1173" t="s">
        <v>164</v>
      </c>
    </row>
    <row r="1174" spans="1:5" x14ac:dyDescent="0.25">
      <c r="A1174" s="2" t="str">
        <f>HYPERLINK("spreadsheet/1172.xlsx", "1172.xlsx")</f>
        <v>1172.xlsx</v>
      </c>
      <c r="B1174" s="2">
        <v>1172</v>
      </c>
      <c r="C1174" t="s">
        <v>10</v>
      </c>
      <c r="D1174" t="s">
        <v>611</v>
      </c>
      <c r="E1174" t="s">
        <v>164</v>
      </c>
    </row>
    <row r="1175" spans="1:5" x14ac:dyDescent="0.25">
      <c r="A1175" s="2" t="str">
        <f>HYPERLINK("spreadsheet/1173.xlsx", "1173.xlsx")</f>
        <v>1173.xlsx</v>
      </c>
      <c r="B1175" s="2">
        <v>1173</v>
      </c>
      <c r="C1175" t="s">
        <v>14</v>
      </c>
      <c r="D1175" t="s">
        <v>611</v>
      </c>
      <c r="E1175" t="s">
        <v>164</v>
      </c>
    </row>
    <row r="1176" spans="1:5" x14ac:dyDescent="0.25">
      <c r="A1176" s="2" t="str">
        <f>HYPERLINK("spreadsheet/1174.xlsx", "1174.xlsx")</f>
        <v>1174.xlsx</v>
      </c>
      <c r="B1176" s="2">
        <v>1174</v>
      </c>
      <c r="C1176" t="s">
        <v>15</v>
      </c>
      <c r="D1176" t="s">
        <v>611</v>
      </c>
      <c r="E1176" t="s">
        <v>164</v>
      </c>
    </row>
    <row r="1177" spans="1:5" x14ac:dyDescent="0.25">
      <c r="A1177" s="2" t="str">
        <f>HYPERLINK("spreadsheet/1175.xlsx", "1175.xlsx")</f>
        <v>1175.xlsx</v>
      </c>
      <c r="B1177" s="2">
        <v>1175</v>
      </c>
      <c r="C1177" t="s">
        <v>22</v>
      </c>
      <c r="D1177" t="s">
        <v>611</v>
      </c>
      <c r="E1177" t="s">
        <v>164</v>
      </c>
    </row>
    <row r="1178" spans="1:5" x14ac:dyDescent="0.25">
      <c r="A1178" s="2" t="str">
        <f>HYPERLINK("spreadsheet/1176.xlsx", "1176.xlsx")</f>
        <v>1176.xlsx</v>
      </c>
      <c r="B1178" s="2">
        <v>1176</v>
      </c>
      <c r="C1178" t="s">
        <v>24</v>
      </c>
      <c r="D1178" t="s">
        <v>611</v>
      </c>
      <c r="E1178" t="s">
        <v>164</v>
      </c>
    </row>
    <row r="1179" spans="1:5" x14ac:dyDescent="0.25">
      <c r="A1179" s="2" t="str">
        <f>HYPERLINK("spreadsheet/1177.xlsx", "1177.xlsx")</f>
        <v>1177.xlsx</v>
      </c>
      <c r="B1179" s="2">
        <v>1177</v>
      </c>
      <c r="C1179" t="s">
        <v>60</v>
      </c>
      <c r="D1179" t="s">
        <v>611</v>
      </c>
      <c r="E1179" t="s">
        <v>164</v>
      </c>
    </row>
    <row r="1180" spans="1:5" x14ac:dyDescent="0.25">
      <c r="A1180" s="2" t="str">
        <f>HYPERLINK("spreadsheet/1178.xlsx", "1178.xlsx")</f>
        <v>1178.xlsx</v>
      </c>
      <c r="B1180" s="2">
        <v>1178</v>
      </c>
      <c r="C1180" t="s">
        <v>44</v>
      </c>
      <c r="D1180" t="s">
        <v>611</v>
      </c>
      <c r="E1180" t="s">
        <v>164</v>
      </c>
    </row>
    <row r="1181" spans="1:5" x14ac:dyDescent="0.25">
      <c r="A1181" s="2" t="str">
        <f>HYPERLINK("spreadsheet/1179.xlsx", "1179.xlsx")</f>
        <v>1179.xlsx</v>
      </c>
      <c r="B1181" s="2">
        <v>1179</v>
      </c>
      <c r="C1181" t="s">
        <v>45</v>
      </c>
      <c r="D1181" t="s">
        <v>611</v>
      </c>
      <c r="E1181" t="s">
        <v>164</v>
      </c>
    </row>
    <row r="1182" spans="1:5" x14ac:dyDescent="0.25">
      <c r="A1182" s="2" t="str">
        <f>HYPERLINK("spreadsheet/1180.xlsx", "1180.xlsx")</f>
        <v>1180.xlsx</v>
      </c>
      <c r="B1182" s="2">
        <v>1180</v>
      </c>
      <c r="C1182" t="s">
        <v>46</v>
      </c>
      <c r="D1182" t="s">
        <v>611</v>
      </c>
      <c r="E1182" t="s">
        <v>164</v>
      </c>
    </row>
    <row r="1183" spans="1:5" x14ac:dyDescent="0.25">
      <c r="A1183" s="2" t="str">
        <f>HYPERLINK("spreadsheet/1181.xlsx", "1181.xlsx")</f>
        <v>1181.xlsx</v>
      </c>
      <c r="B1183" s="2">
        <v>1181</v>
      </c>
      <c r="C1183" t="s">
        <v>5</v>
      </c>
      <c r="D1183" t="s">
        <v>612</v>
      </c>
      <c r="E1183" t="s">
        <v>154</v>
      </c>
    </row>
    <row r="1184" spans="1:5" x14ac:dyDescent="0.25">
      <c r="A1184" s="2" t="str">
        <f>HYPERLINK("spreadsheet/1182.xlsx", "1182.xlsx")</f>
        <v>1182.xlsx</v>
      </c>
      <c r="B1184" s="2">
        <v>1182</v>
      </c>
      <c r="C1184" t="s">
        <v>10</v>
      </c>
      <c r="D1184" t="s">
        <v>612</v>
      </c>
      <c r="E1184" t="s">
        <v>154</v>
      </c>
    </row>
    <row r="1185" spans="1:5" x14ac:dyDescent="0.25">
      <c r="A1185" s="2" t="str">
        <f>HYPERLINK("spreadsheet/1183.xlsx", "1183.xlsx")</f>
        <v>1183.xlsx</v>
      </c>
      <c r="B1185" s="2">
        <v>1183</v>
      </c>
      <c r="C1185" t="s">
        <v>5</v>
      </c>
      <c r="D1185" t="s">
        <v>613</v>
      </c>
      <c r="E1185" t="s">
        <v>218</v>
      </c>
    </row>
    <row r="1186" spans="1:5" x14ac:dyDescent="0.25">
      <c r="A1186" s="2" t="str">
        <f>HYPERLINK("spreadsheet/1184.xlsx", "1184.xlsx")</f>
        <v>1184.xlsx</v>
      </c>
      <c r="B1186" s="2">
        <v>1184</v>
      </c>
      <c r="C1186" t="s">
        <v>10</v>
      </c>
      <c r="D1186" t="s">
        <v>613</v>
      </c>
      <c r="E1186" t="s">
        <v>218</v>
      </c>
    </row>
    <row r="1187" spans="1:5" x14ac:dyDescent="0.25">
      <c r="A1187" s="2" t="str">
        <f>HYPERLINK("spreadsheet/1185.xlsx", "1185.xlsx")</f>
        <v>1185.xlsx</v>
      </c>
      <c r="B1187" s="2">
        <v>1185</v>
      </c>
      <c r="C1187" t="s">
        <v>22</v>
      </c>
      <c r="D1187" t="s">
        <v>613</v>
      </c>
      <c r="E1187" t="s">
        <v>218</v>
      </c>
    </row>
    <row r="1188" spans="1:5" x14ac:dyDescent="0.25">
      <c r="A1188" s="2" t="str">
        <f>HYPERLINK("spreadsheet/1186.xlsx", "1186.xlsx")</f>
        <v>1186.xlsx</v>
      </c>
      <c r="B1188" s="2">
        <v>1186</v>
      </c>
      <c r="C1188" t="s">
        <v>24</v>
      </c>
      <c r="D1188" t="s">
        <v>613</v>
      </c>
      <c r="E1188" t="s">
        <v>218</v>
      </c>
    </row>
    <row r="1189" spans="1:5" x14ac:dyDescent="0.25">
      <c r="A1189" s="2" t="str">
        <f>HYPERLINK("spreadsheet/1187.xlsx", "1187.xlsx")</f>
        <v>1187.xlsx</v>
      </c>
      <c r="B1189" s="2">
        <v>1187</v>
      </c>
      <c r="C1189" t="s">
        <v>44</v>
      </c>
      <c r="D1189" t="s">
        <v>613</v>
      </c>
      <c r="E1189" t="s">
        <v>218</v>
      </c>
    </row>
    <row r="1190" spans="1:5" x14ac:dyDescent="0.25">
      <c r="A1190" s="2" t="str">
        <f>HYPERLINK("spreadsheet/1188.xlsx", "1188.xlsx")</f>
        <v>1188.xlsx</v>
      </c>
      <c r="B1190" s="2">
        <v>1188</v>
      </c>
      <c r="C1190" t="s">
        <v>45</v>
      </c>
      <c r="D1190" t="s">
        <v>613</v>
      </c>
      <c r="E1190" t="s">
        <v>218</v>
      </c>
    </row>
    <row r="1191" spans="1:5" x14ac:dyDescent="0.25">
      <c r="A1191" s="2" t="str">
        <f>HYPERLINK("spreadsheet/1189.xlsx", "1189.xlsx")</f>
        <v>1189.xlsx</v>
      </c>
      <c r="B1191" s="2">
        <v>1189</v>
      </c>
      <c r="C1191" t="s">
        <v>46</v>
      </c>
      <c r="D1191" t="s">
        <v>613</v>
      </c>
      <c r="E1191" t="s">
        <v>218</v>
      </c>
    </row>
    <row r="1192" spans="1:5" x14ac:dyDescent="0.25">
      <c r="A1192" s="2" t="s">
        <v>614</v>
      </c>
      <c r="B1192" s="2">
        <v>1190</v>
      </c>
      <c r="C1192" t="s">
        <v>47</v>
      </c>
      <c r="D1192" t="s">
        <v>613</v>
      </c>
      <c r="E1192" t="s">
        <v>218</v>
      </c>
    </row>
    <row r="1193" spans="1:5" x14ac:dyDescent="0.25">
      <c r="A1193" s="2" t="str">
        <f>HYPERLINK("spreadsheet/1191.xlsx", "1191.xlsx")</f>
        <v>1191.xlsx</v>
      </c>
      <c r="B1193" s="2">
        <v>1191</v>
      </c>
      <c r="C1193" t="s">
        <v>48</v>
      </c>
      <c r="D1193" t="s">
        <v>613</v>
      </c>
      <c r="E1193" t="s">
        <v>218</v>
      </c>
    </row>
    <row r="1194" spans="1:5" x14ac:dyDescent="0.25">
      <c r="A1194" s="2" t="str">
        <f>HYPERLINK("spreadsheet/1192.xlsx", "1192.xlsx")</f>
        <v>1192.xlsx</v>
      </c>
      <c r="B1194" s="2">
        <v>1192</v>
      </c>
      <c r="C1194" t="s">
        <v>49</v>
      </c>
      <c r="D1194" t="s">
        <v>613</v>
      </c>
      <c r="E1194" t="s">
        <v>218</v>
      </c>
    </row>
    <row r="1195" spans="1:5" x14ac:dyDescent="0.25">
      <c r="A1195" s="2" t="str">
        <f>HYPERLINK("spreadsheet/1193.xlsx", "1193.xlsx")</f>
        <v>1193.xlsx</v>
      </c>
      <c r="B1195" s="2">
        <v>1193</v>
      </c>
      <c r="C1195" t="s">
        <v>5</v>
      </c>
      <c r="D1195" t="s">
        <v>615</v>
      </c>
      <c r="E1195" t="s">
        <v>173</v>
      </c>
    </row>
    <row r="1196" spans="1:5" x14ac:dyDescent="0.25">
      <c r="A1196" s="2" t="s">
        <v>616</v>
      </c>
      <c r="B1196" s="2">
        <v>1194</v>
      </c>
      <c r="C1196" t="s">
        <v>10</v>
      </c>
      <c r="D1196" t="s">
        <v>615</v>
      </c>
      <c r="E1196" t="s">
        <v>173</v>
      </c>
    </row>
    <row r="1197" spans="1:5" x14ac:dyDescent="0.25">
      <c r="A1197" s="2" t="str">
        <f>HYPERLINK("spreadsheet/1195.xlsx", "1195.xlsx")</f>
        <v>1195.xlsx</v>
      </c>
      <c r="B1197" s="2">
        <v>1195</v>
      </c>
      <c r="C1197" t="s">
        <v>15</v>
      </c>
      <c r="D1197" t="s">
        <v>617</v>
      </c>
      <c r="E1197" t="s">
        <v>134</v>
      </c>
    </row>
    <row r="1198" spans="1:5" x14ac:dyDescent="0.25">
      <c r="A1198" s="2" t="s">
        <v>618</v>
      </c>
      <c r="B1198" s="2">
        <v>1196</v>
      </c>
      <c r="C1198" t="s">
        <v>22</v>
      </c>
      <c r="D1198" t="s">
        <v>617</v>
      </c>
      <c r="E1198" t="s">
        <v>134</v>
      </c>
    </row>
    <row r="1199" spans="1:5" x14ac:dyDescent="0.25">
      <c r="A1199" s="2" t="s">
        <v>619</v>
      </c>
      <c r="B1199" s="2">
        <v>1197</v>
      </c>
      <c r="C1199" t="s">
        <v>24</v>
      </c>
      <c r="D1199" t="s">
        <v>617</v>
      </c>
      <c r="E1199" t="s">
        <v>134</v>
      </c>
    </row>
    <row r="1200" spans="1:5" x14ac:dyDescent="0.25">
      <c r="A1200" s="2" t="s">
        <v>620</v>
      </c>
      <c r="B1200" s="2">
        <v>1198</v>
      </c>
      <c r="C1200" t="s">
        <v>60</v>
      </c>
      <c r="D1200" t="s">
        <v>617</v>
      </c>
      <c r="E1200" t="s">
        <v>134</v>
      </c>
    </row>
    <row r="1201" spans="1:5" x14ac:dyDescent="0.25">
      <c r="A1201" s="2" t="s">
        <v>621</v>
      </c>
      <c r="B1201" s="2">
        <v>1199</v>
      </c>
      <c r="C1201" t="s">
        <v>44</v>
      </c>
      <c r="D1201" t="s">
        <v>617</v>
      </c>
      <c r="E1201" t="s">
        <v>134</v>
      </c>
    </row>
    <row r="1202" spans="1:5" x14ac:dyDescent="0.25">
      <c r="A1202" s="2" t="s">
        <v>622</v>
      </c>
      <c r="B1202" s="2">
        <v>1200</v>
      </c>
      <c r="C1202" t="s">
        <v>45</v>
      </c>
      <c r="D1202" t="s">
        <v>617</v>
      </c>
      <c r="E1202" t="s">
        <v>134</v>
      </c>
    </row>
    <row r="1203" spans="1:5" x14ac:dyDescent="0.25">
      <c r="A1203" s="2" t="s">
        <v>623</v>
      </c>
      <c r="B1203" s="2">
        <v>1201</v>
      </c>
      <c r="C1203" t="s">
        <v>46</v>
      </c>
      <c r="D1203" t="s">
        <v>617</v>
      </c>
      <c r="E1203" t="s">
        <v>134</v>
      </c>
    </row>
    <row r="1204" spans="1:5" x14ac:dyDescent="0.25">
      <c r="A1204" s="2" t="s">
        <v>624</v>
      </c>
      <c r="B1204" s="2">
        <v>1202</v>
      </c>
      <c r="C1204" t="s">
        <v>47</v>
      </c>
      <c r="D1204" t="s">
        <v>617</v>
      </c>
      <c r="E1204" t="s">
        <v>134</v>
      </c>
    </row>
    <row r="1205" spans="1:5" x14ac:dyDescent="0.25">
      <c r="A1205" s="2" t="s">
        <v>625</v>
      </c>
      <c r="B1205" s="2">
        <v>1203</v>
      </c>
      <c r="C1205" t="s">
        <v>48</v>
      </c>
      <c r="D1205" t="s">
        <v>617</v>
      </c>
      <c r="E1205" t="s">
        <v>134</v>
      </c>
    </row>
    <row r="1206" spans="1:5" x14ac:dyDescent="0.25">
      <c r="A1206" s="2" t="s">
        <v>626</v>
      </c>
      <c r="B1206" s="2">
        <v>1204</v>
      </c>
      <c r="C1206" t="s">
        <v>49</v>
      </c>
      <c r="D1206" t="s">
        <v>617</v>
      </c>
      <c r="E1206" t="s">
        <v>134</v>
      </c>
    </row>
    <row r="1207" spans="1:5" x14ac:dyDescent="0.25">
      <c r="A1207" s="2" t="s">
        <v>627</v>
      </c>
      <c r="B1207" s="2">
        <v>1205</v>
      </c>
      <c r="C1207" t="s">
        <v>50</v>
      </c>
      <c r="D1207" t="s">
        <v>617</v>
      </c>
      <c r="E1207" t="s">
        <v>134</v>
      </c>
    </row>
    <row r="1208" spans="1:5" x14ac:dyDescent="0.25">
      <c r="A1208" s="2" t="s">
        <v>628</v>
      </c>
      <c r="B1208" s="2">
        <v>1206</v>
      </c>
      <c r="C1208" t="s">
        <v>51</v>
      </c>
      <c r="D1208" t="s">
        <v>617</v>
      </c>
      <c r="E1208" t="s">
        <v>134</v>
      </c>
    </row>
    <row r="1209" spans="1:5" x14ac:dyDescent="0.25">
      <c r="A1209" s="2" t="s">
        <v>629</v>
      </c>
      <c r="B1209" s="2">
        <v>1207</v>
      </c>
      <c r="C1209" t="s">
        <v>52</v>
      </c>
      <c r="D1209" t="s">
        <v>617</v>
      </c>
      <c r="E1209" t="s">
        <v>134</v>
      </c>
    </row>
    <row r="1210" spans="1:5" x14ac:dyDescent="0.25">
      <c r="A1210" s="2" t="s">
        <v>630</v>
      </c>
      <c r="B1210" s="2">
        <v>1208</v>
      </c>
      <c r="C1210" t="s">
        <v>5</v>
      </c>
      <c r="D1210" t="s">
        <v>631</v>
      </c>
      <c r="E1210" t="s">
        <v>115</v>
      </c>
    </row>
    <row r="1211" spans="1:5" x14ac:dyDescent="0.25">
      <c r="A1211" s="2" t="str">
        <f>HYPERLINK("spreadsheet/1209.xlsx", "1209.xlsx")</f>
        <v>1209.xlsx</v>
      </c>
      <c r="B1211" s="2">
        <v>1209</v>
      </c>
      <c r="C1211" t="s">
        <v>10</v>
      </c>
      <c r="D1211" t="s">
        <v>632</v>
      </c>
      <c r="E1211" t="s">
        <v>218</v>
      </c>
    </row>
    <row r="1212" spans="1:5" x14ac:dyDescent="0.25">
      <c r="A1212" s="2" t="str">
        <f>HYPERLINK("spreadsheet/1210.xlsx", "1210.xlsx")</f>
        <v>1210.xlsx</v>
      </c>
      <c r="B1212" s="2">
        <v>1210</v>
      </c>
      <c r="C1212" t="s">
        <v>15</v>
      </c>
      <c r="D1212" t="s">
        <v>632</v>
      </c>
      <c r="E1212" t="s">
        <v>218</v>
      </c>
    </row>
    <row r="1213" spans="1:5" x14ac:dyDescent="0.25">
      <c r="A1213" s="2" t="str">
        <f>HYPERLINK("spreadsheet/1211.xlsx", "1211.xlsx")</f>
        <v>1211.xlsx</v>
      </c>
      <c r="B1213" s="2">
        <v>1211</v>
      </c>
      <c r="C1213" t="s">
        <v>5</v>
      </c>
      <c r="D1213" t="s">
        <v>633</v>
      </c>
      <c r="E1213" t="s">
        <v>115</v>
      </c>
    </row>
    <row r="1214" spans="1:5" x14ac:dyDescent="0.25">
      <c r="A1214" s="2" t="str">
        <f>HYPERLINK("spreadsheet/1212.xlsx", "1212.xlsx")</f>
        <v>1212.xlsx</v>
      </c>
      <c r="B1214" s="2">
        <v>1212</v>
      </c>
      <c r="C1214" t="s">
        <v>10</v>
      </c>
      <c r="D1214" t="s">
        <v>633</v>
      </c>
      <c r="E1214" t="s">
        <v>115</v>
      </c>
    </row>
    <row r="1215" spans="1:5" x14ac:dyDescent="0.25">
      <c r="A1215" s="2" t="str">
        <f>HYPERLINK("spreadsheet/1213.xlsx", "1213.xlsx")</f>
        <v>1213.xlsx</v>
      </c>
      <c r="B1215" s="2">
        <v>1213</v>
      </c>
      <c r="C1215" t="s">
        <v>14</v>
      </c>
      <c r="D1215" t="s">
        <v>633</v>
      </c>
      <c r="E1215" t="s">
        <v>115</v>
      </c>
    </row>
    <row r="1216" spans="1:5" x14ac:dyDescent="0.25">
      <c r="A1216" s="2" t="str">
        <f>HYPERLINK("spreadsheet/1214.xlsx", "1214.xlsx")</f>
        <v>1214.xlsx</v>
      </c>
      <c r="B1216" s="2">
        <v>1214</v>
      </c>
      <c r="C1216" t="s">
        <v>15</v>
      </c>
      <c r="D1216" t="s">
        <v>633</v>
      </c>
      <c r="E1216" t="s">
        <v>115</v>
      </c>
    </row>
    <row r="1217" spans="1:5" x14ac:dyDescent="0.25">
      <c r="A1217" s="2" t="str">
        <f>HYPERLINK("spreadsheet/1215.xlsx", "1215.xlsx")</f>
        <v>1215.xlsx</v>
      </c>
      <c r="B1217" s="2">
        <v>1215</v>
      </c>
      <c r="C1217" t="s">
        <v>22</v>
      </c>
      <c r="D1217" t="s">
        <v>633</v>
      </c>
      <c r="E1217" t="s">
        <v>115</v>
      </c>
    </row>
    <row r="1218" spans="1:5" x14ac:dyDescent="0.25">
      <c r="A1218" s="2" t="s">
        <v>634</v>
      </c>
      <c r="B1218" s="2">
        <v>1216</v>
      </c>
      <c r="C1218" t="s">
        <v>5</v>
      </c>
      <c r="D1218" t="s">
        <v>635</v>
      </c>
      <c r="E1218" t="s">
        <v>115</v>
      </c>
    </row>
    <row r="1219" spans="1:5" x14ac:dyDescent="0.25">
      <c r="A1219" s="2" t="str">
        <f>HYPERLINK("spreadsheet/1217.xlsx", "1217.xlsx")</f>
        <v>1217.xlsx</v>
      </c>
      <c r="B1219" s="2">
        <v>1217</v>
      </c>
      <c r="C1219" t="s">
        <v>5</v>
      </c>
      <c r="D1219" t="s">
        <v>636</v>
      </c>
      <c r="E1219" t="s">
        <v>134</v>
      </c>
    </row>
    <row r="1220" spans="1:5" x14ac:dyDescent="0.25">
      <c r="A1220" s="2" t="str">
        <f>HYPERLINK("spreadsheet/1218.xlsx", "1218.xlsx")</f>
        <v>1218.xlsx</v>
      </c>
      <c r="B1220" s="2">
        <v>1218</v>
      </c>
      <c r="C1220" t="s">
        <v>10</v>
      </c>
      <c r="D1220" t="s">
        <v>636</v>
      </c>
      <c r="E1220" t="s">
        <v>134</v>
      </c>
    </row>
    <row r="1221" spans="1:5" x14ac:dyDescent="0.25">
      <c r="A1221" s="2" t="str">
        <f>HYPERLINK("spreadsheet/1219.xlsx", "1219.xlsx")</f>
        <v>1219.xlsx</v>
      </c>
      <c r="B1221" s="2">
        <v>1219</v>
      </c>
      <c r="C1221" t="s">
        <v>14</v>
      </c>
      <c r="D1221" t="s">
        <v>636</v>
      </c>
      <c r="E1221" t="s">
        <v>134</v>
      </c>
    </row>
    <row r="1222" spans="1:5" x14ac:dyDescent="0.25">
      <c r="A1222" s="2" t="str">
        <f>HYPERLINK("spreadsheet/1220.xlsx", "1220.xlsx")</f>
        <v>1220.xlsx</v>
      </c>
      <c r="B1222" s="2">
        <v>1220</v>
      </c>
      <c r="C1222" t="s">
        <v>15</v>
      </c>
      <c r="D1222" t="s">
        <v>636</v>
      </c>
      <c r="E1222" t="s">
        <v>134</v>
      </c>
    </row>
    <row r="1223" spans="1:5" x14ac:dyDescent="0.25">
      <c r="A1223" s="2" t="str">
        <f>HYPERLINK("spreadsheet/1221.xlsx", "1221.xlsx")</f>
        <v>1221.xlsx</v>
      </c>
      <c r="B1223" s="2">
        <v>1221</v>
      </c>
      <c r="C1223" t="s">
        <v>22</v>
      </c>
      <c r="D1223" t="s">
        <v>636</v>
      </c>
      <c r="E1223" t="s">
        <v>134</v>
      </c>
    </row>
    <row r="1224" spans="1:5" x14ac:dyDescent="0.25">
      <c r="A1224" s="2" t="str">
        <f>HYPERLINK("spreadsheet/1222.xlsx", "1222.xlsx")</f>
        <v>1222.xlsx</v>
      </c>
      <c r="B1224" s="2">
        <v>1222</v>
      </c>
      <c r="C1224" t="s">
        <v>5</v>
      </c>
      <c r="D1224" t="s">
        <v>637</v>
      </c>
      <c r="E1224" t="s">
        <v>150</v>
      </c>
    </row>
    <row r="1225" spans="1:5" x14ac:dyDescent="0.25">
      <c r="A1225" s="2" t="str">
        <f>HYPERLINK("spreadsheet/1223.xlsx", "1223.xlsx")</f>
        <v>1223.xlsx</v>
      </c>
      <c r="B1225" s="2">
        <v>1223</v>
      </c>
      <c r="C1225" t="s">
        <v>10</v>
      </c>
      <c r="D1225" t="s">
        <v>637</v>
      </c>
      <c r="E1225" t="s">
        <v>150</v>
      </c>
    </row>
    <row r="1226" spans="1:5" x14ac:dyDescent="0.25">
      <c r="A1226" s="2" t="str">
        <f>HYPERLINK("spreadsheet/1224.xlsx", "1224.xlsx")</f>
        <v>1224.xlsx</v>
      </c>
      <c r="B1226" s="2">
        <v>1224</v>
      </c>
      <c r="C1226" t="s">
        <v>14</v>
      </c>
      <c r="D1226" t="s">
        <v>637</v>
      </c>
      <c r="E1226" t="s">
        <v>150</v>
      </c>
    </row>
    <row r="1227" spans="1:5" x14ac:dyDescent="0.25">
      <c r="A1227" s="2" t="str">
        <f>HYPERLINK("spreadsheet/1225.xlsx", "1225.xlsx")</f>
        <v>1225.xlsx</v>
      </c>
      <c r="B1227" s="2">
        <v>1225</v>
      </c>
      <c r="C1227" t="s">
        <v>15</v>
      </c>
      <c r="D1227" t="s">
        <v>637</v>
      </c>
      <c r="E1227" t="s">
        <v>150</v>
      </c>
    </row>
    <row r="1228" spans="1:5" x14ac:dyDescent="0.25">
      <c r="A1228" s="2" t="str">
        <f>HYPERLINK("spreadsheet/1226.xlsx", "1226.xlsx")</f>
        <v>1226.xlsx</v>
      </c>
      <c r="B1228" s="2">
        <v>1226</v>
      </c>
      <c r="C1228" t="s">
        <v>22</v>
      </c>
      <c r="D1228" t="s">
        <v>637</v>
      </c>
      <c r="E1228" t="s">
        <v>150</v>
      </c>
    </row>
    <row r="1229" spans="1:5" x14ac:dyDescent="0.25">
      <c r="A1229" s="2" t="str">
        <f>HYPERLINK("spreadsheet/1227.xlsx", "1227.xlsx")</f>
        <v>1227.xlsx</v>
      </c>
      <c r="B1229" s="2">
        <v>1227</v>
      </c>
      <c r="C1229" t="s">
        <v>10</v>
      </c>
      <c r="D1229" t="s">
        <v>638</v>
      </c>
      <c r="E1229" t="s">
        <v>639</v>
      </c>
    </row>
    <row r="1230" spans="1:5" x14ac:dyDescent="0.25">
      <c r="A1230" s="2" t="s">
        <v>640</v>
      </c>
      <c r="B1230" s="2">
        <v>1228</v>
      </c>
      <c r="C1230" t="s">
        <v>5</v>
      </c>
      <c r="D1230" t="s">
        <v>641</v>
      </c>
      <c r="E1230" t="s">
        <v>115</v>
      </c>
    </row>
    <row r="1231" spans="1:5" x14ac:dyDescent="0.25">
      <c r="A1231" s="2" t="s">
        <v>642</v>
      </c>
      <c r="B1231" s="2">
        <v>1229</v>
      </c>
      <c r="C1231" t="s">
        <v>10</v>
      </c>
      <c r="D1231" t="s">
        <v>641</v>
      </c>
      <c r="E1231" t="s">
        <v>115</v>
      </c>
    </row>
    <row r="1232" spans="1:5" x14ac:dyDescent="0.25">
      <c r="A1232" s="2" t="s">
        <v>643</v>
      </c>
      <c r="B1232" s="2">
        <v>1230</v>
      </c>
      <c r="C1232" t="s">
        <v>14</v>
      </c>
      <c r="D1232" t="s">
        <v>641</v>
      </c>
      <c r="E1232" t="s">
        <v>115</v>
      </c>
    </row>
    <row r="1233" spans="1:5" x14ac:dyDescent="0.25">
      <c r="A1233" s="2" t="str">
        <f>HYPERLINK("spreadsheet/1231.xlsx", "1231.xlsx")</f>
        <v>1231.xlsx</v>
      </c>
      <c r="B1233" s="2">
        <v>1231</v>
      </c>
      <c r="C1233" t="s">
        <v>5</v>
      </c>
      <c r="D1233" t="s">
        <v>644</v>
      </c>
      <c r="E1233" t="s">
        <v>645</v>
      </c>
    </row>
    <row r="1234" spans="1:5" x14ac:dyDescent="0.25">
      <c r="A1234" s="2" t="s">
        <v>646</v>
      </c>
      <c r="B1234" s="2">
        <v>1232</v>
      </c>
      <c r="C1234" t="s">
        <v>5</v>
      </c>
      <c r="D1234" t="s">
        <v>647</v>
      </c>
      <c r="E1234" t="s">
        <v>164</v>
      </c>
    </row>
    <row r="1235" spans="1:5" x14ac:dyDescent="0.25">
      <c r="A1235" s="2" t="str">
        <f>HYPERLINK("spreadsheet/1233.xlsx", "1233.xlsx")</f>
        <v>1233.xlsx</v>
      </c>
      <c r="B1235" s="2">
        <v>1233</v>
      </c>
      <c r="C1235" t="s">
        <v>10</v>
      </c>
      <c r="D1235" t="s">
        <v>647</v>
      </c>
      <c r="E1235" t="s">
        <v>164</v>
      </c>
    </row>
    <row r="1236" spans="1:5" x14ac:dyDescent="0.25">
      <c r="A1236" s="2" t="str">
        <f>HYPERLINK("spreadsheet/1234.xlsx", "1234.xlsx")</f>
        <v>1234.xlsx</v>
      </c>
      <c r="B1236" s="2">
        <v>1234</v>
      </c>
      <c r="C1236" t="s">
        <v>14</v>
      </c>
      <c r="D1236" t="s">
        <v>647</v>
      </c>
      <c r="E1236" t="s">
        <v>164</v>
      </c>
    </row>
    <row r="1237" spans="1:5" x14ac:dyDescent="0.25">
      <c r="A1237" s="2" t="s">
        <v>648</v>
      </c>
      <c r="B1237" s="2">
        <v>1235</v>
      </c>
      <c r="C1237" t="s">
        <v>15</v>
      </c>
      <c r="D1237" t="s">
        <v>647</v>
      </c>
      <c r="E1237" t="s">
        <v>164</v>
      </c>
    </row>
    <row r="1238" spans="1:5" x14ac:dyDescent="0.25">
      <c r="A1238" s="2" t="str">
        <f>HYPERLINK("spreadsheet/1236.xlsx", "1236.xlsx")</f>
        <v>1236.xlsx</v>
      </c>
      <c r="B1238" s="2">
        <v>1236</v>
      </c>
      <c r="C1238" t="s">
        <v>5</v>
      </c>
      <c r="D1238" t="s">
        <v>649</v>
      </c>
      <c r="E1238" t="s">
        <v>134</v>
      </c>
    </row>
    <row r="1239" spans="1:5" x14ac:dyDescent="0.25">
      <c r="A1239" s="2" t="str">
        <f>HYPERLINK("spreadsheet/1237.xlsx", "1237.xlsx")</f>
        <v>1237.xlsx</v>
      </c>
      <c r="B1239" s="2">
        <v>1237</v>
      </c>
      <c r="C1239" t="s">
        <v>10</v>
      </c>
      <c r="D1239" t="s">
        <v>649</v>
      </c>
      <c r="E1239" t="s">
        <v>134</v>
      </c>
    </row>
    <row r="1240" spans="1:5" x14ac:dyDescent="0.25">
      <c r="A1240" s="2" t="str">
        <f>HYPERLINK("spreadsheet/1238.xlsx", "1238.xlsx")</f>
        <v>1238.xlsx</v>
      </c>
      <c r="B1240" s="2">
        <v>1238</v>
      </c>
      <c r="C1240" t="s">
        <v>14</v>
      </c>
      <c r="D1240" t="s">
        <v>649</v>
      </c>
      <c r="E1240" t="s">
        <v>134</v>
      </c>
    </row>
    <row r="1241" spans="1:5" x14ac:dyDescent="0.25">
      <c r="A1241" s="2" t="str">
        <f>HYPERLINK("spreadsheet/1239.xlsx", "1239.xlsx")</f>
        <v>1239.xlsx</v>
      </c>
      <c r="B1241" s="2">
        <v>1239</v>
      </c>
      <c r="C1241" t="s">
        <v>15</v>
      </c>
      <c r="D1241" t="s">
        <v>649</v>
      </c>
      <c r="E1241" t="s">
        <v>134</v>
      </c>
    </row>
    <row r="1242" spans="1:5" x14ac:dyDescent="0.25">
      <c r="A1242" s="2" t="str">
        <f>HYPERLINK("spreadsheet/1240.xlsx", "1240.xlsx")</f>
        <v>1240.xlsx</v>
      </c>
      <c r="B1242" s="2">
        <v>1240</v>
      </c>
      <c r="C1242" t="s">
        <v>22</v>
      </c>
      <c r="D1242" t="s">
        <v>649</v>
      </c>
      <c r="E1242" t="s">
        <v>134</v>
      </c>
    </row>
    <row r="1243" spans="1:5" x14ac:dyDescent="0.25">
      <c r="A1243" s="2" t="str">
        <f>HYPERLINK("spreadsheet/1241.xlsx", "1241.xlsx")</f>
        <v>1241.xlsx</v>
      </c>
      <c r="B1243" s="2">
        <v>1241</v>
      </c>
      <c r="C1243" t="s">
        <v>650</v>
      </c>
      <c r="D1243" t="s">
        <v>651</v>
      </c>
      <c r="E1243" t="s">
        <v>150</v>
      </c>
    </row>
    <row r="1244" spans="1:5" x14ac:dyDescent="0.25">
      <c r="A1244" s="2" t="str">
        <f>HYPERLINK("spreadsheet/1242.xlsx", "1242.xlsx")</f>
        <v>1242.xlsx</v>
      </c>
      <c r="B1244" s="2">
        <v>1242</v>
      </c>
      <c r="C1244" t="s">
        <v>652</v>
      </c>
      <c r="D1244" t="s">
        <v>651</v>
      </c>
      <c r="E1244" t="s">
        <v>150</v>
      </c>
    </row>
    <row r="1245" spans="1:5" x14ac:dyDescent="0.25">
      <c r="A1245" s="2" t="str">
        <f>HYPERLINK("spreadsheet/1243.xlsx", "1243.xlsx")</f>
        <v>1243.xlsx</v>
      </c>
      <c r="B1245" s="2">
        <v>1243</v>
      </c>
      <c r="C1245" t="s">
        <v>360</v>
      </c>
      <c r="D1245" t="s">
        <v>651</v>
      </c>
      <c r="E1245" t="s">
        <v>150</v>
      </c>
    </row>
    <row r="1246" spans="1:5" x14ac:dyDescent="0.25">
      <c r="A1246" s="2" t="str">
        <f>HYPERLINK("spreadsheet/1244.xlsx", "1244.xlsx")</f>
        <v>1244.xlsx</v>
      </c>
      <c r="B1246" s="2">
        <v>1244</v>
      </c>
      <c r="C1246" t="s">
        <v>361</v>
      </c>
      <c r="D1246" t="s">
        <v>651</v>
      </c>
      <c r="E1246" t="s">
        <v>150</v>
      </c>
    </row>
    <row r="1247" spans="1:5" x14ac:dyDescent="0.25">
      <c r="A1247" s="2" t="str">
        <f>HYPERLINK("spreadsheet/1245.xlsx", "1245.xlsx")</f>
        <v>1245.xlsx</v>
      </c>
      <c r="B1247" s="2">
        <v>1245</v>
      </c>
      <c r="C1247" t="s">
        <v>14</v>
      </c>
      <c r="D1247" t="s">
        <v>651</v>
      </c>
      <c r="E1247" t="s">
        <v>150</v>
      </c>
    </row>
    <row r="1248" spans="1:5" x14ac:dyDescent="0.25">
      <c r="A1248" s="2" t="str">
        <f>HYPERLINK("spreadsheet/1246.xlsx", "1246.xlsx")</f>
        <v>1246.xlsx</v>
      </c>
      <c r="B1248" s="2">
        <v>1246</v>
      </c>
      <c r="C1248" t="s">
        <v>15</v>
      </c>
      <c r="D1248" t="s">
        <v>651</v>
      </c>
      <c r="E1248" t="s">
        <v>150</v>
      </c>
    </row>
    <row r="1249" spans="1:5" x14ac:dyDescent="0.25">
      <c r="A1249" s="2" t="str">
        <f>HYPERLINK("spreadsheet/1247.xlsx", "1247.xlsx")</f>
        <v>1247.xlsx</v>
      </c>
      <c r="B1249" s="2">
        <v>1247</v>
      </c>
      <c r="C1249" t="s">
        <v>22</v>
      </c>
      <c r="D1249" t="s">
        <v>651</v>
      </c>
      <c r="E1249" t="s">
        <v>150</v>
      </c>
    </row>
    <row r="1250" spans="1:5" x14ac:dyDescent="0.25">
      <c r="A1250" s="2" t="s">
        <v>653</v>
      </c>
      <c r="B1250" s="2">
        <v>1248</v>
      </c>
      <c r="C1250" t="s">
        <v>24</v>
      </c>
      <c r="D1250" t="s">
        <v>651</v>
      </c>
      <c r="E1250" t="s">
        <v>150</v>
      </c>
    </row>
    <row r="1251" spans="1:5" x14ac:dyDescent="0.25">
      <c r="A1251" s="2" t="s">
        <v>654</v>
      </c>
      <c r="B1251" s="2">
        <v>1249</v>
      </c>
      <c r="C1251" t="s">
        <v>60</v>
      </c>
      <c r="D1251" t="s">
        <v>651</v>
      </c>
      <c r="E1251" t="s">
        <v>150</v>
      </c>
    </row>
    <row r="1252" spans="1:5" x14ac:dyDescent="0.25">
      <c r="A1252" s="2" t="str">
        <f>HYPERLINK("spreadsheet/1250.xlsx", "1250.xlsx")</f>
        <v>1250.xlsx</v>
      </c>
      <c r="B1252" s="2">
        <v>1250</v>
      </c>
      <c r="C1252" t="s">
        <v>44</v>
      </c>
      <c r="D1252" t="s">
        <v>651</v>
      </c>
      <c r="E1252" t="s">
        <v>150</v>
      </c>
    </row>
    <row r="1253" spans="1:5" x14ac:dyDescent="0.25">
      <c r="A1253" s="2" t="str">
        <f>HYPERLINK("spreadsheet/1251.xlsx", "1251.xlsx")</f>
        <v>1251.xlsx</v>
      </c>
      <c r="B1253" s="2">
        <v>1251</v>
      </c>
      <c r="C1253" t="s">
        <v>655</v>
      </c>
      <c r="D1253" t="s">
        <v>651</v>
      </c>
      <c r="E1253" t="s">
        <v>150</v>
      </c>
    </row>
    <row r="1254" spans="1:5" x14ac:dyDescent="0.25">
      <c r="A1254" s="2" t="str">
        <f>HYPERLINK("spreadsheet/1252.xlsx", "1252.xlsx")</f>
        <v>1252.xlsx</v>
      </c>
      <c r="B1254" s="2">
        <v>1252</v>
      </c>
      <c r="C1254" t="s">
        <v>656</v>
      </c>
      <c r="D1254" t="s">
        <v>651</v>
      </c>
      <c r="E1254" t="s">
        <v>150</v>
      </c>
    </row>
    <row r="1255" spans="1:5" x14ac:dyDescent="0.25">
      <c r="A1255" s="2" t="s">
        <v>657</v>
      </c>
      <c r="B1255" s="2">
        <v>1253</v>
      </c>
      <c r="C1255" t="s">
        <v>658</v>
      </c>
      <c r="D1255" t="s">
        <v>651</v>
      </c>
      <c r="E1255" t="s">
        <v>150</v>
      </c>
    </row>
    <row r="1256" spans="1:5" x14ac:dyDescent="0.25">
      <c r="A1256" s="2" t="s">
        <v>659</v>
      </c>
      <c r="B1256" s="2">
        <v>1254</v>
      </c>
      <c r="C1256" t="s">
        <v>660</v>
      </c>
      <c r="D1256" t="s">
        <v>651</v>
      </c>
      <c r="E1256" t="s">
        <v>150</v>
      </c>
    </row>
    <row r="1257" spans="1:5" x14ac:dyDescent="0.25">
      <c r="A1257" s="2" t="str">
        <f>HYPERLINK("spreadsheet/1255.xlsx", "1255.xlsx")</f>
        <v>1255.xlsx</v>
      </c>
      <c r="B1257" s="2">
        <v>1255</v>
      </c>
      <c r="C1257" t="s">
        <v>47</v>
      </c>
      <c r="D1257" t="s">
        <v>651</v>
      </c>
      <c r="E1257" t="s">
        <v>150</v>
      </c>
    </row>
    <row r="1258" spans="1:5" x14ac:dyDescent="0.25">
      <c r="A1258" s="2" t="str">
        <f>HYPERLINK("spreadsheet/1256.xlsx", "1256.xlsx")</f>
        <v>1256.xlsx</v>
      </c>
      <c r="B1258" s="2">
        <v>1256</v>
      </c>
      <c r="C1258" t="s">
        <v>5</v>
      </c>
      <c r="D1258" t="s">
        <v>661</v>
      </c>
      <c r="E1258" t="s">
        <v>115</v>
      </c>
    </row>
    <row r="1259" spans="1:5" x14ac:dyDescent="0.25">
      <c r="A1259" s="2" t="str">
        <f>HYPERLINK("spreadsheet/1257.xlsx", "1257.xlsx")</f>
        <v>1257.xlsx</v>
      </c>
      <c r="B1259" s="2">
        <v>1257</v>
      </c>
      <c r="C1259" t="s">
        <v>10</v>
      </c>
      <c r="D1259" t="s">
        <v>661</v>
      </c>
      <c r="E1259" t="s">
        <v>115</v>
      </c>
    </row>
    <row r="1260" spans="1:5" x14ac:dyDescent="0.25">
      <c r="A1260" s="2" t="str">
        <f>HYPERLINK("spreadsheet/1258.xlsx", "1258.xlsx")</f>
        <v>1258.xlsx</v>
      </c>
      <c r="B1260" s="2">
        <v>1258</v>
      </c>
      <c r="C1260" t="s">
        <v>5</v>
      </c>
      <c r="D1260" t="s">
        <v>662</v>
      </c>
      <c r="E1260" t="s">
        <v>154</v>
      </c>
    </row>
    <row r="1261" spans="1:5" x14ac:dyDescent="0.25">
      <c r="A1261" s="2" t="s">
        <v>663</v>
      </c>
      <c r="B1261" s="2">
        <v>1259</v>
      </c>
      <c r="C1261" t="s">
        <v>10</v>
      </c>
      <c r="D1261" t="s">
        <v>662</v>
      </c>
      <c r="E1261" t="s">
        <v>154</v>
      </c>
    </row>
    <row r="1262" spans="1:5" x14ac:dyDescent="0.25">
      <c r="A1262" s="2" t="str">
        <f>HYPERLINK("spreadsheet/1260.xlsx", "1260.xlsx")</f>
        <v>1260.xlsx</v>
      </c>
      <c r="B1262" s="2">
        <v>1260</v>
      </c>
      <c r="C1262" t="s">
        <v>14</v>
      </c>
      <c r="D1262" t="s">
        <v>662</v>
      </c>
      <c r="E1262" t="s">
        <v>154</v>
      </c>
    </row>
    <row r="1263" spans="1:5" x14ac:dyDescent="0.25">
      <c r="A1263" s="2" t="str">
        <f>HYPERLINK("spreadsheet/1261.xlsx", "1261.xlsx")</f>
        <v>1261.xlsx</v>
      </c>
      <c r="B1263" s="2">
        <v>1261</v>
      </c>
      <c r="C1263" t="s">
        <v>5</v>
      </c>
      <c r="D1263" t="s">
        <v>664</v>
      </c>
      <c r="E1263" t="s">
        <v>218</v>
      </c>
    </row>
    <row r="1264" spans="1:5" x14ac:dyDescent="0.25">
      <c r="A1264" s="2" t="str">
        <f>HYPERLINK("spreadsheet/1262.xlsx", "1262.xlsx")</f>
        <v>1262.xlsx</v>
      </c>
      <c r="B1264" s="2">
        <v>1262</v>
      </c>
      <c r="C1264" t="s">
        <v>5</v>
      </c>
      <c r="D1264" t="s">
        <v>665</v>
      </c>
      <c r="E1264" t="s">
        <v>134</v>
      </c>
    </row>
    <row r="1265" spans="1:5" x14ac:dyDescent="0.25">
      <c r="A1265" s="2" t="str">
        <f>HYPERLINK("spreadsheet/1263.xlsx", "1263.xlsx")</f>
        <v>1263.xlsx</v>
      </c>
      <c r="B1265" s="2">
        <v>1263</v>
      </c>
      <c r="C1265" t="s">
        <v>10</v>
      </c>
      <c r="D1265" t="s">
        <v>665</v>
      </c>
      <c r="E1265" t="s">
        <v>134</v>
      </c>
    </row>
    <row r="1266" spans="1:5" x14ac:dyDescent="0.25">
      <c r="A1266" s="2" t="str">
        <f>HYPERLINK("spreadsheet/1264.xlsx", "1264.xlsx")</f>
        <v>1264.xlsx</v>
      </c>
      <c r="B1266" s="2">
        <v>1264</v>
      </c>
      <c r="C1266" t="s">
        <v>5</v>
      </c>
      <c r="D1266" t="s">
        <v>666</v>
      </c>
      <c r="E1266" t="s">
        <v>173</v>
      </c>
    </row>
    <row r="1267" spans="1:5" x14ac:dyDescent="0.25">
      <c r="A1267" s="2" t="str">
        <f>HYPERLINK("spreadsheet/1265.xlsx", "1265.xlsx")</f>
        <v>1265.xlsx</v>
      </c>
      <c r="B1267" s="2">
        <v>1265</v>
      </c>
      <c r="C1267" t="s">
        <v>10</v>
      </c>
      <c r="D1267" t="s">
        <v>666</v>
      </c>
      <c r="E1267" t="s">
        <v>173</v>
      </c>
    </row>
    <row r="1268" spans="1:5" x14ac:dyDescent="0.25">
      <c r="A1268" s="2" t="str">
        <f>HYPERLINK("spreadsheet/1266.xlsx", "1266.xlsx")</f>
        <v>1266.xlsx</v>
      </c>
      <c r="B1268" s="2">
        <v>1266</v>
      </c>
      <c r="C1268" t="s">
        <v>14</v>
      </c>
      <c r="D1268" t="s">
        <v>666</v>
      </c>
      <c r="E1268" t="s">
        <v>173</v>
      </c>
    </row>
    <row r="1269" spans="1:5" x14ac:dyDescent="0.25">
      <c r="A1269" s="2" t="str">
        <f>HYPERLINK("spreadsheet/1267.xlsx", "1267.xlsx")</f>
        <v>1267.xlsx</v>
      </c>
      <c r="B1269" s="2">
        <v>1267</v>
      </c>
      <c r="C1269" t="s">
        <v>15</v>
      </c>
      <c r="D1269" t="s">
        <v>666</v>
      </c>
      <c r="E1269" t="s">
        <v>173</v>
      </c>
    </row>
    <row r="1270" spans="1:5" x14ac:dyDescent="0.25">
      <c r="A1270" s="2" t="str">
        <f>HYPERLINK("spreadsheet/1268.xlsx", "1268.xlsx")</f>
        <v>1268.xlsx</v>
      </c>
      <c r="B1270" s="2">
        <v>1268</v>
      </c>
      <c r="C1270" t="s">
        <v>5</v>
      </c>
      <c r="D1270" t="s">
        <v>667</v>
      </c>
      <c r="E1270" t="s">
        <v>668</v>
      </c>
    </row>
    <row r="1271" spans="1:5" x14ac:dyDescent="0.25">
      <c r="A1271" s="2" t="s">
        <v>669</v>
      </c>
      <c r="B1271" s="2">
        <v>1269</v>
      </c>
      <c r="C1271" t="s">
        <v>10</v>
      </c>
      <c r="D1271" t="s">
        <v>667</v>
      </c>
      <c r="E1271" t="s">
        <v>668</v>
      </c>
    </row>
    <row r="1272" spans="1:5" x14ac:dyDescent="0.25">
      <c r="A1272" s="2" t="str">
        <f>HYPERLINK("spreadsheet/1270.xlsx", "1270.xlsx")</f>
        <v>1270.xlsx</v>
      </c>
      <c r="B1272" s="2">
        <v>1270</v>
      </c>
      <c r="C1272" t="s">
        <v>14</v>
      </c>
      <c r="D1272" t="s">
        <v>667</v>
      </c>
      <c r="E1272" t="s">
        <v>668</v>
      </c>
    </row>
    <row r="1273" spans="1:5" x14ac:dyDescent="0.25">
      <c r="A1273" s="2" t="str">
        <f>HYPERLINK("spreadsheet/1271.xlsx", "1271.xlsx")</f>
        <v>1271.xlsx</v>
      </c>
      <c r="B1273" s="2">
        <v>1271</v>
      </c>
      <c r="C1273" t="s">
        <v>15</v>
      </c>
      <c r="D1273" t="s">
        <v>667</v>
      </c>
      <c r="E1273" t="s">
        <v>668</v>
      </c>
    </row>
    <row r="1274" spans="1:5" x14ac:dyDescent="0.25">
      <c r="A1274" s="2" t="str">
        <f>HYPERLINK("spreadsheet/1272.xlsx", "1272.xlsx")</f>
        <v>1272.xlsx</v>
      </c>
      <c r="B1274" s="2">
        <v>1272</v>
      </c>
      <c r="C1274" t="s">
        <v>22</v>
      </c>
      <c r="D1274" t="s">
        <v>667</v>
      </c>
      <c r="E1274" t="s">
        <v>668</v>
      </c>
    </row>
    <row r="1275" spans="1:5" x14ac:dyDescent="0.25">
      <c r="A1275" s="2" t="str">
        <f>HYPERLINK("spreadsheet/1273.xlsx", "1273.xlsx")</f>
        <v>1273.xlsx</v>
      </c>
      <c r="B1275" s="2">
        <v>1273</v>
      </c>
      <c r="C1275" t="s">
        <v>24</v>
      </c>
      <c r="D1275" t="s">
        <v>667</v>
      </c>
      <c r="E1275" t="s">
        <v>668</v>
      </c>
    </row>
    <row r="1276" spans="1:5" x14ac:dyDescent="0.25">
      <c r="A1276" s="2" t="str">
        <f>HYPERLINK("spreadsheet/1274.xlsx", "1274.xlsx")</f>
        <v>1274.xlsx</v>
      </c>
      <c r="B1276" s="2">
        <v>1274</v>
      </c>
      <c r="C1276" t="s">
        <v>60</v>
      </c>
      <c r="D1276" t="s">
        <v>667</v>
      </c>
      <c r="E1276" t="s">
        <v>668</v>
      </c>
    </row>
    <row r="1277" spans="1:5" x14ac:dyDescent="0.25">
      <c r="A1277" s="2" t="str">
        <f>HYPERLINK("spreadsheet/1275.xlsx", "1275.xlsx")</f>
        <v>1275.xlsx</v>
      </c>
      <c r="B1277" s="2">
        <v>1275</v>
      </c>
      <c r="C1277" t="s">
        <v>44</v>
      </c>
      <c r="D1277" t="s">
        <v>667</v>
      </c>
      <c r="E1277" t="s">
        <v>668</v>
      </c>
    </row>
    <row r="1278" spans="1:5" x14ac:dyDescent="0.25">
      <c r="A1278" s="2" t="str">
        <f>HYPERLINK("spreadsheet/1276.xlsx", "1276.xlsx")</f>
        <v>1276.xlsx</v>
      </c>
      <c r="B1278" s="2">
        <v>1276</v>
      </c>
      <c r="C1278" t="s">
        <v>45</v>
      </c>
      <c r="D1278" t="s">
        <v>667</v>
      </c>
      <c r="E1278" t="s">
        <v>668</v>
      </c>
    </row>
    <row r="1279" spans="1:5" x14ac:dyDescent="0.25">
      <c r="A1279" s="2" t="str">
        <f>HYPERLINK("spreadsheet/1277.xlsx", "1277.xlsx")</f>
        <v>1277.xlsx</v>
      </c>
      <c r="B1279" s="2">
        <v>1277</v>
      </c>
      <c r="C1279" t="s">
        <v>5</v>
      </c>
      <c r="D1279" t="s">
        <v>670</v>
      </c>
      <c r="E1279" t="s">
        <v>115</v>
      </c>
    </row>
    <row r="1280" spans="1:5" x14ac:dyDescent="0.25">
      <c r="A1280" s="2" t="s">
        <v>671</v>
      </c>
      <c r="B1280" s="2">
        <v>1278</v>
      </c>
      <c r="C1280" t="s">
        <v>5</v>
      </c>
      <c r="D1280" t="s">
        <v>672</v>
      </c>
      <c r="E1280" t="s">
        <v>150</v>
      </c>
    </row>
    <row r="1281" spans="1:5" x14ac:dyDescent="0.25">
      <c r="A1281" s="2" t="s">
        <v>673</v>
      </c>
      <c r="B1281" s="2">
        <v>1279</v>
      </c>
      <c r="C1281" t="s">
        <v>14</v>
      </c>
      <c r="D1281" t="s">
        <v>672</v>
      </c>
      <c r="E1281" t="s">
        <v>150</v>
      </c>
    </row>
    <row r="1282" spans="1:5" x14ac:dyDescent="0.25">
      <c r="A1282" s="2" t="s">
        <v>674</v>
      </c>
      <c r="B1282" s="2">
        <v>1280</v>
      </c>
      <c r="C1282" t="s">
        <v>15</v>
      </c>
      <c r="D1282" t="s">
        <v>672</v>
      </c>
      <c r="E1282" t="s">
        <v>150</v>
      </c>
    </row>
    <row r="1283" spans="1:5" x14ac:dyDescent="0.25">
      <c r="A1283" s="2" t="s">
        <v>675</v>
      </c>
      <c r="B1283" s="2">
        <v>1281</v>
      </c>
      <c r="C1283" t="s">
        <v>22</v>
      </c>
      <c r="D1283" t="s">
        <v>672</v>
      </c>
      <c r="E1283" t="s">
        <v>150</v>
      </c>
    </row>
    <row r="1284" spans="1:5" x14ac:dyDescent="0.25">
      <c r="A1284" s="2" t="str">
        <f>HYPERLINK("spreadsheet/1282.xlsx", "1282.xlsx")</f>
        <v>1282.xlsx</v>
      </c>
      <c r="B1284" s="2">
        <v>1282</v>
      </c>
      <c r="C1284" t="s">
        <v>5</v>
      </c>
      <c r="D1284" t="s">
        <v>676</v>
      </c>
      <c r="E1284" t="s">
        <v>645</v>
      </c>
    </row>
    <row r="1285" spans="1:5" x14ac:dyDescent="0.25">
      <c r="A1285" s="2" t="str">
        <f>HYPERLINK("spreadsheet/1283.xlsx", "1283.xlsx")</f>
        <v>1283.xlsx</v>
      </c>
      <c r="B1285" s="2">
        <v>1283</v>
      </c>
      <c r="C1285" t="s">
        <v>10</v>
      </c>
      <c r="D1285" t="s">
        <v>676</v>
      </c>
      <c r="E1285" t="s">
        <v>645</v>
      </c>
    </row>
    <row r="1286" spans="1:5" x14ac:dyDescent="0.25">
      <c r="A1286" s="2" t="str">
        <f>HYPERLINK("spreadsheet/1284.xlsx", "1284.xlsx")</f>
        <v>1284.xlsx</v>
      </c>
      <c r="B1286" s="2">
        <v>1284</v>
      </c>
      <c r="C1286" t="s">
        <v>5</v>
      </c>
      <c r="D1286" t="s">
        <v>677</v>
      </c>
      <c r="E1286" t="s">
        <v>115</v>
      </c>
    </row>
    <row r="1287" spans="1:5" x14ac:dyDescent="0.25">
      <c r="A1287" s="2" t="str">
        <f>HYPERLINK("spreadsheet/1285.xlsx", "1285.xlsx")</f>
        <v>1285.xlsx</v>
      </c>
      <c r="B1287" s="2">
        <v>1285</v>
      </c>
      <c r="C1287" t="s">
        <v>10</v>
      </c>
      <c r="D1287" t="s">
        <v>677</v>
      </c>
      <c r="E1287" t="s">
        <v>115</v>
      </c>
    </row>
    <row r="1288" spans="1:5" x14ac:dyDescent="0.25">
      <c r="A1288" s="2" t="s">
        <v>678</v>
      </c>
      <c r="B1288" s="2">
        <v>1286</v>
      </c>
      <c r="C1288" t="s">
        <v>14</v>
      </c>
      <c r="D1288" t="s">
        <v>677</v>
      </c>
      <c r="E1288" t="s">
        <v>115</v>
      </c>
    </row>
    <row r="1289" spans="1:5" x14ac:dyDescent="0.25">
      <c r="A1289" s="2" t="s">
        <v>679</v>
      </c>
      <c r="B1289" s="2">
        <v>1287</v>
      </c>
      <c r="C1289" t="s">
        <v>5</v>
      </c>
      <c r="D1289" t="s">
        <v>680</v>
      </c>
      <c r="E1289" t="s">
        <v>134</v>
      </c>
    </row>
    <row r="1290" spans="1:5" x14ac:dyDescent="0.25">
      <c r="A1290" s="2" t="str">
        <f>HYPERLINK("spreadsheet/1288.xlsx", "1288.xlsx")</f>
        <v>1288.xlsx</v>
      </c>
      <c r="B1290" s="2">
        <v>1288</v>
      </c>
      <c r="C1290" t="s">
        <v>5</v>
      </c>
      <c r="D1290" t="s">
        <v>681</v>
      </c>
      <c r="E1290" t="s">
        <v>145</v>
      </c>
    </row>
    <row r="1291" spans="1:5" x14ac:dyDescent="0.25">
      <c r="A1291" s="2" t="str">
        <f>HYPERLINK("spreadsheet/1289.xlsx", "1289.xlsx")</f>
        <v>1289.xlsx</v>
      </c>
      <c r="B1291" s="2">
        <v>1289</v>
      </c>
      <c r="C1291" t="s">
        <v>10</v>
      </c>
      <c r="D1291" t="s">
        <v>681</v>
      </c>
      <c r="E1291" t="s">
        <v>145</v>
      </c>
    </row>
    <row r="1292" spans="1:5" x14ac:dyDescent="0.25">
      <c r="A1292" s="2" t="str">
        <f>HYPERLINK("spreadsheet/1290.xlsx", "1290.xlsx")</f>
        <v>1290.xlsx</v>
      </c>
      <c r="B1292" s="2">
        <v>1290</v>
      </c>
      <c r="C1292" t="s">
        <v>14</v>
      </c>
      <c r="D1292" t="s">
        <v>681</v>
      </c>
      <c r="E1292" t="s">
        <v>145</v>
      </c>
    </row>
    <row r="1293" spans="1:5" x14ac:dyDescent="0.25">
      <c r="A1293" s="2" t="str">
        <f>HYPERLINK("spreadsheet/1291.xlsx", "1291.xlsx")</f>
        <v>1291.xlsx</v>
      </c>
      <c r="B1293" s="2">
        <v>1291</v>
      </c>
      <c r="C1293" t="s">
        <v>15</v>
      </c>
      <c r="D1293" t="s">
        <v>681</v>
      </c>
      <c r="E1293" t="s">
        <v>145</v>
      </c>
    </row>
    <row r="1294" spans="1:5" x14ac:dyDescent="0.25">
      <c r="A1294" s="2" t="str">
        <f>HYPERLINK("spreadsheet/1292.xlsx", "1292.xlsx")</f>
        <v>1292.xlsx</v>
      </c>
      <c r="B1294" s="2">
        <v>1292</v>
      </c>
      <c r="C1294" t="s">
        <v>22</v>
      </c>
      <c r="D1294" t="s">
        <v>681</v>
      </c>
      <c r="E1294" t="s">
        <v>145</v>
      </c>
    </row>
    <row r="1295" spans="1:5" x14ac:dyDescent="0.25">
      <c r="A1295" s="2" t="str">
        <f>HYPERLINK("spreadsheet/1293.xlsx", "1293.xlsx")</f>
        <v>1293.xlsx</v>
      </c>
      <c r="B1295" s="2">
        <v>1293</v>
      </c>
      <c r="C1295" t="s">
        <v>24</v>
      </c>
      <c r="D1295" t="s">
        <v>681</v>
      </c>
      <c r="E1295" t="s">
        <v>145</v>
      </c>
    </row>
    <row r="1296" spans="1:5" x14ac:dyDescent="0.25">
      <c r="A1296" s="2" t="str">
        <f>HYPERLINK("spreadsheet/1294.xlsx", "1294.xlsx")</f>
        <v>1294.xlsx</v>
      </c>
      <c r="B1296" s="2">
        <v>1294</v>
      </c>
      <c r="C1296" t="s">
        <v>60</v>
      </c>
      <c r="D1296" t="s">
        <v>681</v>
      </c>
      <c r="E1296" t="s">
        <v>145</v>
      </c>
    </row>
    <row r="1297" spans="1:5" x14ac:dyDescent="0.25">
      <c r="A1297" s="2" t="str">
        <f>HYPERLINK("spreadsheet/1295.xlsx", "1295.xlsx")</f>
        <v>1295.xlsx</v>
      </c>
      <c r="B1297" s="2">
        <v>1295</v>
      </c>
      <c r="C1297" t="s">
        <v>44</v>
      </c>
      <c r="D1297" t="s">
        <v>681</v>
      </c>
      <c r="E1297" t="s">
        <v>145</v>
      </c>
    </row>
    <row r="1298" spans="1:5" x14ac:dyDescent="0.25">
      <c r="A1298" s="2" t="str">
        <f>HYPERLINK("spreadsheet/1296.xlsx", "1296.xlsx")</f>
        <v>1296.xlsx</v>
      </c>
      <c r="B1298" s="2">
        <v>1296</v>
      </c>
      <c r="C1298" t="s">
        <v>45</v>
      </c>
      <c r="D1298" t="s">
        <v>681</v>
      </c>
      <c r="E1298" t="s">
        <v>145</v>
      </c>
    </row>
    <row r="1299" spans="1:5" x14ac:dyDescent="0.25">
      <c r="A1299" s="2" t="str">
        <f>HYPERLINK("spreadsheet/1297.xlsx", "1297.xlsx")</f>
        <v>1297.xlsx</v>
      </c>
      <c r="B1299" s="2">
        <v>1297</v>
      </c>
      <c r="C1299" t="s">
        <v>5</v>
      </c>
      <c r="D1299" t="s">
        <v>682</v>
      </c>
      <c r="E1299" t="s">
        <v>147</v>
      </c>
    </row>
    <row r="1300" spans="1:5" x14ac:dyDescent="0.25">
      <c r="A1300" s="2" t="s">
        <v>683</v>
      </c>
      <c r="B1300" s="2">
        <v>1298</v>
      </c>
      <c r="C1300" t="s">
        <v>10</v>
      </c>
      <c r="D1300" t="s">
        <v>682</v>
      </c>
      <c r="E1300" t="s">
        <v>147</v>
      </c>
    </row>
    <row r="1301" spans="1:5" x14ac:dyDescent="0.25">
      <c r="A1301" s="2" t="s">
        <v>684</v>
      </c>
      <c r="B1301" s="2">
        <v>1299</v>
      </c>
      <c r="C1301" t="s">
        <v>5</v>
      </c>
      <c r="D1301" t="s">
        <v>685</v>
      </c>
      <c r="E1301" t="s">
        <v>115</v>
      </c>
    </row>
    <row r="1302" spans="1:5" x14ac:dyDescent="0.25">
      <c r="A1302" s="2" t="str">
        <f>HYPERLINK("spreadsheet/1300.xlsx", "1300.xlsx")</f>
        <v>1300.xlsx</v>
      </c>
      <c r="B1302" s="2">
        <v>1300</v>
      </c>
      <c r="C1302" t="s">
        <v>10</v>
      </c>
      <c r="D1302" t="s">
        <v>685</v>
      </c>
      <c r="E1302" t="s">
        <v>115</v>
      </c>
    </row>
    <row r="1303" spans="1:5" x14ac:dyDescent="0.25">
      <c r="A1303" s="2" t="str">
        <f>HYPERLINK("spreadsheet/1301.xlsx", "1301.xlsx")</f>
        <v>1301.xlsx</v>
      </c>
      <c r="B1303" s="2">
        <v>1301</v>
      </c>
      <c r="C1303" t="s">
        <v>15</v>
      </c>
      <c r="D1303" t="s">
        <v>686</v>
      </c>
      <c r="E1303" t="s">
        <v>115</v>
      </c>
    </row>
    <row r="1304" spans="1:5" x14ac:dyDescent="0.25">
      <c r="A1304" s="2" t="str">
        <f>HYPERLINK("spreadsheet/1302.xlsx", "1302.xlsx")</f>
        <v>1302.xlsx</v>
      </c>
      <c r="B1304" s="2">
        <v>1302</v>
      </c>
      <c r="C1304" t="s">
        <v>22</v>
      </c>
      <c r="D1304" t="s">
        <v>686</v>
      </c>
      <c r="E1304" t="s">
        <v>115</v>
      </c>
    </row>
    <row r="1305" spans="1:5" x14ac:dyDescent="0.25">
      <c r="A1305" s="2" t="s">
        <v>687</v>
      </c>
      <c r="B1305" s="2">
        <v>1303</v>
      </c>
      <c r="C1305" t="s">
        <v>44</v>
      </c>
      <c r="D1305" t="s">
        <v>686</v>
      </c>
      <c r="E1305" t="s">
        <v>115</v>
      </c>
    </row>
    <row r="1306" spans="1:5" x14ac:dyDescent="0.25">
      <c r="A1306" s="2" t="str">
        <f>HYPERLINK("spreadsheet/1304.xlsx", "1304.xlsx")</f>
        <v>1304.xlsx</v>
      </c>
      <c r="B1306" s="2">
        <v>1304</v>
      </c>
      <c r="C1306" t="s">
        <v>5</v>
      </c>
      <c r="D1306" t="s">
        <v>688</v>
      </c>
      <c r="E1306" t="s">
        <v>164</v>
      </c>
    </row>
    <row r="1307" spans="1:5" x14ac:dyDescent="0.25">
      <c r="A1307" s="2" t="str">
        <f>HYPERLINK("spreadsheet/1305.xlsx", "1305.xlsx")</f>
        <v>1305.xlsx</v>
      </c>
      <c r="B1307" s="2">
        <v>1305</v>
      </c>
      <c r="C1307" t="s">
        <v>5</v>
      </c>
      <c r="D1307" t="s">
        <v>689</v>
      </c>
      <c r="E1307" t="s">
        <v>690</v>
      </c>
    </row>
    <row r="1308" spans="1:5" x14ac:dyDescent="0.25">
      <c r="A1308" s="2" t="str">
        <f>HYPERLINK("spreadsheet/1306.xlsx", "1306.xlsx")</f>
        <v>1306.xlsx</v>
      </c>
      <c r="B1308" s="2">
        <v>1306</v>
      </c>
      <c r="C1308" t="s">
        <v>10</v>
      </c>
      <c r="D1308" t="s">
        <v>689</v>
      </c>
      <c r="E1308" t="s">
        <v>690</v>
      </c>
    </row>
    <row r="1309" spans="1:5" x14ac:dyDescent="0.25">
      <c r="A1309" s="2" t="str">
        <f>HYPERLINK("spreadsheet/1307.xlsx", "1307.xlsx")</f>
        <v>1307.xlsx</v>
      </c>
      <c r="B1309" s="2">
        <v>1307</v>
      </c>
      <c r="C1309" t="s">
        <v>14</v>
      </c>
      <c r="D1309" t="s">
        <v>689</v>
      </c>
      <c r="E1309" t="s">
        <v>690</v>
      </c>
    </row>
    <row r="1310" spans="1:5" x14ac:dyDescent="0.25">
      <c r="A1310" s="2" t="str">
        <f>HYPERLINK("spreadsheet/1308.xlsx", "1308.xlsx")</f>
        <v>1308.xlsx</v>
      </c>
      <c r="B1310" s="2">
        <v>1308</v>
      </c>
      <c r="C1310" t="s">
        <v>5</v>
      </c>
      <c r="D1310" t="s">
        <v>691</v>
      </c>
      <c r="E1310" t="s">
        <v>150</v>
      </c>
    </row>
    <row r="1311" spans="1:5" x14ac:dyDescent="0.25">
      <c r="A1311" s="2" t="str">
        <f>HYPERLINK("spreadsheet/1309.xlsx", "1309.xlsx")</f>
        <v>1309.xlsx</v>
      </c>
      <c r="B1311" s="2">
        <v>1309</v>
      </c>
      <c r="C1311" t="s">
        <v>10</v>
      </c>
      <c r="D1311" t="s">
        <v>691</v>
      </c>
      <c r="E1311" t="s">
        <v>150</v>
      </c>
    </row>
    <row r="1312" spans="1:5" x14ac:dyDescent="0.25">
      <c r="A1312" s="2" t="str">
        <f>HYPERLINK("spreadsheet/1310.xlsx", "1310.xlsx")</f>
        <v>1310.xlsx</v>
      </c>
      <c r="B1312" s="2">
        <v>1310</v>
      </c>
      <c r="C1312" t="s">
        <v>14</v>
      </c>
      <c r="D1312" t="s">
        <v>691</v>
      </c>
      <c r="E1312" t="s">
        <v>150</v>
      </c>
    </row>
    <row r="1313" spans="1:5" x14ac:dyDescent="0.25">
      <c r="A1313" s="2" t="str">
        <f>HYPERLINK("spreadsheet/1311.xlsx", "1311.xlsx")</f>
        <v>1311.xlsx</v>
      </c>
      <c r="B1313" s="2">
        <v>1311</v>
      </c>
      <c r="C1313" t="s">
        <v>15</v>
      </c>
      <c r="D1313" t="s">
        <v>691</v>
      </c>
      <c r="E1313" t="s">
        <v>150</v>
      </c>
    </row>
    <row r="1314" spans="1:5" x14ac:dyDescent="0.25">
      <c r="A1314" s="2" t="str">
        <f>HYPERLINK("spreadsheet/1312.xlsx", "1312.xlsx")</f>
        <v>1312.xlsx</v>
      </c>
      <c r="B1314" s="2">
        <v>1312</v>
      </c>
      <c r="C1314" t="s">
        <v>5</v>
      </c>
      <c r="D1314" t="s">
        <v>692</v>
      </c>
      <c r="E1314" t="s">
        <v>147</v>
      </c>
    </row>
    <row r="1315" spans="1:5" x14ac:dyDescent="0.25">
      <c r="A1315" s="2" t="s">
        <v>693</v>
      </c>
      <c r="B1315" s="2">
        <v>1313</v>
      </c>
      <c r="C1315" t="s">
        <v>10</v>
      </c>
      <c r="D1315" t="s">
        <v>692</v>
      </c>
      <c r="E1315" t="s">
        <v>147</v>
      </c>
    </row>
    <row r="1316" spans="1:5" x14ac:dyDescent="0.25">
      <c r="A1316" s="2" t="s">
        <v>694</v>
      </c>
      <c r="B1316" s="2">
        <v>1314</v>
      </c>
      <c r="C1316" t="s">
        <v>14</v>
      </c>
      <c r="D1316" t="s">
        <v>692</v>
      </c>
      <c r="E1316" t="s">
        <v>147</v>
      </c>
    </row>
    <row r="1317" spans="1:5" x14ac:dyDescent="0.25">
      <c r="A1317" s="2" t="str">
        <f>HYPERLINK("spreadsheet/1315.xlsx", "1315.xlsx")</f>
        <v>1315.xlsx</v>
      </c>
      <c r="B1317" s="2">
        <v>1315</v>
      </c>
      <c r="C1317" t="s">
        <v>5</v>
      </c>
      <c r="D1317" t="s">
        <v>695</v>
      </c>
      <c r="E1317" t="s">
        <v>160</v>
      </c>
    </row>
    <row r="1318" spans="1:5" x14ac:dyDescent="0.25">
      <c r="A1318" s="2" t="str">
        <f>HYPERLINK("spreadsheet/1316.xlsx", "1316.xlsx")</f>
        <v>1316.xlsx</v>
      </c>
      <c r="B1318" s="2">
        <v>1316</v>
      </c>
      <c r="C1318" t="s">
        <v>10</v>
      </c>
      <c r="D1318" t="s">
        <v>695</v>
      </c>
      <c r="E1318" t="s">
        <v>160</v>
      </c>
    </row>
    <row r="1319" spans="1:5" x14ac:dyDescent="0.25">
      <c r="A1319" s="2" t="s">
        <v>696</v>
      </c>
      <c r="B1319" s="2">
        <v>1317</v>
      </c>
      <c r="C1319" t="s">
        <v>14</v>
      </c>
      <c r="D1319" t="s">
        <v>695</v>
      </c>
      <c r="E1319" t="s">
        <v>160</v>
      </c>
    </row>
    <row r="1320" spans="1:5" x14ac:dyDescent="0.25">
      <c r="A1320" s="2" t="s">
        <v>697</v>
      </c>
      <c r="B1320" s="2">
        <v>1318</v>
      </c>
      <c r="C1320" t="s">
        <v>5</v>
      </c>
      <c r="D1320" t="s">
        <v>698</v>
      </c>
      <c r="E1320" t="s">
        <v>71</v>
      </c>
    </row>
    <row r="1321" spans="1:5" x14ac:dyDescent="0.25">
      <c r="A1321" s="2" t="str">
        <f>HYPERLINK("spreadsheet/1319.xlsx", "1319.xlsx")</f>
        <v>1319.xlsx</v>
      </c>
      <c r="B1321" s="2">
        <v>1319</v>
      </c>
      <c r="C1321" t="s">
        <v>10</v>
      </c>
      <c r="D1321" t="s">
        <v>698</v>
      </c>
      <c r="E1321" t="s">
        <v>71</v>
      </c>
    </row>
    <row r="1322" spans="1:5" x14ac:dyDescent="0.25">
      <c r="A1322" s="2" t="s">
        <v>699</v>
      </c>
      <c r="B1322" s="2">
        <v>1320</v>
      </c>
      <c r="C1322" t="s">
        <v>14</v>
      </c>
      <c r="D1322" t="s">
        <v>698</v>
      </c>
      <c r="E1322" t="s">
        <v>71</v>
      </c>
    </row>
    <row r="1323" spans="1:5" x14ac:dyDescent="0.25">
      <c r="A1323" s="2" t="s">
        <v>700</v>
      </c>
      <c r="B1323" s="2">
        <v>1321</v>
      </c>
      <c r="C1323" t="s">
        <v>15</v>
      </c>
      <c r="D1323" t="s">
        <v>698</v>
      </c>
      <c r="E1323" t="s">
        <v>71</v>
      </c>
    </row>
    <row r="1324" spans="1:5" x14ac:dyDescent="0.25">
      <c r="A1324" s="2" t="s">
        <v>701</v>
      </c>
      <c r="B1324" s="2">
        <v>1322</v>
      </c>
      <c r="C1324" t="s">
        <v>22</v>
      </c>
      <c r="D1324" t="s">
        <v>698</v>
      </c>
      <c r="E1324" t="s">
        <v>71</v>
      </c>
    </row>
    <row r="1325" spans="1:5" x14ac:dyDescent="0.25">
      <c r="A1325" s="2" t="s">
        <v>702</v>
      </c>
      <c r="B1325" s="2">
        <v>1323</v>
      </c>
      <c r="C1325" t="s">
        <v>24</v>
      </c>
      <c r="D1325" t="s">
        <v>698</v>
      </c>
      <c r="E1325" t="s">
        <v>71</v>
      </c>
    </row>
    <row r="1326" spans="1:5" x14ac:dyDescent="0.25">
      <c r="A1326" s="2" t="str">
        <f>HYPERLINK("spreadsheet/1324.xlsx", "1324.xlsx")</f>
        <v>1324.xlsx</v>
      </c>
      <c r="B1326" s="2">
        <v>1324</v>
      </c>
      <c r="C1326" t="s">
        <v>60</v>
      </c>
      <c r="D1326" t="s">
        <v>698</v>
      </c>
      <c r="E1326" t="s">
        <v>71</v>
      </c>
    </row>
    <row r="1327" spans="1:5" x14ac:dyDescent="0.25">
      <c r="A1327" s="2" t="str">
        <f>HYPERLINK("spreadsheet/1325.xlsx", "1325.xlsx")</f>
        <v>1325.xlsx</v>
      </c>
      <c r="B1327" s="2">
        <v>1325</v>
      </c>
      <c r="C1327" t="s">
        <v>5</v>
      </c>
      <c r="D1327" t="s">
        <v>703</v>
      </c>
      <c r="E1327" t="s">
        <v>173</v>
      </c>
    </row>
    <row r="1328" spans="1:5" x14ac:dyDescent="0.25">
      <c r="A1328" s="2" t="str">
        <f>HYPERLINK("spreadsheet/1326.xlsx", "1326.xlsx")</f>
        <v>1326.xlsx</v>
      </c>
      <c r="B1328" s="2">
        <v>1326</v>
      </c>
      <c r="C1328" t="s">
        <v>10</v>
      </c>
      <c r="D1328" t="s">
        <v>703</v>
      </c>
      <c r="E1328" t="s">
        <v>173</v>
      </c>
    </row>
    <row r="1329" spans="1:5" x14ac:dyDescent="0.25">
      <c r="A1329" s="2" t="str">
        <f>HYPERLINK("spreadsheet/1327.xlsx", "1327.xlsx")</f>
        <v>1327.xlsx</v>
      </c>
      <c r="B1329" s="2">
        <v>1327</v>
      </c>
      <c r="C1329" t="s">
        <v>14</v>
      </c>
      <c r="D1329" t="s">
        <v>703</v>
      </c>
      <c r="E1329" t="s">
        <v>173</v>
      </c>
    </row>
    <row r="1330" spans="1:5" x14ac:dyDescent="0.25">
      <c r="A1330" s="2" t="str">
        <f>HYPERLINK("spreadsheet/1328.xlsx", "1328.xlsx")</f>
        <v>1328.xlsx</v>
      </c>
      <c r="B1330" s="2">
        <v>1328</v>
      </c>
      <c r="C1330" t="s">
        <v>15</v>
      </c>
      <c r="D1330" t="s">
        <v>703</v>
      </c>
      <c r="E1330" t="s">
        <v>173</v>
      </c>
    </row>
    <row r="1331" spans="1:5" x14ac:dyDescent="0.25">
      <c r="A1331" s="2" t="str">
        <f>HYPERLINK("spreadsheet/1329.xlsx", "1329.xlsx")</f>
        <v>1329.xlsx</v>
      </c>
      <c r="B1331" s="2">
        <v>1329</v>
      </c>
      <c r="C1331" t="s">
        <v>22</v>
      </c>
      <c r="D1331" t="s">
        <v>703</v>
      </c>
      <c r="E1331" t="s">
        <v>173</v>
      </c>
    </row>
    <row r="1332" spans="1:5" x14ac:dyDescent="0.25">
      <c r="A1332" s="2" t="str">
        <f>HYPERLINK("spreadsheet/1330.xlsx", "1330.xlsx")</f>
        <v>1330.xlsx</v>
      </c>
      <c r="B1332" s="2">
        <v>1330</v>
      </c>
      <c r="C1332" t="s">
        <v>60</v>
      </c>
      <c r="D1332" t="s">
        <v>704</v>
      </c>
      <c r="E1332" t="s">
        <v>164</v>
      </c>
    </row>
    <row r="1333" spans="1:5" x14ac:dyDescent="0.25">
      <c r="A1333" s="2" t="str">
        <f>HYPERLINK("spreadsheet/1331.xlsx", "1331.xlsx")</f>
        <v>1331.xlsx</v>
      </c>
      <c r="B1333" s="2">
        <v>1331</v>
      </c>
      <c r="C1333" t="s">
        <v>5</v>
      </c>
      <c r="D1333" t="s">
        <v>705</v>
      </c>
      <c r="E1333" t="s">
        <v>332</v>
      </c>
    </row>
    <row r="1334" spans="1:5" x14ac:dyDescent="0.25">
      <c r="A1334" s="2" t="s">
        <v>706</v>
      </c>
      <c r="B1334" s="2">
        <v>1332</v>
      </c>
      <c r="C1334" t="s">
        <v>10</v>
      </c>
      <c r="D1334" t="s">
        <v>705</v>
      </c>
      <c r="E1334" t="s">
        <v>332</v>
      </c>
    </row>
    <row r="1335" spans="1:5" x14ac:dyDescent="0.25">
      <c r="A1335" s="2" t="s">
        <v>707</v>
      </c>
      <c r="B1335" s="2">
        <v>1333</v>
      </c>
      <c r="C1335" t="s">
        <v>14</v>
      </c>
      <c r="D1335" t="s">
        <v>705</v>
      </c>
      <c r="E1335" t="s">
        <v>332</v>
      </c>
    </row>
    <row r="1336" spans="1:5" x14ac:dyDescent="0.25">
      <c r="A1336" s="2" t="str">
        <f>HYPERLINK("spreadsheet/1334.xlsx", "1334.xlsx")</f>
        <v>1334.xlsx</v>
      </c>
      <c r="B1336" s="2">
        <v>1334</v>
      </c>
      <c r="C1336" t="s">
        <v>15</v>
      </c>
      <c r="D1336" t="s">
        <v>705</v>
      </c>
      <c r="E1336" t="s">
        <v>332</v>
      </c>
    </row>
    <row r="1337" spans="1:5" x14ac:dyDescent="0.25">
      <c r="A1337" s="2" t="str">
        <f>HYPERLINK("spreadsheet/1335.xlsx", "1335.xlsx")</f>
        <v>1335.xlsx</v>
      </c>
      <c r="B1337" s="2">
        <v>1335</v>
      </c>
      <c r="C1337" t="s">
        <v>22</v>
      </c>
      <c r="D1337" t="s">
        <v>705</v>
      </c>
      <c r="E1337" t="s">
        <v>332</v>
      </c>
    </row>
    <row r="1338" spans="1:5" x14ac:dyDescent="0.25">
      <c r="A1338" s="2" t="str">
        <f>HYPERLINK("spreadsheet/1336.xlsx", "1336.xlsx")</f>
        <v>1336.xlsx</v>
      </c>
      <c r="B1338" s="2">
        <v>1336</v>
      </c>
      <c r="C1338" t="s">
        <v>5</v>
      </c>
      <c r="D1338" t="s">
        <v>708</v>
      </c>
      <c r="E1338" t="s">
        <v>164</v>
      </c>
    </row>
    <row r="1339" spans="1:5" x14ac:dyDescent="0.25">
      <c r="A1339" s="2" t="str">
        <f>HYPERLINK("spreadsheet/1337.xlsx", "1337.xlsx")</f>
        <v>1337.xlsx</v>
      </c>
      <c r="B1339" s="2">
        <v>1337</v>
      </c>
      <c r="C1339" t="s">
        <v>22</v>
      </c>
      <c r="D1339" t="s">
        <v>708</v>
      </c>
      <c r="E1339" t="s">
        <v>164</v>
      </c>
    </row>
    <row r="1340" spans="1:5" x14ac:dyDescent="0.25">
      <c r="A1340" s="2" t="str">
        <f>HYPERLINK("spreadsheet/1338.xlsx", "1338.xlsx")</f>
        <v>1338.xlsx</v>
      </c>
      <c r="B1340" s="2">
        <v>1338</v>
      </c>
      <c r="C1340" t="s">
        <v>10</v>
      </c>
      <c r="D1340" t="s">
        <v>708</v>
      </c>
      <c r="E1340" t="s">
        <v>164</v>
      </c>
    </row>
    <row r="1341" spans="1:5" x14ac:dyDescent="0.25">
      <c r="A1341" s="2" t="str">
        <f>HYPERLINK("spreadsheet/1339.xlsx", "1339.xlsx")</f>
        <v>1339.xlsx</v>
      </c>
      <c r="B1341" s="2">
        <v>1339</v>
      </c>
      <c r="C1341" t="s">
        <v>49</v>
      </c>
      <c r="D1341" t="s">
        <v>708</v>
      </c>
      <c r="E1341" t="s">
        <v>164</v>
      </c>
    </row>
    <row r="1342" spans="1:5" x14ac:dyDescent="0.25">
      <c r="A1342" s="2" t="str">
        <f>HYPERLINK("spreadsheet/1340.xlsx", "1340.xlsx")</f>
        <v>1340.xlsx</v>
      </c>
      <c r="B1342" s="2">
        <v>1340</v>
      </c>
      <c r="C1342" t="s">
        <v>14</v>
      </c>
      <c r="D1342" t="s">
        <v>708</v>
      </c>
      <c r="E1342" t="s">
        <v>164</v>
      </c>
    </row>
    <row r="1343" spans="1:5" x14ac:dyDescent="0.25">
      <c r="A1343" s="2" t="str">
        <f>HYPERLINK("spreadsheet/1341.xlsx", "1341.xlsx")</f>
        <v>1341.xlsx</v>
      </c>
      <c r="B1343" s="2">
        <v>1341</v>
      </c>
      <c r="C1343" t="s">
        <v>15</v>
      </c>
      <c r="D1343" t="s">
        <v>708</v>
      </c>
      <c r="E1343" t="s">
        <v>164</v>
      </c>
    </row>
    <row r="1344" spans="1:5" x14ac:dyDescent="0.25">
      <c r="A1344" s="2" t="str">
        <f>HYPERLINK("spreadsheet/1342.xlsx", "1342.xlsx")</f>
        <v>1342.xlsx</v>
      </c>
      <c r="B1344" s="2">
        <v>1342</v>
      </c>
      <c r="C1344" t="s">
        <v>44</v>
      </c>
      <c r="D1344" t="s">
        <v>708</v>
      </c>
      <c r="E1344" t="s">
        <v>164</v>
      </c>
    </row>
    <row r="1345" spans="1:5" x14ac:dyDescent="0.25">
      <c r="A1345" s="2" t="str">
        <f>HYPERLINK("spreadsheet/1343.xlsx", "1343.xlsx")</f>
        <v>1343.xlsx</v>
      </c>
      <c r="B1345" s="2">
        <v>1343</v>
      </c>
      <c r="C1345" t="s">
        <v>47</v>
      </c>
      <c r="D1345" t="s">
        <v>708</v>
      </c>
      <c r="E1345" t="s">
        <v>164</v>
      </c>
    </row>
    <row r="1346" spans="1:5" x14ac:dyDescent="0.25">
      <c r="A1346" s="2" t="str">
        <f>HYPERLINK("spreadsheet/1344.xlsx", "1344.xlsx")</f>
        <v>1344.xlsx</v>
      </c>
      <c r="B1346" s="2">
        <v>1344</v>
      </c>
      <c r="C1346" t="s">
        <v>60</v>
      </c>
      <c r="D1346" t="s">
        <v>708</v>
      </c>
      <c r="E1346" t="s">
        <v>164</v>
      </c>
    </row>
    <row r="1347" spans="1:5" x14ac:dyDescent="0.25">
      <c r="A1347" s="2" t="str">
        <f>HYPERLINK("spreadsheet/1345.xlsx", "1345.xlsx")</f>
        <v>1345.xlsx</v>
      </c>
      <c r="B1347" s="2">
        <v>1345</v>
      </c>
      <c r="C1347" t="s">
        <v>46</v>
      </c>
      <c r="D1347" t="s">
        <v>708</v>
      </c>
      <c r="E1347" t="s">
        <v>164</v>
      </c>
    </row>
    <row r="1348" spans="1:5" x14ac:dyDescent="0.25">
      <c r="A1348" s="2" t="str">
        <f>HYPERLINK("spreadsheet/1346.xlsx", "1346.xlsx")</f>
        <v>1346.xlsx</v>
      </c>
      <c r="B1348" s="2">
        <v>1346</v>
      </c>
      <c r="C1348" t="s">
        <v>24</v>
      </c>
      <c r="D1348" t="s">
        <v>708</v>
      </c>
      <c r="E1348" t="s">
        <v>164</v>
      </c>
    </row>
    <row r="1349" spans="1:5" x14ac:dyDescent="0.25">
      <c r="A1349" s="2" t="str">
        <f>HYPERLINK("spreadsheet/1347.xlsx", "1347.xlsx")</f>
        <v>1347.xlsx</v>
      </c>
      <c r="B1349" s="2">
        <v>1347</v>
      </c>
      <c r="C1349" t="s">
        <v>50</v>
      </c>
      <c r="D1349" t="s">
        <v>708</v>
      </c>
      <c r="E1349" t="s">
        <v>164</v>
      </c>
    </row>
    <row r="1350" spans="1:5" x14ac:dyDescent="0.25">
      <c r="A1350" s="2" t="str">
        <f>HYPERLINK("spreadsheet/1348.xlsx", "1348.xlsx")</f>
        <v>1348.xlsx</v>
      </c>
      <c r="B1350" s="2">
        <v>1348</v>
      </c>
      <c r="C1350" t="s">
        <v>53</v>
      </c>
      <c r="D1350" t="s">
        <v>708</v>
      </c>
      <c r="E1350" t="s">
        <v>164</v>
      </c>
    </row>
    <row r="1351" spans="1:5" x14ac:dyDescent="0.25">
      <c r="A1351" s="2" t="str">
        <f>HYPERLINK("spreadsheet/1349.xlsx", "1349.xlsx")</f>
        <v>1349.xlsx</v>
      </c>
      <c r="B1351" s="2">
        <v>1349</v>
      </c>
      <c r="C1351" t="s">
        <v>5</v>
      </c>
      <c r="D1351" t="s">
        <v>709</v>
      </c>
      <c r="E1351" t="s">
        <v>150</v>
      </c>
    </row>
    <row r="1352" spans="1:5" x14ac:dyDescent="0.25">
      <c r="A1352" s="2" t="s">
        <v>710</v>
      </c>
      <c r="B1352" s="2">
        <v>1350</v>
      </c>
      <c r="C1352" t="s">
        <v>10</v>
      </c>
      <c r="D1352" t="s">
        <v>709</v>
      </c>
      <c r="E1352" t="s">
        <v>150</v>
      </c>
    </row>
    <row r="1353" spans="1:5" x14ac:dyDescent="0.25">
      <c r="A1353" s="2" t="s">
        <v>711</v>
      </c>
      <c r="B1353" s="2">
        <v>1351</v>
      </c>
      <c r="C1353" t="s">
        <v>14</v>
      </c>
      <c r="D1353" t="s">
        <v>709</v>
      </c>
      <c r="E1353" t="s">
        <v>150</v>
      </c>
    </row>
    <row r="1354" spans="1:5" x14ac:dyDescent="0.25">
      <c r="A1354" s="2" t="str">
        <f>HYPERLINK("spreadsheet/1352.xlsx", "1352.xlsx")</f>
        <v>1352.xlsx</v>
      </c>
      <c r="B1354" s="2">
        <v>1352</v>
      </c>
      <c r="C1354" t="s">
        <v>22</v>
      </c>
      <c r="D1354" t="s">
        <v>709</v>
      </c>
      <c r="E1354" t="s">
        <v>150</v>
      </c>
    </row>
    <row r="1355" spans="1:5" x14ac:dyDescent="0.25">
      <c r="A1355" s="2" t="s">
        <v>712</v>
      </c>
      <c r="B1355" s="2">
        <v>1353</v>
      </c>
      <c r="C1355" t="s">
        <v>24</v>
      </c>
      <c r="D1355" t="s">
        <v>709</v>
      </c>
      <c r="E1355" t="s">
        <v>150</v>
      </c>
    </row>
    <row r="1356" spans="1:5" x14ac:dyDescent="0.25">
      <c r="A1356" s="2" t="str">
        <f>HYPERLINK("spreadsheet/1354.xlsx", "1354.xlsx")</f>
        <v>1354.xlsx</v>
      </c>
      <c r="B1356" s="2">
        <v>1354</v>
      </c>
      <c r="C1356" t="s">
        <v>60</v>
      </c>
      <c r="D1356" t="s">
        <v>709</v>
      </c>
      <c r="E1356" t="s">
        <v>150</v>
      </c>
    </row>
    <row r="1357" spans="1:5" x14ac:dyDescent="0.25">
      <c r="A1357" s="2" t="str">
        <f>HYPERLINK("spreadsheet/1355.xlsx", "1355.xlsx")</f>
        <v>1355.xlsx</v>
      </c>
      <c r="B1357" s="2">
        <v>1355</v>
      </c>
      <c r="C1357" t="s">
        <v>45</v>
      </c>
      <c r="D1357" t="s">
        <v>709</v>
      </c>
      <c r="E1357" t="s">
        <v>150</v>
      </c>
    </row>
    <row r="1358" spans="1:5" x14ac:dyDescent="0.25">
      <c r="A1358" s="2" t="str">
        <f>HYPERLINK("spreadsheet/1356.xlsx", "1356.xlsx")</f>
        <v>1356.xlsx</v>
      </c>
      <c r="B1358" s="2">
        <v>1356</v>
      </c>
      <c r="C1358" t="s">
        <v>46</v>
      </c>
      <c r="D1358" t="s">
        <v>709</v>
      </c>
      <c r="E1358" t="s">
        <v>150</v>
      </c>
    </row>
    <row r="1359" spans="1:5" x14ac:dyDescent="0.25">
      <c r="A1359" s="2" t="s">
        <v>713</v>
      </c>
      <c r="B1359" s="2">
        <v>1357</v>
      </c>
      <c r="C1359" t="s">
        <v>48</v>
      </c>
      <c r="D1359" t="s">
        <v>709</v>
      </c>
      <c r="E1359" t="s">
        <v>150</v>
      </c>
    </row>
    <row r="1360" spans="1:5" x14ac:dyDescent="0.25">
      <c r="A1360" s="2" t="str">
        <f>HYPERLINK("spreadsheet/1358.xlsx", "1358.xlsx")</f>
        <v>1358.xlsx</v>
      </c>
      <c r="B1360" s="2">
        <v>1358</v>
      </c>
      <c r="C1360" t="s">
        <v>50</v>
      </c>
      <c r="D1360" t="s">
        <v>709</v>
      </c>
      <c r="E1360" t="s">
        <v>150</v>
      </c>
    </row>
    <row r="1361" spans="1:5" x14ac:dyDescent="0.25">
      <c r="A1361" s="2" t="str">
        <f>HYPERLINK("spreadsheet/1359.xlsx", "1359.xlsx")</f>
        <v>1359.xlsx</v>
      </c>
      <c r="B1361" s="2">
        <v>1359</v>
      </c>
      <c r="C1361" t="s">
        <v>5</v>
      </c>
      <c r="D1361" t="s">
        <v>714</v>
      </c>
      <c r="E1361" t="s">
        <v>145</v>
      </c>
    </row>
    <row r="1362" spans="1:5" x14ac:dyDescent="0.25">
      <c r="A1362" s="2" t="str">
        <f>HYPERLINK("spreadsheet/1360.xlsx", "1360.xlsx")</f>
        <v>1360.xlsx</v>
      </c>
      <c r="B1362" s="2">
        <v>1360</v>
      </c>
      <c r="C1362" t="s">
        <v>14</v>
      </c>
      <c r="D1362" t="s">
        <v>714</v>
      </c>
      <c r="E1362" t="s">
        <v>145</v>
      </c>
    </row>
    <row r="1363" spans="1:5" x14ac:dyDescent="0.25">
      <c r="A1363" s="2" t="str">
        <f>HYPERLINK("spreadsheet/1361.xlsx", "1361.xlsx")</f>
        <v>1361.xlsx</v>
      </c>
      <c r="B1363" s="2">
        <v>1361</v>
      </c>
      <c r="C1363" t="s">
        <v>15</v>
      </c>
      <c r="D1363" t="s">
        <v>714</v>
      </c>
      <c r="E1363" t="s">
        <v>145</v>
      </c>
    </row>
    <row r="1364" spans="1:5" x14ac:dyDescent="0.25">
      <c r="A1364" s="2" t="str">
        <f>HYPERLINK("spreadsheet/1362.xlsx", "1362.xlsx")</f>
        <v>1362.xlsx</v>
      </c>
      <c r="B1364" s="2">
        <v>1362</v>
      </c>
      <c r="C1364" t="s">
        <v>22</v>
      </c>
      <c r="D1364" t="s">
        <v>714</v>
      </c>
      <c r="E1364" t="s">
        <v>145</v>
      </c>
    </row>
    <row r="1365" spans="1:5" x14ac:dyDescent="0.25">
      <c r="A1365" s="2" t="s">
        <v>715</v>
      </c>
      <c r="B1365" s="2">
        <v>1363</v>
      </c>
      <c r="C1365" t="s">
        <v>24</v>
      </c>
      <c r="D1365" t="s">
        <v>714</v>
      </c>
      <c r="E1365" t="s">
        <v>145</v>
      </c>
    </row>
    <row r="1366" spans="1:5" x14ac:dyDescent="0.25">
      <c r="A1366" s="2" t="str">
        <f>HYPERLINK("spreadsheet/1364.xlsx", "1364.xlsx")</f>
        <v>1364.xlsx</v>
      </c>
      <c r="B1366" s="2">
        <v>1364</v>
      </c>
      <c r="C1366" t="s">
        <v>60</v>
      </c>
      <c r="D1366" t="s">
        <v>714</v>
      </c>
      <c r="E1366" t="s">
        <v>145</v>
      </c>
    </row>
    <row r="1367" spans="1:5" x14ac:dyDescent="0.25">
      <c r="A1367" s="2" t="str">
        <f>HYPERLINK("spreadsheet/1365.xlsx", "1365.xlsx")</f>
        <v>1365.xlsx</v>
      </c>
      <c r="B1367" s="2">
        <v>1365</v>
      </c>
      <c r="C1367" t="s">
        <v>5</v>
      </c>
      <c r="D1367" t="s">
        <v>716</v>
      </c>
      <c r="E1367" t="s">
        <v>126</v>
      </c>
    </row>
    <row r="1368" spans="1:5" x14ac:dyDescent="0.25">
      <c r="A1368" s="2" t="s">
        <v>717</v>
      </c>
      <c r="B1368" s="2">
        <v>1366</v>
      </c>
      <c r="C1368" t="s">
        <v>10</v>
      </c>
      <c r="D1368" t="s">
        <v>716</v>
      </c>
      <c r="E1368" t="s">
        <v>126</v>
      </c>
    </row>
    <row r="1369" spans="1:5" x14ac:dyDescent="0.25">
      <c r="A1369" s="2" t="str">
        <f>HYPERLINK("spreadsheet/1367.xlsx", "1367.xlsx")</f>
        <v>1367.xlsx</v>
      </c>
      <c r="B1369" s="2">
        <v>1367</v>
      </c>
      <c r="C1369" t="s">
        <v>14</v>
      </c>
      <c r="D1369" t="s">
        <v>716</v>
      </c>
      <c r="E1369" t="s">
        <v>126</v>
      </c>
    </row>
    <row r="1370" spans="1:5" x14ac:dyDescent="0.25">
      <c r="A1370" s="2" t="str">
        <f>HYPERLINK("spreadsheet/1368.xlsx", "1368.xlsx")</f>
        <v>1368.xlsx</v>
      </c>
      <c r="B1370" s="2">
        <v>1368</v>
      </c>
      <c r="C1370" t="s">
        <v>15</v>
      </c>
      <c r="D1370" t="s">
        <v>716</v>
      </c>
      <c r="E1370" t="s">
        <v>126</v>
      </c>
    </row>
    <row r="1371" spans="1:5" x14ac:dyDescent="0.25">
      <c r="A1371" s="2" t="str">
        <f>HYPERLINK("spreadsheet/1369.xlsx", "1369.xlsx")</f>
        <v>1369.xlsx</v>
      </c>
      <c r="B1371" s="2">
        <v>1369</v>
      </c>
      <c r="C1371" t="s">
        <v>22</v>
      </c>
      <c r="D1371" t="s">
        <v>716</v>
      </c>
      <c r="E1371" t="s">
        <v>126</v>
      </c>
    </row>
    <row r="1372" spans="1:5" x14ac:dyDescent="0.25">
      <c r="A1372" s="2" t="str">
        <f>HYPERLINK("spreadsheet/1370.xlsx", "1370.xlsx")</f>
        <v>1370.xlsx</v>
      </c>
      <c r="B1372" s="2">
        <v>1370</v>
      </c>
      <c r="C1372" t="s">
        <v>24</v>
      </c>
      <c r="D1372" t="s">
        <v>716</v>
      </c>
      <c r="E1372" t="s">
        <v>126</v>
      </c>
    </row>
    <row r="1373" spans="1:5" x14ac:dyDescent="0.25">
      <c r="A1373" s="2" t="s">
        <v>718</v>
      </c>
      <c r="B1373" s="2">
        <v>1371</v>
      </c>
      <c r="C1373" t="s">
        <v>60</v>
      </c>
      <c r="D1373" t="s">
        <v>716</v>
      </c>
      <c r="E1373" t="s">
        <v>126</v>
      </c>
    </row>
    <row r="1374" spans="1:5" x14ac:dyDescent="0.25">
      <c r="A1374" s="2" t="str">
        <f>HYPERLINK("spreadsheet/1372.xlsx", "1372.xlsx")</f>
        <v>1372.xlsx</v>
      </c>
      <c r="B1374" s="2">
        <v>1372</v>
      </c>
      <c r="C1374" t="s">
        <v>44</v>
      </c>
      <c r="D1374" t="s">
        <v>716</v>
      </c>
      <c r="E1374" t="s">
        <v>126</v>
      </c>
    </row>
    <row r="1375" spans="1:5" x14ac:dyDescent="0.25">
      <c r="A1375" s="2" t="str">
        <f>HYPERLINK("spreadsheet/1373.xlsx", "1373.xlsx")</f>
        <v>1373.xlsx</v>
      </c>
      <c r="B1375" s="2">
        <v>1373</v>
      </c>
      <c r="C1375" t="s">
        <v>45</v>
      </c>
      <c r="D1375" t="s">
        <v>716</v>
      </c>
      <c r="E1375" t="s">
        <v>126</v>
      </c>
    </row>
    <row r="1376" spans="1:5" x14ac:dyDescent="0.25">
      <c r="A1376" s="2" t="s">
        <v>719</v>
      </c>
      <c r="B1376" s="2">
        <v>1374</v>
      </c>
      <c r="C1376" t="s">
        <v>5</v>
      </c>
      <c r="D1376" t="s">
        <v>720</v>
      </c>
      <c r="E1376" t="s">
        <v>115</v>
      </c>
    </row>
    <row r="1377" spans="1:5" x14ac:dyDescent="0.25">
      <c r="A1377" s="2" t="str">
        <f>HYPERLINK("spreadsheet/1375.xlsx", "1375.xlsx")</f>
        <v>1375.xlsx</v>
      </c>
      <c r="B1377" s="2">
        <v>1375</v>
      </c>
      <c r="C1377" t="s">
        <v>10</v>
      </c>
      <c r="D1377" t="s">
        <v>720</v>
      </c>
      <c r="E1377" t="s">
        <v>115</v>
      </c>
    </row>
    <row r="1378" spans="1:5" x14ac:dyDescent="0.25">
      <c r="A1378" s="2" t="str">
        <f>HYPERLINK("spreadsheet/1376.xlsx", "1376.xlsx")</f>
        <v>1376.xlsx</v>
      </c>
      <c r="B1378" s="2">
        <v>1376</v>
      </c>
      <c r="C1378" t="s">
        <v>14</v>
      </c>
      <c r="D1378" t="s">
        <v>720</v>
      </c>
      <c r="E1378" t="s">
        <v>115</v>
      </c>
    </row>
    <row r="1379" spans="1:5" x14ac:dyDescent="0.25">
      <c r="A1379" s="2" t="str">
        <f>HYPERLINK("spreadsheet/1377.xlsx", "1377.xlsx")</f>
        <v>1377.xlsx</v>
      </c>
      <c r="B1379" s="2">
        <v>1377</v>
      </c>
      <c r="C1379" t="s">
        <v>5</v>
      </c>
      <c r="D1379" t="s">
        <v>721</v>
      </c>
      <c r="E1379" t="s">
        <v>115</v>
      </c>
    </row>
    <row r="1380" spans="1:5" x14ac:dyDescent="0.25">
      <c r="A1380" s="2" t="str">
        <f>HYPERLINK("spreadsheet/1378.xlsx", "1378.xlsx")</f>
        <v>1378.xlsx</v>
      </c>
      <c r="B1380" s="2">
        <v>1378</v>
      </c>
      <c r="C1380" t="s">
        <v>10</v>
      </c>
      <c r="D1380" t="s">
        <v>721</v>
      </c>
      <c r="E1380" t="s">
        <v>115</v>
      </c>
    </row>
    <row r="1381" spans="1:5" x14ac:dyDescent="0.25">
      <c r="A1381" s="2" t="str">
        <f>HYPERLINK("spreadsheet/1379.xlsx", "1379.xlsx")</f>
        <v>1379.xlsx</v>
      </c>
      <c r="B1381" s="2">
        <v>1379</v>
      </c>
      <c r="C1381" t="s">
        <v>14</v>
      </c>
      <c r="D1381" t="s">
        <v>721</v>
      </c>
      <c r="E1381" t="s">
        <v>115</v>
      </c>
    </row>
    <row r="1382" spans="1:5" x14ac:dyDescent="0.25">
      <c r="A1382" s="2" t="str">
        <f>HYPERLINK("spreadsheet/1380.xlsx", "1380.xlsx")</f>
        <v>1380.xlsx</v>
      </c>
      <c r="B1382" s="2">
        <v>1380</v>
      </c>
      <c r="C1382" t="s">
        <v>15</v>
      </c>
      <c r="D1382" t="s">
        <v>721</v>
      </c>
      <c r="E1382" t="s">
        <v>115</v>
      </c>
    </row>
    <row r="1383" spans="1:5" x14ac:dyDescent="0.25">
      <c r="A1383" s="2" t="str">
        <f>HYPERLINK("spreadsheet/1381.xlsx", "1381.xlsx")</f>
        <v>1381.xlsx</v>
      </c>
      <c r="B1383" s="2">
        <v>1381</v>
      </c>
      <c r="C1383" t="s">
        <v>22</v>
      </c>
      <c r="D1383" t="s">
        <v>721</v>
      </c>
      <c r="E1383" t="s">
        <v>115</v>
      </c>
    </row>
    <row r="1384" spans="1:5" x14ac:dyDescent="0.25">
      <c r="A1384" s="2" t="str">
        <f>HYPERLINK("spreadsheet/1382.xlsx", "1382.xlsx")</f>
        <v>1382.xlsx</v>
      </c>
      <c r="B1384" s="2">
        <v>1382</v>
      </c>
      <c r="C1384" t="s">
        <v>24</v>
      </c>
      <c r="D1384" t="s">
        <v>721</v>
      </c>
      <c r="E1384" t="s">
        <v>115</v>
      </c>
    </row>
    <row r="1385" spans="1:5" x14ac:dyDescent="0.25">
      <c r="A1385" s="2" t="str">
        <f>HYPERLINK("spreadsheet/1383.xlsx", "1383.xlsx")</f>
        <v>1383.xlsx</v>
      </c>
      <c r="B1385" s="2">
        <v>1383</v>
      </c>
      <c r="C1385" t="s">
        <v>5</v>
      </c>
      <c r="D1385" t="s">
        <v>722</v>
      </c>
      <c r="E1385" t="s">
        <v>218</v>
      </c>
    </row>
    <row r="1386" spans="1:5" x14ac:dyDescent="0.25">
      <c r="A1386" s="2" t="str">
        <f>HYPERLINK("spreadsheet/1384.xlsx", "1384.xlsx")</f>
        <v>1384.xlsx</v>
      </c>
      <c r="B1386" s="2">
        <v>1384</v>
      </c>
      <c r="C1386" t="s">
        <v>10</v>
      </c>
      <c r="D1386" t="s">
        <v>722</v>
      </c>
      <c r="E1386" t="s">
        <v>218</v>
      </c>
    </row>
    <row r="1387" spans="1:5" x14ac:dyDescent="0.25">
      <c r="A1387" s="2" t="str">
        <f>HYPERLINK("spreadsheet/1385.xlsx", "1385.xlsx")</f>
        <v>1385.xlsx</v>
      </c>
      <c r="B1387" s="2">
        <v>1385</v>
      </c>
      <c r="C1387" t="s">
        <v>14</v>
      </c>
      <c r="D1387" t="s">
        <v>722</v>
      </c>
      <c r="E1387" t="s">
        <v>218</v>
      </c>
    </row>
    <row r="1388" spans="1:5" x14ac:dyDescent="0.25">
      <c r="A1388" s="2" t="str">
        <f>HYPERLINK("spreadsheet/1386.xlsx", "1386.xlsx")</f>
        <v>1386.xlsx</v>
      </c>
      <c r="B1388" s="2">
        <v>1386</v>
      </c>
      <c r="C1388" t="s">
        <v>24</v>
      </c>
      <c r="D1388" t="s">
        <v>722</v>
      </c>
      <c r="E1388" t="s">
        <v>218</v>
      </c>
    </row>
    <row r="1389" spans="1:5" x14ac:dyDescent="0.25">
      <c r="A1389" s="2" t="str">
        <f>HYPERLINK("spreadsheet/1387.xlsx", "1387.xlsx")</f>
        <v>1387.xlsx</v>
      </c>
      <c r="B1389" s="2">
        <v>1387</v>
      </c>
      <c r="C1389" t="s">
        <v>15</v>
      </c>
      <c r="D1389" t="s">
        <v>722</v>
      </c>
      <c r="E1389" t="s">
        <v>218</v>
      </c>
    </row>
    <row r="1390" spans="1:5" x14ac:dyDescent="0.25">
      <c r="A1390" s="2" t="str">
        <f>HYPERLINK("spreadsheet/1388.xlsx", "1388.xlsx")</f>
        <v>1388.xlsx</v>
      </c>
      <c r="B1390" s="2">
        <v>1388</v>
      </c>
      <c r="C1390" t="s">
        <v>22</v>
      </c>
      <c r="D1390" t="s">
        <v>722</v>
      </c>
      <c r="E1390" t="s">
        <v>218</v>
      </c>
    </row>
    <row r="1391" spans="1:5" x14ac:dyDescent="0.25">
      <c r="A1391" s="2" t="str">
        <f>HYPERLINK("spreadsheet/1389.xlsx", "1389.xlsx")</f>
        <v>1389.xlsx</v>
      </c>
      <c r="B1391" s="2">
        <v>1389</v>
      </c>
      <c r="C1391" t="s">
        <v>60</v>
      </c>
      <c r="D1391" t="s">
        <v>722</v>
      </c>
      <c r="E1391" t="s">
        <v>218</v>
      </c>
    </row>
    <row r="1392" spans="1:5" x14ac:dyDescent="0.25">
      <c r="A1392" s="2" t="str">
        <f>HYPERLINK("spreadsheet/1390.xlsx", "1390.xlsx")</f>
        <v>1390.xlsx</v>
      </c>
      <c r="B1392" s="2">
        <v>1390</v>
      </c>
      <c r="C1392" t="s">
        <v>44</v>
      </c>
      <c r="D1392" t="s">
        <v>722</v>
      </c>
      <c r="E1392" t="s">
        <v>218</v>
      </c>
    </row>
    <row r="1393" spans="1:5" x14ac:dyDescent="0.25">
      <c r="A1393" s="2" t="str">
        <f>HYPERLINK("spreadsheet/1391.xlsx", "1391.xlsx")</f>
        <v>1391.xlsx</v>
      </c>
      <c r="B1393" s="2">
        <v>1391</v>
      </c>
      <c r="C1393" t="s">
        <v>45</v>
      </c>
      <c r="D1393" t="s">
        <v>722</v>
      </c>
      <c r="E1393" t="s">
        <v>218</v>
      </c>
    </row>
    <row r="1394" spans="1:5" x14ac:dyDescent="0.25">
      <c r="A1394" s="2" t="str">
        <f>HYPERLINK("spreadsheet/1392.xlsx", "1392.xlsx")</f>
        <v>1392.xlsx</v>
      </c>
      <c r="B1394" s="2">
        <v>1392</v>
      </c>
      <c r="C1394" t="s">
        <v>46</v>
      </c>
      <c r="D1394" t="s">
        <v>722</v>
      </c>
      <c r="E1394" t="s">
        <v>218</v>
      </c>
    </row>
    <row r="1395" spans="1:5" x14ac:dyDescent="0.25">
      <c r="A1395" s="2" t="str">
        <f>HYPERLINK("spreadsheet/1393.xlsx", "1393.xlsx")</f>
        <v>1393.xlsx</v>
      </c>
      <c r="B1395" s="2">
        <v>1393</v>
      </c>
      <c r="C1395" t="s">
        <v>48</v>
      </c>
      <c r="D1395" t="s">
        <v>722</v>
      </c>
      <c r="E1395" t="s">
        <v>218</v>
      </c>
    </row>
    <row r="1396" spans="1:5" x14ac:dyDescent="0.25">
      <c r="A1396" s="2" t="str">
        <f>HYPERLINK("spreadsheet/1394.xlsx", "1394.xlsx")</f>
        <v>1394.xlsx</v>
      </c>
      <c r="B1396" s="2">
        <v>1394</v>
      </c>
      <c r="C1396" t="s">
        <v>5</v>
      </c>
      <c r="D1396" t="s">
        <v>723</v>
      </c>
      <c r="E1396" t="s">
        <v>150</v>
      </c>
    </row>
    <row r="1397" spans="1:5" x14ac:dyDescent="0.25">
      <c r="A1397" s="2" t="s">
        <v>724</v>
      </c>
      <c r="B1397" s="2">
        <v>1395</v>
      </c>
      <c r="C1397" t="s">
        <v>10</v>
      </c>
      <c r="D1397" t="s">
        <v>723</v>
      </c>
      <c r="E1397" t="s">
        <v>150</v>
      </c>
    </row>
    <row r="1398" spans="1:5" x14ac:dyDescent="0.25">
      <c r="A1398" s="2" t="str">
        <f>HYPERLINK("spreadsheet/1396.xlsx", "1396.xlsx")</f>
        <v>1396.xlsx</v>
      </c>
      <c r="B1398" s="2">
        <v>1396</v>
      </c>
      <c r="C1398" t="s">
        <v>14</v>
      </c>
      <c r="D1398" t="s">
        <v>723</v>
      </c>
      <c r="E1398" t="s">
        <v>150</v>
      </c>
    </row>
    <row r="1399" spans="1:5" x14ac:dyDescent="0.25">
      <c r="A1399" s="2" t="str">
        <f>HYPERLINK("spreadsheet/1397.xlsx", "1397.xlsx")</f>
        <v>1397.xlsx</v>
      </c>
      <c r="B1399" s="2">
        <v>1397</v>
      </c>
      <c r="C1399" t="s">
        <v>15</v>
      </c>
      <c r="D1399" t="s">
        <v>723</v>
      </c>
      <c r="E1399" t="s">
        <v>150</v>
      </c>
    </row>
    <row r="1400" spans="1:5" x14ac:dyDescent="0.25">
      <c r="A1400" s="2" t="str">
        <f>HYPERLINK("spreadsheet/1398.xlsx", "1398.xlsx")</f>
        <v>1398.xlsx</v>
      </c>
      <c r="B1400" s="2">
        <v>1398</v>
      </c>
      <c r="C1400" t="s">
        <v>22</v>
      </c>
      <c r="D1400" t="s">
        <v>723</v>
      </c>
      <c r="E1400" t="s">
        <v>150</v>
      </c>
    </row>
    <row r="1401" spans="1:5" x14ac:dyDescent="0.25">
      <c r="A1401" s="2" t="str">
        <f>HYPERLINK("spreadsheet/1399.xlsx", "1399.xlsx")</f>
        <v>1399.xlsx</v>
      </c>
      <c r="B1401" s="2">
        <v>1399</v>
      </c>
      <c r="C1401" t="s">
        <v>24</v>
      </c>
      <c r="D1401" t="s">
        <v>723</v>
      </c>
      <c r="E1401" t="s">
        <v>150</v>
      </c>
    </row>
    <row r="1402" spans="1:5" x14ac:dyDescent="0.25">
      <c r="A1402" s="2" t="s">
        <v>725</v>
      </c>
      <c r="B1402" s="2">
        <v>1400</v>
      </c>
      <c r="C1402" t="s">
        <v>60</v>
      </c>
      <c r="D1402" t="s">
        <v>723</v>
      </c>
      <c r="E1402" t="s">
        <v>150</v>
      </c>
    </row>
    <row r="1403" spans="1:5" x14ac:dyDescent="0.25">
      <c r="A1403" s="2" t="str">
        <f>HYPERLINK("spreadsheet/1401.xlsx", "1401.xlsx")</f>
        <v>1401.xlsx</v>
      </c>
      <c r="B1403" s="2">
        <v>1401</v>
      </c>
      <c r="C1403" t="s">
        <v>44</v>
      </c>
      <c r="D1403" t="s">
        <v>723</v>
      </c>
      <c r="E1403" t="s">
        <v>150</v>
      </c>
    </row>
    <row r="1404" spans="1:5" x14ac:dyDescent="0.25">
      <c r="A1404" s="2" t="str">
        <f>HYPERLINK("spreadsheet/1402.xlsx", "1402.xlsx")</f>
        <v>1402.xlsx</v>
      </c>
      <c r="B1404" s="2">
        <v>1402</v>
      </c>
      <c r="C1404" t="s">
        <v>45</v>
      </c>
      <c r="D1404" t="s">
        <v>723</v>
      </c>
      <c r="E1404" t="s">
        <v>150</v>
      </c>
    </row>
    <row r="1405" spans="1:5" x14ac:dyDescent="0.25">
      <c r="A1405" s="2" t="str">
        <f>HYPERLINK("spreadsheet/1403.xlsx", "1403.xlsx")</f>
        <v>1403.xlsx</v>
      </c>
      <c r="B1405" s="2">
        <v>1403</v>
      </c>
      <c r="C1405" t="s">
        <v>46</v>
      </c>
      <c r="D1405" t="s">
        <v>723</v>
      </c>
      <c r="E1405" t="s">
        <v>150</v>
      </c>
    </row>
    <row r="1406" spans="1:5" x14ac:dyDescent="0.25">
      <c r="A1406" s="2" t="str">
        <f>HYPERLINK("spreadsheet/1404.xlsx", "1404.xlsx")</f>
        <v>1404.xlsx</v>
      </c>
      <c r="B1406" s="2">
        <v>1404</v>
      </c>
      <c r="C1406" t="s">
        <v>5</v>
      </c>
      <c r="D1406" t="s">
        <v>726</v>
      </c>
      <c r="E1406" t="s">
        <v>115</v>
      </c>
    </row>
    <row r="1407" spans="1:5" x14ac:dyDescent="0.25">
      <c r="A1407" s="2" t="s">
        <v>727</v>
      </c>
      <c r="B1407" s="2">
        <v>1405</v>
      </c>
      <c r="C1407" t="s">
        <v>10</v>
      </c>
      <c r="D1407" t="s">
        <v>726</v>
      </c>
      <c r="E1407" t="s">
        <v>115</v>
      </c>
    </row>
    <row r="1408" spans="1:5" x14ac:dyDescent="0.25">
      <c r="A1408" s="2" t="str">
        <f>HYPERLINK("spreadsheet/1406.xlsx", "1406.xlsx")</f>
        <v>1406.xlsx</v>
      </c>
      <c r="B1408" s="2">
        <v>1406</v>
      </c>
      <c r="C1408" t="s">
        <v>14</v>
      </c>
      <c r="D1408" t="s">
        <v>726</v>
      </c>
      <c r="E1408" t="s">
        <v>115</v>
      </c>
    </row>
    <row r="1409" spans="1:5" x14ac:dyDescent="0.25">
      <c r="A1409" s="2" t="str">
        <f>HYPERLINK("spreadsheet/1407.xlsx", "1407.xlsx")</f>
        <v>1407.xlsx</v>
      </c>
      <c r="B1409" s="2">
        <v>1407</v>
      </c>
      <c r="C1409" t="s">
        <v>15</v>
      </c>
      <c r="D1409" t="s">
        <v>726</v>
      </c>
      <c r="E1409" t="s">
        <v>115</v>
      </c>
    </row>
    <row r="1410" spans="1:5" x14ac:dyDescent="0.25">
      <c r="A1410" s="2" t="str">
        <f>HYPERLINK("spreadsheet/1408.xlsx", "1408.xlsx")</f>
        <v>1408.xlsx</v>
      </c>
      <c r="B1410" s="2">
        <v>1408</v>
      </c>
      <c r="C1410" t="s">
        <v>5</v>
      </c>
      <c r="D1410" t="s">
        <v>728</v>
      </c>
      <c r="E1410" t="s">
        <v>115</v>
      </c>
    </row>
    <row r="1411" spans="1:5" x14ac:dyDescent="0.25">
      <c r="A1411" s="2" t="s">
        <v>729</v>
      </c>
      <c r="B1411" s="2">
        <v>1409</v>
      </c>
      <c r="C1411" t="s">
        <v>10</v>
      </c>
      <c r="D1411" t="s">
        <v>728</v>
      </c>
      <c r="E1411" t="s">
        <v>115</v>
      </c>
    </row>
    <row r="1412" spans="1:5" x14ac:dyDescent="0.25">
      <c r="A1412" s="2" t="str">
        <f>HYPERLINK("spreadsheet/1410.xlsx", "1410.xlsx")</f>
        <v>1410.xlsx</v>
      </c>
      <c r="B1412" s="2">
        <v>1410</v>
      </c>
      <c r="C1412" t="s">
        <v>5</v>
      </c>
      <c r="D1412" t="s">
        <v>730</v>
      </c>
      <c r="E1412" t="s">
        <v>150</v>
      </c>
    </row>
    <row r="1413" spans="1:5" x14ac:dyDescent="0.25">
      <c r="A1413" s="2" t="str">
        <f>HYPERLINK("spreadsheet/1411.xlsx", "1411.xlsx")</f>
        <v>1411.xlsx</v>
      </c>
      <c r="B1413" s="2">
        <v>1411</v>
      </c>
      <c r="C1413" t="s">
        <v>10</v>
      </c>
      <c r="D1413" t="s">
        <v>730</v>
      </c>
      <c r="E1413" t="s">
        <v>150</v>
      </c>
    </row>
    <row r="1414" spans="1:5" x14ac:dyDescent="0.25">
      <c r="A1414" s="2" t="s">
        <v>731</v>
      </c>
      <c r="B1414" s="2">
        <v>1412</v>
      </c>
      <c r="C1414" t="s">
        <v>14</v>
      </c>
      <c r="D1414" t="s">
        <v>730</v>
      </c>
      <c r="E1414" t="s">
        <v>150</v>
      </c>
    </row>
    <row r="1415" spans="1:5" x14ac:dyDescent="0.25">
      <c r="A1415" s="2" t="str">
        <f>HYPERLINK("spreadsheet/1413.xlsx", "1413.xlsx")</f>
        <v>1413.xlsx</v>
      </c>
      <c r="B1415" s="2">
        <v>1413</v>
      </c>
      <c r="C1415" t="s">
        <v>15</v>
      </c>
      <c r="D1415" t="s">
        <v>730</v>
      </c>
      <c r="E1415" t="s">
        <v>150</v>
      </c>
    </row>
    <row r="1416" spans="1:5" x14ac:dyDescent="0.25">
      <c r="A1416" s="2" t="str">
        <f>HYPERLINK("spreadsheet/1414.xlsx", "1414.xlsx")</f>
        <v>1414.xlsx</v>
      </c>
      <c r="B1416" s="2">
        <v>1414</v>
      </c>
      <c r="C1416" t="s">
        <v>22</v>
      </c>
      <c r="D1416" t="s">
        <v>730</v>
      </c>
      <c r="E1416" t="s">
        <v>150</v>
      </c>
    </row>
    <row r="1417" spans="1:5" x14ac:dyDescent="0.25">
      <c r="A1417" s="2" t="str">
        <f>HYPERLINK("spreadsheet/1415.xlsx", "1415.xlsx")</f>
        <v>1415.xlsx</v>
      </c>
      <c r="B1417" s="2">
        <v>1415</v>
      </c>
      <c r="C1417" t="s">
        <v>24</v>
      </c>
      <c r="D1417" t="s">
        <v>730</v>
      </c>
      <c r="E1417" t="s">
        <v>150</v>
      </c>
    </row>
    <row r="1418" spans="1:5" x14ac:dyDescent="0.25">
      <c r="A1418" s="2" t="str">
        <f>HYPERLINK("spreadsheet/1416.xlsx", "1416.xlsx")</f>
        <v>1416.xlsx</v>
      </c>
      <c r="B1418" s="2">
        <v>1416</v>
      </c>
      <c r="C1418" t="s">
        <v>519</v>
      </c>
      <c r="D1418" t="s">
        <v>732</v>
      </c>
      <c r="E1418" t="s">
        <v>218</v>
      </c>
    </row>
    <row r="1419" spans="1:5" x14ac:dyDescent="0.25">
      <c r="A1419" s="2" t="str">
        <f>HYPERLINK("spreadsheet/1417.xlsx", "1417.xlsx")</f>
        <v>1417.xlsx</v>
      </c>
      <c r="B1419" s="2">
        <v>1417</v>
      </c>
      <c r="C1419" t="s">
        <v>10</v>
      </c>
      <c r="D1419" t="s">
        <v>732</v>
      </c>
      <c r="E1419" t="s">
        <v>218</v>
      </c>
    </row>
    <row r="1420" spans="1:5" x14ac:dyDescent="0.25">
      <c r="A1420" s="2" t="str">
        <f>HYPERLINK("spreadsheet/1418.xlsx", "1418.xlsx")</f>
        <v>1418.xlsx</v>
      </c>
      <c r="B1420" s="2">
        <v>1418</v>
      </c>
      <c r="C1420" t="s">
        <v>14</v>
      </c>
      <c r="D1420" t="s">
        <v>732</v>
      </c>
      <c r="E1420" t="s">
        <v>218</v>
      </c>
    </row>
    <row r="1421" spans="1:5" x14ac:dyDescent="0.25">
      <c r="A1421" s="2" t="str">
        <f>HYPERLINK("spreadsheet/1419.xlsx", "1419.xlsx")</f>
        <v>1419.xlsx</v>
      </c>
      <c r="B1421" s="2">
        <v>1419</v>
      </c>
      <c r="C1421" t="s">
        <v>15</v>
      </c>
      <c r="D1421" t="s">
        <v>732</v>
      </c>
      <c r="E1421" t="s">
        <v>218</v>
      </c>
    </row>
    <row r="1422" spans="1:5" x14ac:dyDescent="0.25">
      <c r="A1422" s="2" t="str">
        <f>HYPERLINK("spreadsheet/1420.xlsx", "1420.xlsx")</f>
        <v>1420.xlsx</v>
      </c>
      <c r="B1422" s="2">
        <v>1420</v>
      </c>
      <c r="C1422" t="s">
        <v>24</v>
      </c>
      <c r="D1422" t="s">
        <v>732</v>
      </c>
      <c r="E1422" t="s">
        <v>218</v>
      </c>
    </row>
    <row r="1423" spans="1:5" x14ac:dyDescent="0.25">
      <c r="A1423" s="2" t="str">
        <f>HYPERLINK("spreadsheet/1421.xlsx", "1421.xlsx")</f>
        <v>1421.xlsx</v>
      </c>
      <c r="B1423" s="2">
        <v>1421</v>
      </c>
      <c r="C1423" t="s">
        <v>5</v>
      </c>
      <c r="D1423" t="s">
        <v>733</v>
      </c>
      <c r="E1423" t="s">
        <v>71</v>
      </c>
    </row>
    <row r="1424" spans="1:5" x14ac:dyDescent="0.25">
      <c r="A1424" s="2" t="str">
        <f>HYPERLINK("spreadsheet/1422.xlsx", "1422.xlsx")</f>
        <v>1422.xlsx</v>
      </c>
      <c r="B1424" s="2">
        <v>1422</v>
      </c>
      <c r="C1424" t="s">
        <v>14</v>
      </c>
      <c r="D1424" t="s">
        <v>733</v>
      </c>
      <c r="E1424" t="s">
        <v>71</v>
      </c>
    </row>
    <row r="1425" spans="1:5" x14ac:dyDescent="0.25">
      <c r="A1425" s="2" t="s">
        <v>734</v>
      </c>
      <c r="B1425" s="2">
        <v>1423</v>
      </c>
      <c r="C1425" t="s">
        <v>15</v>
      </c>
      <c r="D1425" t="s">
        <v>733</v>
      </c>
      <c r="E1425" t="s">
        <v>71</v>
      </c>
    </row>
    <row r="1426" spans="1:5" x14ac:dyDescent="0.25">
      <c r="A1426" s="2" t="str">
        <f>HYPERLINK("spreadsheet/1424.xlsx", "1424.xlsx")</f>
        <v>1424.xlsx</v>
      </c>
      <c r="B1426" s="2">
        <v>1424</v>
      </c>
      <c r="C1426" t="s">
        <v>22</v>
      </c>
      <c r="D1426" t="s">
        <v>733</v>
      </c>
      <c r="E1426" t="s">
        <v>71</v>
      </c>
    </row>
    <row r="1427" spans="1:5" x14ac:dyDescent="0.25">
      <c r="A1427" s="2" t="str">
        <f>HYPERLINK("spreadsheet/1425.xlsx", "1425.xlsx")</f>
        <v>1425.xlsx</v>
      </c>
      <c r="B1427" s="2">
        <v>1425</v>
      </c>
      <c r="C1427" t="s">
        <v>24</v>
      </c>
      <c r="D1427" t="s">
        <v>733</v>
      </c>
      <c r="E1427" t="s">
        <v>71</v>
      </c>
    </row>
    <row r="1428" spans="1:5" x14ac:dyDescent="0.25">
      <c r="A1428" s="2" t="s">
        <v>735</v>
      </c>
      <c r="B1428" s="2">
        <v>1426</v>
      </c>
      <c r="C1428" t="s">
        <v>60</v>
      </c>
      <c r="D1428" t="s">
        <v>733</v>
      </c>
      <c r="E1428" t="s">
        <v>71</v>
      </c>
    </row>
    <row r="1429" spans="1:5" x14ac:dyDescent="0.25">
      <c r="A1429" s="2" t="str">
        <f>HYPERLINK("spreadsheet/1427.xlsx", "1427.xlsx")</f>
        <v>1427.xlsx</v>
      </c>
      <c r="B1429" s="2">
        <v>1427</v>
      </c>
      <c r="C1429" t="s">
        <v>5</v>
      </c>
      <c r="D1429" t="s">
        <v>736</v>
      </c>
      <c r="E1429" t="s">
        <v>154</v>
      </c>
    </row>
    <row r="1430" spans="1:5" x14ac:dyDescent="0.25">
      <c r="A1430" s="2" t="str">
        <f>HYPERLINK("spreadsheet/1428.xlsx", "1428.xlsx")</f>
        <v>1428.xlsx</v>
      </c>
      <c r="B1430" s="2">
        <v>1428</v>
      </c>
      <c r="C1430" t="s">
        <v>14</v>
      </c>
      <c r="D1430" t="s">
        <v>736</v>
      </c>
      <c r="E1430" t="s">
        <v>154</v>
      </c>
    </row>
    <row r="1431" spans="1:5" x14ac:dyDescent="0.25">
      <c r="A1431" s="2" t="s">
        <v>737</v>
      </c>
      <c r="B1431" s="2">
        <v>1429</v>
      </c>
      <c r="C1431" t="s">
        <v>5</v>
      </c>
      <c r="D1431" t="s">
        <v>738</v>
      </c>
      <c r="E1431" t="s">
        <v>134</v>
      </c>
    </row>
    <row r="1432" spans="1:5" x14ac:dyDescent="0.25">
      <c r="A1432" s="2" t="str">
        <f>HYPERLINK("spreadsheet/1430.xlsx", "1430.xlsx")</f>
        <v>1430.xlsx</v>
      </c>
      <c r="B1432" s="2">
        <v>1430</v>
      </c>
      <c r="C1432" t="s">
        <v>10</v>
      </c>
      <c r="D1432" t="s">
        <v>738</v>
      </c>
      <c r="E1432" t="s">
        <v>134</v>
      </c>
    </row>
    <row r="1433" spans="1:5" x14ac:dyDescent="0.25">
      <c r="A1433" s="2" t="s">
        <v>739</v>
      </c>
      <c r="B1433" s="2">
        <v>1431</v>
      </c>
      <c r="C1433" t="s">
        <v>14</v>
      </c>
      <c r="D1433" t="s">
        <v>738</v>
      </c>
      <c r="E1433" t="s">
        <v>134</v>
      </c>
    </row>
    <row r="1434" spans="1:5" x14ac:dyDescent="0.25">
      <c r="A1434" s="2" t="str">
        <f>HYPERLINK("spreadsheet/1432.xlsx", "1432.xlsx")</f>
        <v>1432.xlsx</v>
      </c>
      <c r="B1434" s="2">
        <v>1432</v>
      </c>
      <c r="C1434" t="s">
        <v>15</v>
      </c>
      <c r="D1434" t="s">
        <v>738</v>
      </c>
      <c r="E1434" t="s">
        <v>134</v>
      </c>
    </row>
    <row r="1435" spans="1:5" x14ac:dyDescent="0.25">
      <c r="A1435" s="2" t="s">
        <v>740</v>
      </c>
      <c r="B1435" s="2">
        <v>1433</v>
      </c>
      <c r="C1435" t="s">
        <v>22</v>
      </c>
      <c r="D1435" t="s">
        <v>738</v>
      </c>
      <c r="E1435" t="s">
        <v>134</v>
      </c>
    </row>
    <row r="1436" spans="1:5" x14ac:dyDescent="0.25">
      <c r="A1436" s="2" t="str">
        <f>HYPERLINK("spreadsheet/1434.xlsx", "1434.xlsx")</f>
        <v>1434.xlsx</v>
      </c>
      <c r="B1436" s="2">
        <v>1434</v>
      </c>
      <c r="C1436" t="s">
        <v>24</v>
      </c>
      <c r="D1436" t="s">
        <v>738</v>
      </c>
      <c r="E1436" t="s">
        <v>134</v>
      </c>
    </row>
    <row r="1437" spans="1:5" x14ac:dyDescent="0.25">
      <c r="A1437" s="2" t="s">
        <v>741</v>
      </c>
      <c r="B1437" s="2">
        <v>1435</v>
      </c>
      <c r="C1437" t="s">
        <v>60</v>
      </c>
      <c r="D1437" t="s">
        <v>738</v>
      </c>
      <c r="E1437" t="s">
        <v>134</v>
      </c>
    </row>
    <row r="1438" spans="1:5" x14ac:dyDescent="0.25">
      <c r="A1438" s="2" t="s">
        <v>742</v>
      </c>
      <c r="B1438" s="2">
        <v>1436</v>
      </c>
      <c r="C1438" t="s">
        <v>44</v>
      </c>
      <c r="D1438" t="s">
        <v>738</v>
      </c>
      <c r="E1438" t="s">
        <v>134</v>
      </c>
    </row>
    <row r="1439" spans="1:5" x14ac:dyDescent="0.25">
      <c r="A1439" s="2" t="s">
        <v>743</v>
      </c>
      <c r="B1439" s="2">
        <v>1437</v>
      </c>
      <c r="C1439" t="s">
        <v>45</v>
      </c>
      <c r="D1439" t="s">
        <v>738</v>
      </c>
      <c r="E1439" t="s">
        <v>134</v>
      </c>
    </row>
    <row r="1440" spans="1:5" x14ac:dyDescent="0.25">
      <c r="A1440" s="2" t="s">
        <v>744</v>
      </c>
      <c r="B1440" s="2">
        <v>1438</v>
      </c>
      <c r="C1440" t="s">
        <v>49</v>
      </c>
      <c r="D1440" t="s">
        <v>738</v>
      </c>
      <c r="E1440" t="s">
        <v>134</v>
      </c>
    </row>
    <row r="1441" spans="1:5" x14ac:dyDescent="0.25">
      <c r="A1441" s="2" t="s">
        <v>745</v>
      </c>
      <c r="B1441" s="2">
        <v>1439</v>
      </c>
      <c r="C1441" t="s">
        <v>50</v>
      </c>
      <c r="D1441" t="s">
        <v>738</v>
      </c>
      <c r="E1441" t="s">
        <v>134</v>
      </c>
    </row>
    <row r="1442" spans="1:5" x14ac:dyDescent="0.25">
      <c r="A1442" s="2" t="str">
        <f>HYPERLINK("spreadsheet/1440.xlsx", "1440.xlsx")</f>
        <v>1440.xlsx</v>
      </c>
      <c r="B1442" s="2">
        <v>1440</v>
      </c>
      <c r="C1442" t="s">
        <v>54</v>
      </c>
      <c r="D1442" t="s">
        <v>738</v>
      </c>
      <c r="E1442" t="s">
        <v>134</v>
      </c>
    </row>
    <row r="1443" spans="1:5" x14ac:dyDescent="0.25">
      <c r="A1443" s="2" t="s">
        <v>746</v>
      </c>
      <c r="B1443" s="2">
        <v>1441</v>
      </c>
      <c r="C1443" t="s">
        <v>55</v>
      </c>
      <c r="D1443" t="s">
        <v>738</v>
      </c>
      <c r="E1443" t="s">
        <v>134</v>
      </c>
    </row>
    <row r="1444" spans="1:5" x14ac:dyDescent="0.25">
      <c r="A1444" s="2" t="str">
        <f>HYPERLINK("spreadsheet/1442.xlsx", "1442.xlsx")</f>
        <v>1442.xlsx</v>
      </c>
      <c r="B1444" s="2">
        <v>1442</v>
      </c>
      <c r="C1444" t="s">
        <v>5</v>
      </c>
      <c r="D1444" t="s">
        <v>747</v>
      </c>
      <c r="E1444" t="s">
        <v>218</v>
      </c>
    </row>
    <row r="1445" spans="1:5" x14ac:dyDescent="0.25">
      <c r="A1445" s="2" t="str">
        <f>HYPERLINK("spreadsheet/1443.xlsx", "1443.xlsx")</f>
        <v>1443.xlsx</v>
      </c>
      <c r="B1445" s="2">
        <v>1443</v>
      </c>
      <c r="C1445" t="s">
        <v>5</v>
      </c>
      <c r="D1445" t="s">
        <v>748</v>
      </c>
      <c r="E1445" t="s">
        <v>115</v>
      </c>
    </row>
    <row r="1446" spans="1:5" x14ac:dyDescent="0.25">
      <c r="A1446" s="2" t="s">
        <v>749</v>
      </c>
      <c r="B1446" s="2">
        <v>1444</v>
      </c>
      <c r="C1446" t="s">
        <v>650</v>
      </c>
      <c r="D1446" t="s">
        <v>748</v>
      </c>
      <c r="E1446" t="s">
        <v>115</v>
      </c>
    </row>
    <row r="1447" spans="1:5" x14ac:dyDescent="0.25">
      <c r="A1447" s="2" t="str">
        <f>HYPERLINK("spreadsheet/1445.xlsx", "1445.xlsx")</f>
        <v>1445.xlsx</v>
      </c>
      <c r="B1447" s="2">
        <v>1445</v>
      </c>
      <c r="C1447" t="s">
        <v>10</v>
      </c>
      <c r="D1447" t="s">
        <v>748</v>
      </c>
      <c r="E1447" t="s">
        <v>115</v>
      </c>
    </row>
    <row r="1448" spans="1:5" x14ac:dyDescent="0.25">
      <c r="A1448" s="2" t="s">
        <v>750</v>
      </c>
      <c r="B1448" s="2">
        <v>1446</v>
      </c>
      <c r="C1448" t="s">
        <v>360</v>
      </c>
      <c r="D1448" t="s">
        <v>748</v>
      </c>
      <c r="E1448" t="s">
        <v>115</v>
      </c>
    </row>
    <row r="1449" spans="1:5" x14ac:dyDescent="0.25">
      <c r="A1449" s="2" t="str">
        <f>HYPERLINK("spreadsheet/1447.xlsx", "1447.xlsx")</f>
        <v>1447.xlsx</v>
      </c>
      <c r="B1449" s="2">
        <v>1447</v>
      </c>
      <c r="C1449" t="s">
        <v>14</v>
      </c>
      <c r="D1449" t="s">
        <v>748</v>
      </c>
      <c r="E1449" t="s">
        <v>115</v>
      </c>
    </row>
    <row r="1450" spans="1:5" x14ac:dyDescent="0.25">
      <c r="A1450" s="2" t="s">
        <v>751</v>
      </c>
      <c r="B1450" s="2">
        <v>1448</v>
      </c>
      <c r="C1450" t="s">
        <v>752</v>
      </c>
      <c r="D1450" t="s">
        <v>748</v>
      </c>
      <c r="E1450" t="s">
        <v>115</v>
      </c>
    </row>
    <row r="1451" spans="1:5" x14ac:dyDescent="0.25">
      <c r="A1451" s="2" t="str">
        <f>HYPERLINK("spreadsheet/1449.xlsx", "1449.xlsx")</f>
        <v>1449.xlsx</v>
      </c>
      <c r="B1451" s="2">
        <v>1449</v>
      </c>
      <c r="C1451" t="s">
        <v>15</v>
      </c>
      <c r="D1451" t="s">
        <v>748</v>
      </c>
      <c r="E1451" t="s">
        <v>115</v>
      </c>
    </row>
    <row r="1452" spans="1:5" x14ac:dyDescent="0.25">
      <c r="A1452" s="2" t="str">
        <f>HYPERLINK("spreadsheet/1450.xlsx", "1450.xlsx")</f>
        <v>1450.xlsx</v>
      </c>
      <c r="B1452" s="2">
        <v>1450</v>
      </c>
      <c r="C1452" t="s">
        <v>22</v>
      </c>
      <c r="D1452" t="s">
        <v>748</v>
      </c>
      <c r="E1452" t="s">
        <v>115</v>
      </c>
    </row>
    <row r="1453" spans="1:5" x14ac:dyDescent="0.25">
      <c r="A1453" s="2" t="str">
        <f>HYPERLINK("spreadsheet/1451.xlsx", "1451.xlsx")</f>
        <v>1451.xlsx</v>
      </c>
      <c r="B1453" s="2">
        <v>1451</v>
      </c>
      <c r="C1453" t="s">
        <v>5</v>
      </c>
      <c r="D1453" t="s">
        <v>753</v>
      </c>
      <c r="E1453" t="s">
        <v>134</v>
      </c>
    </row>
    <row r="1454" spans="1:5" x14ac:dyDescent="0.25">
      <c r="A1454" s="2" t="str">
        <f>HYPERLINK("spreadsheet/1452.xlsx", "1452.xlsx")</f>
        <v>1452.xlsx</v>
      </c>
      <c r="B1454" s="2">
        <v>1452</v>
      </c>
      <c r="C1454" t="s">
        <v>10</v>
      </c>
      <c r="D1454" t="s">
        <v>753</v>
      </c>
      <c r="E1454" t="s">
        <v>134</v>
      </c>
    </row>
    <row r="1455" spans="1:5" x14ac:dyDescent="0.25">
      <c r="A1455" s="2" t="str">
        <f>HYPERLINK("spreadsheet/1453.xlsx", "1453.xlsx")</f>
        <v>1453.xlsx</v>
      </c>
      <c r="B1455" s="2">
        <v>1453</v>
      </c>
      <c r="C1455" t="s">
        <v>14</v>
      </c>
      <c r="D1455" t="s">
        <v>753</v>
      </c>
      <c r="E1455" t="s">
        <v>134</v>
      </c>
    </row>
    <row r="1456" spans="1:5" x14ac:dyDescent="0.25">
      <c r="A1456" s="2" t="s">
        <v>754</v>
      </c>
      <c r="B1456" s="2">
        <v>1454</v>
      </c>
      <c r="C1456" t="s">
        <v>5</v>
      </c>
      <c r="D1456" t="s">
        <v>755</v>
      </c>
      <c r="E1456" t="s">
        <v>150</v>
      </c>
    </row>
    <row r="1457" spans="1:5" x14ac:dyDescent="0.25">
      <c r="A1457" s="2" t="str">
        <f>HYPERLINK("spreadsheet/1455.xlsx", "1455.xlsx")</f>
        <v>1455.xlsx</v>
      </c>
      <c r="B1457" s="2">
        <v>1455</v>
      </c>
      <c r="C1457" t="s">
        <v>10</v>
      </c>
      <c r="D1457" t="s">
        <v>755</v>
      </c>
      <c r="E1457" t="s">
        <v>150</v>
      </c>
    </row>
    <row r="1458" spans="1:5" x14ac:dyDescent="0.25">
      <c r="A1458" s="2" t="s">
        <v>756</v>
      </c>
      <c r="B1458" s="2">
        <v>1456</v>
      </c>
      <c r="C1458" t="s">
        <v>14</v>
      </c>
      <c r="D1458" t="s">
        <v>755</v>
      </c>
      <c r="E1458" t="s">
        <v>150</v>
      </c>
    </row>
    <row r="1459" spans="1:5" x14ac:dyDescent="0.25">
      <c r="A1459" s="2" t="s">
        <v>757</v>
      </c>
      <c r="B1459" s="2">
        <v>1457</v>
      </c>
      <c r="C1459" t="s">
        <v>15</v>
      </c>
      <c r="D1459" t="s">
        <v>755</v>
      </c>
      <c r="E1459" t="s">
        <v>150</v>
      </c>
    </row>
    <row r="1460" spans="1:5" x14ac:dyDescent="0.25">
      <c r="A1460" s="2" t="str">
        <f>HYPERLINK("spreadsheet/1458.xlsx", "1458.xlsx")</f>
        <v>1458.xlsx</v>
      </c>
      <c r="B1460" s="2">
        <v>1458</v>
      </c>
      <c r="C1460" t="s">
        <v>22</v>
      </c>
      <c r="D1460" t="s">
        <v>755</v>
      </c>
      <c r="E1460" t="s">
        <v>150</v>
      </c>
    </row>
    <row r="1461" spans="1:5" x14ac:dyDescent="0.25">
      <c r="A1461" s="2" t="s">
        <v>758</v>
      </c>
      <c r="B1461" s="2">
        <v>1459</v>
      </c>
      <c r="C1461" t="s">
        <v>24</v>
      </c>
      <c r="D1461" t="s">
        <v>755</v>
      </c>
      <c r="E1461" t="s">
        <v>150</v>
      </c>
    </row>
    <row r="1462" spans="1:5" x14ac:dyDescent="0.25">
      <c r="A1462" s="2" t="str">
        <f>HYPERLINK("spreadsheet/1460.xlsx", "1460.xlsx")</f>
        <v>1460.xlsx</v>
      </c>
      <c r="B1462" s="2">
        <v>1460</v>
      </c>
      <c r="C1462" t="s">
        <v>10</v>
      </c>
      <c r="D1462" t="s">
        <v>759</v>
      </c>
      <c r="E1462" t="s">
        <v>115</v>
      </c>
    </row>
    <row r="1463" spans="1:5" x14ac:dyDescent="0.25">
      <c r="A1463" s="2" t="str">
        <f>HYPERLINK("spreadsheet/1461.xlsx", "1461.xlsx")</f>
        <v>1461.xlsx</v>
      </c>
      <c r="B1463" s="2">
        <v>1461</v>
      </c>
      <c r="C1463" t="s">
        <v>14</v>
      </c>
      <c r="D1463" t="s">
        <v>759</v>
      </c>
      <c r="E1463" t="s">
        <v>115</v>
      </c>
    </row>
    <row r="1464" spans="1:5" x14ac:dyDescent="0.25">
      <c r="A1464" s="2" t="str">
        <f>HYPERLINK("spreadsheet/1462.xlsx", "1462.xlsx")</f>
        <v>1462.xlsx</v>
      </c>
      <c r="B1464" s="2">
        <v>1462</v>
      </c>
      <c r="C1464" t="s">
        <v>15</v>
      </c>
      <c r="D1464" t="s">
        <v>759</v>
      </c>
      <c r="E1464" t="s">
        <v>115</v>
      </c>
    </row>
    <row r="1465" spans="1:5" x14ac:dyDescent="0.25">
      <c r="A1465" s="2" t="str">
        <f>HYPERLINK("spreadsheet/1463.xlsx", "1463.xlsx")</f>
        <v>1463.xlsx</v>
      </c>
      <c r="B1465" s="2">
        <v>1463</v>
      </c>
      <c r="C1465" t="s">
        <v>22</v>
      </c>
      <c r="D1465" t="s">
        <v>759</v>
      </c>
      <c r="E1465" t="s">
        <v>115</v>
      </c>
    </row>
    <row r="1466" spans="1:5" x14ac:dyDescent="0.25">
      <c r="A1466" s="2" t="str">
        <f>HYPERLINK("spreadsheet/1464.xlsx", "1464.xlsx")</f>
        <v>1464.xlsx</v>
      </c>
      <c r="B1466" s="2">
        <v>1464</v>
      </c>
      <c r="C1466" t="s">
        <v>5</v>
      </c>
      <c r="D1466" t="s">
        <v>760</v>
      </c>
      <c r="E1466" t="s">
        <v>154</v>
      </c>
    </row>
    <row r="1467" spans="1:5" x14ac:dyDescent="0.25">
      <c r="A1467" s="2" t="str">
        <f>HYPERLINK("spreadsheet/1465.xlsx", "1465.xlsx")</f>
        <v>1465.xlsx</v>
      </c>
      <c r="B1467" s="2">
        <v>1465</v>
      </c>
      <c r="C1467" t="s">
        <v>10</v>
      </c>
      <c r="D1467" t="s">
        <v>760</v>
      </c>
      <c r="E1467" t="s">
        <v>154</v>
      </c>
    </row>
    <row r="1468" spans="1:5" x14ac:dyDescent="0.25">
      <c r="A1468" s="2" t="str">
        <f>HYPERLINK("spreadsheet/1466.xlsx", "1466.xlsx")</f>
        <v>1466.xlsx</v>
      </c>
      <c r="B1468" s="2">
        <v>1466</v>
      </c>
      <c r="C1468" t="s">
        <v>14</v>
      </c>
      <c r="D1468" t="s">
        <v>760</v>
      </c>
      <c r="E1468" t="s">
        <v>154</v>
      </c>
    </row>
    <row r="1469" spans="1:5" x14ac:dyDescent="0.25">
      <c r="A1469" s="2" t="str">
        <f>HYPERLINK("spreadsheet/1467.xlsx", "1467.xlsx")</f>
        <v>1467.xlsx</v>
      </c>
      <c r="B1469" s="2">
        <v>1467</v>
      </c>
      <c r="C1469" t="s">
        <v>24</v>
      </c>
      <c r="D1469" t="s">
        <v>761</v>
      </c>
      <c r="E1469" t="s">
        <v>120</v>
      </c>
    </row>
    <row r="1470" spans="1:5" x14ac:dyDescent="0.25">
      <c r="A1470" s="2" t="str">
        <f>HYPERLINK("spreadsheet/1468.xlsx", "1468.xlsx")</f>
        <v>1468.xlsx</v>
      </c>
      <c r="B1470" s="2">
        <v>1468</v>
      </c>
      <c r="C1470" t="s">
        <v>46</v>
      </c>
      <c r="D1470" t="s">
        <v>761</v>
      </c>
      <c r="E1470" t="s">
        <v>120</v>
      </c>
    </row>
    <row r="1471" spans="1:5" x14ac:dyDescent="0.25">
      <c r="A1471" s="2" t="str">
        <f>HYPERLINK("spreadsheet/1469.xlsx", "1469.xlsx")</f>
        <v>1469.xlsx</v>
      </c>
      <c r="B1471" s="2">
        <v>1469</v>
      </c>
      <c r="C1471" t="s">
        <v>47</v>
      </c>
      <c r="D1471" t="s">
        <v>761</v>
      </c>
      <c r="E1471" t="s">
        <v>120</v>
      </c>
    </row>
    <row r="1472" spans="1:5" x14ac:dyDescent="0.25">
      <c r="A1472" s="2" t="str">
        <f>HYPERLINK("spreadsheet/1470.xlsx", "1470.xlsx")</f>
        <v>1470.xlsx</v>
      </c>
      <c r="B1472" s="2">
        <v>1470</v>
      </c>
      <c r="C1472" t="s">
        <v>53</v>
      </c>
      <c r="D1472" t="s">
        <v>761</v>
      </c>
      <c r="E1472" t="s">
        <v>120</v>
      </c>
    </row>
    <row r="1473" spans="1:5" x14ac:dyDescent="0.25">
      <c r="A1473" s="2" t="str">
        <f>HYPERLINK("spreadsheet/1471.xlsx", "1471.xlsx")</f>
        <v>1471.xlsx</v>
      </c>
      <c r="B1473" s="2">
        <v>1471</v>
      </c>
      <c r="C1473" t="s">
        <v>5</v>
      </c>
      <c r="D1473" t="s">
        <v>762</v>
      </c>
      <c r="E1473" t="s">
        <v>164</v>
      </c>
    </row>
    <row r="1474" spans="1:5" x14ac:dyDescent="0.25">
      <c r="A1474" s="2" t="str">
        <f>HYPERLINK("spreadsheet/1472.xlsx", "1472.xlsx")</f>
        <v>1472.xlsx</v>
      </c>
      <c r="B1474" s="2">
        <v>1472</v>
      </c>
      <c r="C1474" t="s">
        <v>10</v>
      </c>
      <c r="D1474" t="s">
        <v>762</v>
      </c>
      <c r="E1474" t="s">
        <v>164</v>
      </c>
    </row>
    <row r="1475" spans="1:5" x14ac:dyDescent="0.25">
      <c r="A1475" s="2" t="str">
        <f>HYPERLINK("spreadsheet/1473.xlsx", "1473.xlsx")</f>
        <v>1473.xlsx</v>
      </c>
      <c r="B1475" s="2">
        <v>1473</v>
      </c>
      <c r="C1475" t="s">
        <v>14</v>
      </c>
      <c r="D1475" t="s">
        <v>762</v>
      </c>
      <c r="E1475" t="s">
        <v>164</v>
      </c>
    </row>
    <row r="1476" spans="1:5" x14ac:dyDescent="0.25">
      <c r="A1476" s="2" t="str">
        <f>HYPERLINK("spreadsheet/1474.xlsx", "1474.xlsx")</f>
        <v>1474.xlsx</v>
      </c>
      <c r="B1476" s="2">
        <v>1474</v>
      </c>
      <c r="C1476" t="s">
        <v>5</v>
      </c>
      <c r="D1476" t="s">
        <v>763</v>
      </c>
      <c r="E1476" t="s">
        <v>690</v>
      </c>
    </row>
    <row r="1477" spans="1:5" x14ac:dyDescent="0.25">
      <c r="A1477" s="2" t="s">
        <v>764</v>
      </c>
      <c r="B1477" s="2">
        <v>1475</v>
      </c>
      <c r="C1477" t="s">
        <v>10</v>
      </c>
      <c r="D1477" t="s">
        <v>763</v>
      </c>
      <c r="E1477" t="s">
        <v>690</v>
      </c>
    </row>
    <row r="1478" spans="1:5" x14ac:dyDescent="0.25">
      <c r="A1478" s="2" t="str">
        <f>HYPERLINK("spreadsheet/1476.xlsx", "1476.xlsx")</f>
        <v>1476.xlsx</v>
      </c>
      <c r="B1478" s="2">
        <v>1476</v>
      </c>
      <c r="C1478" t="s">
        <v>14</v>
      </c>
      <c r="D1478" t="s">
        <v>763</v>
      </c>
      <c r="E1478" t="s">
        <v>690</v>
      </c>
    </row>
    <row r="1479" spans="1:5" x14ac:dyDescent="0.25">
      <c r="A1479" s="2" t="str">
        <f>HYPERLINK("spreadsheet/1477.xlsx", "1477.xlsx")</f>
        <v>1477.xlsx</v>
      </c>
      <c r="B1479" s="2">
        <v>1477</v>
      </c>
      <c r="C1479" t="s">
        <v>5</v>
      </c>
      <c r="D1479" t="s">
        <v>765</v>
      </c>
      <c r="E1479" t="s">
        <v>154</v>
      </c>
    </row>
    <row r="1480" spans="1:5" x14ac:dyDescent="0.25">
      <c r="A1480" s="2" t="str">
        <f>HYPERLINK("spreadsheet/1478.xlsx", "1478.xlsx")</f>
        <v>1478.xlsx</v>
      </c>
      <c r="B1480" s="2">
        <v>1478</v>
      </c>
      <c r="C1480" t="s">
        <v>10</v>
      </c>
      <c r="D1480" t="s">
        <v>765</v>
      </c>
      <c r="E1480" t="s">
        <v>154</v>
      </c>
    </row>
    <row r="1481" spans="1:5" x14ac:dyDescent="0.25">
      <c r="A1481" s="2" t="str">
        <f>HYPERLINK("spreadsheet/1479.xlsx", "1479.xlsx")</f>
        <v>1479.xlsx</v>
      </c>
      <c r="B1481" s="2">
        <v>1479</v>
      </c>
      <c r="C1481" t="s">
        <v>5</v>
      </c>
      <c r="D1481" t="s">
        <v>766</v>
      </c>
      <c r="E1481" t="s">
        <v>154</v>
      </c>
    </row>
    <row r="1482" spans="1:5" x14ac:dyDescent="0.25">
      <c r="A1482" s="2" t="str">
        <f>HYPERLINK("spreadsheet/1480.xlsx", "1480.xlsx")</f>
        <v>1480.xlsx</v>
      </c>
      <c r="B1482" s="2">
        <v>1480</v>
      </c>
      <c r="C1482" t="s">
        <v>5</v>
      </c>
      <c r="D1482" t="s">
        <v>767</v>
      </c>
      <c r="E1482" t="s">
        <v>150</v>
      </c>
    </row>
    <row r="1483" spans="1:5" x14ac:dyDescent="0.25">
      <c r="A1483" s="2" t="s">
        <v>768</v>
      </c>
      <c r="B1483" s="2">
        <v>1481</v>
      </c>
      <c r="C1483" t="s">
        <v>10</v>
      </c>
      <c r="D1483" t="s">
        <v>767</v>
      </c>
      <c r="E1483" t="s">
        <v>150</v>
      </c>
    </row>
    <row r="1484" spans="1:5" x14ac:dyDescent="0.25">
      <c r="A1484" s="2" t="s">
        <v>769</v>
      </c>
      <c r="B1484" s="2">
        <v>1482</v>
      </c>
      <c r="C1484" t="s">
        <v>14</v>
      </c>
      <c r="D1484" t="s">
        <v>767</v>
      </c>
      <c r="E1484" t="s">
        <v>150</v>
      </c>
    </row>
    <row r="1485" spans="1:5" x14ac:dyDescent="0.25">
      <c r="A1485" s="2" t="str">
        <f>HYPERLINK("spreadsheet/1483.xlsx", "1483.xlsx")</f>
        <v>1483.xlsx</v>
      </c>
      <c r="B1485" s="2">
        <v>1483</v>
      </c>
      <c r="C1485" t="s">
        <v>15</v>
      </c>
      <c r="D1485" t="s">
        <v>767</v>
      </c>
      <c r="E1485" t="s">
        <v>150</v>
      </c>
    </row>
    <row r="1486" spans="1:5" x14ac:dyDescent="0.25">
      <c r="A1486" s="2" t="s">
        <v>770</v>
      </c>
      <c r="B1486" s="2">
        <v>1484</v>
      </c>
      <c r="C1486" t="s">
        <v>22</v>
      </c>
      <c r="D1486" t="s">
        <v>767</v>
      </c>
      <c r="E1486" t="s">
        <v>150</v>
      </c>
    </row>
    <row r="1487" spans="1:5" x14ac:dyDescent="0.25">
      <c r="A1487" s="2" t="s">
        <v>771</v>
      </c>
      <c r="B1487" s="2">
        <v>1485</v>
      </c>
      <c r="C1487" t="s">
        <v>24</v>
      </c>
      <c r="D1487" t="s">
        <v>767</v>
      </c>
      <c r="E1487" t="s">
        <v>150</v>
      </c>
    </row>
    <row r="1488" spans="1:5" x14ac:dyDescent="0.25">
      <c r="A1488" s="2" t="str">
        <f>HYPERLINK("spreadsheet/1486.xlsx", "1486.xlsx")</f>
        <v>1486.xlsx</v>
      </c>
      <c r="B1488" s="2">
        <v>1486</v>
      </c>
      <c r="C1488" t="s">
        <v>60</v>
      </c>
      <c r="D1488" t="s">
        <v>767</v>
      </c>
      <c r="E1488" t="s">
        <v>150</v>
      </c>
    </row>
    <row r="1489" spans="1:5" x14ac:dyDescent="0.25">
      <c r="A1489" s="2" t="str">
        <f>HYPERLINK("spreadsheet/1487.xlsx", "1487.xlsx")</f>
        <v>1487.xlsx</v>
      </c>
      <c r="B1489" s="2">
        <v>1487</v>
      </c>
      <c r="C1489" t="s">
        <v>5</v>
      </c>
      <c r="D1489" t="s">
        <v>772</v>
      </c>
      <c r="E1489" t="s">
        <v>150</v>
      </c>
    </row>
    <row r="1490" spans="1:5" x14ac:dyDescent="0.25">
      <c r="A1490" s="2" t="str">
        <f>HYPERLINK("spreadsheet/1488.xlsx", "1488.xlsx")</f>
        <v>1488.xlsx</v>
      </c>
      <c r="B1490" s="2">
        <v>1488</v>
      </c>
      <c r="C1490" t="s">
        <v>5</v>
      </c>
      <c r="D1490" t="s">
        <v>773</v>
      </c>
      <c r="E1490" t="s">
        <v>115</v>
      </c>
    </row>
    <row r="1491" spans="1:5" x14ac:dyDescent="0.25">
      <c r="A1491" s="2" t="str">
        <f>HYPERLINK("spreadsheet/1489.xlsx", "1489.xlsx")</f>
        <v>1489.xlsx</v>
      </c>
      <c r="B1491" s="2">
        <v>1489</v>
      </c>
      <c r="C1491" t="s">
        <v>14</v>
      </c>
      <c r="D1491" t="s">
        <v>773</v>
      </c>
      <c r="E1491" t="s">
        <v>115</v>
      </c>
    </row>
    <row r="1492" spans="1:5" x14ac:dyDescent="0.25">
      <c r="A1492" s="2" t="str">
        <f>HYPERLINK("spreadsheet/1490.xlsx", "1490.xlsx")</f>
        <v>1490.xlsx</v>
      </c>
      <c r="B1492" s="2">
        <v>1490</v>
      </c>
      <c r="C1492" t="s">
        <v>5</v>
      </c>
      <c r="D1492" t="s">
        <v>774</v>
      </c>
      <c r="E1492" t="s">
        <v>150</v>
      </c>
    </row>
    <row r="1493" spans="1:5" x14ac:dyDescent="0.25">
      <c r="A1493" s="2" t="s">
        <v>775</v>
      </c>
      <c r="B1493" s="2">
        <v>1491</v>
      </c>
      <c r="C1493" t="s">
        <v>10</v>
      </c>
      <c r="D1493" t="s">
        <v>774</v>
      </c>
      <c r="E1493" t="s">
        <v>150</v>
      </c>
    </row>
    <row r="1494" spans="1:5" x14ac:dyDescent="0.25">
      <c r="A1494" s="2" t="s">
        <v>776</v>
      </c>
      <c r="B1494" s="2">
        <v>1492</v>
      </c>
      <c r="C1494" t="s">
        <v>22</v>
      </c>
      <c r="D1494" t="s">
        <v>774</v>
      </c>
      <c r="E1494" t="s">
        <v>150</v>
      </c>
    </row>
    <row r="1495" spans="1:5" x14ac:dyDescent="0.25">
      <c r="A1495" s="2" t="str">
        <f>HYPERLINK("spreadsheet/1493.xlsx", "1493.xlsx")</f>
        <v>1493.xlsx</v>
      </c>
      <c r="B1495" s="2">
        <v>1493</v>
      </c>
      <c r="C1495" t="s">
        <v>10</v>
      </c>
      <c r="D1495" t="s">
        <v>777</v>
      </c>
      <c r="E1495" t="s">
        <v>164</v>
      </c>
    </row>
    <row r="1496" spans="1:5" x14ac:dyDescent="0.25">
      <c r="A1496" s="2" t="str">
        <f>HYPERLINK("spreadsheet/1494.xlsx", "1494.xlsx")</f>
        <v>1494.xlsx</v>
      </c>
      <c r="B1496" s="2">
        <v>1494</v>
      </c>
      <c r="C1496" t="s">
        <v>14</v>
      </c>
      <c r="D1496" t="s">
        <v>777</v>
      </c>
      <c r="E1496" t="s">
        <v>164</v>
      </c>
    </row>
    <row r="1497" spans="1:5" x14ac:dyDescent="0.25">
      <c r="A1497" s="2" t="str">
        <f>HYPERLINK("spreadsheet/1495.xlsx", "1495.xlsx")</f>
        <v>1495.xlsx</v>
      </c>
      <c r="B1497" s="2">
        <v>1495</v>
      </c>
      <c r="C1497" t="s">
        <v>15</v>
      </c>
      <c r="D1497" t="s">
        <v>777</v>
      </c>
      <c r="E1497" t="s">
        <v>164</v>
      </c>
    </row>
    <row r="1498" spans="1:5" x14ac:dyDescent="0.25">
      <c r="A1498" s="2" t="str">
        <f>HYPERLINK("spreadsheet/1496.xlsx", "1496.xlsx")</f>
        <v>1496.xlsx</v>
      </c>
      <c r="B1498" s="2">
        <v>1496</v>
      </c>
      <c r="C1498" t="s">
        <v>22</v>
      </c>
      <c r="D1498" t="s">
        <v>777</v>
      </c>
      <c r="E1498" t="s">
        <v>164</v>
      </c>
    </row>
    <row r="1499" spans="1:5" x14ac:dyDescent="0.25">
      <c r="A1499" s="2" t="str">
        <f>HYPERLINK("spreadsheet/1497.xlsx", "1497.xlsx")</f>
        <v>1497.xlsx</v>
      </c>
      <c r="B1499" s="2">
        <v>1497</v>
      </c>
      <c r="C1499" t="s">
        <v>24</v>
      </c>
      <c r="D1499" t="s">
        <v>777</v>
      </c>
      <c r="E1499" t="s">
        <v>164</v>
      </c>
    </row>
    <row r="1500" spans="1:5" x14ac:dyDescent="0.25">
      <c r="A1500" s="2" t="str">
        <f>HYPERLINK("spreadsheet/1498.xlsx", "1498.xlsx")</f>
        <v>1498.xlsx</v>
      </c>
      <c r="B1500" s="2">
        <v>1498</v>
      </c>
      <c r="C1500" t="s">
        <v>5</v>
      </c>
      <c r="D1500" t="s">
        <v>778</v>
      </c>
      <c r="E1500" t="s">
        <v>115</v>
      </c>
    </row>
    <row r="1501" spans="1:5" x14ac:dyDescent="0.25">
      <c r="A1501" s="2" t="str">
        <f>HYPERLINK("spreadsheet/1499.xlsx", "1499.xlsx")</f>
        <v>1499.xlsx</v>
      </c>
      <c r="B1501" s="2">
        <v>1499</v>
      </c>
      <c r="C1501" t="s">
        <v>14</v>
      </c>
      <c r="D1501" t="s">
        <v>778</v>
      </c>
      <c r="E1501" t="s">
        <v>115</v>
      </c>
    </row>
    <row r="1502" spans="1:5" x14ac:dyDescent="0.25">
      <c r="A1502" s="2" t="str">
        <f>HYPERLINK("spreadsheet/1500.xlsx", "1500.xlsx")</f>
        <v>1500.xlsx</v>
      </c>
      <c r="B1502" s="2">
        <v>1500</v>
      </c>
      <c r="C1502" t="s">
        <v>15</v>
      </c>
      <c r="D1502" t="s">
        <v>778</v>
      </c>
      <c r="E1502" t="s">
        <v>115</v>
      </c>
    </row>
    <row r="1503" spans="1:5" x14ac:dyDescent="0.25">
      <c r="A1503" s="2" t="s">
        <v>779</v>
      </c>
      <c r="B1503" s="2">
        <v>1501</v>
      </c>
      <c r="C1503" t="s">
        <v>5</v>
      </c>
      <c r="D1503" t="s">
        <v>780</v>
      </c>
      <c r="E1503" t="s">
        <v>115</v>
      </c>
    </row>
    <row r="1504" spans="1:5" x14ac:dyDescent="0.25">
      <c r="A1504" s="2" t="str">
        <f>HYPERLINK("spreadsheet/1502.xlsx", "1502.xlsx")</f>
        <v>1502.xlsx</v>
      </c>
      <c r="B1504" s="2">
        <v>1502</v>
      </c>
      <c r="C1504" t="s">
        <v>10</v>
      </c>
      <c r="D1504" t="s">
        <v>780</v>
      </c>
      <c r="E1504" t="s">
        <v>115</v>
      </c>
    </row>
    <row r="1505" spans="1:5" x14ac:dyDescent="0.25">
      <c r="A1505" s="2" t="str">
        <f>HYPERLINK("spreadsheet/1503.xlsx", "1503.xlsx")</f>
        <v>1503.xlsx</v>
      </c>
      <c r="B1505" s="2">
        <v>1503</v>
      </c>
      <c r="C1505" t="s">
        <v>14</v>
      </c>
      <c r="D1505" t="s">
        <v>780</v>
      </c>
      <c r="E1505" t="s">
        <v>115</v>
      </c>
    </row>
    <row r="1506" spans="1:5" x14ac:dyDescent="0.25">
      <c r="A1506" s="2" t="str">
        <f>HYPERLINK("spreadsheet/1504.xlsx", "1504.xlsx")</f>
        <v>1504.xlsx</v>
      </c>
      <c r="B1506" s="2">
        <v>1504</v>
      </c>
      <c r="C1506" t="s">
        <v>14</v>
      </c>
      <c r="D1506" t="s">
        <v>781</v>
      </c>
      <c r="E1506" t="s">
        <v>150</v>
      </c>
    </row>
    <row r="1507" spans="1:5" x14ac:dyDescent="0.25">
      <c r="A1507" s="2" t="str">
        <f>HYPERLINK("spreadsheet/1505.xlsx", "1505.xlsx")</f>
        <v>1505.xlsx</v>
      </c>
      <c r="B1507" s="2">
        <v>1505</v>
      </c>
      <c r="C1507" t="s">
        <v>15</v>
      </c>
      <c r="D1507" t="s">
        <v>781</v>
      </c>
      <c r="E1507" t="s">
        <v>150</v>
      </c>
    </row>
    <row r="1508" spans="1:5" x14ac:dyDescent="0.25">
      <c r="A1508" s="2" t="str">
        <f>HYPERLINK("spreadsheet/1506.xlsx", "1506.xlsx")</f>
        <v>1506.xlsx</v>
      </c>
      <c r="B1508" s="2">
        <v>1506</v>
      </c>
      <c r="C1508" t="s">
        <v>22</v>
      </c>
      <c r="D1508" t="s">
        <v>781</v>
      </c>
      <c r="E1508" t="s">
        <v>150</v>
      </c>
    </row>
    <row r="1509" spans="1:5" x14ac:dyDescent="0.25">
      <c r="A1509" s="2" t="str">
        <f>HYPERLINK("spreadsheet/1507.xlsx", "1507.xlsx")</f>
        <v>1507.xlsx</v>
      </c>
      <c r="B1509" s="2">
        <v>1507</v>
      </c>
      <c r="C1509" t="s">
        <v>24</v>
      </c>
      <c r="D1509" t="s">
        <v>781</v>
      </c>
      <c r="E1509" t="s">
        <v>150</v>
      </c>
    </row>
    <row r="1510" spans="1:5" x14ac:dyDescent="0.25">
      <c r="A1510" s="2" t="str">
        <f>HYPERLINK("spreadsheet/1508.xlsx", "1508.xlsx")</f>
        <v>1508.xlsx</v>
      </c>
      <c r="B1510" s="2">
        <v>1508</v>
      </c>
      <c r="C1510" t="s">
        <v>60</v>
      </c>
      <c r="D1510" t="s">
        <v>781</v>
      </c>
      <c r="E1510" t="s">
        <v>150</v>
      </c>
    </row>
    <row r="1511" spans="1:5" x14ac:dyDescent="0.25">
      <c r="A1511" s="2" t="str">
        <f>HYPERLINK("spreadsheet/1509.xlsx", "1509.xlsx")</f>
        <v>1509.xlsx</v>
      </c>
      <c r="B1511" s="2">
        <v>1509</v>
      </c>
      <c r="C1511" t="s">
        <v>44</v>
      </c>
      <c r="D1511" t="s">
        <v>781</v>
      </c>
      <c r="E1511" t="s">
        <v>150</v>
      </c>
    </row>
    <row r="1512" spans="1:5" x14ac:dyDescent="0.25">
      <c r="A1512" s="2" t="str">
        <f>HYPERLINK("spreadsheet/1510.xlsx", "1510.xlsx")</f>
        <v>1510.xlsx</v>
      </c>
      <c r="B1512" s="2">
        <v>1510</v>
      </c>
      <c r="C1512" t="s">
        <v>45</v>
      </c>
      <c r="D1512" t="s">
        <v>781</v>
      </c>
      <c r="E1512" t="s">
        <v>150</v>
      </c>
    </row>
    <row r="1513" spans="1:5" x14ac:dyDescent="0.25">
      <c r="A1513" s="2" t="str">
        <f>HYPERLINK("spreadsheet/1511.xlsx", "1511.xlsx")</f>
        <v>1511.xlsx</v>
      </c>
      <c r="B1513" s="2">
        <v>1511</v>
      </c>
      <c r="C1513" t="s">
        <v>5</v>
      </c>
      <c r="D1513" t="s">
        <v>782</v>
      </c>
      <c r="E1513" t="s">
        <v>218</v>
      </c>
    </row>
    <row r="1514" spans="1:5" x14ac:dyDescent="0.25">
      <c r="A1514" s="2" t="str">
        <f>HYPERLINK("spreadsheet/1512.xlsx", "1512.xlsx")</f>
        <v>1512.xlsx</v>
      </c>
      <c r="B1514" s="2">
        <v>1512</v>
      </c>
      <c r="C1514" t="s">
        <v>10</v>
      </c>
      <c r="D1514" t="s">
        <v>782</v>
      </c>
      <c r="E1514" t="s">
        <v>218</v>
      </c>
    </row>
    <row r="1515" spans="1:5" x14ac:dyDescent="0.25">
      <c r="A1515" s="2" t="str">
        <f>HYPERLINK("spreadsheet/1513.xlsx", "1513.xlsx")</f>
        <v>1513.xlsx</v>
      </c>
      <c r="B1515" s="2">
        <v>1513</v>
      </c>
      <c r="C1515" t="s">
        <v>14</v>
      </c>
      <c r="D1515" t="s">
        <v>782</v>
      </c>
      <c r="E1515" t="s">
        <v>218</v>
      </c>
    </row>
    <row r="1516" spans="1:5" x14ac:dyDescent="0.25">
      <c r="A1516" s="2" t="str">
        <f>HYPERLINK("spreadsheet/1514.xlsx", "1514.xlsx")</f>
        <v>1514.xlsx</v>
      </c>
      <c r="B1516" s="2">
        <v>1514</v>
      </c>
      <c r="C1516" t="s">
        <v>15</v>
      </c>
      <c r="D1516" t="s">
        <v>782</v>
      </c>
      <c r="E1516" t="s">
        <v>218</v>
      </c>
    </row>
    <row r="1517" spans="1:5" x14ac:dyDescent="0.25">
      <c r="A1517" s="2" t="str">
        <f>HYPERLINK("spreadsheet/1515.xlsx", "1515.xlsx")</f>
        <v>1515.xlsx</v>
      </c>
      <c r="B1517" s="2">
        <v>1515</v>
      </c>
      <c r="C1517" t="s">
        <v>22</v>
      </c>
      <c r="D1517" t="s">
        <v>782</v>
      </c>
      <c r="E1517" t="s">
        <v>218</v>
      </c>
    </row>
    <row r="1518" spans="1:5" x14ac:dyDescent="0.25">
      <c r="A1518" s="2" t="str">
        <f>HYPERLINK("spreadsheet/1516.xlsx", "1516.xlsx")</f>
        <v>1516.xlsx</v>
      </c>
      <c r="B1518" s="2">
        <v>1516</v>
      </c>
      <c r="C1518" t="s">
        <v>24</v>
      </c>
      <c r="D1518" t="s">
        <v>782</v>
      </c>
      <c r="E1518" t="s">
        <v>218</v>
      </c>
    </row>
    <row r="1519" spans="1:5" x14ac:dyDescent="0.25">
      <c r="A1519" s="2" t="str">
        <f>HYPERLINK("spreadsheet/1517.xlsx", "1517.xlsx")</f>
        <v>1517.xlsx</v>
      </c>
      <c r="B1519" s="2">
        <v>1517</v>
      </c>
      <c r="C1519" t="s">
        <v>5</v>
      </c>
      <c r="D1519" t="s">
        <v>783</v>
      </c>
      <c r="E1519" t="s">
        <v>154</v>
      </c>
    </row>
    <row r="1520" spans="1:5" x14ac:dyDescent="0.25">
      <c r="A1520" s="2" t="str">
        <f>HYPERLINK("spreadsheet/1518.xlsx", "1518.xlsx")</f>
        <v>1518.xlsx</v>
      </c>
      <c r="B1520" s="2">
        <v>1518</v>
      </c>
      <c r="C1520" t="s">
        <v>10</v>
      </c>
      <c r="D1520" t="s">
        <v>783</v>
      </c>
      <c r="E1520" t="s">
        <v>154</v>
      </c>
    </row>
    <row r="1521" spans="1:5" x14ac:dyDescent="0.25">
      <c r="A1521" s="2" t="str">
        <f>HYPERLINK("spreadsheet/1519.xlsx", "1519.xlsx")</f>
        <v>1519.xlsx</v>
      </c>
      <c r="B1521" s="2">
        <v>1519</v>
      </c>
      <c r="C1521" t="s">
        <v>14</v>
      </c>
      <c r="D1521" t="s">
        <v>783</v>
      </c>
      <c r="E1521" t="s">
        <v>154</v>
      </c>
    </row>
    <row r="1522" spans="1:5" x14ac:dyDescent="0.25">
      <c r="A1522" s="2" t="str">
        <f>HYPERLINK("spreadsheet/1520.xlsx", "1520.xlsx")</f>
        <v>1520.xlsx</v>
      </c>
      <c r="B1522" s="2">
        <v>1520</v>
      </c>
      <c r="C1522" t="s">
        <v>15</v>
      </c>
      <c r="D1522" t="s">
        <v>783</v>
      </c>
      <c r="E1522" t="s">
        <v>154</v>
      </c>
    </row>
    <row r="1523" spans="1:5" x14ac:dyDescent="0.25">
      <c r="A1523" s="2" t="str">
        <f>HYPERLINK("spreadsheet/1521.xlsx", "1521.xlsx")</f>
        <v>1521.xlsx</v>
      </c>
      <c r="B1523" s="2">
        <v>1521</v>
      </c>
      <c r="C1523" t="s">
        <v>5</v>
      </c>
      <c r="D1523" t="s">
        <v>784</v>
      </c>
      <c r="E1523" t="s">
        <v>115</v>
      </c>
    </row>
    <row r="1524" spans="1:5" x14ac:dyDescent="0.25">
      <c r="A1524" s="2" t="s">
        <v>785</v>
      </c>
      <c r="B1524" s="2">
        <v>1522</v>
      </c>
      <c r="C1524" t="s">
        <v>10</v>
      </c>
      <c r="D1524" t="s">
        <v>784</v>
      </c>
      <c r="E1524" t="s">
        <v>115</v>
      </c>
    </row>
    <row r="1525" spans="1:5" x14ac:dyDescent="0.25">
      <c r="A1525" s="2" t="str">
        <f>HYPERLINK("spreadsheet/1523.xlsx", "1523.xlsx")</f>
        <v>1523.xlsx</v>
      </c>
      <c r="B1525" s="2">
        <v>1523</v>
      </c>
      <c r="C1525" t="s">
        <v>14</v>
      </c>
      <c r="D1525" t="s">
        <v>784</v>
      </c>
      <c r="E1525" t="s">
        <v>115</v>
      </c>
    </row>
    <row r="1526" spans="1:5" x14ac:dyDescent="0.25">
      <c r="A1526" s="2" t="str">
        <f>HYPERLINK("spreadsheet/1524.xlsx", "1524.xlsx")</f>
        <v>1524.xlsx</v>
      </c>
      <c r="B1526" s="2">
        <v>1524</v>
      </c>
      <c r="C1526" t="s">
        <v>15</v>
      </c>
      <c r="D1526" t="s">
        <v>784</v>
      </c>
      <c r="E1526" t="s">
        <v>115</v>
      </c>
    </row>
    <row r="1527" spans="1:5" x14ac:dyDescent="0.25">
      <c r="A1527" s="2" t="str">
        <f>HYPERLINK("spreadsheet/1525.xlsx", "1525.xlsx")</f>
        <v>1525.xlsx</v>
      </c>
      <c r="B1527" s="2">
        <v>1525</v>
      </c>
      <c r="C1527" t="s">
        <v>22</v>
      </c>
      <c r="D1527" t="s">
        <v>784</v>
      </c>
      <c r="E1527" t="s">
        <v>115</v>
      </c>
    </row>
    <row r="1528" spans="1:5" x14ac:dyDescent="0.25">
      <c r="A1528" s="2" t="s">
        <v>786</v>
      </c>
      <c r="B1528" s="2">
        <v>1526</v>
      </c>
      <c r="C1528" t="s">
        <v>5</v>
      </c>
      <c r="D1528" t="s">
        <v>787</v>
      </c>
      <c r="E1528" t="s">
        <v>164</v>
      </c>
    </row>
    <row r="1529" spans="1:5" x14ac:dyDescent="0.25">
      <c r="A1529" s="2" t="s">
        <v>788</v>
      </c>
      <c r="B1529" s="2">
        <v>1527</v>
      </c>
      <c r="C1529" t="s">
        <v>10</v>
      </c>
      <c r="D1529" t="s">
        <v>787</v>
      </c>
      <c r="E1529" t="s">
        <v>164</v>
      </c>
    </row>
    <row r="1530" spans="1:5" x14ac:dyDescent="0.25">
      <c r="A1530" s="2" t="s">
        <v>789</v>
      </c>
      <c r="B1530" s="2">
        <v>1528</v>
      </c>
      <c r="C1530" t="s">
        <v>14</v>
      </c>
      <c r="D1530" t="s">
        <v>787</v>
      </c>
      <c r="E1530" t="s">
        <v>164</v>
      </c>
    </row>
    <row r="1531" spans="1:5" x14ac:dyDescent="0.25">
      <c r="A1531" s="2" t="s">
        <v>790</v>
      </c>
      <c r="B1531" s="2">
        <v>1529</v>
      </c>
      <c r="C1531" t="s">
        <v>15</v>
      </c>
      <c r="D1531" t="s">
        <v>787</v>
      </c>
      <c r="E1531" t="s">
        <v>164</v>
      </c>
    </row>
    <row r="1532" spans="1:5" x14ac:dyDescent="0.25">
      <c r="A1532" s="2" t="s">
        <v>791</v>
      </c>
      <c r="B1532" s="2">
        <v>1530</v>
      </c>
      <c r="C1532" t="s">
        <v>60</v>
      </c>
      <c r="D1532" t="s">
        <v>787</v>
      </c>
      <c r="E1532" t="s">
        <v>164</v>
      </c>
    </row>
    <row r="1533" spans="1:5" x14ac:dyDescent="0.25">
      <c r="A1533" s="2" t="s">
        <v>792</v>
      </c>
      <c r="B1533" s="2">
        <v>1531</v>
      </c>
      <c r="C1533" t="s">
        <v>44</v>
      </c>
      <c r="D1533" t="s">
        <v>787</v>
      </c>
      <c r="E1533" t="s">
        <v>164</v>
      </c>
    </row>
    <row r="1534" spans="1:5" x14ac:dyDescent="0.25">
      <c r="A1534" s="2" t="s">
        <v>793</v>
      </c>
      <c r="B1534" s="2">
        <v>1532</v>
      </c>
      <c r="C1534" t="s">
        <v>45</v>
      </c>
      <c r="D1534" t="s">
        <v>787</v>
      </c>
      <c r="E1534" t="s">
        <v>164</v>
      </c>
    </row>
    <row r="1535" spans="1:5" x14ac:dyDescent="0.25">
      <c r="A1535" s="2" t="s">
        <v>794</v>
      </c>
      <c r="B1535" s="2">
        <v>1533</v>
      </c>
      <c r="C1535" t="s">
        <v>46</v>
      </c>
      <c r="D1535" t="s">
        <v>787</v>
      </c>
      <c r="E1535" t="s">
        <v>164</v>
      </c>
    </row>
    <row r="1536" spans="1:5" x14ac:dyDescent="0.25">
      <c r="A1536" s="2" t="str">
        <f>HYPERLINK("spreadsheet/1534.xlsx", "1534.xlsx")</f>
        <v>1534.xlsx</v>
      </c>
      <c r="B1536" s="2">
        <v>1534</v>
      </c>
      <c r="C1536" t="s">
        <v>5</v>
      </c>
      <c r="D1536" t="s">
        <v>795</v>
      </c>
      <c r="E1536" t="s">
        <v>115</v>
      </c>
    </row>
    <row r="1537" spans="1:5" x14ac:dyDescent="0.25">
      <c r="A1537" s="2" t="str">
        <f>HYPERLINK("spreadsheet/1535.xlsx", "1535.xlsx")</f>
        <v>1535.xlsx</v>
      </c>
      <c r="B1537" s="2">
        <v>1535</v>
      </c>
      <c r="C1537" t="s">
        <v>10</v>
      </c>
      <c r="D1537" t="s">
        <v>795</v>
      </c>
      <c r="E1537" t="s">
        <v>115</v>
      </c>
    </row>
    <row r="1538" spans="1:5" x14ac:dyDescent="0.25">
      <c r="A1538" s="2" t="str">
        <f>HYPERLINK("spreadsheet/1536.xlsx", "1536.xlsx")</f>
        <v>1536.xlsx</v>
      </c>
      <c r="B1538" s="2">
        <v>1536</v>
      </c>
      <c r="C1538" t="s">
        <v>14</v>
      </c>
      <c r="D1538" t="s">
        <v>795</v>
      </c>
      <c r="E1538" t="s">
        <v>115</v>
      </c>
    </row>
    <row r="1539" spans="1:5" x14ac:dyDescent="0.25">
      <c r="A1539" s="2" t="str">
        <f>HYPERLINK("spreadsheet/1537.xlsx", "1537.xlsx")</f>
        <v>1537.xlsx</v>
      </c>
      <c r="B1539" s="2">
        <v>1537</v>
      </c>
      <c r="C1539" t="s">
        <v>15</v>
      </c>
      <c r="D1539" t="s">
        <v>795</v>
      </c>
      <c r="E1539" t="s">
        <v>115</v>
      </c>
    </row>
    <row r="1540" spans="1:5" x14ac:dyDescent="0.25">
      <c r="A1540" s="2" t="str">
        <f>HYPERLINK("spreadsheet/1538.xlsx", "1538.xlsx")</f>
        <v>1538.xlsx</v>
      </c>
      <c r="B1540" s="2">
        <v>1538</v>
      </c>
      <c r="C1540" t="s">
        <v>15</v>
      </c>
      <c r="D1540" t="s">
        <v>796</v>
      </c>
      <c r="E1540" t="s">
        <v>218</v>
      </c>
    </row>
    <row r="1541" spans="1:5" x14ac:dyDescent="0.25">
      <c r="A1541" s="2" t="str">
        <f>HYPERLINK("spreadsheet/1539.xlsx", "1539.xlsx")</f>
        <v>1539.xlsx</v>
      </c>
      <c r="B1541" s="2">
        <v>1539</v>
      </c>
      <c r="C1541" t="s">
        <v>24</v>
      </c>
      <c r="D1541" t="s">
        <v>796</v>
      </c>
      <c r="E1541" t="s">
        <v>218</v>
      </c>
    </row>
    <row r="1542" spans="1:5" x14ac:dyDescent="0.25">
      <c r="A1542" s="2" t="str">
        <f>HYPERLINK("spreadsheet/1540.xlsx", "1540.xlsx")</f>
        <v>1540.xlsx</v>
      </c>
      <c r="B1542" s="2">
        <v>1540</v>
      </c>
      <c r="C1542" t="s">
        <v>5</v>
      </c>
      <c r="D1542" t="s">
        <v>797</v>
      </c>
      <c r="E1542" t="s">
        <v>126</v>
      </c>
    </row>
    <row r="1543" spans="1:5" x14ac:dyDescent="0.25">
      <c r="A1543" s="2" t="str">
        <f>HYPERLINK("spreadsheet/1541.xlsx", "1541.xlsx")</f>
        <v>1541.xlsx</v>
      </c>
      <c r="B1543" s="2">
        <v>1541</v>
      </c>
      <c r="C1543" t="s">
        <v>10</v>
      </c>
      <c r="D1543" t="s">
        <v>797</v>
      </c>
      <c r="E1543" t="s">
        <v>126</v>
      </c>
    </row>
    <row r="1544" spans="1:5" x14ac:dyDescent="0.25">
      <c r="A1544" s="2" t="str">
        <f>HYPERLINK("spreadsheet/1542.xlsx", "1542.xlsx")</f>
        <v>1542.xlsx</v>
      </c>
      <c r="B1544" s="2">
        <v>1542</v>
      </c>
      <c r="C1544" t="s">
        <v>14</v>
      </c>
      <c r="D1544" t="s">
        <v>797</v>
      </c>
      <c r="E1544" t="s">
        <v>126</v>
      </c>
    </row>
    <row r="1545" spans="1:5" x14ac:dyDescent="0.25">
      <c r="A1545" s="2" t="str">
        <f>HYPERLINK("spreadsheet/1543.xlsx", "1543.xlsx")</f>
        <v>1543.xlsx</v>
      </c>
      <c r="B1545" s="2">
        <v>1543</v>
      </c>
      <c r="C1545" t="s">
        <v>15</v>
      </c>
      <c r="D1545" t="s">
        <v>797</v>
      </c>
      <c r="E1545" t="s">
        <v>126</v>
      </c>
    </row>
    <row r="1546" spans="1:5" x14ac:dyDescent="0.25">
      <c r="A1546" s="2" t="s">
        <v>798</v>
      </c>
      <c r="B1546" s="2">
        <v>1544</v>
      </c>
      <c r="C1546" t="s">
        <v>22</v>
      </c>
      <c r="D1546" t="s">
        <v>797</v>
      </c>
      <c r="E1546" t="s">
        <v>126</v>
      </c>
    </row>
    <row r="1547" spans="1:5" x14ac:dyDescent="0.25">
      <c r="A1547" s="2" t="str">
        <f>HYPERLINK("spreadsheet/1545.xlsx", "1545.xlsx")</f>
        <v>1545.xlsx</v>
      </c>
      <c r="B1547" s="2">
        <v>1545</v>
      </c>
      <c r="C1547" t="s">
        <v>5</v>
      </c>
      <c r="D1547" t="s">
        <v>799</v>
      </c>
      <c r="E1547" t="s">
        <v>134</v>
      </c>
    </row>
    <row r="1548" spans="1:5" x14ac:dyDescent="0.25">
      <c r="A1548" s="2" t="str">
        <f>HYPERLINK("spreadsheet/1546.xlsx", "1546.xlsx")</f>
        <v>1546.xlsx</v>
      </c>
      <c r="B1548" s="2">
        <v>1546</v>
      </c>
      <c r="C1548" t="s">
        <v>10</v>
      </c>
      <c r="D1548" t="s">
        <v>799</v>
      </c>
      <c r="E1548" t="s">
        <v>134</v>
      </c>
    </row>
    <row r="1549" spans="1:5" x14ac:dyDescent="0.25">
      <c r="A1549" s="2" t="str">
        <f>HYPERLINK("spreadsheet/1547.xlsx", "1547.xlsx")</f>
        <v>1547.xlsx</v>
      </c>
      <c r="B1549" s="2">
        <v>1547</v>
      </c>
      <c r="C1549" t="s">
        <v>14</v>
      </c>
      <c r="D1549" t="s">
        <v>799</v>
      </c>
      <c r="E1549" t="s">
        <v>134</v>
      </c>
    </row>
    <row r="1550" spans="1:5" x14ac:dyDescent="0.25">
      <c r="A1550" s="2" t="str">
        <f>HYPERLINK("spreadsheet/1548.xlsx", "1548.xlsx")</f>
        <v>1548.xlsx</v>
      </c>
      <c r="B1550" s="2">
        <v>1548</v>
      </c>
      <c r="C1550" t="s">
        <v>5</v>
      </c>
      <c r="D1550" t="s">
        <v>800</v>
      </c>
      <c r="E1550" t="s">
        <v>115</v>
      </c>
    </row>
    <row r="1551" spans="1:5" x14ac:dyDescent="0.25">
      <c r="A1551" s="2" t="str">
        <f>HYPERLINK("spreadsheet/1549.xlsx", "1549.xlsx")</f>
        <v>1549.xlsx</v>
      </c>
      <c r="B1551" s="2">
        <v>1549</v>
      </c>
      <c r="C1551" t="s">
        <v>10</v>
      </c>
      <c r="D1551" t="s">
        <v>800</v>
      </c>
      <c r="E1551" t="s">
        <v>115</v>
      </c>
    </row>
    <row r="1552" spans="1:5" x14ac:dyDescent="0.25">
      <c r="A1552" s="2" t="str">
        <f>HYPERLINK("spreadsheet/1550.xlsx", "1550.xlsx")</f>
        <v>1550.xlsx</v>
      </c>
      <c r="B1552" s="2">
        <v>1550</v>
      </c>
      <c r="C1552" t="s">
        <v>14</v>
      </c>
      <c r="D1552" t="s">
        <v>800</v>
      </c>
      <c r="E1552" t="s">
        <v>115</v>
      </c>
    </row>
    <row r="1553" spans="1:5" x14ac:dyDescent="0.25">
      <c r="A1553" s="2" t="str">
        <f>HYPERLINK("spreadsheet/1551.xlsx", "1551.xlsx")</f>
        <v>1551.xlsx</v>
      </c>
      <c r="B1553" s="2">
        <v>1551</v>
      </c>
      <c r="C1553" t="s">
        <v>5</v>
      </c>
      <c r="D1553" t="s">
        <v>801</v>
      </c>
      <c r="E1553" t="s">
        <v>154</v>
      </c>
    </row>
    <row r="1554" spans="1:5" x14ac:dyDescent="0.25">
      <c r="A1554" s="2" t="s">
        <v>802</v>
      </c>
      <c r="B1554" s="2">
        <v>1552</v>
      </c>
      <c r="C1554" t="s">
        <v>15</v>
      </c>
      <c r="D1554" t="s">
        <v>803</v>
      </c>
      <c r="E1554" t="s">
        <v>218</v>
      </c>
    </row>
    <row r="1555" spans="1:5" x14ac:dyDescent="0.25">
      <c r="A1555" s="2" t="str">
        <f>HYPERLINK("spreadsheet/1553.xlsx", "1553.xlsx")</f>
        <v>1553.xlsx</v>
      </c>
      <c r="B1555" s="2">
        <v>1553</v>
      </c>
      <c r="C1555" t="s">
        <v>5</v>
      </c>
      <c r="D1555" t="s">
        <v>804</v>
      </c>
      <c r="E1555" t="s">
        <v>145</v>
      </c>
    </row>
    <row r="1556" spans="1:5" x14ac:dyDescent="0.25">
      <c r="A1556" s="2" t="str">
        <f>HYPERLINK("spreadsheet/1554.xlsx", "1554.xlsx")</f>
        <v>1554.xlsx</v>
      </c>
      <c r="B1556" s="2">
        <v>1554</v>
      </c>
      <c r="C1556" t="s">
        <v>10</v>
      </c>
      <c r="D1556" t="s">
        <v>804</v>
      </c>
      <c r="E1556" t="s">
        <v>145</v>
      </c>
    </row>
    <row r="1557" spans="1:5" x14ac:dyDescent="0.25">
      <c r="A1557" s="2" t="str">
        <f>HYPERLINK("spreadsheet/1555.xlsx", "1555.xlsx")</f>
        <v>1555.xlsx</v>
      </c>
      <c r="B1557" s="2">
        <v>1555</v>
      </c>
      <c r="C1557" t="s">
        <v>14</v>
      </c>
      <c r="D1557" t="s">
        <v>804</v>
      </c>
      <c r="E1557" t="s">
        <v>145</v>
      </c>
    </row>
    <row r="1558" spans="1:5" x14ac:dyDescent="0.25">
      <c r="A1558" s="2" t="str">
        <f>HYPERLINK("spreadsheet/1556.xlsx", "1556.xlsx")</f>
        <v>1556.xlsx</v>
      </c>
      <c r="B1558" s="2">
        <v>1556</v>
      </c>
      <c r="C1558" t="s">
        <v>15</v>
      </c>
      <c r="D1558" t="s">
        <v>804</v>
      </c>
      <c r="E1558" t="s">
        <v>145</v>
      </c>
    </row>
    <row r="1559" spans="1:5" x14ac:dyDescent="0.25">
      <c r="A1559" s="2" t="str">
        <f>HYPERLINK("spreadsheet/1557.xlsx", "1557.xlsx")</f>
        <v>1557.xlsx</v>
      </c>
      <c r="B1559" s="2">
        <v>1557</v>
      </c>
      <c r="C1559" t="s">
        <v>22</v>
      </c>
      <c r="D1559" t="s">
        <v>804</v>
      </c>
      <c r="E1559" t="s">
        <v>145</v>
      </c>
    </row>
    <row r="1560" spans="1:5" x14ac:dyDescent="0.25">
      <c r="A1560" s="2" t="str">
        <f>HYPERLINK("spreadsheet/1558.xlsx", "1558.xlsx")</f>
        <v>1558.xlsx</v>
      </c>
      <c r="B1560" s="2">
        <v>1558</v>
      </c>
      <c r="C1560" t="s">
        <v>10</v>
      </c>
      <c r="D1560" t="s">
        <v>805</v>
      </c>
      <c r="E1560" t="s">
        <v>115</v>
      </c>
    </row>
    <row r="1561" spans="1:5" x14ac:dyDescent="0.25">
      <c r="A1561" s="2" t="str">
        <f>HYPERLINK("spreadsheet/1559.xlsx", "1559.xlsx")</f>
        <v>1559.xlsx</v>
      </c>
      <c r="B1561" s="2">
        <v>1559</v>
      </c>
      <c r="C1561" t="s">
        <v>5</v>
      </c>
      <c r="D1561" t="s">
        <v>806</v>
      </c>
      <c r="E1561" t="s">
        <v>173</v>
      </c>
    </row>
    <row r="1562" spans="1:5" x14ac:dyDescent="0.25">
      <c r="A1562" s="2" t="str">
        <f>HYPERLINK("spreadsheet/1560.xlsx", "1560.xlsx")</f>
        <v>1560.xlsx</v>
      </c>
      <c r="B1562" s="2">
        <v>1560</v>
      </c>
      <c r="C1562" t="s">
        <v>10</v>
      </c>
      <c r="D1562" t="s">
        <v>806</v>
      </c>
      <c r="E1562" t="s">
        <v>173</v>
      </c>
    </row>
    <row r="1563" spans="1:5" x14ac:dyDescent="0.25">
      <c r="A1563" s="2" t="str">
        <f>HYPERLINK("spreadsheet/1561.xlsx", "1561.xlsx")</f>
        <v>1561.xlsx</v>
      </c>
      <c r="B1563" s="2">
        <v>1561</v>
      </c>
      <c r="C1563" t="s">
        <v>14</v>
      </c>
      <c r="D1563" t="s">
        <v>806</v>
      </c>
      <c r="E1563" t="s">
        <v>173</v>
      </c>
    </row>
    <row r="1564" spans="1:5" x14ac:dyDescent="0.25">
      <c r="A1564" s="2" t="str">
        <f>HYPERLINK("spreadsheet/1562.xlsx", "1562.xlsx")</f>
        <v>1562.xlsx</v>
      </c>
      <c r="B1564" s="2">
        <v>1562</v>
      </c>
      <c r="C1564" t="s">
        <v>15</v>
      </c>
      <c r="D1564" t="s">
        <v>806</v>
      </c>
      <c r="E1564" t="s">
        <v>173</v>
      </c>
    </row>
    <row r="1565" spans="1:5" x14ac:dyDescent="0.25">
      <c r="A1565" s="2" t="str">
        <f>HYPERLINK("spreadsheet/1563.xlsx", "1563.xlsx")</f>
        <v>1563.xlsx</v>
      </c>
      <c r="B1565" s="2">
        <v>1563</v>
      </c>
      <c r="C1565" t="s">
        <v>807</v>
      </c>
      <c r="D1565" t="s">
        <v>806</v>
      </c>
      <c r="E1565" t="s">
        <v>173</v>
      </c>
    </row>
    <row r="1566" spans="1:5" x14ac:dyDescent="0.25">
      <c r="A1566" s="2" t="str">
        <f>HYPERLINK("spreadsheet/1564.xlsx", "1564.xlsx")</f>
        <v>1564.xlsx</v>
      </c>
      <c r="B1566" s="2">
        <v>1564</v>
      </c>
      <c r="C1566" t="s">
        <v>464</v>
      </c>
      <c r="D1566" t="s">
        <v>806</v>
      </c>
      <c r="E1566" t="s">
        <v>173</v>
      </c>
    </row>
    <row r="1567" spans="1:5" x14ac:dyDescent="0.25">
      <c r="A1567" s="2" t="str">
        <f>HYPERLINK("spreadsheet/1565.xlsx", "1565.xlsx")</f>
        <v>1565.xlsx</v>
      </c>
      <c r="B1567" s="2">
        <v>1565</v>
      </c>
      <c r="C1567" t="s">
        <v>24</v>
      </c>
      <c r="D1567" t="s">
        <v>806</v>
      </c>
      <c r="E1567" t="s">
        <v>173</v>
      </c>
    </row>
    <row r="1568" spans="1:5" x14ac:dyDescent="0.25">
      <c r="A1568" s="2" t="str">
        <f>HYPERLINK("spreadsheet/1566.xlsx", "1566.xlsx")</f>
        <v>1566.xlsx</v>
      </c>
      <c r="B1568" s="2">
        <v>1566</v>
      </c>
      <c r="C1568" t="s">
        <v>60</v>
      </c>
      <c r="D1568" t="s">
        <v>806</v>
      </c>
      <c r="E1568" t="s">
        <v>173</v>
      </c>
    </row>
    <row r="1569" spans="1:5" x14ac:dyDescent="0.25">
      <c r="A1569" s="2" t="s">
        <v>808</v>
      </c>
      <c r="B1569" s="2">
        <v>1567</v>
      </c>
      <c r="C1569" t="s">
        <v>44</v>
      </c>
      <c r="D1569" t="s">
        <v>806</v>
      </c>
      <c r="E1569" t="s">
        <v>173</v>
      </c>
    </row>
    <row r="1570" spans="1:5" x14ac:dyDescent="0.25">
      <c r="A1570" s="2" t="str">
        <f>HYPERLINK("spreadsheet/1568.xlsx", "1568.xlsx")</f>
        <v>1568.xlsx</v>
      </c>
      <c r="B1570" s="2">
        <v>1568</v>
      </c>
      <c r="C1570" t="s">
        <v>45</v>
      </c>
      <c r="D1570" t="s">
        <v>806</v>
      </c>
      <c r="E1570" t="s">
        <v>173</v>
      </c>
    </row>
    <row r="1571" spans="1:5" x14ac:dyDescent="0.25">
      <c r="A1571" s="2" t="str">
        <f>HYPERLINK("spreadsheet/1569.xlsx", "1569.xlsx")</f>
        <v>1569.xlsx</v>
      </c>
      <c r="B1571" s="2">
        <v>1569</v>
      </c>
      <c r="C1571" t="s">
        <v>5</v>
      </c>
      <c r="D1571" t="s">
        <v>809</v>
      </c>
      <c r="E1571" t="s">
        <v>115</v>
      </c>
    </row>
    <row r="1572" spans="1:5" x14ac:dyDescent="0.25">
      <c r="A1572" s="2" t="str">
        <f>HYPERLINK("spreadsheet/1570.xlsx", "1570.xlsx")</f>
        <v>1570.xlsx</v>
      </c>
      <c r="B1572" s="2">
        <v>1570</v>
      </c>
      <c r="C1572" t="s">
        <v>10</v>
      </c>
      <c r="D1572" t="s">
        <v>809</v>
      </c>
      <c r="E1572" t="s">
        <v>115</v>
      </c>
    </row>
    <row r="1573" spans="1:5" x14ac:dyDescent="0.25">
      <c r="A1573" s="2" t="str">
        <f>HYPERLINK("spreadsheet/1571.xlsx", "1571.xlsx")</f>
        <v>1571.xlsx</v>
      </c>
      <c r="B1573" s="2">
        <v>1571</v>
      </c>
      <c r="C1573" t="s">
        <v>14</v>
      </c>
      <c r="D1573" t="s">
        <v>809</v>
      </c>
      <c r="E1573" t="s">
        <v>115</v>
      </c>
    </row>
    <row r="1574" spans="1:5" x14ac:dyDescent="0.25">
      <c r="A1574" s="2" t="s">
        <v>810</v>
      </c>
      <c r="B1574" s="2">
        <v>1572</v>
      </c>
      <c r="C1574" t="s">
        <v>15</v>
      </c>
      <c r="D1574" t="s">
        <v>809</v>
      </c>
      <c r="E1574" t="s">
        <v>115</v>
      </c>
    </row>
    <row r="1575" spans="1:5" x14ac:dyDescent="0.25">
      <c r="A1575" s="2" t="str">
        <f>HYPERLINK("spreadsheet/1573.xlsx", "1573.xlsx")</f>
        <v>1573.xlsx</v>
      </c>
      <c r="B1575" s="2">
        <v>1573</v>
      </c>
      <c r="C1575" t="s">
        <v>22</v>
      </c>
      <c r="D1575" t="s">
        <v>809</v>
      </c>
      <c r="E1575" t="s">
        <v>115</v>
      </c>
    </row>
    <row r="1576" spans="1:5" x14ac:dyDescent="0.25">
      <c r="A1576" s="2" t="s">
        <v>811</v>
      </c>
      <c r="B1576" s="2">
        <v>1574</v>
      </c>
      <c r="C1576" t="s">
        <v>24</v>
      </c>
      <c r="D1576" t="s">
        <v>809</v>
      </c>
      <c r="E1576" t="s">
        <v>115</v>
      </c>
    </row>
    <row r="1577" spans="1:5" x14ac:dyDescent="0.25">
      <c r="A1577" s="2" t="str">
        <f>HYPERLINK("spreadsheet/1575.xlsx", "1575.xlsx")</f>
        <v>1575.xlsx</v>
      </c>
      <c r="B1577" s="2">
        <v>1575</v>
      </c>
      <c r="C1577" t="s">
        <v>60</v>
      </c>
      <c r="D1577" t="s">
        <v>809</v>
      </c>
      <c r="E1577" t="s">
        <v>115</v>
      </c>
    </row>
    <row r="1578" spans="1:5" x14ac:dyDescent="0.25">
      <c r="A1578" s="2" t="str">
        <f>HYPERLINK("spreadsheet/1576.xlsx", "1576.xlsx")</f>
        <v>1576.xlsx</v>
      </c>
      <c r="B1578" s="2">
        <v>1576</v>
      </c>
      <c r="C1578" t="s">
        <v>44</v>
      </c>
      <c r="D1578" t="s">
        <v>809</v>
      </c>
      <c r="E1578" t="s">
        <v>115</v>
      </c>
    </row>
    <row r="1579" spans="1:5" x14ac:dyDescent="0.25">
      <c r="A1579" s="2" t="str">
        <f>HYPERLINK("spreadsheet/1577.xlsx", "1577.xlsx")</f>
        <v>1577.xlsx</v>
      </c>
      <c r="B1579" s="2">
        <v>1577</v>
      </c>
      <c r="C1579" t="s">
        <v>45</v>
      </c>
      <c r="D1579" t="s">
        <v>809</v>
      </c>
      <c r="E1579" t="s">
        <v>115</v>
      </c>
    </row>
    <row r="1580" spans="1:5" x14ac:dyDescent="0.25">
      <c r="A1580" s="2" t="str">
        <f>HYPERLINK("spreadsheet/1578.xlsx", "1578.xlsx")</f>
        <v>1578.xlsx</v>
      </c>
      <c r="B1580" s="2">
        <v>1578</v>
      </c>
      <c r="C1580" t="s">
        <v>46</v>
      </c>
      <c r="D1580" t="s">
        <v>809</v>
      </c>
      <c r="E1580" t="s">
        <v>115</v>
      </c>
    </row>
    <row r="1581" spans="1:5" x14ac:dyDescent="0.25">
      <c r="A1581" s="2" t="str">
        <f>HYPERLINK("spreadsheet/1579.xlsx", "1579.xlsx")</f>
        <v>1579.xlsx</v>
      </c>
      <c r="B1581" s="2">
        <v>1579</v>
      </c>
      <c r="C1581" t="s">
        <v>47</v>
      </c>
      <c r="D1581" t="s">
        <v>809</v>
      </c>
      <c r="E1581" t="s">
        <v>115</v>
      </c>
    </row>
    <row r="1582" spans="1:5" x14ac:dyDescent="0.25">
      <c r="A1582" s="2" t="str">
        <f>HYPERLINK("spreadsheet/1580.xlsx", "1580.xlsx")</f>
        <v>1580.xlsx</v>
      </c>
      <c r="B1582" s="2">
        <v>1580</v>
      </c>
      <c r="C1582" t="s">
        <v>48</v>
      </c>
      <c r="D1582" t="s">
        <v>809</v>
      </c>
      <c r="E1582" t="s">
        <v>115</v>
      </c>
    </row>
    <row r="1583" spans="1:5" x14ac:dyDescent="0.25">
      <c r="A1583" s="2" t="str">
        <f>HYPERLINK("spreadsheet/1581.xlsx", "1581.xlsx")</f>
        <v>1581.xlsx</v>
      </c>
      <c r="B1583" s="2">
        <v>1581</v>
      </c>
      <c r="C1583" t="s">
        <v>49</v>
      </c>
      <c r="D1583" t="s">
        <v>809</v>
      </c>
      <c r="E1583" t="s">
        <v>115</v>
      </c>
    </row>
    <row r="1584" spans="1:5" x14ac:dyDescent="0.25">
      <c r="A1584" s="2" t="s">
        <v>812</v>
      </c>
      <c r="B1584" s="2">
        <v>1582</v>
      </c>
      <c r="C1584" t="s">
        <v>50</v>
      </c>
      <c r="D1584" t="s">
        <v>809</v>
      </c>
      <c r="E1584" t="s">
        <v>115</v>
      </c>
    </row>
    <row r="1585" spans="1:5" x14ac:dyDescent="0.25">
      <c r="A1585" s="2" t="s">
        <v>813</v>
      </c>
      <c r="B1585" s="2">
        <v>1583</v>
      </c>
      <c r="C1585" t="s">
        <v>51</v>
      </c>
      <c r="D1585" t="s">
        <v>809</v>
      </c>
      <c r="E1585" t="s">
        <v>115</v>
      </c>
    </row>
    <row r="1586" spans="1:5" x14ac:dyDescent="0.25">
      <c r="A1586" s="2" t="str">
        <f>HYPERLINK("spreadsheet/1584.xlsx", "1584.xlsx")</f>
        <v>1584.xlsx</v>
      </c>
      <c r="B1586" s="2">
        <v>1584</v>
      </c>
      <c r="C1586" t="s">
        <v>52</v>
      </c>
      <c r="D1586" t="s">
        <v>809</v>
      </c>
      <c r="E1586" t="s">
        <v>115</v>
      </c>
    </row>
    <row r="1587" spans="1:5" x14ac:dyDescent="0.25">
      <c r="A1587" s="2" t="str">
        <f>HYPERLINK("spreadsheet/1585.xlsx", "1585.xlsx")</f>
        <v>1585.xlsx</v>
      </c>
      <c r="B1587" s="2">
        <v>1585</v>
      </c>
      <c r="C1587" t="s">
        <v>5</v>
      </c>
      <c r="D1587" t="s">
        <v>814</v>
      </c>
      <c r="E1587" t="s">
        <v>126</v>
      </c>
    </row>
    <row r="1588" spans="1:5" x14ac:dyDescent="0.25">
      <c r="A1588" s="2" t="str">
        <f>HYPERLINK("spreadsheet/1586.xlsx", "1586.xlsx")</f>
        <v>1586.xlsx</v>
      </c>
      <c r="B1588" s="2">
        <v>1586</v>
      </c>
      <c r="C1588" t="s">
        <v>10</v>
      </c>
      <c r="D1588" t="s">
        <v>814</v>
      </c>
      <c r="E1588" t="s">
        <v>126</v>
      </c>
    </row>
    <row r="1589" spans="1:5" x14ac:dyDescent="0.25">
      <c r="A1589" s="2" t="str">
        <f>HYPERLINK("spreadsheet/1587.xlsx", "1587.xlsx")</f>
        <v>1587.xlsx</v>
      </c>
      <c r="B1589" s="2">
        <v>1587</v>
      </c>
      <c r="C1589" t="s">
        <v>5</v>
      </c>
      <c r="D1589" t="s">
        <v>815</v>
      </c>
      <c r="E1589" t="s">
        <v>134</v>
      </c>
    </row>
    <row r="1590" spans="1:5" x14ac:dyDescent="0.25">
      <c r="A1590" s="2" t="str">
        <f>HYPERLINK("spreadsheet/1588.xlsx", "1588.xlsx")</f>
        <v>1588.xlsx</v>
      </c>
      <c r="B1590" s="2">
        <v>1588</v>
      </c>
      <c r="C1590" t="s">
        <v>10</v>
      </c>
      <c r="D1590" t="s">
        <v>815</v>
      </c>
      <c r="E1590" t="s">
        <v>134</v>
      </c>
    </row>
    <row r="1591" spans="1:5" x14ac:dyDescent="0.25">
      <c r="A1591" s="2" t="str">
        <f>HYPERLINK("spreadsheet/1589.xlsx", "1589.xlsx")</f>
        <v>1589.xlsx</v>
      </c>
      <c r="B1591" s="2">
        <v>1589</v>
      </c>
      <c r="C1591" t="s">
        <v>14</v>
      </c>
      <c r="D1591" t="s">
        <v>815</v>
      </c>
      <c r="E1591" t="s">
        <v>134</v>
      </c>
    </row>
    <row r="1592" spans="1:5" x14ac:dyDescent="0.25">
      <c r="A1592" s="2" t="str">
        <f>HYPERLINK("spreadsheet/1590.xlsx", "1590.xlsx")</f>
        <v>1590.xlsx</v>
      </c>
      <c r="B1592" s="2">
        <v>1590</v>
      </c>
      <c r="C1592" t="s">
        <v>22</v>
      </c>
      <c r="D1592" t="s">
        <v>815</v>
      </c>
      <c r="E1592" t="s">
        <v>134</v>
      </c>
    </row>
    <row r="1593" spans="1:5" x14ac:dyDescent="0.25">
      <c r="A1593" s="2" t="str">
        <f>HYPERLINK("spreadsheet/1591.xlsx", "1591.xlsx")</f>
        <v>1591.xlsx</v>
      </c>
      <c r="B1593" s="2">
        <v>1591</v>
      </c>
      <c r="C1593" t="s">
        <v>5</v>
      </c>
      <c r="D1593" t="s">
        <v>816</v>
      </c>
      <c r="E1593" t="s">
        <v>126</v>
      </c>
    </row>
    <row r="1594" spans="1:5" x14ac:dyDescent="0.25">
      <c r="A1594" s="2" t="str">
        <f>HYPERLINK("spreadsheet/1592.xlsx", "1592.xlsx")</f>
        <v>1592.xlsx</v>
      </c>
      <c r="B1594" s="2">
        <v>1592</v>
      </c>
      <c r="C1594" t="s">
        <v>10</v>
      </c>
      <c r="D1594" t="s">
        <v>816</v>
      </c>
      <c r="E1594" t="s">
        <v>126</v>
      </c>
    </row>
    <row r="1595" spans="1:5" x14ac:dyDescent="0.25">
      <c r="A1595" s="2" t="str">
        <f>HYPERLINK("spreadsheet/1593.xlsx", "1593.xlsx")</f>
        <v>1593.xlsx</v>
      </c>
      <c r="B1595" s="2">
        <v>1593</v>
      </c>
      <c r="C1595" t="s">
        <v>5</v>
      </c>
      <c r="D1595" t="s">
        <v>817</v>
      </c>
      <c r="E1595" t="s">
        <v>154</v>
      </c>
    </row>
    <row r="1596" spans="1:5" x14ac:dyDescent="0.25">
      <c r="A1596" s="2" t="str">
        <f>HYPERLINK("spreadsheet/1594.xlsx", "1594.xlsx")</f>
        <v>1594.xlsx</v>
      </c>
      <c r="B1596" s="2">
        <v>1594</v>
      </c>
      <c r="C1596" t="s">
        <v>10</v>
      </c>
      <c r="D1596" t="s">
        <v>817</v>
      </c>
      <c r="E1596" t="s">
        <v>154</v>
      </c>
    </row>
    <row r="1597" spans="1:5" x14ac:dyDescent="0.25">
      <c r="A1597" s="2" t="str">
        <f>HYPERLINK("spreadsheet/1595.xlsx", "1595.xlsx")</f>
        <v>1595.xlsx</v>
      </c>
      <c r="B1597" s="2">
        <v>1595</v>
      </c>
      <c r="C1597" t="s">
        <v>15</v>
      </c>
      <c r="D1597" t="s">
        <v>817</v>
      </c>
      <c r="E1597" t="s">
        <v>154</v>
      </c>
    </row>
    <row r="1598" spans="1:5" x14ac:dyDescent="0.25">
      <c r="A1598" s="2" t="str">
        <f>HYPERLINK("spreadsheet/1596.xlsx", "1596.xlsx")</f>
        <v>1596.xlsx</v>
      </c>
      <c r="B1598" s="2">
        <v>1596</v>
      </c>
      <c r="C1598" t="s">
        <v>22</v>
      </c>
      <c r="D1598" t="s">
        <v>817</v>
      </c>
      <c r="E1598" t="s">
        <v>154</v>
      </c>
    </row>
    <row r="1599" spans="1:5" x14ac:dyDescent="0.25">
      <c r="A1599" s="2" t="str">
        <f>HYPERLINK("spreadsheet/1597.xlsx", "1597.xlsx")</f>
        <v>1597.xlsx</v>
      </c>
      <c r="B1599" s="2">
        <v>1597</v>
      </c>
      <c r="C1599" t="s">
        <v>24</v>
      </c>
      <c r="D1599" t="s">
        <v>817</v>
      </c>
      <c r="E1599" t="s">
        <v>154</v>
      </c>
    </row>
    <row r="1600" spans="1:5" x14ac:dyDescent="0.25">
      <c r="A1600" s="2" t="str">
        <f>HYPERLINK("spreadsheet/1598.xlsx", "1598.xlsx")</f>
        <v>1598.xlsx</v>
      </c>
      <c r="B1600" s="2">
        <v>1598</v>
      </c>
      <c r="C1600" t="s">
        <v>5</v>
      </c>
      <c r="D1600" t="s">
        <v>818</v>
      </c>
      <c r="E1600" t="s">
        <v>160</v>
      </c>
    </row>
    <row r="1601" spans="1:5" x14ac:dyDescent="0.25">
      <c r="A1601" s="2" t="str">
        <f>HYPERLINK("spreadsheet/1599.xlsx", "1599.xlsx")</f>
        <v>1599.xlsx</v>
      </c>
      <c r="B1601" s="2">
        <v>1599</v>
      </c>
      <c r="C1601" t="s">
        <v>10</v>
      </c>
      <c r="D1601" t="s">
        <v>818</v>
      </c>
      <c r="E1601" t="s">
        <v>160</v>
      </c>
    </row>
    <row r="1602" spans="1:5" x14ac:dyDescent="0.25">
      <c r="A1602" s="2" t="str">
        <f>HYPERLINK("spreadsheet/1600.xlsx", "1600.xlsx")</f>
        <v>1600.xlsx</v>
      </c>
      <c r="B1602" s="2">
        <v>1600</v>
      </c>
      <c r="C1602" t="s">
        <v>14</v>
      </c>
      <c r="D1602" t="s">
        <v>818</v>
      </c>
      <c r="E1602" t="s">
        <v>160</v>
      </c>
    </row>
    <row r="1603" spans="1:5" x14ac:dyDescent="0.25">
      <c r="A1603" s="2" t="str">
        <f>HYPERLINK("spreadsheet/1601.xlsx", "1601.xlsx")</f>
        <v>1601.xlsx</v>
      </c>
      <c r="B1603" s="2">
        <v>1601</v>
      </c>
      <c r="C1603" t="s">
        <v>15</v>
      </c>
      <c r="D1603" t="s">
        <v>818</v>
      </c>
      <c r="E1603" t="s">
        <v>160</v>
      </c>
    </row>
    <row r="1604" spans="1:5" x14ac:dyDescent="0.25">
      <c r="A1604" s="2" t="str">
        <f>HYPERLINK("spreadsheet/1602.xlsx", "1602.xlsx")</f>
        <v>1602.xlsx</v>
      </c>
      <c r="B1604" s="2">
        <v>1602</v>
      </c>
      <c r="C1604" t="s">
        <v>22</v>
      </c>
      <c r="D1604" t="s">
        <v>818</v>
      </c>
      <c r="E1604" t="s">
        <v>160</v>
      </c>
    </row>
    <row r="1605" spans="1:5" x14ac:dyDescent="0.25">
      <c r="A1605" s="2" t="str">
        <f>HYPERLINK("spreadsheet/1603.xlsx", "1603.xlsx")</f>
        <v>1603.xlsx</v>
      </c>
      <c r="B1605" s="2">
        <v>1603</v>
      </c>
      <c r="C1605" t="s">
        <v>60</v>
      </c>
      <c r="D1605" t="s">
        <v>818</v>
      </c>
      <c r="E1605" t="s">
        <v>160</v>
      </c>
    </row>
    <row r="1606" spans="1:5" x14ac:dyDescent="0.25">
      <c r="A1606" s="2" t="str">
        <f>HYPERLINK("spreadsheet/1604.xlsx", "1604.xlsx")</f>
        <v>1604.xlsx</v>
      </c>
      <c r="B1606" s="2">
        <v>1604</v>
      </c>
      <c r="C1606" t="s">
        <v>44</v>
      </c>
      <c r="D1606" t="s">
        <v>818</v>
      </c>
      <c r="E1606" t="s">
        <v>160</v>
      </c>
    </row>
    <row r="1607" spans="1:5" x14ac:dyDescent="0.25">
      <c r="A1607" s="2" t="s">
        <v>819</v>
      </c>
      <c r="B1607" s="2">
        <v>1605</v>
      </c>
      <c r="C1607" t="s">
        <v>5</v>
      </c>
      <c r="D1607" t="s">
        <v>820</v>
      </c>
      <c r="E1607" t="s">
        <v>115</v>
      </c>
    </row>
    <row r="1608" spans="1:5" x14ac:dyDescent="0.25">
      <c r="A1608" s="2" t="str">
        <f>HYPERLINK("spreadsheet/1606.xlsx", "1606.xlsx")</f>
        <v>1606.xlsx</v>
      </c>
      <c r="B1608" s="2">
        <v>1606</v>
      </c>
      <c r="C1608" t="s">
        <v>10</v>
      </c>
      <c r="D1608" t="s">
        <v>820</v>
      </c>
      <c r="E1608" t="s">
        <v>115</v>
      </c>
    </row>
    <row r="1609" spans="1:5" x14ac:dyDescent="0.25">
      <c r="A1609" s="2" t="str">
        <f>HYPERLINK("spreadsheet/1607.xlsx", "1607.xlsx")</f>
        <v>1607.xlsx</v>
      </c>
      <c r="B1609" s="2">
        <v>1607</v>
      </c>
      <c r="C1609" t="s">
        <v>14</v>
      </c>
      <c r="D1609" t="s">
        <v>820</v>
      </c>
      <c r="E1609" t="s">
        <v>115</v>
      </c>
    </row>
    <row r="1610" spans="1:5" x14ac:dyDescent="0.25">
      <c r="A1610" s="2" t="str">
        <f>HYPERLINK("spreadsheet/1608.xlsx", "1608.xlsx")</f>
        <v>1608.xlsx</v>
      </c>
      <c r="B1610" s="2">
        <v>1608</v>
      </c>
      <c r="C1610" t="s">
        <v>5</v>
      </c>
      <c r="D1610" t="s">
        <v>821</v>
      </c>
      <c r="E1610" t="s">
        <v>115</v>
      </c>
    </row>
    <row r="1611" spans="1:5" x14ac:dyDescent="0.25">
      <c r="A1611" s="2" t="str">
        <f>HYPERLINK("spreadsheet/1609.xlsx", "1609.xlsx")</f>
        <v>1609.xlsx</v>
      </c>
      <c r="B1611" s="2">
        <v>1609</v>
      </c>
      <c r="C1611" t="s">
        <v>10</v>
      </c>
      <c r="D1611" t="s">
        <v>821</v>
      </c>
      <c r="E1611" t="s">
        <v>115</v>
      </c>
    </row>
    <row r="1612" spans="1:5" x14ac:dyDescent="0.25">
      <c r="A1612" s="2" t="str">
        <f>HYPERLINK("spreadsheet/1610.xlsx", "1610.xlsx")</f>
        <v>1610.xlsx</v>
      </c>
      <c r="B1612" s="2">
        <v>1610</v>
      </c>
      <c r="C1612" t="s">
        <v>5</v>
      </c>
      <c r="D1612" t="s">
        <v>822</v>
      </c>
      <c r="E1612" t="s">
        <v>164</v>
      </c>
    </row>
    <row r="1613" spans="1:5" x14ac:dyDescent="0.25">
      <c r="A1613" s="2" t="str">
        <f>HYPERLINK("spreadsheet/1611.xlsx", "1611.xlsx")</f>
        <v>1611.xlsx</v>
      </c>
      <c r="B1613" s="2">
        <v>1611</v>
      </c>
      <c r="C1613" t="s">
        <v>10</v>
      </c>
      <c r="D1613" t="s">
        <v>822</v>
      </c>
      <c r="E1613" t="s">
        <v>164</v>
      </c>
    </row>
    <row r="1614" spans="1:5" x14ac:dyDescent="0.25">
      <c r="A1614" s="2" t="str">
        <f>HYPERLINK("spreadsheet/1612.xlsx", "1612.xlsx")</f>
        <v>1612.xlsx</v>
      </c>
      <c r="B1614" s="2">
        <v>1612</v>
      </c>
      <c r="C1614" t="s">
        <v>14</v>
      </c>
      <c r="D1614" t="s">
        <v>822</v>
      </c>
      <c r="E1614" t="s">
        <v>164</v>
      </c>
    </row>
    <row r="1615" spans="1:5" x14ac:dyDescent="0.25">
      <c r="A1615" s="2" t="str">
        <f>HYPERLINK("spreadsheet/1613.xlsx", "1613.xlsx")</f>
        <v>1613.xlsx</v>
      </c>
      <c r="B1615" s="2">
        <v>1613</v>
      </c>
      <c r="C1615" t="s">
        <v>5</v>
      </c>
      <c r="D1615" t="s">
        <v>823</v>
      </c>
      <c r="E1615" t="s">
        <v>824</v>
      </c>
    </row>
    <row r="1616" spans="1:5" x14ac:dyDescent="0.25">
      <c r="A1616" s="2" t="str">
        <f>HYPERLINK("spreadsheet/1614.xlsx", "1614.xlsx")</f>
        <v>1614.xlsx</v>
      </c>
      <c r="B1616" s="2">
        <v>1614</v>
      </c>
      <c r="C1616" t="s">
        <v>10</v>
      </c>
      <c r="D1616" t="s">
        <v>823</v>
      </c>
      <c r="E1616" t="s">
        <v>824</v>
      </c>
    </row>
    <row r="1617" spans="1:5" x14ac:dyDescent="0.25">
      <c r="A1617" s="2" t="str">
        <f>HYPERLINK("spreadsheet/1615.xlsx", "1615.xlsx")</f>
        <v>1615.xlsx</v>
      </c>
      <c r="B1617" s="2">
        <v>1615</v>
      </c>
      <c r="C1617" t="s">
        <v>14</v>
      </c>
      <c r="D1617" t="s">
        <v>823</v>
      </c>
      <c r="E1617" t="s">
        <v>824</v>
      </c>
    </row>
    <row r="1618" spans="1:5" x14ac:dyDescent="0.25">
      <c r="A1618" s="2" t="str">
        <f>HYPERLINK("spreadsheet/1616.xlsx", "1616.xlsx")</f>
        <v>1616.xlsx</v>
      </c>
      <c r="B1618" s="2">
        <v>1616</v>
      </c>
      <c r="C1618" t="s">
        <v>15</v>
      </c>
      <c r="D1618" t="s">
        <v>823</v>
      </c>
      <c r="E1618" t="s">
        <v>824</v>
      </c>
    </row>
    <row r="1619" spans="1:5" x14ac:dyDescent="0.25">
      <c r="A1619" s="2" t="str">
        <f>HYPERLINK("spreadsheet/1617.xlsx", "1617.xlsx")</f>
        <v>1617.xlsx</v>
      </c>
      <c r="B1619" s="2">
        <v>1617</v>
      </c>
      <c r="C1619" t="s">
        <v>22</v>
      </c>
      <c r="D1619" t="s">
        <v>823</v>
      </c>
      <c r="E1619" t="s">
        <v>824</v>
      </c>
    </row>
    <row r="1620" spans="1:5" x14ac:dyDescent="0.25">
      <c r="A1620" s="2" t="str">
        <f>HYPERLINK("spreadsheet/1618.xlsx", "1618.xlsx")</f>
        <v>1618.xlsx</v>
      </c>
      <c r="B1620" s="2">
        <v>1618</v>
      </c>
      <c r="C1620" t="s">
        <v>24</v>
      </c>
      <c r="D1620" t="s">
        <v>823</v>
      </c>
      <c r="E1620" t="s">
        <v>824</v>
      </c>
    </row>
    <row r="1621" spans="1:5" x14ac:dyDescent="0.25">
      <c r="A1621" s="2" t="s">
        <v>825</v>
      </c>
      <c r="B1621" s="2">
        <v>1619</v>
      </c>
      <c r="C1621" t="s">
        <v>60</v>
      </c>
      <c r="D1621" t="s">
        <v>823</v>
      </c>
      <c r="E1621" t="s">
        <v>824</v>
      </c>
    </row>
    <row r="1622" spans="1:5" x14ac:dyDescent="0.25">
      <c r="A1622" s="2" t="str">
        <f>HYPERLINK("spreadsheet/1620.xlsx", "1620.xlsx")</f>
        <v>1620.xlsx</v>
      </c>
      <c r="B1622" s="2">
        <v>1620</v>
      </c>
      <c r="C1622" t="s">
        <v>44</v>
      </c>
      <c r="D1622" t="s">
        <v>823</v>
      </c>
      <c r="E1622" t="s">
        <v>824</v>
      </c>
    </row>
    <row r="1623" spans="1:5" x14ac:dyDescent="0.25">
      <c r="A1623" s="2" t="str">
        <f>HYPERLINK("spreadsheet/1621.xlsx", "1621.xlsx")</f>
        <v>1621.xlsx</v>
      </c>
      <c r="B1623" s="2">
        <v>1621</v>
      </c>
      <c r="C1623" t="s">
        <v>45</v>
      </c>
      <c r="D1623" t="s">
        <v>823</v>
      </c>
      <c r="E1623" t="s">
        <v>824</v>
      </c>
    </row>
    <row r="1624" spans="1:5" x14ac:dyDescent="0.25">
      <c r="A1624" s="2" t="str">
        <f>HYPERLINK("spreadsheet/1622.xlsx", "1622.xlsx")</f>
        <v>1622.xlsx</v>
      </c>
      <c r="B1624" s="2">
        <v>1622</v>
      </c>
      <c r="C1624" t="s">
        <v>46</v>
      </c>
      <c r="D1624" t="s">
        <v>823</v>
      </c>
      <c r="E1624" t="s">
        <v>824</v>
      </c>
    </row>
    <row r="1625" spans="1:5" x14ac:dyDescent="0.25">
      <c r="A1625" s="2" t="str">
        <f>HYPERLINK("spreadsheet/1623.xlsx", "1623.xlsx")</f>
        <v>1623.xlsx</v>
      </c>
      <c r="B1625" s="2">
        <v>1623</v>
      </c>
      <c r="C1625" t="s">
        <v>47</v>
      </c>
      <c r="D1625" t="s">
        <v>823</v>
      </c>
      <c r="E1625" t="s">
        <v>824</v>
      </c>
    </row>
    <row r="1626" spans="1:5" x14ac:dyDescent="0.25">
      <c r="A1626" s="2" t="str">
        <f>HYPERLINK("spreadsheet/1624.xlsx", "1624.xlsx")</f>
        <v>1624.xlsx</v>
      </c>
      <c r="B1626" s="2">
        <v>1624</v>
      </c>
      <c r="C1626" t="s">
        <v>48</v>
      </c>
      <c r="D1626" t="s">
        <v>823</v>
      </c>
      <c r="E1626" t="s">
        <v>824</v>
      </c>
    </row>
    <row r="1627" spans="1:5" x14ac:dyDescent="0.25">
      <c r="A1627" s="2" t="str">
        <f>HYPERLINK("spreadsheet/1625.xlsx", "1625.xlsx")</f>
        <v>1625.xlsx</v>
      </c>
      <c r="B1627" s="2">
        <v>1625</v>
      </c>
      <c r="C1627" t="s">
        <v>49</v>
      </c>
      <c r="D1627" t="s">
        <v>823</v>
      </c>
      <c r="E1627" t="s">
        <v>824</v>
      </c>
    </row>
    <row r="1628" spans="1:5" x14ac:dyDescent="0.25">
      <c r="A1628" s="2" t="str">
        <f>HYPERLINK("spreadsheet/1626.xlsx", "1626.xlsx")</f>
        <v>1626.xlsx</v>
      </c>
      <c r="B1628" s="2">
        <v>1626</v>
      </c>
      <c r="C1628" t="s">
        <v>50</v>
      </c>
      <c r="D1628" t="s">
        <v>823</v>
      </c>
      <c r="E1628" t="s">
        <v>824</v>
      </c>
    </row>
    <row r="1629" spans="1:5" x14ac:dyDescent="0.25">
      <c r="A1629" s="2" t="str">
        <f>HYPERLINK("spreadsheet/1627.xlsx", "1627.xlsx")</f>
        <v>1627.xlsx</v>
      </c>
      <c r="B1629" s="2">
        <v>1627</v>
      </c>
      <c r="C1629" t="s">
        <v>51</v>
      </c>
      <c r="D1629" t="s">
        <v>823</v>
      </c>
      <c r="E1629" t="s">
        <v>824</v>
      </c>
    </row>
    <row r="1630" spans="1:5" x14ac:dyDescent="0.25">
      <c r="A1630" s="2" t="str">
        <f>HYPERLINK("spreadsheet/1628.xlsx", "1628.xlsx")</f>
        <v>1628.xlsx</v>
      </c>
      <c r="B1630" s="2">
        <v>1628</v>
      </c>
      <c r="C1630" t="s">
        <v>52</v>
      </c>
      <c r="D1630" t="s">
        <v>823</v>
      </c>
      <c r="E1630" t="s">
        <v>824</v>
      </c>
    </row>
    <row r="1631" spans="1:5" x14ac:dyDescent="0.25">
      <c r="A1631" s="2" t="str">
        <f>HYPERLINK("spreadsheet/1629.xlsx", "1629.xlsx")</f>
        <v>1629.xlsx</v>
      </c>
      <c r="B1631" s="2">
        <v>1629</v>
      </c>
      <c r="C1631" t="s">
        <v>53</v>
      </c>
      <c r="D1631" t="s">
        <v>823</v>
      </c>
      <c r="E1631" t="s">
        <v>824</v>
      </c>
    </row>
    <row r="1632" spans="1:5" x14ac:dyDescent="0.25">
      <c r="A1632" s="2" t="s">
        <v>826</v>
      </c>
      <c r="B1632" s="2">
        <v>1630</v>
      </c>
      <c r="C1632" t="s">
        <v>54</v>
      </c>
      <c r="D1632" t="s">
        <v>823</v>
      </c>
      <c r="E1632" t="s">
        <v>824</v>
      </c>
    </row>
    <row r="1633" spans="1:5" x14ac:dyDescent="0.25">
      <c r="A1633" s="2" t="str">
        <f>HYPERLINK("spreadsheet/1631.xlsx", "1631.xlsx")</f>
        <v>1631.xlsx</v>
      </c>
      <c r="B1633" s="2">
        <v>1631</v>
      </c>
      <c r="C1633" t="s">
        <v>55</v>
      </c>
      <c r="D1633" t="s">
        <v>823</v>
      </c>
      <c r="E1633" t="s">
        <v>824</v>
      </c>
    </row>
    <row r="1634" spans="1:5" x14ac:dyDescent="0.25">
      <c r="A1634" s="2" t="str">
        <f>HYPERLINK("spreadsheet/1632.xlsx", "1632.xlsx")</f>
        <v>1632.xlsx</v>
      </c>
      <c r="B1634" s="2">
        <v>1632</v>
      </c>
      <c r="C1634" t="s">
        <v>56</v>
      </c>
      <c r="D1634" t="s">
        <v>823</v>
      </c>
      <c r="E1634" t="s">
        <v>824</v>
      </c>
    </row>
    <row r="1635" spans="1:5" x14ac:dyDescent="0.25">
      <c r="A1635" s="2" t="str">
        <f>HYPERLINK("spreadsheet/1633.xlsx", "1633.xlsx")</f>
        <v>1633.xlsx</v>
      </c>
      <c r="B1635" s="2">
        <v>1633</v>
      </c>
      <c r="C1635" t="s">
        <v>57</v>
      </c>
      <c r="D1635" t="s">
        <v>823</v>
      </c>
      <c r="E1635" t="s">
        <v>824</v>
      </c>
    </row>
    <row r="1636" spans="1:5" x14ac:dyDescent="0.25">
      <c r="A1636" s="2" t="str">
        <f>HYPERLINK("spreadsheet/1634.xlsx", "1634.xlsx")</f>
        <v>1634.xlsx</v>
      </c>
      <c r="B1636" s="2">
        <v>1634</v>
      </c>
      <c r="C1636" t="s">
        <v>393</v>
      </c>
      <c r="D1636" t="s">
        <v>823</v>
      </c>
      <c r="E1636" t="s">
        <v>824</v>
      </c>
    </row>
    <row r="1637" spans="1:5" x14ac:dyDescent="0.25">
      <c r="A1637" s="2" t="str">
        <f>HYPERLINK("spreadsheet/1635.xlsx", "1635.xlsx")</f>
        <v>1635.xlsx</v>
      </c>
      <c r="B1637" s="2">
        <v>1635</v>
      </c>
      <c r="C1637" t="s">
        <v>300</v>
      </c>
      <c r="D1637" t="s">
        <v>823</v>
      </c>
      <c r="E1637" t="s">
        <v>824</v>
      </c>
    </row>
    <row r="1638" spans="1:5" x14ac:dyDescent="0.25">
      <c r="A1638" s="2" t="str">
        <f>HYPERLINK("spreadsheet/1636.xlsx", "1636.xlsx")</f>
        <v>1636.xlsx</v>
      </c>
      <c r="B1638" s="2">
        <v>1636</v>
      </c>
      <c r="C1638" t="s">
        <v>301</v>
      </c>
      <c r="D1638" t="s">
        <v>823</v>
      </c>
      <c r="E1638" t="s">
        <v>824</v>
      </c>
    </row>
    <row r="1639" spans="1:5" x14ac:dyDescent="0.25">
      <c r="A1639" s="2" t="str">
        <f>HYPERLINK("spreadsheet/1637.xlsx", "1637.xlsx")</f>
        <v>1637.xlsx</v>
      </c>
      <c r="B1639" s="2">
        <v>1637</v>
      </c>
      <c r="C1639" t="s">
        <v>5</v>
      </c>
      <c r="D1639" t="s">
        <v>827</v>
      </c>
      <c r="E1639" t="s">
        <v>164</v>
      </c>
    </row>
    <row r="1640" spans="1:5" x14ac:dyDescent="0.25">
      <c r="A1640" s="2" t="str">
        <f>HYPERLINK("spreadsheet/1638.xlsx", "1638.xlsx")</f>
        <v>1638.xlsx</v>
      </c>
      <c r="B1640" s="2">
        <v>1638</v>
      </c>
      <c r="C1640" t="s">
        <v>10</v>
      </c>
      <c r="D1640" t="s">
        <v>827</v>
      </c>
      <c r="E1640" t="s">
        <v>164</v>
      </c>
    </row>
    <row r="1641" spans="1:5" x14ac:dyDescent="0.25">
      <c r="A1641" s="2" t="str">
        <f>HYPERLINK("spreadsheet/1639.xlsx", "1639.xlsx")</f>
        <v>1639.xlsx</v>
      </c>
      <c r="B1641" s="2">
        <v>1639</v>
      </c>
      <c r="C1641" t="s">
        <v>14</v>
      </c>
      <c r="D1641" t="s">
        <v>827</v>
      </c>
      <c r="E1641" t="s">
        <v>164</v>
      </c>
    </row>
    <row r="1642" spans="1:5" x14ac:dyDescent="0.25">
      <c r="A1642" s="2" t="str">
        <f>HYPERLINK("spreadsheet/1640.xlsx", "1640.xlsx")</f>
        <v>1640.xlsx</v>
      </c>
      <c r="B1642" s="2">
        <v>1640</v>
      </c>
      <c r="C1642" t="s">
        <v>5</v>
      </c>
      <c r="D1642" t="s">
        <v>828</v>
      </c>
      <c r="E1642" t="s">
        <v>150</v>
      </c>
    </row>
    <row r="1643" spans="1:5" x14ac:dyDescent="0.25">
      <c r="A1643" s="2" t="str">
        <f>HYPERLINK("spreadsheet/1641.xlsx", "1641.xlsx")</f>
        <v>1641.xlsx</v>
      </c>
      <c r="B1643" s="2">
        <v>1641</v>
      </c>
      <c r="C1643" t="s">
        <v>10</v>
      </c>
      <c r="D1643" t="s">
        <v>828</v>
      </c>
      <c r="E1643" t="s">
        <v>150</v>
      </c>
    </row>
    <row r="1644" spans="1:5" x14ac:dyDescent="0.25">
      <c r="A1644" s="2" t="str">
        <f>HYPERLINK("spreadsheet/1642.xlsx", "1642.xlsx")</f>
        <v>1642.xlsx</v>
      </c>
      <c r="B1644" s="2">
        <v>1642</v>
      </c>
      <c r="C1644" t="s">
        <v>14</v>
      </c>
      <c r="D1644" t="s">
        <v>828</v>
      </c>
      <c r="E1644" t="s">
        <v>150</v>
      </c>
    </row>
    <row r="1645" spans="1:5" x14ac:dyDescent="0.25">
      <c r="A1645" s="2" t="str">
        <f>HYPERLINK("spreadsheet/1643.xlsx", "1643.xlsx")</f>
        <v>1643.xlsx</v>
      </c>
      <c r="B1645" s="2">
        <v>1643</v>
      </c>
      <c r="C1645" t="s">
        <v>5</v>
      </c>
      <c r="D1645" t="s">
        <v>829</v>
      </c>
      <c r="E1645" t="s">
        <v>150</v>
      </c>
    </row>
    <row r="1646" spans="1:5" x14ac:dyDescent="0.25">
      <c r="A1646" s="2" t="str">
        <f>HYPERLINK("spreadsheet/1644.xlsx", "1644.xlsx")</f>
        <v>1644.xlsx</v>
      </c>
      <c r="B1646" s="2">
        <v>1644</v>
      </c>
      <c r="C1646" t="s">
        <v>10</v>
      </c>
      <c r="D1646" t="s">
        <v>829</v>
      </c>
      <c r="E1646" t="s">
        <v>150</v>
      </c>
    </row>
    <row r="1647" spans="1:5" x14ac:dyDescent="0.25">
      <c r="A1647" s="2" t="str">
        <f>HYPERLINK("spreadsheet/1645.xlsx", "1645.xlsx")</f>
        <v>1645.xlsx</v>
      </c>
      <c r="B1647" s="2">
        <v>1645</v>
      </c>
      <c r="C1647" t="s">
        <v>14</v>
      </c>
      <c r="D1647" t="s">
        <v>829</v>
      </c>
      <c r="E1647" t="s">
        <v>150</v>
      </c>
    </row>
    <row r="1648" spans="1:5" x14ac:dyDescent="0.25">
      <c r="A1648" s="2" t="s">
        <v>830</v>
      </c>
      <c r="B1648" s="2">
        <v>1646</v>
      </c>
      <c r="C1648" t="s">
        <v>15</v>
      </c>
      <c r="D1648" t="s">
        <v>829</v>
      </c>
      <c r="E1648" t="s">
        <v>150</v>
      </c>
    </row>
    <row r="1649" spans="1:5" x14ac:dyDescent="0.25">
      <c r="A1649" s="2" t="str">
        <f>HYPERLINK("spreadsheet/1647.xlsx", "1647.xlsx")</f>
        <v>1647.xlsx</v>
      </c>
      <c r="B1649" s="2">
        <v>1647</v>
      </c>
      <c r="C1649" t="s">
        <v>5</v>
      </c>
      <c r="D1649" t="s">
        <v>831</v>
      </c>
      <c r="E1649" t="s">
        <v>154</v>
      </c>
    </row>
    <row r="1650" spans="1:5" x14ac:dyDescent="0.25">
      <c r="A1650" s="2" t="str">
        <f>HYPERLINK("spreadsheet/1648.xlsx", "1648.xlsx")</f>
        <v>1648.xlsx</v>
      </c>
      <c r="B1650" s="2">
        <v>1648</v>
      </c>
      <c r="C1650" t="s">
        <v>10</v>
      </c>
      <c r="D1650" t="s">
        <v>831</v>
      </c>
      <c r="E1650" t="s">
        <v>154</v>
      </c>
    </row>
    <row r="1651" spans="1:5" x14ac:dyDescent="0.25">
      <c r="A1651" s="2" t="str">
        <f>HYPERLINK("spreadsheet/1649.xlsx", "1649.xlsx")</f>
        <v>1649.xlsx</v>
      </c>
      <c r="B1651" s="2">
        <v>1649</v>
      </c>
      <c r="C1651" t="s">
        <v>263</v>
      </c>
      <c r="D1651" t="s">
        <v>832</v>
      </c>
      <c r="E1651" t="s">
        <v>115</v>
      </c>
    </row>
    <row r="1652" spans="1:5" x14ac:dyDescent="0.25">
      <c r="A1652" s="2" t="str">
        <f>HYPERLINK("spreadsheet/1650.xlsx", "1650.xlsx")</f>
        <v>1650.xlsx</v>
      </c>
      <c r="B1652" s="2">
        <v>1650</v>
      </c>
      <c r="C1652" t="s">
        <v>5</v>
      </c>
      <c r="D1652" t="s">
        <v>832</v>
      </c>
      <c r="E1652" t="s">
        <v>115</v>
      </c>
    </row>
    <row r="1653" spans="1:5" x14ac:dyDescent="0.25">
      <c r="A1653" s="2" t="str">
        <f>HYPERLINK("spreadsheet/1651.xlsx", "1651.xlsx")</f>
        <v>1651.xlsx</v>
      </c>
      <c r="B1653" s="2">
        <v>1651</v>
      </c>
      <c r="C1653" t="s">
        <v>10</v>
      </c>
      <c r="D1653" t="s">
        <v>832</v>
      </c>
      <c r="E1653" t="s">
        <v>115</v>
      </c>
    </row>
    <row r="1654" spans="1:5" x14ac:dyDescent="0.25">
      <c r="A1654" s="2" t="s">
        <v>833</v>
      </c>
      <c r="B1654" s="2">
        <v>1652</v>
      </c>
      <c r="C1654" t="s">
        <v>5</v>
      </c>
      <c r="D1654" t="s">
        <v>834</v>
      </c>
      <c r="E1654" t="s">
        <v>115</v>
      </c>
    </row>
    <row r="1655" spans="1:5" x14ac:dyDescent="0.25">
      <c r="A1655" s="2" t="str">
        <f>HYPERLINK("spreadsheet/1653.xlsx", "1653.xlsx")</f>
        <v>1653.xlsx</v>
      </c>
      <c r="B1655" s="2">
        <v>1653</v>
      </c>
      <c r="C1655" t="s">
        <v>10</v>
      </c>
      <c r="D1655" t="s">
        <v>834</v>
      </c>
      <c r="E1655" t="s">
        <v>115</v>
      </c>
    </row>
    <row r="1656" spans="1:5" x14ac:dyDescent="0.25">
      <c r="A1656" s="2" t="str">
        <f>HYPERLINK("spreadsheet/1654.xlsx", "1654.xlsx")</f>
        <v>1654.xlsx</v>
      </c>
      <c r="B1656" s="2">
        <v>1654</v>
      </c>
      <c r="C1656" t="s">
        <v>14</v>
      </c>
      <c r="D1656" t="s">
        <v>834</v>
      </c>
      <c r="E1656" t="s">
        <v>115</v>
      </c>
    </row>
    <row r="1657" spans="1:5" x14ac:dyDescent="0.25">
      <c r="A1657" s="2" t="str">
        <f>HYPERLINK("spreadsheet/1655.xlsx", "1655.xlsx")</f>
        <v>1655.xlsx</v>
      </c>
      <c r="B1657" s="2">
        <v>1655</v>
      </c>
      <c r="C1657" t="s">
        <v>15</v>
      </c>
      <c r="D1657" t="s">
        <v>834</v>
      </c>
      <c r="E1657" t="s">
        <v>115</v>
      </c>
    </row>
    <row r="1658" spans="1:5" x14ac:dyDescent="0.25">
      <c r="A1658" s="2" t="str">
        <f>HYPERLINK("spreadsheet/1656.xlsx", "1656.xlsx")</f>
        <v>1656.xlsx</v>
      </c>
      <c r="B1658" s="2">
        <v>1656</v>
      </c>
      <c r="C1658" t="s">
        <v>22</v>
      </c>
      <c r="D1658" t="s">
        <v>834</v>
      </c>
      <c r="E1658" t="s">
        <v>115</v>
      </c>
    </row>
    <row r="1659" spans="1:5" x14ac:dyDescent="0.25">
      <c r="A1659" s="2" t="str">
        <f>HYPERLINK("spreadsheet/1657.xlsx", "1657.xlsx")</f>
        <v>1657.xlsx</v>
      </c>
      <c r="B1659" s="2">
        <v>1657</v>
      </c>
      <c r="C1659" t="s">
        <v>5</v>
      </c>
      <c r="D1659" t="s">
        <v>835</v>
      </c>
      <c r="E1659" t="s">
        <v>164</v>
      </c>
    </row>
    <row r="1660" spans="1:5" x14ac:dyDescent="0.25">
      <c r="A1660" s="2" t="str">
        <f>HYPERLINK("spreadsheet/1658.xlsx", "1658.xlsx")</f>
        <v>1658.xlsx</v>
      </c>
      <c r="B1660" s="2">
        <v>1658</v>
      </c>
      <c r="C1660" t="s">
        <v>650</v>
      </c>
      <c r="D1660" t="s">
        <v>836</v>
      </c>
      <c r="E1660" t="s">
        <v>150</v>
      </c>
    </row>
    <row r="1661" spans="1:5" x14ac:dyDescent="0.25">
      <c r="A1661" s="2" t="str">
        <f>HYPERLINK("spreadsheet/1659.xlsx", "1659.xlsx")</f>
        <v>1659.xlsx</v>
      </c>
      <c r="B1661" s="2">
        <v>1659</v>
      </c>
      <c r="C1661" t="s">
        <v>652</v>
      </c>
      <c r="D1661" t="s">
        <v>836</v>
      </c>
      <c r="E1661" t="s">
        <v>150</v>
      </c>
    </row>
    <row r="1662" spans="1:5" x14ac:dyDescent="0.25">
      <c r="A1662" s="2" t="str">
        <f>HYPERLINK("spreadsheet/1660.xlsx", "1660.xlsx")</f>
        <v>1660.xlsx</v>
      </c>
      <c r="B1662" s="2">
        <v>1660</v>
      </c>
      <c r="C1662" t="s">
        <v>10</v>
      </c>
      <c r="D1662" t="s">
        <v>836</v>
      </c>
      <c r="E1662" t="s">
        <v>150</v>
      </c>
    </row>
    <row r="1663" spans="1:5" x14ac:dyDescent="0.25">
      <c r="A1663" s="2" t="str">
        <f>HYPERLINK("spreadsheet/1661.xlsx", "1661.xlsx")</f>
        <v>1661.xlsx</v>
      </c>
      <c r="B1663" s="2">
        <v>1661</v>
      </c>
      <c r="C1663" t="s">
        <v>752</v>
      </c>
      <c r="D1663" t="s">
        <v>836</v>
      </c>
      <c r="E1663" t="s">
        <v>150</v>
      </c>
    </row>
    <row r="1664" spans="1:5" x14ac:dyDescent="0.25">
      <c r="A1664" s="2" t="str">
        <f>HYPERLINK("spreadsheet/1662.xlsx", "1662.xlsx")</f>
        <v>1662.xlsx</v>
      </c>
      <c r="B1664" s="2">
        <v>1662</v>
      </c>
      <c r="C1664" t="s">
        <v>837</v>
      </c>
      <c r="D1664" t="s">
        <v>836</v>
      </c>
      <c r="E1664" t="s">
        <v>150</v>
      </c>
    </row>
    <row r="1665" spans="1:5" x14ac:dyDescent="0.25">
      <c r="A1665" s="2" t="str">
        <f>HYPERLINK("spreadsheet/1663.xlsx", "1663.xlsx")</f>
        <v>1663.xlsx</v>
      </c>
      <c r="B1665" s="2">
        <v>1663</v>
      </c>
      <c r="C1665" t="s">
        <v>505</v>
      </c>
      <c r="D1665" t="s">
        <v>836</v>
      </c>
      <c r="E1665" t="s">
        <v>150</v>
      </c>
    </row>
    <row r="1666" spans="1:5" x14ac:dyDescent="0.25">
      <c r="A1666" s="2" t="str">
        <f>HYPERLINK("spreadsheet/1664.xlsx", "1664.xlsx")</f>
        <v>1664.xlsx</v>
      </c>
      <c r="B1666" s="2">
        <v>1664</v>
      </c>
      <c r="C1666" t="s">
        <v>506</v>
      </c>
      <c r="D1666" t="s">
        <v>836</v>
      </c>
      <c r="E1666" t="s">
        <v>150</v>
      </c>
    </row>
    <row r="1667" spans="1:5" x14ac:dyDescent="0.25">
      <c r="A1667" s="2" t="str">
        <f>HYPERLINK("spreadsheet/1665.xlsx", "1665.xlsx")</f>
        <v>1665.xlsx</v>
      </c>
      <c r="B1667" s="2">
        <v>1665</v>
      </c>
      <c r="C1667" t="s">
        <v>22</v>
      </c>
      <c r="D1667" t="s">
        <v>836</v>
      </c>
      <c r="E1667" t="s">
        <v>150</v>
      </c>
    </row>
    <row r="1668" spans="1:5" x14ac:dyDescent="0.25">
      <c r="A1668" s="2" t="str">
        <f>HYPERLINK("spreadsheet/1666.xlsx", "1666.xlsx")</f>
        <v>1666.xlsx</v>
      </c>
      <c r="B1668" s="2">
        <v>1666</v>
      </c>
      <c r="C1668" t="s">
        <v>24</v>
      </c>
      <c r="D1668" t="s">
        <v>836</v>
      </c>
      <c r="E1668" t="s">
        <v>150</v>
      </c>
    </row>
    <row r="1669" spans="1:5" x14ac:dyDescent="0.25">
      <c r="A1669" s="2" t="str">
        <f>HYPERLINK("spreadsheet/1667.xlsx", "1667.xlsx")</f>
        <v>1667.xlsx</v>
      </c>
      <c r="B1669" s="2">
        <v>1667</v>
      </c>
      <c r="C1669" t="s">
        <v>60</v>
      </c>
      <c r="D1669" t="s">
        <v>836</v>
      </c>
      <c r="E1669" t="s">
        <v>150</v>
      </c>
    </row>
    <row r="1670" spans="1:5" x14ac:dyDescent="0.25">
      <c r="A1670" s="2" t="str">
        <f>HYPERLINK("spreadsheet/1668.xlsx", "1668.xlsx")</f>
        <v>1668.xlsx</v>
      </c>
      <c r="B1670" s="2">
        <v>1668</v>
      </c>
      <c r="C1670" t="s">
        <v>44</v>
      </c>
      <c r="D1670" t="s">
        <v>836</v>
      </c>
      <c r="E1670" t="s">
        <v>150</v>
      </c>
    </row>
    <row r="1671" spans="1:5" x14ac:dyDescent="0.25">
      <c r="A1671" s="2" t="s">
        <v>838</v>
      </c>
      <c r="B1671" s="2">
        <v>1669</v>
      </c>
      <c r="C1671" t="s">
        <v>45</v>
      </c>
      <c r="D1671" t="s">
        <v>836</v>
      </c>
      <c r="E1671" t="s">
        <v>150</v>
      </c>
    </row>
    <row r="1672" spans="1:5" x14ac:dyDescent="0.25">
      <c r="A1672" s="2" t="str">
        <f>HYPERLINK("spreadsheet/1670.xlsx", "1670.xlsx")</f>
        <v>1670.xlsx</v>
      </c>
      <c r="B1672" s="2">
        <v>1670</v>
      </c>
      <c r="C1672" t="s">
        <v>5</v>
      </c>
      <c r="D1672" t="s">
        <v>839</v>
      </c>
      <c r="E1672" t="s">
        <v>164</v>
      </c>
    </row>
    <row r="1673" spans="1:5" x14ac:dyDescent="0.25">
      <c r="A1673" s="2" t="str">
        <f>HYPERLINK("spreadsheet/1671.xlsx", "1671.xlsx")</f>
        <v>1671.xlsx</v>
      </c>
      <c r="B1673" s="2">
        <v>1671</v>
      </c>
      <c r="C1673" t="s">
        <v>10</v>
      </c>
      <c r="D1673" t="s">
        <v>839</v>
      </c>
      <c r="E1673" t="s">
        <v>164</v>
      </c>
    </row>
    <row r="1674" spans="1:5" x14ac:dyDescent="0.25">
      <c r="A1674" s="2" t="str">
        <f>HYPERLINK("spreadsheet/1672.xlsx", "1672.xlsx")</f>
        <v>1672.xlsx</v>
      </c>
      <c r="B1674" s="2">
        <v>1672</v>
      </c>
      <c r="C1674" t="s">
        <v>5</v>
      </c>
      <c r="D1674" t="s">
        <v>840</v>
      </c>
      <c r="E1674" t="s">
        <v>338</v>
      </c>
    </row>
    <row r="1675" spans="1:5" x14ac:dyDescent="0.25">
      <c r="A1675" s="2" t="str">
        <f>HYPERLINK("spreadsheet/1673.xlsx", "1673.xlsx")</f>
        <v>1673.xlsx</v>
      </c>
      <c r="B1675" s="2">
        <v>1673</v>
      </c>
      <c r="C1675" t="s">
        <v>5</v>
      </c>
      <c r="D1675" t="s">
        <v>841</v>
      </c>
      <c r="E1675" t="s">
        <v>154</v>
      </c>
    </row>
    <row r="1676" spans="1:5" x14ac:dyDescent="0.25">
      <c r="A1676" s="2" t="str">
        <f>HYPERLINK("spreadsheet/1674.xlsx", "1674.xlsx")</f>
        <v>1674.xlsx</v>
      </c>
      <c r="B1676" s="2">
        <v>1674</v>
      </c>
      <c r="C1676" t="s">
        <v>10</v>
      </c>
      <c r="D1676" t="s">
        <v>841</v>
      </c>
      <c r="E1676" t="s">
        <v>154</v>
      </c>
    </row>
    <row r="1677" spans="1:5" x14ac:dyDescent="0.25">
      <c r="A1677" s="2" t="str">
        <f>HYPERLINK("spreadsheet/1675.xlsx", "1675.xlsx")</f>
        <v>1675.xlsx</v>
      </c>
      <c r="B1677" s="2">
        <v>1675</v>
      </c>
      <c r="C1677" t="s">
        <v>14</v>
      </c>
      <c r="D1677" t="s">
        <v>841</v>
      </c>
      <c r="E1677" t="s">
        <v>154</v>
      </c>
    </row>
    <row r="1678" spans="1:5" x14ac:dyDescent="0.25">
      <c r="A1678" s="2" t="str">
        <f>HYPERLINK("spreadsheet/1676.xlsx", "1676.xlsx")</f>
        <v>1676.xlsx</v>
      </c>
      <c r="B1678" s="2">
        <v>1676</v>
      </c>
      <c r="C1678" t="s">
        <v>15</v>
      </c>
      <c r="D1678" t="s">
        <v>841</v>
      </c>
      <c r="E1678" t="s">
        <v>154</v>
      </c>
    </row>
    <row r="1679" spans="1:5" x14ac:dyDescent="0.25">
      <c r="A1679" s="2" t="str">
        <f>HYPERLINK("spreadsheet/1677.xlsx", "1677.xlsx")</f>
        <v>1677.xlsx</v>
      </c>
      <c r="B1679" s="2">
        <v>1677</v>
      </c>
      <c r="C1679" t="s">
        <v>22</v>
      </c>
      <c r="D1679" t="s">
        <v>841</v>
      </c>
      <c r="E1679" t="s">
        <v>154</v>
      </c>
    </row>
    <row r="1680" spans="1:5" x14ac:dyDescent="0.25">
      <c r="A1680" s="2" t="str">
        <f>HYPERLINK("spreadsheet/1678.xlsx", "1678.xlsx")</f>
        <v>1678.xlsx</v>
      </c>
      <c r="B1680" s="2">
        <v>1678</v>
      </c>
      <c r="C1680" t="s">
        <v>60</v>
      </c>
      <c r="D1680" t="s">
        <v>841</v>
      </c>
      <c r="E1680" t="s">
        <v>154</v>
      </c>
    </row>
    <row r="1681" spans="1:5" x14ac:dyDescent="0.25">
      <c r="A1681" s="2" t="str">
        <f>HYPERLINK("spreadsheet/1679.xlsx", "1679.xlsx")</f>
        <v>1679.xlsx</v>
      </c>
      <c r="B1681" s="2">
        <v>1679</v>
      </c>
      <c r="C1681" t="s">
        <v>5</v>
      </c>
      <c r="D1681" t="s">
        <v>842</v>
      </c>
      <c r="E1681" t="s">
        <v>126</v>
      </c>
    </row>
    <row r="1682" spans="1:5" x14ac:dyDescent="0.25">
      <c r="A1682" s="2" t="str">
        <f>HYPERLINK("spreadsheet/1680.xlsx", "1680.xlsx")</f>
        <v>1680.xlsx</v>
      </c>
      <c r="B1682" s="2">
        <v>1680</v>
      </c>
      <c r="C1682" t="s">
        <v>10</v>
      </c>
      <c r="D1682" t="s">
        <v>842</v>
      </c>
      <c r="E1682" t="s">
        <v>126</v>
      </c>
    </row>
    <row r="1683" spans="1:5" x14ac:dyDescent="0.25">
      <c r="A1683" s="2" t="s">
        <v>843</v>
      </c>
      <c r="B1683" s="2">
        <v>1681</v>
      </c>
      <c r="C1683" t="s">
        <v>14</v>
      </c>
      <c r="D1683" t="s">
        <v>842</v>
      </c>
      <c r="E1683" t="s">
        <v>126</v>
      </c>
    </row>
    <row r="1684" spans="1:5" x14ac:dyDescent="0.25">
      <c r="A1684" s="2" t="s">
        <v>844</v>
      </c>
      <c r="B1684" s="2">
        <v>1682</v>
      </c>
      <c r="C1684" t="s">
        <v>15</v>
      </c>
      <c r="D1684" t="s">
        <v>842</v>
      </c>
      <c r="E1684" t="s">
        <v>126</v>
      </c>
    </row>
    <row r="1685" spans="1:5" x14ac:dyDescent="0.25">
      <c r="A1685" s="2" t="str">
        <f>HYPERLINK("spreadsheet/1683.xlsx", "1683.xlsx")</f>
        <v>1683.xlsx</v>
      </c>
      <c r="B1685" s="2">
        <v>1683</v>
      </c>
      <c r="C1685" t="s">
        <v>22</v>
      </c>
      <c r="D1685" t="s">
        <v>842</v>
      </c>
      <c r="E1685" t="s">
        <v>126</v>
      </c>
    </row>
    <row r="1686" spans="1:5" x14ac:dyDescent="0.25">
      <c r="A1686" s="2" t="s">
        <v>845</v>
      </c>
      <c r="B1686" s="2">
        <v>1684</v>
      </c>
      <c r="C1686" t="s">
        <v>24</v>
      </c>
      <c r="D1686" t="s">
        <v>842</v>
      </c>
      <c r="E1686" t="s">
        <v>126</v>
      </c>
    </row>
    <row r="1687" spans="1:5" x14ac:dyDescent="0.25">
      <c r="A1687" s="2" t="str">
        <f>HYPERLINK("spreadsheet/1685.xlsx", "1685.xlsx")</f>
        <v>1685.xlsx</v>
      </c>
      <c r="B1687" s="2">
        <v>1685</v>
      </c>
      <c r="C1687" t="s">
        <v>60</v>
      </c>
      <c r="D1687" t="s">
        <v>842</v>
      </c>
      <c r="E1687" t="s">
        <v>126</v>
      </c>
    </row>
    <row r="1688" spans="1:5" x14ac:dyDescent="0.25">
      <c r="A1688" s="2" t="str">
        <f>HYPERLINK("spreadsheet/1686.xlsx", "1686.xlsx")</f>
        <v>1686.xlsx</v>
      </c>
      <c r="B1688" s="2">
        <v>1686</v>
      </c>
      <c r="C1688" t="s">
        <v>44</v>
      </c>
      <c r="D1688" t="s">
        <v>842</v>
      </c>
      <c r="E1688" t="s">
        <v>126</v>
      </c>
    </row>
    <row r="1689" spans="1:5" x14ac:dyDescent="0.25">
      <c r="A1689" s="2" t="s">
        <v>846</v>
      </c>
      <c r="B1689" s="2">
        <v>1687</v>
      </c>
      <c r="C1689" t="s">
        <v>45</v>
      </c>
      <c r="D1689" t="s">
        <v>842</v>
      </c>
      <c r="E1689" t="s">
        <v>126</v>
      </c>
    </row>
    <row r="1690" spans="1:5" x14ac:dyDescent="0.25">
      <c r="A1690" s="2" t="str">
        <f>HYPERLINK("spreadsheet/1688.xlsx", "1688.xlsx")</f>
        <v>1688.xlsx</v>
      </c>
      <c r="B1690" s="2">
        <v>1688</v>
      </c>
      <c r="C1690" t="s">
        <v>46</v>
      </c>
      <c r="D1690" t="s">
        <v>842</v>
      </c>
      <c r="E1690" t="s">
        <v>126</v>
      </c>
    </row>
    <row r="1691" spans="1:5" x14ac:dyDescent="0.25">
      <c r="A1691" s="2" t="str">
        <f>HYPERLINK("spreadsheet/1689.xlsx", "1689.xlsx")</f>
        <v>1689.xlsx</v>
      </c>
      <c r="B1691" s="2">
        <v>1689</v>
      </c>
      <c r="C1691" t="s">
        <v>47</v>
      </c>
      <c r="D1691" t="s">
        <v>842</v>
      </c>
      <c r="E1691" t="s">
        <v>126</v>
      </c>
    </row>
    <row r="1692" spans="1:5" x14ac:dyDescent="0.25">
      <c r="A1692" s="2" t="s">
        <v>847</v>
      </c>
      <c r="B1692" s="2">
        <v>1690</v>
      </c>
      <c r="C1692" t="s">
        <v>48</v>
      </c>
      <c r="D1692" t="s">
        <v>842</v>
      </c>
      <c r="E1692" t="s">
        <v>126</v>
      </c>
    </row>
    <row r="1693" spans="1:5" x14ac:dyDescent="0.25">
      <c r="A1693" s="2" t="str">
        <f>HYPERLINK("spreadsheet/1691.xlsx", "1691.xlsx")</f>
        <v>1691.xlsx</v>
      </c>
      <c r="B1693" s="2">
        <v>1691</v>
      </c>
      <c r="C1693" t="s">
        <v>5</v>
      </c>
      <c r="D1693" t="s">
        <v>848</v>
      </c>
      <c r="E1693" t="s">
        <v>173</v>
      </c>
    </row>
    <row r="1694" spans="1:5" x14ac:dyDescent="0.25">
      <c r="A1694" s="2" t="str">
        <f>HYPERLINK("spreadsheet/1692.xlsx", "1692.xlsx")</f>
        <v>1692.xlsx</v>
      </c>
      <c r="B1694" s="2">
        <v>1692</v>
      </c>
      <c r="C1694" t="s">
        <v>10</v>
      </c>
      <c r="D1694" t="s">
        <v>848</v>
      </c>
      <c r="E1694" t="s">
        <v>173</v>
      </c>
    </row>
    <row r="1695" spans="1:5" x14ac:dyDescent="0.25">
      <c r="A1695" s="2" t="str">
        <f>HYPERLINK("spreadsheet/1693.xlsx", "1693.xlsx")</f>
        <v>1693.xlsx</v>
      </c>
      <c r="B1695" s="2">
        <v>1693</v>
      </c>
      <c r="C1695" t="s">
        <v>14</v>
      </c>
      <c r="D1695" t="s">
        <v>848</v>
      </c>
      <c r="E1695" t="s">
        <v>173</v>
      </c>
    </row>
    <row r="1696" spans="1:5" x14ac:dyDescent="0.25">
      <c r="A1696" s="2" t="str">
        <f>HYPERLINK("spreadsheet/1694.xlsx", "1694.xlsx")</f>
        <v>1694.xlsx</v>
      </c>
      <c r="B1696" s="2">
        <v>1694</v>
      </c>
      <c r="C1696" t="s">
        <v>15</v>
      </c>
      <c r="D1696" t="s">
        <v>848</v>
      </c>
      <c r="E1696" t="s">
        <v>173</v>
      </c>
    </row>
    <row r="1697" spans="1:5" x14ac:dyDescent="0.25">
      <c r="A1697" s="2" t="str">
        <f>HYPERLINK("spreadsheet/1695.xlsx", "1695.xlsx")</f>
        <v>1695.xlsx</v>
      </c>
      <c r="B1697" s="2">
        <v>1695</v>
      </c>
      <c r="C1697" t="s">
        <v>22</v>
      </c>
      <c r="D1697" t="s">
        <v>848</v>
      </c>
      <c r="E1697" t="s">
        <v>173</v>
      </c>
    </row>
    <row r="1698" spans="1:5" x14ac:dyDescent="0.25">
      <c r="A1698" s="2" t="s">
        <v>849</v>
      </c>
      <c r="B1698" s="2">
        <v>1696</v>
      </c>
      <c r="C1698" t="s">
        <v>24</v>
      </c>
      <c r="D1698" t="s">
        <v>848</v>
      </c>
      <c r="E1698" t="s">
        <v>173</v>
      </c>
    </row>
    <row r="1699" spans="1:5" x14ac:dyDescent="0.25">
      <c r="A1699" s="2" t="str">
        <f>HYPERLINK("spreadsheet/1697.xlsx", "1697.xlsx")</f>
        <v>1697.xlsx</v>
      </c>
      <c r="B1699" s="2">
        <v>1697</v>
      </c>
      <c r="C1699" t="s">
        <v>60</v>
      </c>
      <c r="D1699" t="s">
        <v>848</v>
      </c>
      <c r="E1699" t="s">
        <v>173</v>
      </c>
    </row>
    <row r="1700" spans="1:5" x14ac:dyDescent="0.25">
      <c r="A1700" s="2" t="str">
        <f>HYPERLINK("spreadsheet/1698.xlsx", "1698.xlsx")</f>
        <v>1698.xlsx</v>
      </c>
      <c r="B1700" s="2">
        <v>1698</v>
      </c>
      <c r="C1700" t="s">
        <v>44</v>
      </c>
      <c r="D1700" t="s">
        <v>848</v>
      </c>
      <c r="E1700" t="s">
        <v>173</v>
      </c>
    </row>
    <row r="1701" spans="1:5" x14ac:dyDescent="0.25">
      <c r="A1701" s="2" t="str">
        <f>HYPERLINK("spreadsheet/1699.xlsx", "1699.xlsx")</f>
        <v>1699.xlsx</v>
      </c>
      <c r="B1701" s="2">
        <v>1699</v>
      </c>
      <c r="C1701" t="s">
        <v>850</v>
      </c>
      <c r="D1701" t="s">
        <v>851</v>
      </c>
      <c r="E1701" t="s">
        <v>126</v>
      </c>
    </row>
    <row r="1702" spans="1:5" x14ac:dyDescent="0.25">
      <c r="A1702" s="2" t="str">
        <f>HYPERLINK("spreadsheet/1700.xlsx", "1700.xlsx")</f>
        <v>1700.xlsx</v>
      </c>
      <c r="B1702" s="2">
        <v>1700</v>
      </c>
      <c r="C1702" t="s">
        <v>459</v>
      </c>
      <c r="D1702" t="s">
        <v>851</v>
      </c>
      <c r="E1702" t="s">
        <v>126</v>
      </c>
    </row>
    <row r="1703" spans="1:5" x14ac:dyDescent="0.25">
      <c r="A1703" s="2" t="str">
        <f>HYPERLINK("spreadsheet/1701.xlsx", "1701.xlsx")</f>
        <v>1701.xlsx</v>
      </c>
      <c r="B1703" s="2">
        <v>1701</v>
      </c>
      <c r="C1703" t="s">
        <v>852</v>
      </c>
      <c r="D1703" t="s">
        <v>851</v>
      </c>
      <c r="E1703" t="s">
        <v>126</v>
      </c>
    </row>
    <row r="1704" spans="1:5" x14ac:dyDescent="0.25">
      <c r="A1704" s="2" t="str">
        <f>HYPERLINK("spreadsheet/1702.xlsx", "1702.xlsx")</f>
        <v>1702.xlsx</v>
      </c>
      <c r="B1704" s="2">
        <v>1702</v>
      </c>
      <c r="C1704" t="s">
        <v>5</v>
      </c>
      <c r="D1704" t="s">
        <v>853</v>
      </c>
      <c r="E1704" t="s">
        <v>173</v>
      </c>
    </row>
    <row r="1705" spans="1:5" x14ac:dyDescent="0.25">
      <c r="A1705" s="2" t="str">
        <f>HYPERLINK("spreadsheet/1703.xlsx", "1703.xlsx")</f>
        <v>1703.xlsx</v>
      </c>
      <c r="B1705" s="2">
        <v>1703</v>
      </c>
      <c r="C1705" t="s">
        <v>10</v>
      </c>
      <c r="D1705" t="s">
        <v>853</v>
      </c>
      <c r="E1705" t="s">
        <v>173</v>
      </c>
    </row>
    <row r="1706" spans="1:5" x14ac:dyDescent="0.25">
      <c r="A1706" s="2" t="str">
        <f>HYPERLINK("spreadsheet/1704.xlsx", "1704.xlsx")</f>
        <v>1704.xlsx</v>
      </c>
      <c r="B1706" s="2">
        <v>1704</v>
      </c>
      <c r="C1706" t="s">
        <v>14</v>
      </c>
      <c r="D1706" t="s">
        <v>853</v>
      </c>
      <c r="E1706" t="s">
        <v>173</v>
      </c>
    </row>
    <row r="1707" spans="1:5" x14ac:dyDescent="0.25">
      <c r="A1707" s="2" t="str">
        <f>HYPERLINK("spreadsheet/1705.xlsx", "1705.xlsx")</f>
        <v>1705.xlsx</v>
      </c>
      <c r="B1707" s="2">
        <v>1705</v>
      </c>
      <c r="C1707" t="s">
        <v>15</v>
      </c>
      <c r="D1707" t="s">
        <v>853</v>
      </c>
      <c r="E1707" t="s">
        <v>173</v>
      </c>
    </row>
    <row r="1708" spans="1:5" x14ac:dyDescent="0.25">
      <c r="A1708" s="2" t="str">
        <f>HYPERLINK("spreadsheet/1706.xlsx", "1706.xlsx")</f>
        <v>1706.xlsx</v>
      </c>
      <c r="B1708" s="2">
        <v>1706</v>
      </c>
      <c r="C1708" t="s">
        <v>22</v>
      </c>
      <c r="D1708" t="s">
        <v>853</v>
      </c>
      <c r="E1708" t="s">
        <v>173</v>
      </c>
    </row>
    <row r="1709" spans="1:5" x14ac:dyDescent="0.25">
      <c r="A1709" s="2" t="str">
        <f>HYPERLINK("spreadsheet/1707.xlsx", "1707.xlsx")</f>
        <v>1707.xlsx</v>
      </c>
      <c r="B1709" s="2">
        <v>1707</v>
      </c>
      <c r="C1709" t="s">
        <v>24</v>
      </c>
      <c r="D1709" t="s">
        <v>853</v>
      </c>
      <c r="E1709" t="s">
        <v>173</v>
      </c>
    </row>
    <row r="1710" spans="1:5" x14ac:dyDescent="0.25">
      <c r="A1710" s="2" t="str">
        <f>HYPERLINK("spreadsheet/1708.xlsx", "1708.xlsx")</f>
        <v>1708.xlsx</v>
      </c>
      <c r="B1710" s="2">
        <v>1708</v>
      </c>
      <c r="C1710" t="s">
        <v>60</v>
      </c>
      <c r="D1710" t="s">
        <v>853</v>
      </c>
      <c r="E1710" t="s">
        <v>173</v>
      </c>
    </row>
    <row r="1711" spans="1:5" x14ac:dyDescent="0.25">
      <c r="A1711" s="2" t="str">
        <f>HYPERLINK("spreadsheet/1709.xlsx", "1709.xlsx")</f>
        <v>1709.xlsx</v>
      </c>
      <c r="B1711" s="2">
        <v>1709</v>
      </c>
      <c r="C1711" t="s">
        <v>5</v>
      </c>
      <c r="D1711" t="s">
        <v>854</v>
      </c>
      <c r="E1711" t="s">
        <v>164</v>
      </c>
    </row>
    <row r="1712" spans="1:5" x14ac:dyDescent="0.25">
      <c r="A1712" s="2" t="str">
        <f>HYPERLINK("spreadsheet/1710.xlsx", "1710.xlsx")</f>
        <v>1710.xlsx</v>
      </c>
      <c r="B1712" s="2">
        <v>1710</v>
      </c>
      <c r="C1712" t="s">
        <v>10</v>
      </c>
      <c r="D1712" t="s">
        <v>854</v>
      </c>
      <c r="E1712" t="s">
        <v>164</v>
      </c>
    </row>
    <row r="1713" spans="1:5" x14ac:dyDescent="0.25">
      <c r="A1713" s="2" t="str">
        <f>HYPERLINK("spreadsheet/1711.xlsx", "1711.xlsx")</f>
        <v>1711.xlsx</v>
      </c>
      <c r="B1713" s="2">
        <v>1711</v>
      </c>
      <c r="C1713" t="s">
        <v>14</v>
      </c>
      <c r="D1713" t="s">
        <v>854</v>
      </c>
      <c r="E1713" t="s">
        <v>164</v>
      </c>
    </row>
    <row r="1714" spans="1:5" x14ac:dyDescent="0.25">
      <c r="A1714" s="2" t="str">
        <f>HYPERLINK("spreadsheet/1712.xlsx", "1712.xlsx")</f>
        <v>1712.xlsx</v>
      </c>
      <c r="B1714" s="2">
        <v>1712</v>
      </c>
      <c r="C1714" t="s">
        <v>15</v>
      </c>
      <c r="D1714" t="s">
        <v>854</v>
      </c>
      <c r="E1714" t="s">
        <v>164</v>
      </c>
    </row>
    <row r="1715" spans="1:5" x14ac:dyDescent="0.25">
      <c r="A1715" s="2" t="str">
        <f>HYPERLINK("spreadsheet/1713.xlsx", "1713.xlsx")</f>
        <v>1713.xlsx</v>
      </c>
      <c r="B1715" s="2">
        <v>1713</v>
      </c>
      <c r="C1715" t="s">
        <v>22</v>
      </c>
      <c r="D1715" t="s">
        <v>854</v>
      </c>
      <c r="E1715" t="s">
        <v>164</v>
      </c>
    </row>
    <row r="1716" spans="1:5" x14ac:dyDescent="0.25">
      <c r="A1716" s="2" t="str">
        <f>HYPERLINK("spreadsheet/1714.xlsx", "1714.xlsx")</f>
        <v>1714.xlsx</v>
      </c>
      <c r="B1716" s="2">
        <v>1714</v>
      </c>
      <c r="C1716" t="s">
        <v>5</v>
      </c>
      <c r="D1716" t="s">
        <v>855</v>
      </c>
      <c r="E1716" t="s">
        <v>154</v>
      </c>
    </row>
    <row r="1717" spans="1:5" x14ac:dyDescent="0.25">
      <c r="A1717" s="2" t="str">
        <f>HYPERLINK("spreadsheet/1715.xlsx", "1715.xlsx")</f>
        <v>1715.xlsx</v>
      </c>
      <c r="B1717" s="2">
        <v>1715</v>
      </c>
      <c r="C1717" t="s">
        <v>10</v>
      </c>
      <c r="D1717" t="s">
        <v>855</v>
      </c>
      <c r="E1717" t="s">
        <v>154</v>
      </c>
    </row>
    <row r="1718" spans="1:5" x14ac:dyDescent="0.25">
      <c r="A1718" s="2" t="str">
        <f>HYPERLINK("spreadsheet/1716.xlsx", "1716.xlsx")</f>
        <v>1716.xlsx</v>
      </c>
      <c r="B1718" s="2">
        <v>1716</v>
      </c>
      <c r="C1718" t="s">
        <v>14</v>
      </c>
      <c r="D1718" t="s">
        <v>855</v>
      </c>
      <c r="E1718" t="s">
        <v>154</v>
      </c>
    </row>
    <row r="1719" spans="1:5" x14ac:dyDescent="0.25">
      <c r="A1719" s="2" t="str">
        <f>HYPERLINK("spreadsheet/1717.xlsx", "1717.xlsx")</f>
        <v>1717.xlsx</v>
      </c>
      <c r="B1719" s="2">
        <v>1717</v>
      </c>
      <c r="C1719" t="s">
        <v>281</v>
      </c>
      <c r="D1719" t="s">
        <v>855</v>
      </c>
      <c r="E1719" t="s">
        <v>154</v>
      </c>
    </row>
    <row r="1720" spans="1:5" x14ac:dyDescent="0.25">
      <c r="A1720" s="2" t="str">
        <f>HYPERLINK("spreadsheet/1718.xlsx", "1718.xlsx")</f>
        <v>1718.xlsx</v>
      </c>
      <c r="B1720" s="2">
        <v>1718</v>
      </c>
      <c r="C1720" t="s">
        <v>282</v>
      </c>
      <c r="D1720" t="s">
        <v>855</v>
      </c>
      <c r="E1720" t="s">
        <v>154</v>
      </c>
    </row>
    <row r="1721" spans="1:5" x14ac:dyDescent="0.25">
      <c r="A1721" s="2" t="str">
        <f>HYPERLINK("spreadsheet/1719.xlsx", "1719.xlsx")</f>
        <v>1719.xlsx</v>
      </c>
      <c r="B1721" s="2">
        <v>1719</v>
      </c>
      <c r="C1721" t="s">
        <v>5</v>
      </c>
      <c r="D1721" t="s">
        <v>856</v>
      </c>
      <c r="E1721" t="s">
        <v>173</v>
      </c>
    </row>
    <row r="1722" spans="1:5" x14ac:dyDescent="0.25">
      <c r="A1722" s="2" t="str">
        <f>HYPERLINK("spreadsheet/1720.xlsx", "1720.xlsx")</f>
        <v>1720.xlsx</v>
      </c>
      <c r="B1722" s="2">
        <v>1720</v>
      </c>
      <c r="C1722" t="s">
        <v>10</v>
      </c>
      <c r="D1722" t="s">
        <v>856</v>
      </c>
      <c r="E1722" t="s">
        <v>173</v>
      </c>
    </row>
    <row r="1723" spans="1:5" x14ac:dyDescent="0.25">
      <c r="A1723" s="2" t="str">
        <f>HYPERLINK("spreadsheet/1721.xlsx", "1721.xlsx")</f>
        <v>1721.xlsx</v>
      </c>
      <c r="B1723" s="2">
        <v>1721</v>
      </c>
      <c r="C1723" t="s">
        <v>14</v>
      </c>
      <c r="D1723" t="s">
        <v>856</v>
      </c>
      <c r="E1723" t="s">
        <v>173</v>
      </c>
    </row>
    <row r="1724" spans="1:5" x14ac:dyDescent="0.25">
      <c r="A1724" s="2" t="str">
        <f>HYPERLINK("spreadsheet/1722.xlsx", "1722.xlsx")</f>
        <v>1722.xlsx</v>
      </c>
      <c r="B1724" s="2">
        <v>1722</v>
      </c>
      <c r="C1724" t="s">
        <v>15</v>
      </c>
      <c r="D1724" t="s">
        <v>856</v>
      </c>
      <c r="E1724" t="s">
        <v>173</v>
      </c>
    </row>
    <row r="1725" spans="1:5" x14ac:dyDescent="0.25">
      <c r="A1725" s="2" t="str">
        <f>HYPERLINK("spreadsheet/1723.xlsx", "1723.xlsx")</f>
        <v>1723.xlsx</v>
      </c>
      <c r="B1725" s="2">
        <v>1723</v>
      </c>
      <c r="C1725" t="s">
        <v>22</v>
      </c>
      <c r="D1725" t="s">
        <v>856</v>
      </c>
      <c r="E1725" t="s">
        <v>173</v>
      </c>
    </row>
    <row r="1726" spans="1:5" x14ac:dyDescent="0.25">
      <c r="A1726" s="2" t="str">
        <f>HYPERLINK("spreadsheet/1724.xlsx", "1724.xlsx")</f>
        <v>1724.xlsx</v>
      </c>
      <c r="B1726" s="2">
        <v>1724</v>
      </c>
      <c r="C1726" t="s">
        <v>24</v>
      </c>
      <c r="D1726" t="s">
        <v>856</v>
      </c>
      <c r="E1726" t="s">
        <v>173</v>
      </c>
    </row>
    <row r="1727" spans="1:5" x14ac:dyDescent="0.25">
      <c r="A1727" s="2" t="str">
        <f>HYPERLINK("spreadsheet/1725.xlsx", "1725.xlsx")</f>
        <v>1725.xlsx</v>
      </c>
      <c r="B1727" s="2">
        <v>1725</v>
      </c>
      <c r="C1727" t="s">
        <v>60</v>
      </c>
      <c r="D1727" t="s">
        <v>856</v>
      </c>
      <c r="E1727" t="s">
        <v>173</v>
      </c>
    </row>
    <row r="1728" spans="1:5" x14ac:dyDescent="0.25">
      <c r="A1728" s="2" t="s">
        <v>857</v>
      </c>
      <c r="B1728" s="2">
        <v>1726</v>
      </c>
      <c r="C1728" t="s">
        <v>44</v>
      </c>
      <c r="D1728" t="s">
        <v>856</v>
      </c>
      <c r="E1728" t="s">
        <v>173</v>
      </c>
    </row>
    <row r="1729" spans="1:5" x14ac:dyDescent="0.25">
      <c r="A1729" s="2" t="str">
        <f>HYPERLINK("spreadsheet/1727.xlsx", "1727.xlsx")</f>
        <v>1727.xlsx</v>
      </c>
      <c r="B1729" s="2">
        <v>1727</v>
      </c>
      <c r="C1729" t="s">
        <v>5</v>
      </c>
      <c r="D1729" t="s">
        <v>858</v>
      </c>
      <c r="E1729" t="s">
        <v>126</v>
      </c>
    </row>
    <row r="1730" spans="1:5" x14ac:dyDescent="0.25">
      <c r="A1730" s="2" t="str">
        <f>HYPERLINK("spreadsheet/1728.xlsx", "1728.xlsx")</f>
        <v>1728.xlsx</v>
      </c>
      <c r="B1730" s="2">
        <v>1728</v>
      </c>
      <c r="C1730" t="s">
        <v>10</v>
      </c>
      <c r="D1730" t="s">
        <v>858</v>
      </c>
      <c r="E1730" t="s">
        <v>126</v>
      </c>
    </row>
    <row r="1731" spans="1:5" x14ac:dyDescent="0.25">
      <c r="A1731" s="2" t="str">
        <f>HYPERLINK("spreadsheet/1729.xlsx", "1729.xlsx")</f>
        <v>1729.xlsx</v>
      </c>
      <c r="B1731" s="2">
        <v>1729</v>
      </c>
      <c r="C1731" t="s">
        <v>15</v>
      </c>
      <c r="D1731" t="s">
        <v>858</v>
      </c>
      <c r="E1731" t="s">
        <v>126</v>
      </c>
    </row>
    <row r="1732" spans="1:5" x14ac:dyDescent="0.25">
      <c r="A1732" s="2" t="s">
        <v>859</v>
      </c>
      <c r="B1732" s="2">
        <v>1730</v>
      </c>
      <c r="C1732" t="s">
        <v>5</v>
      </c>
      <c r="D1732" t="s">
        <v>860</v>
      </c>
      <c r="E1732" t="s">
        <v>115</v>
      </c>
    </row>
    <row r="1733" spans="1:5" x14ac:dyDescent="0.25">
      <c r="A1733" s="2" t="str">
        <f>HYPERLINK("spreadsheet/1731.xlsx", "1731.xlsx")</f>
        <v>1731.xlsx</v>
      </c>
      <c r="B1733" s="2">
        <v>1731</v>
      </c>
      <c r="C1733" t="s">
        <v>5</v>
      </c>
      <c r="D1733" t="s">
        <v>861</v>
      </c>
      <c r="E1733" t="s">
        <v>115</v>
      </c>
    </row>
    <row r="1734" spans="1:5" x14ac:dyDescent="0.25">
      <c r="A1734" s="2" t="str">
        <f>HYPERLINK("spreadsheet/1732.xlsx", "1732.xlsx")</f>
        <v>1732.xlsx</v>
      </c>
      <c r="B1734" s="2">
        <v>1732</v>
      </c>
      <c r="C1734" t="s">
        <v>10</v>
      </c>
      <c r="D1734" t="s">
        <v>861</v>
      </c>
      <c r="E1734" t="s">
        <v>115</v>
      </c>
    </row>
    <row r="1735" spans="1:5" x14ac:dyDescent="0.25">
      <c r="A1735" s="2" t="str">
        <f>HYPERLINK("spreadsheet/1733.xlsx", "1733.xlsx")</f>
        <v>1733.xlsx</v>
      </c>
      <c r="B1735" s="2">
        <v>1733</v>
      </c>
      <c r="C1735" t="s">
        <v>14</v>
      </c>
      <c r="D1735" t="s">
        <v>861</v>
      </c>
      <c r="E1735" t="s">
        <v>115</v>
      </c>
    </row>
    <row r="1736" spans="1:5" x14ac:dyDescent="0.25">
      <c r="A1736" s="2" t="str">
        <f>HYPERLINK("spreadsheet/1734.xlsx", "1734.xlsx")</f>
        <v>1734.xlsx</v>
      </c>
      <c r="B1736" s="2">
        <v>1734</v>
      </c>
      <c r="C1736" t="s">
        <v>15</v>
      </c>
      <c r="D1736" t="s">
        <v>861</v>
      </c>
      <c r="E1736" t="s">
        <v>115</v>
      </c>
    </row>
    <row r="1737" spans="1:5" x14ac:dyDescent="0.25">
      <c r="A1737" s="2" t="str">
        <f>HYPERLINK("spreadsheet/1735.xlsx", "1735.xlsx")</f>
        <v>1735.xlsx</v>
      </c>
      <c r="B1737" s="2">
        <v>1735</v>
      </c>
      <c r="C1737" t="s">
        <v>22</v>
      </c>
      <c r="D1737" t="s">
        <v>861</v>
      </c>
      <c r="E1737" t="s">
        <v>115</v>
      </c>
    </row>
    <row r="1738" spans="1:5" x14ac:dyDescent="0.25">
      <c r="A1738" s="2" t="str">
        <f>HYPERLINK("spreadsheet/1736.xlsx", "1736.xlsx")</f>
        <v>1736.xlsx</v>
      </c>
      <c r="B1738" s="2">
        <v>1736</v>
      </c>
      <c r="C1738" t="s">
        <v>5</v>
      </c>
      <c r="D1738" t="s">
        <v>862</v>
      </c>
      <c r="E1738" t="s">
        <v>126</v>
      </c>
    </row>
    <row r="1739" spans="1:5" x14ac:dyDescent="0.25">
      <c r="A1739" s="2" t="str">
        <f>HYPERLINK("spreadsheet/1737.xlsx", "1737.xlsx")</f>
        <v>1737.xlsx</v>
      </c>
      <c r="B1739" s="2">
        <v>1737</v>
      </c>
      <c r="C1739" t="s">
        <v>10</v>
      </c>
      <c r="D1739" t="s">
        <v>862</v>
      </c>
      <c r="E1739" t="s">
        <v>126</v>
      </c>
    </row>
    <row r="1740" spans="1:5" x14ac:dyDescent="0.25">
      <c r="A1740" s="2" t="str">
        <f>HYPERLINK("spreadsheet/1738.xlsx", "1738.xlsx")</f>
        <v>1738.xlsx</v>
      </c>
      <c r="B1740" s="2">
        <v>1738</v>
      </c>
      <c r="C1740" t="s">
        <v>863</v>
      </c>
      <c r="D1740" t="s">
        <v>862</v>
      </c>
      <c r="E1740" t="s">
        <v>126</v>
      </c>
    </row>
    <row r="1741" spans="1:5" x14ac:dyDescent="0.25">
      <c r="A1741" s="2" t="str">
        <f>HYPERLINK("spreadsheet/1739.xlsx", "1739.xlsx")</f>
        <v>1739.xlsx</v>
      </c>
      <c r="B1741" s="2">
        <v>1739</v>
      </c>
      <c r="C1741" t="s">
        <v>462</v>
      </c>
      <c r="D1741" t="s">
        <v>862</v>
      </c>
      <c r="E1741" t="s">
        <v>126</v>
      </c>
    </row>
    <row r="1742" spans="1:5" x14ac:dyDescent="0.25">
      <c r="A1742" s="2" t="str">
        <f>HYPERLINK("spreadsheet/1740.xlsx", "1740.xlsx")</f>
        <v>1740.xlsx</v>
      </c>
      <c r="B1742" s="2">
        <v>1740</v>
      </c>
      <c r="C1742" t="s">
        <v>15</v>
      </c>
      <c r="D1742" t="s">
        <v>862</v>
      </c>
      <c r="E1742" t="s">
        <v>126</v>
      </c>
    </row>
    <row r="1743" spans="1:5" x14ac:dyDescent="0.25">
      <c r="A1743" s="2" t="str">
        <f>HYPERLINK("spreadsheet/1741.xlsx", "1741.xlsx")</f>
        <v>1741.xlsx</v>
      </c>
      <c r="B1743" s="2">
        <v>1741</v>
      </c>
      <c r="C1743" t="s">
        <v>22</v>
      </c>
      <c r="D1743" t="s">
        <v>862</v>
      </c>
      <c r="E1743" t="s">
        <v>126</v>
      </c>
    </row>
    <row r="1744" spans="1:5" x14ac:dyDescent="0.25">
      <c r="A1744" s="2" t="str">
        <f>HYPERLINK("spreadsheet/1742.xlsx", "1742.xlsx")</f>
        <v>1742.xlsx</v>
      </c>
      <c r="B1744" s="2">
        <v>1742</v>
      </c>
      <c r="C1744" t="s">
        <v>10</v>
      </c>
      <c r="D1744" t="s">
        <v>864</v>
      </c>
      <c r="E1744" t="s">
        <v>208</v>
      </c>
    </row>
    <row r="1745" spans="1:5" x14ac:dyDescent="0.25">
      <c r="A1745" s="2" t="str">
        <f>HYPERLINK("spreadsheet/1743.xlsx", "1743.xlsx")</f>
        <v>1743.xlsx</v>
      </c>
      <c r="B1745" s="2">
        <v>1743</v>
      </c>
      <c r="C1745" t="s">
        <v>5</v>
      </c>
      <c r="D1745" t="s">
        <v>865</v>
      </c>
      <c r="E1745" t="s">
        <v>126</v>
      </c>
    </row>
    <row r="1746" spans="1:5" x14ac:dyDescent="0.25">
      <c r="A1746" s="2" t="str">
        <f>HYPERLINK("spreadsheet/1744.xlsx", "1744.xlsx")</f>
        <v>1744.xlsx</v>
      </c>
      <c r="B1746" s="2">
        <v>1744</v>
      </c>
      <c r="C1746" t="s">
        <v>10</v>
      </c>
      <c r="D1746" t="s">
        <v>865</v>
      </c>
      <c r="E1746" t="s">
        <v>126</v>
      </c>
    </row>
    <row r="1747" spans="1:5" x14ac:dyDescent="0.25">
      <c r="A1747" s="2" t="str">
        <f>HYPERLINK("spreadsheet/1745.xlsx", "1745.xlsx")</f>
        <v>1745.xlsx</v>
      </c>
      <c r="B1747" s="2">
        <v>1745</v>
      </c>
      <c r="C1747" t="s">
        <v>14</v>
      </c>
      <c r="D1747" t="s">
        <v>865</v>
      </c>
      <c r="E1747" t="s">
        <v>126</v>
      </c>
    </row>
    <row r="1748" spans="1:5" x14ac:dyDescent="0.25">
      <c r="A1748" s="2" t="str">
        <f>HYPERLINK("spreadsheet/1746.xlsx", "1746.xlsx")</f>
        <v>1746.xlsx</v>
      </c>
      <c r="B1748" s="2">
        <v>1746</v>
      </c>
      <c r="C1748" t="s">
        <v>15</v>
      </c>
      <c r="D1748" t="s">
        <v>865</v>
      </c>
      <c r="E1748" t="s">
        <v>126</v>
      </c>
    </row>
    <row r="1749" spans="1:5" x14ac:dyDescent="0.25">
      <c r="A1749" s="2" t="str">
        <f>HYPERLINK("spreadsheet/1747.xlsx", "1747.xlsx")</f>
        <v>1747.xlsx</v>
      </c>
      <c r="B1749" s="2">
        <v>1747</v>
      </c>
      <c r="C1749" t="s">
        <v>22</v>
      </c>
      <c r="D1749" t="s">
        <v>865</v>
      </c>
      <c r="E1749" t="s">
        <v>126</v>
      </c>
    </row>
    <row r="1750" spans="1:5" x14ac:dyDescent="0.25">
      <c r="A1750" s="2" t="s">
        <v>866</v>
      </c>
      <c r="B1750" s="2">
        <v>1748</v>
      </c>
      <c r="C1750" t="s">
        <v>517</v>
      </c>
      <c r="D1750" t="s">
        <v>867</v>
      </c>
      <c r="E1750" t="s">
        <v>160</v>
      </c>
    </row>
    <row r="1751" spans="1:5" x14ac:dyDescent="0.25">
      <c r="A1751" s="2" t="s">
        <v>868</v>
      </c>
      <c r="B1751" s="2">
        <v>1749</v>
      </c>
      <c r="C1751" t="s">
        <v>519</v>
      </c>
      <c r="D1751" t="s">
        <v>867</v>
      </c>
      <c r="E1751" t="s">
        <v>160</v>
      </c>
    </row>
    <row r="1752" spans="1:5" x14ac:dyDescent="0.25">
      <c r="A1752" s="2" t="str">
        <f>HYPERLINK("spreadsheet/1750.xlsx", "1750.xlsx")</f>
        <v>1750.xlsx</v>
      </c>
      <c r="B1752" s="2">
        <v>1750</v>
      </c>
      <c r="C1752" t="s">
        <v>520</v>
      </c>
      <c r="D1752" t="s">
        <v>867</v>
      </c>
      <c r="E1752" t="s">
        <v>160</v>
      </c>
    </row>
    <row r="1753" spans="1:5" x14ac:dyDescent="0.25">
      <c r="A1753" s="2" t="str">
        <f>HYPERLINK("spreadsheet/1751.xlsx", "1751.xlsx")</f>
        <v>1751.xlsx</v>
      </c>
      <c r="B1753" s="2">
        <v>1751</v>
      </c>
      <c r="C1753" t="s">
        <v>869</v>
      </c>
      <c r="D1753" t="s">
        <v>867</v>
      </c>
      <c r="E1753" t="s">
        <v>160</v>
      </c>
    </row>
    <row r="1754" spans="1:5" x14ac:dyDescent="0.25">
      <c r="A1754" s="2" t="s">
        <v>870</v>
      </c>
      <c r="B1754" s="2">
        <v>1752</v>
      </c>
      <c r="C1754" t="s">
        <v>871</v>
      </c>
      <c r="D1754" t="s">
        <v>867</v>
      </c>
      <c r="E1754" t="s">
        <v>160</v>
      </c>
    </row>
    <row r="1755" spans="1:5" x14ac:dyDescent="0.25">
      <c r="A1755" s="2" t="str">
        <f>HYPERLINK("spreadsheet/1753.xlsx", "1753.xlsx")</f>
        <v>1753.xlsx</v>
      </c>
      <c r="B1755" s="2">
        <v>1753</v>
      </c>
      <c r="C1755" t="s">
        <v>872</v>
      </c>
      <c r="D1755" t="s">
        <v>867</v>
      </c>
      <c r="E1755" t="s">
        <v>160</v>
      </c>
    </row>
    <row r="1756" spans="1:5" x14ac:dyDescent="0.25">
      <c r="A1756" s="2" t="s">
        <v>873</v>
      </c>
      <c r="B1756" s="2">
        <v>1754</v>
      </c>
      <c r="C1756" t="s">
        <v>874</v>
      </c>
      <c r="D1756" t="s">
        <v>867</v>
      </c>
      <c r="E1756" t="s">
        <v>160</v>
      </c>
    </row>
    <row r="1757" spans="1:5" x14ac:dyDescent="0.25">
      <c r="A1757" s="2" t="s">
        <v>875</v>
      </c>
      <c r="B1757" s="2">
        <v>1755</v>
      </c>
      <c r="C1757" t="s">
        <v>876</v>
      </c>
      <c r="D1757" t="s">
        <v>867</v>
      </c>
      <c r="E1757" t="s">
        <v>160</v>
      </c>
    </row>
    <row r="1758" spans="1:5" x14ac:dyDescent="0.25">
      <c r="A1758" s="2" t="s">
        <v>877</v>
      </c>
      <c r="B1758" s="2">
        <v>1756</v>
      </c>
      <c r="C1758" t="s">
        <v>878</v>
      </c>
      <c r="D1758" t="s">
        <v>867</v>
      </c>
      <c r="E1758" t="s">
        <v>160</v>
      </c>
    </row>
    <row r="1759" spans="1:5" x14ac:dyDescent="0.25">
      <c r="A1759" s="2" t="s">
        <v>879</v>
      </c>
      <c r="B1759" s="2">
        <v>1757</v>
      </c>
      <c r="C1759" t="s">
        <v>880</v>
      </c>
      <c r="D1759" t="s">
        <v>867</v>
      </c>
      <c r="E1759" t="s">
        <v>160</v>
      </c>
    </row>
    <row r="1760" spans="1:5" x14ac:dyDescent="0.25">
      <c r="A1760" s="2" t="s">
        <v>881</v>
      </c>
      <c r="B1760" s="2">
        <v>1758</v>
      </c>
      <c r="C1760" t="s">
        <v>882</v>
      </c>
      <c r="D1760" t="s">
        <v>867</v>
      </c>
      <c r="E1760" t="s">
        <v>160</v>
      </c>
    </row>
    <row r="1761" spans="1:5" x14ac:dyDescent="0.25">
      <c r="A1761" s="2" t="str">
        <f>HYPERLINK("spreadsheet/1759.xlsx", "1759.xlsx")</f>
        <v>1759.xlsx</v>
      </c>
      <c r="B1761" s="2">
        <v>1759</v>
      </c>
      <c r="C1761" t="s">
        <v>883</v>
      </c>
      <c r="D1761" t="s">
        <v>867</v>
      </c>
      <c r="E1761" t="s">
        <v>160</v>
      </c>
    </row>
    <row r="1762" spans="1:5" x14ac:dyDescent="0.25">
      <c r="A1762" s="2" t="str">
        <f>HYPERLINK("spreadsheet/1760.xlsx", "1760.xlsx")</f>
        <v>1760.xlsx</v>
      </c>
      <c r="B1762" s="2">
        <v>1760</v>
      </c>
      <c r="C1762" t="s">
        <v>884</v>
      </c>
      <c r="D1762" t="s">
        <v>867</v>
      </c>
      <c r="E1762" t="s">
        <v>160</v>
      </c>
    </row>
    <row r="1763" spans="1:5" x14ac:dyDescent="0.25">
      <c r="A1763" s="2" t="s">
        <v>885</v>
      </c>
      <c r="B1763" s="2">
        <v>1761</v>
      </c>
      <c r="C1763" t="s">
        <v>886</v>
      </c>
      <c r="D1763" t="s">
        <v>867</v>
      </c>
      <c r="E1763" t="s">
        <v>160</v>
      </c>
    </row>
    <row r="1764" spans="1:5" x14ac:dyDescent="0.25">
      <c r="A1764" s="2" t="s">
        <v>887</v>
      </c>
      <c r="B1764" s="2">
        <v>1762</v>
      </c>
      <c r="C1764" t="s">
        <v>521</v>
      </c>
      <c r="D1764" t="s">
        <v>867</v>
      </c>
      <c r="E1764" t="s">
        <v>160</v>
      </c>
    </row>
    <row r="1765" spans="1:5" x14ac:dyDescent="0.25">
      <c r="A1765" s="2" t="s">
        <v>888</v>
      </c>
      <c r="B1765" s="2">
        <v>1763</v>
      </c>
      <c r="C1765" t="s">
        <v>522</v>
      </c>
      <c r="D1765" t="s">
        <v>867</v>
      </c>
      <c r="E1765" t="s">
        <v>160</v>
      </c>
    </row>
    <row r="1766" spans="1:5" x14ac:dyDescent="0.25">
      <c r="A1766" s="2" t="str">
        <f>HYPERLINK("spreadsheet/1764.xlsx", "1764.xlsx")</f>
        <v>1764.xlsx</v>
      </c>
      <c r="B1766" s="2">
        <v>1764</v>
      </c>
      <c r="C1766" t="s">
        <v>889</v>
      </c>
      <c r="D1766" t="s">
        <v>867</v>
      </c>
      <c r="E1766" t="s">
        <v>160</v>
      </c>
    </row>
    <row r="1767" spans="1:5" x14ac:dyDescent="0.25">
      <c r="A1767" s="2" t="str">
        <f>HYPERLINK("spreadsheet/1765.xlsx", "1765.xlsx")</f>
        <v>1765.xlsx</v>
      </c>
      <c r="B1767" s="2">
        <v>1765</v>
      </c>
      <c r="C1767" t="s">
        <v>890</v>
      </c>
      <c r="D1767" t="s">
        <v>867</v>
      </c>
      <c r="E1767" t="s">
        <v>160</v>
      </c>
    </row>
    <row r="1768" spans="1:5" x14ac:dyDescent="0.25">
      <c r="A1768" s="2" t="s">
        <v>891</v>
      </c>
      <c r="B1768" s="2">
        <v>1766</v>
      </c>
      <c r="C1768" t="s">
        <v>892</v>
      </c>
      <c r="D1768" t="s">
        <v>867</v>
      </c>
      <c r="E1768" t="s">
        <v>160</v>
      </c>
    </row>
    <row r="1769" spans="1:5" x14ac:dyDescent="0.25">
      <c r="A1769" s="2" t="str">
        <f>HYPERLINK("spreadsheet/1767.xlsx", "1767.xlsx")</f>
        <v>1767.xlsx</v>
      </c>
      <c r="B1769" s="2">
        <v>1767</v>
      </c>
      <c r="C1769" t="s">
        <v>893</v>
      </c>
      <c r="D1769" t="s">
        <v>867</v>
      </c>
      <c r="E1769" t="s">
        <v>160</v>
      </c>
    </row>
    <row r="1770" spans="1:5" x14ac:dyDescent="0.25">
      <c r="A1770" s="2" t="str">
        <f>HYPERLINK("spreadsheet/1768.xlsx", "1768.xlsx")</f>
        <v>1768.xlsx</v>
      </c>
      <c r="B1770" s="2">
        <v>1768</v>
      </c>
      <c r="C1770" t="s">
        <v>894</v>
      </c>
      <c r="D1770" t="s">
        <v>867</v>
      </c>
      <c r="E1770" t="s">
        <v>160</v>
      </c>
    </row>
    <row r="1771" spans="1:5" x14ac:dyDescent="0.25">
      <c r="A1771" s="2" t="str">
        <f>HYPERLINK("spreadsheet/1769.xlsx", "1769.xlsx")</f>
        <v>1769.xlsx</v>
      </c>
      <c r="B1771" s="2">
        <v>1769</v>
      </c>
      <c r="C1771" t="s">
        <v>895</v>
      </c>
      <c r="D1771" t="s">
        <v>867</v>
      </c>
      <c r="E1771" t="s">
        <v>160</v>
      </c>
    </row>
    <row r="1772" spans="1:5" x14ac:dyDescent="0.25">
      <c r="A1772" s="2" t="s">
        <v>896</v>
      </c>
      <c r="B1772" s="2">
        <v>1770</v>
      </c>
      <c r="C1772" t="s">
        <v>897</v>
      </c>
      <c r="D1772" t="s">
        <v>867</v>
      </c>
      <c r="E1772" t="s">
        <v>160</v>
      </c>
    </row>
    <row r="1773" spans="1:5" x14ac:dyDescent="0.25">
      <c r="A1773" s="2" t="str">
        <f>HYPERLINK("spreadsheet/1771.xlsx", "1771.xlsx")</f>
        <v>1771.xlsx</v>
      </c>
      <c r="B1773" s="2">
        <v>1771</v>
      </c>
      <c r="C1773" t="s">
        <v>523</v>
      </c>
      <c r="D1773" t="s">
        <v>867</v>
      </c>
      <c r="E1773" t="s">
        <v>160</v>
      </c>
    </row>
    <row r="1774" spans="1:5" x14ac:dyDescent="0.25">
      <c r="A1774" s="2" t="s">
        <v>898</v>
      </c>
      <c r="B1774" s="2">
        <v>1772</v>
      </c>
      <c r="C1774" t="s">
        <v>525</v>
      </c>
      <c r="D1774" t="s">
        <v>867</v>
      </c>
      <c r="E1774" t="s">
        <v>160</v>
      </c>
    </row>
    <row r="1775" spans="1:5" x14ac:dyDescent="0.25">
      <c r="A1775" s="2" t="s">
        <v>899</v>
      </c>
      <c r="B1775" s="2">
        <v>1773</v>
      </c>
      <c r="C1775" t="s">
        <v>526</v>
      </c>
      <c r="D1775" t="s">
        <v>867</v>
      </c>
      <c r="E1775" t="s">
        <v>160</v>
      </c>
    </row>
    <row r="1776" spans="1:5" x14ac:dyDescent="0.25">
      <c r="A1776" s="2" t="str">
        <f>HYPERLINK("spreadsheet/1774.xlsx", "1774.xlsx")</f>
        <v>1774.xlsx</v>
      </c>
      <c r="B1776" s="2">
        <v>1774</v>
      </c>
      <c r="C1776" t="s">
        <v>407</v>
      </c>
      <c r="D1776" t="s">
        <v>867</v>
      </c>
      <c r="E1776" t="s">
        <v>160</v>
      </c>
    </row>
    <row r="1777" spans="1:5" x14ac:dyDescent="0.25">
      <c r="A1777" s="2" t="s">
        <v>900</v>
      </c>
      <c r="B1777" s="2">
        <v>1775</v>
      </c>
      <c r="C1777" t="s">
        <v>5</v>
      </c>
      <c r="D1777" t="s">
        <v>901</v>
      </c>
      <c r="E1777" t="s">
        <v>902</v>
      </c>
    </row>
    <row r="1778" spans="1:5" x14ac:dyDescent="0.25">
      <c r="A1778" s="2" t="str">
        <f>HYPERLINK("spreadsheet/1776.xlsx", "1776.xlsx")</f>
        <v>1776.xlsx</v>
      </c>
      <c r="B1778" s="2">
        <v>1776</v>
      </c>
      <c r="C1778" t="s">
        <v>10</v>
      </c>
      <c r="D1778" t="s">
        <v>901</v>
      </c>
      <c r="E1778" t="s">
        <v>902</v>
      </c>
    </row>
    <row r="1779" spans="1:5" x14ac:dyDescent="0.25">
      <c r="A1779" s="2" t="str">
        <f>HYPERLINK("spreadsheet/1777.xlsx", "1777.xlsx")</f>
        <v>1777.xlsx</v>
      </c>
      <c r="B1779" s="2">
        <v>1777</v>
      </c>
      <c r="C1779" t="s">
        <v>14</v>
      </c>
      <c r="D1779" t="s">
        <v>901</v>
      </c>
      <c r="E1779" t="s">
        <v>902</v>
      </c>
    </row>
    <row r="1780" spans="1:5" x14ac:dyDescent="0.25">
      <c r="A1780" s="2" t="str">
        <f>HYPERLINK("spreadsheet/1778.xlsx", "1778.xlsx")</f>
        <v>1778.xlsx</v>
      </c>
      <c r="B1780" s="2">
        <v>1778</v>
      </c>
      <c r="C1780" t="s">
        <v>5</v>
      </c>
      <c r="D1780" t="s">
        <v>903</v>
      </c>
      <c r="E1780" t="s">
        <v>319</v>
      </c>
    </row>
    <row r="1781" spans="1:5" x14ac:dyDescent="0.25">
      <c r="A1781" s="2" t="str">
        <f>HYPERLINK("spreadsheet/1779.xlsx", "1779.xlsx")</f>
        <v>1779.xlsx</v>
      </c>
      <c r="B1781" s="2">
        <v>1779</v>
      </c>
      <c r="C1781" t="s">
        <v>5</v>
      </c>
      <c r="D1781" t="s">
        <v>904</v>
      </c>
      <c r="E1781" t="s">
        <v>150</v>
      </c>
    </row>
    <row r="1782" spans="1:5" x14ac:dyDescent="0.25">
      <c r="A1782" s="2" t="str">
        <f>HYPERLINK("spreadsheet/1780.xlsx", "1780.xlsx")</f>
        <v>1780.xlsx</v>
      </c>
      <c r="B1782" s="2">
        <v>1780</v>
      </c>
      <c r="C1782" t="s">
        <v>10</v>
      </c>
      <c r="D1782" t="s">
        <v>904</v>
      </c>
      <c r="E1782" t="s">
        <v>150</v>
      </c>
    </row>
    <row r="1783" spans="1:5" x14ac:dyDescent="0.25">
      <c r="A1783" s="2" t="str">
        <f>HYPERLINK("spreadsheet/1781.xlsx", "1781.xlsx")</f>
        <v>1781.xlsx</v>
      </c>
      <c r="B1783" s="2">
        <v>1781</v>
      </c>
      <c r="C1783" t="s">
        <v>14</v>
      </c>
      <c r="D1783" t="s">
        <v>904</v>
      </c>
      <c r="E1783" t="s">
        <v>150</v>
      </c>
    </row>
    <row r="1784" spans="1:5" x14ac:dyDescent="0.25">
      <c r="A1784" s="2" t="str">
        <f>HYPERLINK("spreadsheet/1782.xlsx", "1782.xlsx")</f>
        <v>1782.xlsx</v>
      </c>
      <c r="B1784" s="2">
        <v>1782</v>
      </c>
      <c r="C1784" t="s">
        <v>5</v>
      </c>
      <c r="D1784" t="s">
        <v>905</v>
      </c>
      <c r="E1784" t="s">
        <v>150</v>
      </c>
    </row>
    <row r="1785" spans="1:5" x14ac:dyDescent="0.25">
      <c r="A1785" s="2" t="str">
        <f>HYPERLINK("spreadsheet/1783.xlsx", "1783.xlsx")</f>
        <v>1783.xlsx</v>
      </c>
      <c r="B1785" s="2">
        <v>1783</v>
      </c>
      <c r="C1785" t="s">
        <v>10</v>
      </c>
      <c r="D1785" t="s">
        <v>905</v>
      </c>
      <c r="E1785" t="s">
        <v>150</v>
      </c>
    </row>
    <row r="1786" spans="1:5" x14ac:dyDescent="0.25">
      <c r="A1786" s="2" t="str">
        <f>HYPERLINK("spreadsheet/1784.xlsx", "1784.xlsx")</f>
        <v>1784.xlsx</v>
      </c>
      <c r="B1786" s="2">
        <v>1784</v>
      </c>
      <c r="C1786" t="s">
        <v>14</v>
      </c>
      <c r="D1786" t="s">
        <v>905</v>
      </c>
      <c r="E1786" t="s">
        <v>150</v>
      </c>
    </row>
    <row r="1787" spans="1:5" x14ac:dyDescent="0.25">
      <c r="A1787" s="2" t="str">
        <f>HYPERLINK("spreadsheet/1785.xlsx", "1785.xlsx")</f>
        <v>1785.xlsx</v>
      </c>
      <c r="B1787" s="2">
        <v>1785</v>
      </c>
      <c r="C1787" t="s">
        <v>15</v>
      </c>
      <c r="D1787" t="s">
        <v>905</v>
      </c>
      <c r="E1787" t="s">
        <v>150</v>
      </c>
    </row>
    <row r="1788" spans="1:5" x14ac:dyDescent="0.25">
      <c r="A1788" s="2" t="str">
        <f>HYPERLINK("spreadsheet/1786.xlsx", "1786.xlsx")</f>
        <v>1786.xlsx</v>
      </c>
      <c r="B1788" s="2">
        <v>1786</v>
      </c>
      <c r="C1788" t="s">
        <v>45</v>
      </c>
      <c r="D1788" t="s">
        <v>905</v>
      </c>
      <c r="E1788" t="s">
        <v>150</v>
      </c>
    </row>
    <row r="1789" spans="1:5" x14ac:dyDescent="0.25">
      <c r="A1789" s="2" t="str">
        <f>HYPERLINK("spreadsheet/1787.xlsx", "1787.xlsx")</f>
        <v>1787.xlsx</v>
      </c>
      <c r="B1789" s="2">
        <v>1787</v>
      </c>
      <c r="C1789" t="s">
        <v>46</v>
      </c>
      <c r="D1789" t="s">
        <v>905</v>
      </c>
      <c r="E1789" t="s">
        <v>150</v>
      </c>
    </row>
    <row r="1790" spans="1:5" x14ac:dyDescent="0.25">
      <c r="A1790" s="2" t="str">
        <f>HYPERLINK("spreadsheet/1788.xlsx", "1788.xlsx")</f>
        <v>1788.xlsx</v>
      </c>
      <c r="B1790" s="2">
        <v>1788</v>
      </c>
      <c r="C1790" t="s">
        <v>47</v>
      </c>
      <c r="D1790" t="s">
        <v>905</v>
      </c>
      <c r="E1790" t="s">
        <v>150</v>
      </c>
    </row>
    <row r="1791" spans="1:5" x14ac:dyDescent="0.25">
      <c r="A1791" s="2" t="str">
        <f>HYPERLINK("spreadsheet/1789.xlsx", "1789.xlsx")</f>
        <v>1789.xlsx</v>
      </c>
      <c r="B1791" s="2">
        <v>1789</v>
      </c>
      <c r="C1791" t="s">
        <v>48</v>
      </c>
      <c r="D1791" t="s">
        <v>905</v>
      </c>
      <c r="E1791" t="s">
        <v>150</v>
      </c>
    </row>
    <row r="1792" spans="1:5" x14ac:dyDescent="0.25">
      <c r="A1792" s="2" t="str">
        <f>HYPERLINK("spreadsheet/1790.xlsx", "1790.xlsx")</f>
        <v>1790.xlsx</v>
      </c>
      <c r="B1792" s="2">
        <v>1790</v>
      </c>
      <c r="C1792" t="s">
        <v>49</v>
      </c>
      <c r="D1792" t="s">
        <v>905</v>
      </c>
      <c r="E1792" t="s">
        <v>150</v>
      </c>
    </row>
    <row r="1793" spans="1:5" x14ac:dyDescent="0.25">
      <c r="A1793" s="2" t="str">
        <f>HYPERLINK("spreadsheet/1791.xlsx", "1791.xlsx")</f>
        <v>1791.xlsx</v>
      </c>
      <c r="B1793" s="2">
        <v>1791</v>
      </c>
      <c r="C1793" t="s">
        <v>50</v>
      </c>
      <c r="D1793" t="s">
        <v>905</v>
      </c>
      <c r="E1793" t="s">
        <v>150</v>
      </c>
    </row>
    <row r="1794" spans="1:5" x14ac:dyDescent="0.25">
      <c r="A1794" s="2" t="str">
        <f>HYPERLINK("spreadsheet/1792.xlsx", "1792.xlsx")</f>
        <v>1792.xlsx</v>
      </c>
      <c r="B1794" s="2">
        <v>1792</v>
      </c>
      <c r="C1794" t="s">
        <v>5</v>
      </c>
      <c r="D1794" t="s">
        <v>906</v>
      </c>
      <c r="E1794" t="s">
        <v>319</v>
      </c>
    </row>
    <row r="1795" spans="1:5" x14ac:dyDescent="0.25">
      <c r="A1795" s="2" t="s">
        <v>907</v>
      </c>
      <c r="B1795" s="2">
        <v>1793</v>
      </c>
      <c r="C1795" t="s">
        <v>650</v>
      </c>
      <c r="D1795" t="s">
        <v>908</v>
      </c>
      <c r="E1795" t="s">
        <v>150</v>
      </c>
    </row>
    <row r="1796" spans="1:5" x14ac:dyDescent="0.25">
      <c r="A1796" s="2" t="s">
        <v>909</v>
      </c>
      <c r="B1796" s="2">
        <v>1794</v>
      </c>
      <c r="C1796" t="s">
        <v>652</v>
      </c>
      <c r="D1796" t="s">
        <v>908</v>
      </c>
      <c r="E1796" t="s">
        <v>150</v>
      </c>
    </row>
    <row r="1797" spans="1:5" x14ac:dyDescent="0.25">
      <c r="A1797" s="2" t="str">
        <f>HYPERLINK("spreadsheet/1795.xlsx", "1795.xlsx")</f>
        <v>1795.xlsx</v>
      </c>
      <c r="B1797" s="2">
        <v>1795</v>
      </c>
      <c r="C1797" t="s">
        <v>10</v>
      </c>
      <c r="D1797" t="s">
        <v>908</v>
      </c>
      <c r="E1797" t="s">
        <v>150</v>
      </c>
    </row>
    <row r="1798" spans="1:5" x14ac:dyDescent="0.25">
      <c r="A1798" s="2" t="str">
        <f>HYPERLINK("spreadsheet/1796.xlsx", "1796.xlsx")</f>
        <v>1796.xlsx</v>
      </c>
      <c r="B1798" s="2">
        <v>1796</v>
      </c>
      <c r="C1798" t="s">
        <v>14</v>
      </c>
      <c r="D1798" t="s">
        <v>908</v>
      </c>
      <c r="E1798" t="s">
        <v>150</v>
      </c>
    </row>
    <row r="1799" spans="1:5" x14ac:dyDescent="0.25">
      <c r="A1799" s="2" t="str">
        <f>HYPERLINK("spreadsheet/1797.xlsx", "1797.xlsx")</f>
        <v>1797.xlsx</v>
      </c>
      <c r="B1799" s="2">
        <v>1797</v>
      </c>
      <c r="C1799" t="s">
        <v>15</v>
      </c>
      <c r="D1799" t="s">
        <v>908</v>
      </c>
      <c r="E1799" t="s">
        <v>150</v>
      </c>
    </row>
    <row r="1800" spans="1:5" x14ac:dyDescent="0.25">
      <c r="A1800" s="2" t="str">
        <f>HYPERLINK("spreadsheet/1798.xlsx", "1798.xlsx")</f>
        <v>1798.xlsx</v>
      </c>
      <c r="B1800" s="2">
        <v>1798</v>
      </c>
      <c r="C1800" t="s">
        <v>22</v>
      </c>
      <c r="D1800" t="s">
        <v>908</v>
      </c>
      <c r="E1800" t="s">
        <v>150</v>
      </c>
    </row>
    <row r="1801" spans="1:5" x14ac:dyDescent="0.25">
      <c r="A1801" s="2" t="str">
        <f>HYPERLINK("spreadsheet/1799.xlsx", "1799.xlsx")</f>
        <v>1799.xlsx</v>
      </c>
      <c r="B1801" s="2">
        <v>1799</v>
      </c>
      <c r="C1801" t="s">
        <v>24</v>
      </c>
      <c r="D1801" t="s">
        <v>908</v>
      </c>
      <c r="E1801" t="s">
        <v>150</v>
      </c>
    </row>
    <row r="1802" spans="1:5" x14ac:dyDescent="0.25">
      <c r="A1802" s="2" t="str">
        <f>HYPERLINK("spreadsheet/1800.xlsx", "1800.xlsx")</f>
        <v>1800.xlsx</v>
      </c>
      <c r="B1802" s="2">
        <v>1800</v>
      </c>
      <c r="C1802" t="s">
        <v>60</v>
      </c>
      <c r="D1802" t="s">
        <v>908</v>
      </c>
      <c r="E1802" t="s">
        <v>150</v>
      </c>
    </row>
    <row r="1803" spans="1:5" x14ac:dyDescent="0.25">
      <c r="A1803" s="2" t="str">
        <f>HYPERLINK("spreadsheet/1801.xlsx", "1801.xlsx")</f>
        <v>1801.xlsx</v>
      </c>
      <c r="B1803" s="2">
        <v>1801</v>
      </c>
      <c r="C1803" t="s">
        <v>44</v>
      </c>
      <c r="D1803" t="s">
        <v>908</v>
      </c>
      <c r="E1803" t="s">
        <v>150</v>
      </c>
    </row>
    <row r="1804" spans="1:5" x14ac:dyDescent="0.25">
      <c r="A1804" s="2" t="str">
        <f>HYPERLINK("spreadsheet/1802.xlsx", "1802.xlsx")</f>
        <v>1802.xlsx</v>
      </c>
      <c r="B1804" s="2">
        <v>1802</v>
      </c>
      <c r="C1804" t="s">
        <v>5</v>
      </c>
      <c r="D1804" t="s">
        <v>910</v>
      </c>
      <c r="E1804" t="s">
        <v>126</v>
      </c>
    </row>
    <row r="1805" spans="1:5" x14ac:dyDescent="0.25">
      <c r="A1805" s="2" t="str">
        <f>HYPERLINK("spreadsheet/1803.xlsx", "1803.xlsx")</f>
        <v>1803.xlsx</v>
      </c>
      <c r="B1805" s="2">
        <v>1803</v>
      </c>
      <c r="C1805" t="s">
        <v>10</v>
      </c>
      <c r="D1805" t="s">
        <v>910</v>
      </c>
      <c r="E1805" t="s">
        <v>126</v>
      </c>
    </row>
    <row r="1806" spans="1:5" x14ac:dyDescent="0.25">
      <c r="A1806" s="2" t="str">
        <f>HYPERLINK("spreadsheet/1804.xlsx", "1804.xlsx")</f>
        <v>1804.xlsx</v>
      </c>
      <c r="B1806" s="2">
        <v>1804</v>
      </c>
      <c r="C1806" t="s">
        <v>14</v>
      </c>
      <c r="D1806" t="s">
        <v>910</v>
      </c>
      <c r="E1806" t="s">
        <v>126</v>
      </c>
    </row>
    <row r="1807" spans="1:5" x14ac:dyDescent="0.25">
      <c r="A1807" s="2" t="str">
        <f>HYPERLINK("spreadsheet/1805.xlsx", "1805.xlsx")</f>
        <v>1805.xlsx</v>
      </c>
      <c r="B1807" s="2">
        <v>1805</v>
      </c>
      <c r="C1807" t="s">
        <v>15</v>
      </c>
      <c r="D1807" t="s">
        <v>910</v>
      </c>
      <c r="E1807" t="s">
        <v>126</v>
      </c>
    </row>
    <row r="1808" spans="1:5" x14ac:dyDescent="0.25">
      <c r="A1808" s="2" t="str">
        <f>HYPERLINK("spreadsheet/1806.xlsx", "1806.xlsx")</f>
        <v>1806.xlsx</v>
      </c>
      <c r="B1808" s="2">
        <v>1806</v>
      </c>
      <c r="C1808" t="s">
        <v>22</v>
      </c>
      <c r="D1808" t="s">
        <v>910</v>
      </c>
      <c r="E1808" t="s">
        <v>126</v>
      </c>
    </row>
    <row r="1809" spans="1:5" x14ac:dyDescent="0.25">
      <c r="A1809" s="2" t="str">
        <f>HYPERLINK("spreadsheet/1807.xlsx", "1807.xlsx")</f>
        <v>1807.xlsx</v>
      </c>
      <c r="B1809" s="2">
        <v>1807</v>
      </c>
      <c r="C1809" t="s">
        <v>24</v>
      </c>
      <c r="D1809" t="s">
        <v>910</v>
      </c>
      <c r="E1809" t="s">
        <v>126</v>
      </c>
    </row>
    <row r="1810" spans="1:5" x14ac:dyDescent="0.25">
      <c r="A1810" s="2" t="str">
        <f>HYPERLINK("spreadsheet/1808.xlsx", "1808.xlsx")</f>
        <v>1808.xlsx</v>
      </c>
      <c r="B1810" s="2">
        <v>1808</v>
      </c>
      <c r="C1810" t="s">
        <v>60</v>
      </c>
      <c r="D1810" t="s">
        <v>910</v>
      </c>
      <c r="E1810" t="s">
        <v>126</v>
      </c>
    </row>
    <row r="1811" spans="1:5" x14ac:dyDescent="0.25">
      <c r="A1811" s="2" t="str">
        <f>HYPERLINK("spreadsheet/1809.xlsx", "1809.xlsx")</f>
        <v>1809.xlsx</v>
      </c>
      <c r="B1811" s="2">
        <v>1809</v>
      </c>
      <c r="C1811" t="s">
        <v>5</v>
      </c>
      <c r="D1811" t="s">
        <v>911</v>
      </c>
      <c r="E1811" t="s">
        <v>115</v>
      </c>
    </row>
    <row r="1812" spans="1:5" x14ac:dyDescent="0.25">
      <c r="A1812" s="2" t="str">
        <f>HYPERLINK("spreadsheet/1810.xlsx", "1810.xlsx")</f>
        <v>1810.xlsx</v>
      </c>
      <c r="B1812" s="2">
        <v>1810</v>
      </c>
      <c r="C1812" t="s">
        <v>10</v>
      </c>
      <c r="D1812" t="s">
        <v>911</v>
      </c>
      <c r="E1812" t="s">
        <v>115</v>
      </c>
    </row>
    <row r="1813" spans="1:5" x14ac:dyDescent="0.25">
      <c r="A1813" s="2" t="s">
        <v>912</v>
      </c>
      <c r="B1813" s="2">
        <v>1811</v>
      </c>
      <c r="C1813" t="s">
        <v>14</v>
      </c>
      <c r="D1813" t="s">
        <v>911</v>
      </c>
      <c r="E1813" t="s">
        <v>115</v>
      </c>
    </row>
    <row r="1814" spans="1:5" x14ac:dyDescent="0.25">
      <c r="A1814" s="2" t="s">
        <v>913</v>
      </c>
      <c r="B1814" s="2">
        <v>1812</v>
      </c>
      <c r="C1814" t="s">
        <v>15</v>
      </c>
      <c r="D1814" t="s">
        <v>911</v>
      </c>
      <c r="E1814" t="s">
        <v>115</v>
      </c>
    </row>
    <row r="1815" spans="1:5" x14ac:dyDescent="0.25">
      <c r="A1815" s="2" t="s">
        <v>914</v>
      </c>
      <c r="B1815" s="2">
        <v>1813</v>
      </c>
      <c r="C1815" t="s">
        <v>5</v>
      </c>
      <c r="D1815" t="s">
        <v>915</v>
      </c>
      <c r="E1815" t="s">
        <v>126</v>
      </c>
    </row>
    <row r="1816" spans="1:5" x14ac:dyDescent="0.25">
      <c r="A1816" s="2" t="s">
        <v>916</v>
      </c>
      <c r="B1816" s="2">
        <v>1814</v>
      </c>
      <c r="C1816" t="s">
        <v>10</v>
      </c>
      <c r="D1816" t="s">
        <v>915</v>
      </c>
      <c r="E1816" t="s">
        <v>126</v>
      </c>
    </row>
    <row r="1817" spans="1:5" x14ac:dyDescent="0.25">
      <c r="A1817" s="2" t="str">
        <f>HYPERLINK("spreadsheet/1815.xlsx", "1815.xlsx")</f>
        <v>1815.xlsx</v>
      </c>
      <c r="B1817" s="2">
        <v>1815</v>
      </c>
      <c r="C1817" t="s">
        <v>5</v>
      </c>
      <c r="D1817" t="s">
        <v>917</v>
      </c>
      <c r="E1817" t="s">
        <v>824</v>
      </c>
    </row>
    <row r="1818" spans="1:5" x14ac:dyDescent="0.25">
      <c r="A1818" s="2" t="str">
        <f>HYPERLINK("spreadsheet/1816.xlsx", "1816.xlsx")</f>
        <v>1816.xlsx</v>
      </c>
      <c r="B1818" s="2">
        <v>1816</v>
      </c>
      <c r="C1818" t="s">
        <v>10</v>
      </c>
      <c r="D1818" t="s">
        <v>917</v>
      </c>
      <c r="E1818" t="s">
        <v>824</v>
      </c>
    </row>
    <row r="1819" spans="1:5" x14ac:dyDescent="0.25">
      <c r="A1819" s="2" t="str">
        <f>HYPERLINK("spreadsheet/1817.xlsx", "1817.xlsx")</f>
        <v>1817.xlsx</v>
      </c>
      <c r="B1819" s="2">
        <v>1817</v>
      </c>
      <c r="C1819" t="s">
        <v>14</v>
      </c>
      <c r="D1819" t="s">
        <v>917</v>
      </c>
      <c r="E1819" t="s">
        <v>824</v>
      </c>
    </row>
    <row r="1820" spans="1:5" x14ac:dyDescent="0.25">
      <c r="A1820" s="2" t="str">
        <f>HYPERLINK("spreadsheet/1818.xlsx", "1818.xlsx")</f>
        <v>1818.xlsx</v>
      </c>
      <c r="B1820" s="2">
        <v>1818</v>
      </c>
      <c r="C1820" t="s">
        <v>15</v>
      </c>
      <c r="D1820" t="s">
        <v>917</v>
      </c>
      <c r="E1820" t="s">
        <v>824</v>
      </c>
    </row>
    <row r="1821" spans="1:5" x14ac:dyDescent="0.25">
      <c r="A1821" s="2" t="str">
        <f>HYPERLINK("spreadsheet/1819.xlsx", "1819.xlsx")</f>
        <v>1819.xlsx</v>
      </c>
      <c r="B1821" s="2">
        <v>1819</v>
      </c>
      <c r="C1821" t="s">
        <v>22</v>
      </c>
      <c r="D1821" t="s">
        <v>917</v>
      </c>
      <c r="E1821" t="s">
        <v>824</v>
      </c>
    </row>
    <row r="1822" spans="1:5" x14ac:dyDescent="0.25">
      <c r="A1822" s="2" t="str">
        <f>HYPERLINK("spreadsheet/1820.xlsx", "1820.xlsx")</f>
        <v>1820.xlsx</v>
      </c>
      <c r="B1822" s="2">
        <v>1820</v>
      </c>
      <c r="C1822" t="s">
        <v>24</v>
      </c>
      <c r="D1822" t="s">
        <v>917</v>
      </c>
      <c r="E1822" t="s">
        <v>824</v>
      </c>
    </row>
    <row r="1823" spans="1:5" x14ac:dyDescent="0.25">
      <c r="A1823" s="2" t="str">
        <f>HYPERLINK("spreadsheet/1821.xlsx", "1821.xlsx")</f>
        <v>1821.xlsx</v>
      </c>
      <c r="B1823" s="2">
        <v>1821</v>
      </c>
      <c r="C1823" t="s">
        <v>5</v>
      </c>
      <c r="D1823" t="s">
        <v>918</v>
      </c>
      <c r="E1823" t="s">
        <v>173</v>
      </c>
    </row>
    <row r="1824" spans="1:5" x14ac:dyDescent="0.25">
      <c r="A1824" s="2" t="str">
        <f>HYPERLINK("spreadsheet/1822.xlsx", "1822.xlsx")</f>
        <v>1822.xlsx</v>
      </c>
      <c r="B1824" s="2">
        <v>1822</v>
      </c>
      <c r="C1824" t="s">
        <v>5</v>
      </c>
      <c r="D1824" t="s">
        <v>919</v>
      </c>
      <c r="E1824" t="s">
        <v>164</v>
      </c>
    </row>
    <row r="1825" spans="1:5" x14ac:dyDescent="0.25">
      <c r="A1825" s="2" t="s">
        <v>920</v>
      </c>
      <c r="B1825" s="2">
        <v>1823</v>
      </c>
      <c r="C1825" t="s">
        <v>10</v>
      </c>
      <c r="D1825" t="s">
        <v>919</v>
      </c>
      <c r="E1825" t="s">
        <v>164</v>
      </c>
    </row>
    <row r="1826" spans="1:5" x14ac:dyDescent="0.25">
      <c r="A1826" s="2" t="str">
        <f>HYPERLINK("spreadsheet/1824.xlsx", "1824.xlsx")</f>
        <v>1824.xlsx</v>
      </c>
      <c r="B1826" s="2">
        <v>1824</v>
      </c>
      <c r="C1826" t="s">
        <v>14</v>
      </c>
      <c r="D1826" t="s">
        <v>919</v>
      </c>
      <c r="E1826" t="s">
        <v>164</v>
      </c>
    </row>
    <row r="1827" spans="1:5" x14ac:dyDescent="0.25">
      <c r="A1827" s="2" t="s">
        <v>921</v>
      </c>
      <c r="B1827" s="2">
        <v>1825</v>
      </c>
      <c r="C1827" t="s">
        <v>15</v>
      </c>
      <c r="D1827" t="s">
        <v>919</v>
      </c>
      <c r="E1827" t="s">
        <v>164</v>
      </c>
    </row>
    <row r="1828" spans="1:5" x14ac:dyDescent="0.25">
      <c r="A1828" s="2" t="str">
        <f>HYPERLINK("spreadsheet/1826.xlsx", "1826.xlsx")</f>
        <v>1826.xlsx</v>
      </c>
      <c r="B1828" s="2">
        <v>1826</v>
      </c>
      <c r="C1828" t="s">
        <v>22</v>
      </c>
      <c r="D1828" t="s">
        <v>919</v>
      </c>
      <c r="E1828" t="s">
        <v>164</v>
      </c>
    </row>
    <row r="1829" spans="1:5" x14ac:dyDescent="0.25">
      <c r="A1829" s="2" t="str">
        <f>HYPERLINK("spreadsheet/1827.xlsx", "1827.xlsx")</f>
        <v>1827.xlsx</v>
      </c>
      <c r="B1829" s="2">
        <v>1827</v>
      </c>
      <c r="C1829" t="s">
        <v>24</v>
      </c>
      <c r="D1829" t="s">
        <v>919</v>
      </c>
      <c r="E1829" t="s">
        <v>164</v>
      </c>
    </row>
    <row r="1830" spans="1:5" x14ac:dyDescent="0.25">
      <c r="A1830" s="2" t="str">
        <f>HYPERLINK("spreadsheet/1828.xlsx", "1828.xlsx")</f>
        <v>1828.xlsx</v>
      </c>
      <c r="B1830" s="2">
        <v>1828</v>
      </c>
      <c r="C1830" t="s">
        <v>60</v>
      </c>
      <c r="D1830" t="s">
        <v>919</v>
      </c>
      <c r="E1830" t="s">
        <v>164</v>
      </c>
    </row>
    <row r="1831" spans="1:5" x14ac:dyDescent="0.25">
      <c r="A1831" s="2" t="str">
        <f>HYPERLINK("spreadsheet/1829.xlsx", "1829.xlsx")</f>
        <v>1829.xlsx</v>
      </c>
      <c r="B1831" s="2">
        <v>1829</v>
      </c>
      <c r="C1831" t="s">
        <v>5</v>
      </c>
      <c r="D1831" t="s">
        <v>922</v>
      </c>
      <c r="E1831" t="s">
        <v>115</v>
      </c>
    </row>
    <row r="1832" spans="1:5" x14ac:dyDescent="0.25">
      <c r="A1832" s="2" t="str">
        <f>HYPERLINK("spreadsheet/1830.xlsx", "1830.xlsx")</f>
        <v>1830.xlsx</v>
      </c>
      <c r="B1832" s="2">
        <v>1830</v>
      </c>
      <c r="C1832" t="s">
        <v>10</v>
      </c>
      <c r="D1832" t="s">
        <v>922</v>
      </c>
      <c r="E1832" t="s">
        <v>115</v>
      </c>
    </row>
    <row r="1833" spans="1:5" x14ac:dyDescent="0.25">
      <c r="A1833" s="2" t="str">
        <f>HYPERLINK("spreadsheet/1831.xlsx", "1831.xlsx")</f>
        <v>1831.xlsx</v>
      </c>
      <c r="B1833" s="2">
        <v>1831</v>
      </c>
      <c r="C1833" t="s">
        <v>10</v>
      </c>
      <c r="D1833" t="s">
        <v>923</v>
      </c>
      <c r="E1833" t="s">
        <v>126</v>
      </c>
    </row>
    <row r="1834" spans="1:5" x14ac:dyDescent="0.25">
      <c r="A1834" s="2" t="str">
        <f>HYPERLINK("spreadsheet/1832.xlsx", "1832.xlsx")</f>
        <v>1832.xlsx</v>
      </c>
      <c r="B1834" s="2">
        <v>1832</v>
      </c>
      <c r="C1834" t="s">
        <v>14</v>
      </c>
      <c r="D1834" t="s">
        <v>923</v>
      </c>
      <c r="E1834" t="s">
        <v>126</v>
      </c>
    </row>
    <row r="1835" spans="1:5" x14ac:dyDescent="0.25">
      <c r="A1835" s="2" t="str">
        <f>HYPERLINK("spreadsheet/1833.xlsx", "1833.xlsx")</f>
        <v>1833.xlsx</v>
      </c>
      <c r="B1835" s="2">
        <v>1833</v>
      </c>
      <c r="C1835" t="s">
        <v>15</v>
      </c>
      <c r="D1835" t="s">
        <v>923</v>
      </c>
      <c r="E1835" t="s">
        <v>126</v>
      </c>
    </row>
    <row r="1836" spans="1:5" x14ac:dyDescent="0.25">
      <c r="A1836" s="2" t="str">
        <f>HYPERLINK("spreadsheet/1834.xlsx", "1834.xlsx")</f>
        <v>1834.xlsx</v>
      </c>
      <c r="B1836" s="2">
        <v>1834</v>
      </c>
      <c r="C1836" t="s">
        <v>22</v>
      </c>
      <c r="D1836" t="s">
        <v>923</v>
      </c>
      <c r="E1836" t="s">
        <v>126</v>
      </c>
    </row>
    <row r="1837" spans="1:5" x14ac:dyDescent="0.25">
      <c r="A1837" s="2" t="str">
        <f>HYPERLINK("spreadsheet/1835.xlsx", "1835.xlsx")</f>
        <v>1835.xlsx</v>
      </c>
      <c r="B1837" s="2">
        <v>1835</v>
      </c>
      <c r="C1837" t="s">
        <v>24</v>
      </c>
      <c r="D1837" t="s">
        <v>923</v>
      </c>
      <c r="E1837" t="s">
        <v>126</v>
      </c>
    </row>
    <row r="1838" spans="1:5" x14ac:dyDescent="0.25">
      <c r="A1838" s="2" t="str">
        <f>HYPERLINK("spreadsheet/1836.xlsx", "1836.xlsx")</f>
        <v>1836.xlsx</v>
      </c>
      <c r="B1838" s="2">
        <v>1836</v>
      </c>
      <c r="C1838" t="s">
        <v>60</v>
      </c>
      <c r="D1838" t="s">
        <v>923</v>
      </c>
      <c r="E1838" t="s">
        <v>126</v>
      </c>
    </row>
    <row r="1839" spans="1:5" x14ac:dyDescent="0.25">
      <c r="A1839" s="2" t="str">
        <f>HYPERLINK("spreadsheet/1837.xlsx", "1837.xlsx")</f>
        <v>1837.xlsx</v>
      </c>
      <c r="B1839" s="2">
        <v>1837</v>
      </c>
      <c r="C1839" t="s">
        <v>5</v>
      </c>
      <c r="D1839" t="s">
        <v>924</v>
      </c>
      <c r="E1839" t="s">
        <v>126</v>
      </c>
    </row>
    <row r="1840" spans="1:5" x14ac:dyDescent="0.25">
      <c r="A1840" s="2" t="str">
        <f>HYPERLINK("spreadsheet/1838.xlsx", "1838.xlsx")</f>
        <v>1838.xlsx</v>
      </c>
      <c r="B1840" s="2">
        <v>1838</v>
      </c>
      <c r="C1840" t="s">
        <v>925</v>
      </c>
      <c r="D1840" t="s">
        <v>924</v>
      </c>
      <c r="E1840" t="s">
        <v>126</v>
      </c>
    </row>
    <row r="1841" spans="1:5" x14ac:dyDescent="0.25">
      <c r="A1841" s="2" t="s">
        <v>926</v>
      </c>
      <c r="B1841" s="2">
        <v>1839</v>
      </c>
      <c r="C1841" t="s">
        <v>925</v>
      </c>
      <c r="D1841" t="s">
        <v>924</v>
      </c>
      <c r="E1841" t="s">
        <v>126</v>
      </c>
    </row>
    <row r="1842" spans="1:5" x14ac:dyDescent="0.25">
      <c r="A1842" s="2" t="str">
        <f>HYPERLINK("spreadsheet/1840.xlsx", "1840.xlsx")</f>
        <v>1840.xlsx</v>
      </c>
      <c r="B1842" s="2">
        <v>1840</v>
      </c>
      <c r="C1842" t="s">
        <v>14</v>
      </c>
      <c r="D1842" t="s">
        <v>924</v>
      </c>
      <c r="E1842" t="s">
        <v>126</v>
      </c>
    </row>
    <row r="1843" spans="1:5" x14ac:dyDescent="0.25">
      <c r="A1843" s="2" t="str">
        <f>HYPERLINK("spreadsheet/1841.xlsx", "1841.xlsx")</f>
        <v>1841.xlsx</v>
      </c>
      <c r="B1843" s="2">
        <v>1841</v>
      </c>
      <c r="C1843" t="s">
        <v>15</v>
      </c>
      <c r="D1843" t="s">
        <v>924</v>
      </c>
      <c r="E1843" t="s">
        <v>126</v>
      </c>
    </row>
    <row r="1844" spans="1:5" x14ac:dyDescent="0.25">
      <c r="A1844" s="2" t="str">
        <f>HYPERLINK("spreadsheet/1842.xlsx", "1842.xlsx")</f>
        <v>1842.xlsx</v>
      </c>
      <c r="B1844" s="2">
        <v>1842</v>
      </c>
      <c r="C1844" t="s">
        <v>22</v>
      </c>
      <c r="D1844" t="s">
        <v>924</v>
      </c>
      <c r="E1844" t="s">
        <v>126</v>
      </c>
    </row>
    <row r="1845" spans="1:5" x14ac:dyDescent="0.25">
      <c r="A1845" s="2" t="s">
        <v>927</v>
      </c>
      <c r="B1845" s="2">
        <v>1843</v>
      </c>
      <c r="C1845" t="s">
        <v>24</v>
      </c>
      <c r="D1845" t="s">
        <v>924</v>
      </c>
      <c r="E1845" t="s">
        <v>126</v>
      </c>
    </row>
    <row r="1846" spans="1:5" x14ac:dyDescent="0.25">
      <c r="A1846" s="2" t="str">
        <f>HYPERLINK("spreadsheet/1844.xlsx", "1844.xlsx")</f>
        <v>1844.xlsx</v>
      </c>
      <c r="B1846" s="2">
        <v>1844</v>
      </c>
      <c r="C1846" t="s">
        <v>5</v>
      </c>
      <c r="D1846" t="s">
        <v>928</v>
      </c>
      <c r="E1846" t="s">
        <v>150</v>
      </c>
    </row>
    <row r="1847" spans="1:5" x14ac:dyDescent="0.25">
      <c r="A1847" s="2" t="str">
        <f>HYPERLINK("spreadsheet/1845.xlsx", "1845.xlsx")</f>
        <v>1845.xlsx</v>
      </c>
      <c r="B1847" s="2">
        <v>1845</v>
      </c>
      <c r="C1847" t="s">
        <v>10</v>
      </c>
      <c r="D1847" t="s">
        <v>928</v>
      </c>
      <c r="E1847" t="s">
        <v>150</v>
      </c>
    </row>
    <row r="1848" spans="1:5" x14ac:dyDescent="0.25">
      <c r="A1848" s="2" t="str">
        <f>HYPERLINK("spreadsheet/1846.xlsx", "1846.xlsx")</f>
        <v>1846.xlsx</v>
      </c>
      <c r="B1848" s="2">
        <v>1846</v>
      </c>
      <c r="C1848" t="s">
        <v>14</v>
      </c>
      <c r="D1848" t="s">
        <v>928</v>
      </c>
      <c r="E1848" t="s">
        <v>150</v>
      </c>
    </row>
    <row r="1849" spans="1:5" x14ac:dyDescent="0.25">
      <c r="A1849" s="2" t="str">
        <f>HYPERLINK("spreadsheet/1847.xlsx", "1847.xlsx")</f>
        <v>1847.xlsx</v>
      </c>
      <c r="B1849" s="2">
        <v>1847</v>
      </c>
      <c r="C1849" t="s">
        <v>15</v>
      </c>
      <c r="D1849" t="s">
        <v>928</v>
      </c>
      <c r="E1849" t="s">
        <v>150</v>
      </c>
    </row>
    <row r="1850" spans="1:5" x14ac:dyDescent="0.25">
      <c r="A1850" s="2" t="str">
        <f>HYPERLINK("spreadsheet/1848.xlsx", "1848.xlsx")</f>
        <v>1848.xlsx</v>
      </c>
      <c r="B1850" s="2">
        <v>1848</v>
      </c>
      <c r="C1850" t="s">
        <v>22</v>
      </c>
      <c r="D1850" t="s">
        <v>928</v>
      </c>
      <c r="E1850" t="s">
        <v>150</v>
      </c>
    </row>
    <row r="1851" spans="1:5" x14ac:dyDescent="0.25">
      <c r="A1851" s="2" t="str">
        <f>HYPERLINK("spreadsheet/1849.xlsx", "1849.xlsx")</f>
        <v>1849.xlsx</v>
      </c>
      <c r="B1851" s="2">
        <v>1849</v>
      </c>
      <c r="C1851" t="s">
        <v>24</v>
      </c>
      <c r="D1851" t="s">
        <v>928</v>
      </c>
      <c r="E1851" t="s">
        <v>150</v>
      </c>
    </row>
    <row r="1852" spans="1:5" x14ac:dyDescent="0.25">
      <c r="A1852" s="2" t="str">
        <f>HYPERLINK("spreadsheet/1850.xlsx", "1850.xlsx")</f>
        <v>1850.xlsx</v>
      </c>
      <c r="B1852" s="2">
        <v>1850</v>
      </c>
      <c r="C1852" t="s">
        <v>5</v>
      </c>
      <c r="D1852" t="s">
        <v>929</v>
      </c>
      <c r="E1852" t="s">
        <v>126</v>
      </c>
    </row>
    <row r="1853" spans="1:5" x14ac:dyDescent="0.25">
      <c r="A1853" s="2" t="str">
        <f>HYPERLINK("spreadsheet/1851.xlsx", "1851.xlsx")</f>
        <v>1851.xlsx</v>
      </c>
      <c r="B1853" s="2">
        <v>1851</v>
      </c>
      <c r="C1853" t="s">
        <v>10</v>
      </c>
      <c r="D1853" t="s">
        <v>929</v>
      </c>
      <c r="E1853" t="s">
        <v>126</v>
      </c>
    </row>
    <row r="1854" spans="1:5" x14ac:dyDescent="0.25">
      <c r="A1854" s="2" t="str">
        <f>HYPERLINK("spreadsheet/1852.xlsx", "1852.xlsx")</f>
        <v>1852.xlsx</v>
      </c>
      <c r="B1854" s="2">
        <v>1852</v>
      </c>
      <c r="C1854" t="s">
        <v>5</v>
      </c>
      <c r="D1854" t="s">
        <v>930</v>
      </c>
      <c r="E1854" t="s">
        <v>902</v>
      </c>
    </row>
    <row r="1855" spans="1:5" x14ac:dyDescent="0.25">
      <c r="A1855" s="2" t="str">
        <f>HYPERLINK("spreadsheet/1853.xlsx", "1853.xlsx")</f>
        <v>1853.xlsx</v>
      </c>
      <c r="B1855" s="2">
        <v>1853</v>
      </c>
      <c r="C1855" t="s">
        <v>10</v>
      </c>
      <c r="D1855" t="s">
        <v>930</v>
      </c>
      <c r="E1855" t="s">
        <v>902</v>
      </c>
    </row>
    <row r="1856" spans="1:5" x14ac:dyDescent="0.25">
      <c r="A1856" s="2" t="str">
        <f>HYPERLINK("spreadsheet/1854.xlsx", "1854.xlsx")</f>
        <v>1854.xlsx</v>
      </c>
      <c r="B1856" s="2">
        <v>1854</v>
      </c>
      <c r="C1856" t="s">
        <v>14</v>
      </c>
      <c r="D1856" t="s">
        <v>930</v>
      </c>
      <c r="E1856" t="s">
        <v>902</v>
      </c>
    </row>
    <row r="1857" spans="1:5" x14ac:dyDescent="0.25">
      <c r="A1857" s="2" t="str">
        <f>HYPERLINK("spreadsheet/1855.xlsx", "1855.xlsx")</f>
        <v>1855.xlsx</v>
      </c>
      <c r="B1857" s="2">
        <v>1855</v>
      </c>
      <c r="C1857" t="s">
        <v>5</v>
      </c>
      <c r="D1857" t="s">
        <v>931</v>
      </c>
      <c r="E1857" t="s">
        <v>164</v>
      </c>
    </row>
    <row r="1858" spans="1:5" x14ac:dyDescent="0.25">
      <c r="A1858" s="2" t="str">
        <f>HYPERLINK("spreadsheet/1856.xlsx", "1856.xlsx")</f>
        <v>1856.xlsx</v>
      </c>
      <c r="B1858" s="2">
        <v>1856</v>
      </c>
      <c r="C1858" t="s">
        <v>10</v>
      </c>
      <c r="D1858" t="s">
        <v>931</v>
      </c>
      <c r="E1858" t="s">
        <v>164</v>
      </c>
    </row>
    <row r="1859" spans="1:5" x14ac:dyDescent="0.25">
      <c r="A1859" s="2" t="str">
        <f>HYPERLINK("spreadsheet/1857.xlsx", "1857.xlsx")</f>
        <v>1857.xlsx</v>
      </c>
      <c r="B1859" s="2">
        <v>1857</v>
      </c>
      <c r="C1859" t="s">
        <v>5</v>
      </c>
      <c r="D1859" t="s">
        <v>932</v>
      </c>
      <c r="E1859" t="s">
        <v>160</v>
      </c>
    </row>
    <row r="1860" spans="1:5" x14ac:dyDescent="0.25">
      <c r="A1860" s="2" t="str">
        <f>HYPERLINK("spreadsheet/1858.xlsx", "1858.xlsx")</f>
        <v>1858.xlsx</v>
      </c>
      <c r="B1860" s="2">
        <v>1858</v>
      </c>
      <c r="C1860" t="s">
        <v>10</v>
      </c>
      <c r="D1860" t="s">
        <v>932</v>
      </c>
      <c r="E1860" t="s">
        <v>160</v>
      </c>
    </row>
    <row r="1861" spans="1:5" x14ac:dyDescent="0.25">
      <c r="A1861" s="2" t="str">
        <f>HYPERLINK("spreadsheet/1859.xlsx", "1859.xlsx")</f>
        <v>1859.xlsx</v>
      </c>
      <c r="B1861" s="2">
        <v>1859</v>
      </c>
      <c r="C1861" t="s">
        <v>5</v>
      </c>
      <c r="D1861" t="s">
        <v>933</v>
      </c>
      <c r="E1861" t="s">
        <v>126</v>
      </c>
    </row>
    <row r="1862" spans="1:5" x14ac:dyDescent="0.25">
      <c r="A1862" s="2" t="str">
        <f>HYPERLINK("spreadsheet/1860.xlsx", "1860.xlsx")</f>
        <v>1860.xlsx</v>
      </c>
      <c r="B1862" s="2">
        <v>1860</v>
      </c>
      <c r="C1862" t="s">
        <v>10</v>
      </c>
      <c r="D1862" t="s">
        <v>933</v>
      </c>
      <c r="E1862" t="s">
        <v>126</v>
      </c>
    </row>
    <row r="1863" spans="1:5" x14ac:dyDescent="0.25">
      <c r="A1863" s="2" t="str">
        <f>HYPERLINK("spreadsheet/1861.xlsx", "1861.xlsx")</f>
        <v>1861.xlsx</v>
      </c>
      <c r="B1863" s="2">
        <v>1861</v>
      </c>
      <c r="C1863" t="s">
        <v>14</v>
      </c>
      <c r="D1863" t="s">
        <v>933</v>
      </c>
      <c r="E1863" t="s">
        <v>126</v>
      </c>
    </row>
    <row r="1864" spans="1:5" x14ac:dyDescent="0.25">
      <c r="A1864" s="2" t="str">
        <f>HYPERLINK("spreadsheet/1862.xlsx", "1862.xlsx")</f>
        <v>1862.xlsx</v>
      </c>
      <c r="B1864" s="2">
        <v>1862</v>
      </c>
      <c r="C1864" t="s">
        <v>15</v>
      </c>
      <c r="D1864" t="s">
        <v>933</v>
      </c>
      <c r="E1864" t="s">
        <v>126</v>
      </c>
    </row>
    <row r="1865" spans="1:5" x14ac:dyDescent="0.25">
      <c r="A1865" s="2" t="str">
        <f>HYPERLINK("spreadsheet/1863.xlsx", "1863.xlsx")</f>
        <v>1863.xlsx</v>
      </c>
      <c r="B1865" s="2">
        <v>1863</v>
      </c>
      <c r="C1865" t="s">
        <v>22</v>
      </c>
      <c r="D1865" t="s">
        <v>933</v>
      </c>
      <c r="E1865" t="s">
        <v>126</v>
      </c>
    </row>
    <row r="1866" spans="1:5" x14ac:dyDescent="0.25">
      <c r="A1866" s="2" t="str">
        <f>HYPERLINK("spreadsheet/1864.xlsx", "1864.xlsx")</f>
        <v>1864.xlsx</v>
      </c>
      <c r="B1866" s="2">
        <v>1864</v>
      </c>
      <c r="C1866" t="s">
        <v>24</v>
      </c>
      <c r="D1866" t="s">
        <v>933</v>
      </c>
      <c r="E1866" t="s">
        <v>126</v>
      </c>
    </row>
    <row r="1867" spans="1:5" x14ac:dyDescent="0.25">
      <c r="A1867" s="2" t="str">
        <f>HYPERLINK("spreadsheet/1865.xlsx", "1865.xlsx")</f>
        <v>1865.xlsx</v>
      </c>
      <c r="B1867" s="2">
        <v>1865</v>
      </c>
      <c r="C1867" t="s">
        <v>60</v>
      </c>
      <c r="D1867" t="s">
        <v>933</v>
      </c>
      <c r="E1867" t="s">
        <v>126</v>
      </c>
    </row>
    <row r="1868" spans="1:5" x14ac:dyDescent="0.25">
      <c r="A1868" s="2" t="str">
        <f>HYPERLINK("spreadsheet/1866.xlsx", "1866.xlsx")</f>
        <v>1866.xlsx</v>
      </c>
      <c r="B1868" s="2">
        <v>1866</v>
      </c>
      <c r="C1868" t="s">
        <v>44</v>
      </c>
      <c r="D1868" t="s">
        <v>933</v>
      </c>
      <c r="E1868" t="s">
        <v>126</v>
      </c>
    </row>
    <row r="1869" spans="1:5" x14ac:dyDescent="0.25">
      <c r="A1869" s="2" t="str">
        <f>HYPERLINK("spreadsheet/1867.xlsx", "1867.xlsx")</f>
        <v>1867.xlsx</v>
      </c>
      <c r="B1869" s="2">
        <v>1867</v>
      </c>
      <c r="C1869" t="s">
        <v>45</v>
      </c>
      <c r="D1869" t="s">
        <v>933</v>
      </c>
      <c r="E1869" t="s">
        <v>126</v>
      </c>
    </row>
    <row r="1870" spans="1:5" x14ac:dyDescent="0.25">
      <c r="A1870" s="2" t="str">
        <f>HYPERLINK("spreadsheet/1868.xlsx", "1868.xlsx")</f>
        <v>1868.xlsx</v>
      </c>
      <c r="B1870" s="2">
        <v>1868</v>
      </c>
      <c r="C1870" t="s">
        <v>10</v>
      </c>
      <c r="D1870" t="s">
        <v>934</v>
      </c>
      <c r="E1870" t="s">
        <v>115</v>
      </c>
    </row>
    <row r="1871" spans="1:5" x14ac:dyDescent="0.25">
      <c r="A1871" s="2" t="str">
        <f>HYPERLINK("spreadsheet/1869.xlsx", "1869.xlsx")</f>
        <v>1869.xlsx</v>
      </c>
      <c r="B1871" s="2">
        <v>1869</v>
      </c>
      <c r="C1871" t="s">
        <v>14</v>
      </c>
      <c r="D1871" t="s">
        <v>934</v>
      </c>
      <c r="E1871" t="s">
        <v>115</v>
      </c>
    </row>
    <row r="1872" spans="1:5" x14ac:dyDescent="0.25">
      <c r="A1872" s="2" t="str">
        <f>HYPERLINK("spreadsheet/1870.xlsx", "1870.xlsx")</f>
        <v>1870.xlsx</v>
      </c>
      <c r="B1872" s="2">
        <v>1870</v>
      </c>
      <c r="C1872" t="s">
        <v>5</v>
      </c>
      <c r="D1872" t="s">
        <v>935</v>
      </c>
      <c r="E1872" t="s">
        <v>115</v>
      </c>
    </row>
    <row r="1873" spans="1:5" x14ac:dyDescent="0.25">
      <c r="A1873" s="2" t="str">
        <f>HYPERLINK("spreadsheet/1871.xlsx", "1871.xlsx")</f>
        <v>1871.xlsx</v>
      </c>
      <c r="B1873" s="2">
        <v>1871</v>
      </c>
      <c r="C1873" t="s">
        <v>10</v>
      </c>
      <c r="D1873" t="s">
        <v>935</v>
      </c>
      <c r="E1873" t="s">
        <v>115</v>
      </c>
    </row>
    <row r="1874" spans="1:5" x14ac:dyDescent="0.25">
      <c r="A1874" s="2" t="str">
        <f>HYPERLINK("spreadsheet/1872.xlsx", "1872.xlsx")</f>
        <v>1872.xlsx</v>
      </c>
      <c r="B1874" s="2">
        <v>1872</v>
      </c>
      <c r="C1874" t="s">
        <v>14</v>
      </c>
      <c r="D1874" t="s">
        <v>935</v>
      </c>
      <c r="E1874" t="s">
        <v>115</v>
      </c>
    </row>
    <row r="1875" spans="1:5" x14ac:dyDescent="0.25">
      <c r="A1875" s="2" t="s">
        <v>936</v>
      </c>
      <c r="B1875" s="2">
        <v>1873</v>
      </c>
      <c r="C1875" t="s">
        <v>15</v>
      </c>
      <c r="D1875" t="s">
        <v>935</v>
      </c>
      <c r="E1875" t="s">
        <v>115</v>
      </c>
    </row>
    <row r="1876" spans="1:5" x14ac:dyDescent="0.25">
      <c r="A1876" s="2" t="str">
        <f>HYPERLINK("spreadsheet/1874.xlsx", "1874.xlsx")</f>
        <v>1874.xlsx</v>
      </c>
      <c r="B1876" s="2">
        <v>1874</v>
      </c>
      <c r="C1876" t="s">
        <v>5</v>
      </c>
      <c r="D1876" t="s">
        <v>937</v>
      </c>
      <c r="E1876" t="s">
        <v>164</v>
      </c>
    </row>
    <row r="1877" spans="1:5" x14ac:dyDescent="0.25">
      <c r="A1877" s="2" t="str">
        <f>HYPERLINK("spreadsheet/1875.xlsx", "1875.xlsx")</f>
        <v>1875.xlsx</v>
      </c>
      <c r="B1877" s="2">
        <v>1875</v>
      </c>
      <c r="C1877" t="s">
        <v>10</v>
      </c>
      <c r="D1877" t="s">
        <v>937</v>
      </c>
      <c r="E1877" t="s">
        <v>164</v>
      </c>
    </row>
    <row r="1878" spans="1:5" x14ac:dyDescent="0.25">
      <c r="A1878" s="2" t="s">
        <v>938</v>
      </c>
      <c r="B1878" s="2">
        <v>1876</v>
      </c>
      <c r="C1878" t="s">
        <v>14</v>
      </c>
      <c r="D1878" t="s">
        <v>937</v>
      </c>
      <c r="E1878" t="s">
        <v>164</v>
      </c>
    </row>
    <row r="1879" spans="1:5" x14ac:dyDescent="0.25">
      <c r="A1879" s="2" t="s">
        <v>939</v>
      </c>
      <c r="B1879" s="2">
        <v>1877</v>
      </c>
      <c r="C1879" t="s">
        <v>940</v>
      </c>
      <c r="D1879" t="s">
        <v>941</v>
      </c>
      <c r="E1879" t="s">
        <v>124</v>
      </c>
    </row>
    <row r="1880" spans="1:5" x14ac:dyDescent="0.25">
      <c r="A1880" s="2" t="s">
        <v>942</v>
      </c>
      <c r="B1880" s="2">
        <v>1878</v>
      </c>
      <c r="C1880" t="s">
        <v>940</v>
      </c>
      <c r="D1880" t="s">
        <v>943</v>
      </c>
      <c r="E1880" t="s">
        <v>218</v>
      </c>
    </row>
    <row r="1881" spans="1:5" x14ac:dyDescent="0.25">
      <c r="A1881" s="2" t="str">
        <f>HYPERLINK("spreadsheet/1879.xlsx", "1879.xlsx")</f>
        <v>1879.xlsx</v>
      </c>
      <c r="B1881" s="2">
        <v>1879</v>
      </c>
      <c r="C1881" t="s">
        <v>5</v>
      </c>
      <c r="D1881" t="s">
        <v>944</v>
      </c>
      <c r="E1881" t="s">
        <v>139</v>
      </c>
    </row>
    <row r="1882" spans="1:5" x14ac:dyDescent="0.25">
      <c r="A1882" s="2" t="str">
        <f>HYPERLINK("spreadsheet/1880.xlsx", "1880.xlsx")</f>
        <v>1880.xlsx</v>
      </c>
      <c r="B1882" s="2">
        <v>1880</v>
      </c>
      <c r="C1882" t="s">
        <v>10</v>
      </c>
      <c r="D1882" t="s">
        <v>944</v>
      </c>
      <c r="E1882" t="s">
        <v>139</v>
      </c>
    </row>
    <row r="1883" spans="1:5" x14ac:dyDescent="0.25">
      <c r="A1883" s="2" t="str">
        <f>HYPERLINK("spreadsheet/1881.xlsx", "1881.xlsx")</f>
        <v>1881.xlsx</v>
      </c>
      <c r="B1883" s="2">
        <v>1881</v>
      </c>
      <c r="C1883" t="s">
        <v>15</v>
      </c>
      <c r="D1883" t="s">
        <v>944</v>
      </c>
      <c r="E1883" t="s">
        <v>139</v>
      </c>
    </row>
    <row r="1884" spans="1:5" x14ac:dyDescent="0.25">
      <c r="A1884" s="2" t="str">
        <f>HYPERLINK("spreadsheet/1882.xlsx", "1882.xlsx")</f>
        <v>1882.xlsx</v>
      </c>
      <c r="B1884" s="2">
        <v>1882</v>
      </c>
      <c r="C1884" t="s">
        <v>10</v>
      </c>
      <c r="D1884" t="s">
        <v>945</v>
      </c>
      <c r="E1884" t="s">
        <v>668</v>
      </c>
    </row>
    <row r="1885" spans="1:5" x14ac:dyDescent="0.25">
      <c r="A1885" s="2" t="str">
        <f>HYPERLINK("spreadsheet/1883.xlsx", "1883.xlsx")</f>
        <v>1883.xlsx</v>
      </c>
      <c r="B1885" s="2">
        <v>1883</v>
      </c>
      <c r="C1885" t="s">
        <v>14</v>
      </c>
      <c r="D1885" t="s">
        <v>945</v>
      </c>
      <c r="E1885" t="s">
        <v>668</v>
      </c>
    </row>
    <row r="1886" spans="1:5" x14ac:dyDescent="0.25">
      <c r="A1886" s="2" t="str">
        <f>HYPERLINK("spreadsheet/1884.xlsx", "1884.xlsx")</f>
        <v>1884.xlsx</v>
      </c>
      <c r="B1886" s="2">
        <v>1884</v>
      </c>
      <c r="C1886" t="s">
        <v>15</v>
      </c>
      <c r="D1886" t="s">
        <v>945</v>
      </c>
      <c r="E1886" t="s">
        <v>668</v>
      </c>
    </row>
    <row r="1887" spans="1:5" x14ac:dyDescent="0.25">
      <c r="A1887" s="2" t="str">
        <f>HYPERLINK("spreadsheet/1885.xlsx", "1885.xlsx")</f>
        <v>1885.xlsx</v>
      </c>
      <c r="B1887" s="2">
        <v>1885</v>
      </c>
      <c r="C1887" t="s">
        <v>22</v>
      </c>
      <c r="D1887" t="s">
        <v>945</v>
      </c>
      <c r="E1887" t="s">
        <v>668</v>
      </c>
    </row>
    <row r="1888" spans="1:5" x14ac:dyDescent="0.25">
      <c r="A1888" s="2" t="str">
        <f>HYPERLINK("spreadsheet/1886.xlsx", "1886.xlsx")</f>
        <v>1886.xlsx</v>
      </c>
      <c r="B1888" s="2">
        <v>1886</v>
      </c>
      <c r="C1888" t="s">
        <v>5</v>
      </c>
      <c r="D1888" t="s">
        <v>946</v>
      </c>
      <c r="E1888" t="s">
        <v>160</v>
      </c>
    </row>
    <row r="1889" spans="1:5" x14ac:dyDescent="0.25">
      <c r="A1889" s="2" t="str">
        <f>HYPERLINK("spreadsheet/1887.xlsx", "1887.xlsx")</f>
        <v>1887.xlsx</v>
      </c>
      <c r="B1889" s="2">
        <v>1887</v>
      </c>
      <c r="C1889" t="s">
        <v>10</v>
      </c>
      <c r="D1889" t="s">
        <v>946</v>
      </c>
      <c r="E1889" t="s">
        <v>160</v>
      </c>
    </row>
    <row r="1890" spans="1:5" x14ac:dyDescent="0.25">
      <c r="A1890" s="2" t="str">
        <f>HYPERLINK("spreadsheet/1888.xlsx", "1888.xlsx")</f>
        <v>1888.xlsx</v>
      </c>
      <c r="B1890" s="2">
        <v>1888</v>
      </c>
      <c r="C1890" t="s">
        <v>14</v>
      </c>
      <c r="D1890" t="s">
        <v>946</v>
      </c>
      <c r="E1890" t="s">
        <v>160</v>
      </c>
    </row>
    <row r="1891" spans="1:5" x14ac:dyDescent="0.25">
      <c r="A1891" s="2" t="str">
        <f>HYPERLINK("spreadsheet/1889.xlsx", "1889.xlsx")</f>
        <v>1889.xlsx</v>
      </c>
      <c r="B1891" s="2">
        <v>1889</v>
      </c>
      <c r="C1891" t="s">
        <v>15</v>
      </c>
      <c r="D1891" t="s">
        <v>946</v>
      </c>
      <c r="E1891" t="s">
        <v>160</v>
      </c>
    </row>
    <row r="1892" spans="1:5" x14ac:dyDescent="0.25">
      <c r="A1892" s="2" t="str">
        <f>HYPERLINK("spreadsheet/1890.xlsx", "1890.xlsx")</f>
        <v>1890.xlsx</v>
      </c>
      <c r="B1892" s="2">
        <v>1890</v>
      </c>
      <c r="C1892" t="s">
        <v>22</v>
      </c>
      <c r="D1892" t="s">
        <v>946</v>
      </c>
      <c r="E1892" t="s">
        <v>160</v>
      </c>
    </row>
    <row r="1893" spans="1:5" x14ac:dyDescent="0.25">
      <c r="A1893" s="2" t="str">
        <f>HYPERLINK("spreadsheet/1891.xlsx", "1891.xlsx")</f>
        <v>1891.xlsx</v>
      </c>
      <c r="B1893" s="2">
        <v>1891</v>
      </c>
      <c r="C1893" t="s">
        <v>24</v>
      </c>
      <c r="D1893" t="s">
        <v>946</v>
      </c>
      <c r="E1893" t="s">
        <v>160</v>
      </c>
    </row>
    <row r="1894" spans="1:5" x14ac:dyDescent="0.25">
      <c r="A1894" s="2" t="str">
        <f>HYPERLINK("spreadsheet/1892.xlsx", "1892.xlsx")</f>
        <v>1892.xlsx</v>
      </c>
      <c r="B1894" s="2">
        <v>1892</v>
      </c>
      <c r="C1894" t="s">
        <v>60</v>
      </c>
      <c r="D1894" t="s">
        <v>946</v>
      </c>
      <c r="E1894" t="s">
        <v>160</v>
      </c>
    </row>
    <row r="1895" spans="1:5" x14ac:dyDescent="0.25">
      <c r="A1895" s="2" t="str">
        <f>HYPERLINK("spreadsheet/1893.xlsx", "1893.xlsx")</f>
        <v>1893.xlsx</v>
      </c>
      <c r="B1895" s="2">
        <v>1893</v>
      </c>
      <c r="C1895" t="s">
        <v>44</v>
      </c>
      <c r="D1895" t="s">
        <v>946</v>
      </c>
      <c r="E1895" t="s">
        <v>160</v>
      </c>
    </row>
    <row r="1896" spans="1:5" x14ac:dyDescent="0.25">
      <c r="A1896" s="2" t="s">
        <v>947</v>
      </c>
      <c r="B1896" s="2">
        <v>1894</v>
      </c>
      <c r="C1896" t="s">
        <v>45</v>
      </c>
      <c r="D1896" t="s">
        <v>946</v>
      </c>
      <c r="E1896" t="s">
        <v>160</v>
      </c>
    </row>
    <row r="1897" spans="1:5" x14ac:dyDescent="0.25">
      <c r="A1897" s="2" t="s">
        <v>948</v>
      </c>
      <c r="B1897" s="2">
        <v>1895</v>
      </c>
      <c r="C1897" t="s">
        <v>46</v>
      </c>
      <c r="D1897" t="s">
        <v>946</v>
      </c>
      <c r="E1897" t="s">
        <v>160</v>
      </c>
    </row>
    <row r="1898" spans="1:5" x14ac:dyDescent="0.25">
      <c r="A1898" s="2" t="str">
        <f>HYPERLINK("spreadsheet/1896.xlsx", "1896.xlsx")</f>
        <v>1896.xlsx</v>
      </c>
      <c r="B1898" s="2">
        <v>1896</v>
      </c>
      <c r="C1898" t="s">
        <v>47</v>
      </c>
      <c r="D1898" t="s">
        <v>946</v>
      </c>
      <c r="E1898" t="s">
        <v>160</v>
      </c>
    </row>
    <row r="1899" spans="1:5" x14ac:dyDescent="0.25">
      <c r="A1899" s="2" t="str">
        <f>HYPERLINK("spreadsheet/1897.xlsx", "1897.xlsx")</f>
        <v>1897.xlsx</v>
      </c>
      <c r="B1899" s="2">
        <v>1897</v>
      </c>
      <c r="C1899" t="s">
        <v>48</v>
      </c>
      <c r="D1899" t="s">
        <v>946</v>
      </c>
      <c r="E1899" t="s">
        <v>160</v>
      </c>
    </row>
    <row r="1900" spans="1:5" x14ac:dyDescent="0.25">
      <c r="A1900" s="2" t="str">
        <f>HYPERLINK("spreadsheet/1898.xlsx", "1898.xlsx")</f>
        <v>1898.xlsx</v>
      </c>
      <c r="B1900" s="2">
        <v>1898</v>
      </c>
      <c r="C1900" t="s">
        <v>49</v>
      </c>
      <c r="D1900" t="s">
        <v>946</v>
      </c>
      <c r="E1900" t="s">
        <v>160</v>
      </c>
    </row>
    <row r="1901" spans="1:5" x14ac:dyDescent="0.25">
      <c r="A1901" s="2" t="s">
        <v>949</v>
      </c>
      <c r="B1901" s="2">
        <v>1899</v>
      </c>
      <c r="C1901" t="s">
        <v>50</v>
      </c>
      <c r="D1901" t="s">
        <v>946</v>
      </c>
      <c r="E1901" t="s">
        <v>160</v>
      </c>
    </row>
    <row r="1902" spans="1:5" x14ac:dyDescent="0.25">
      <c r="A1902" s="2" t="str">
        <f>HYPERLINK("spreadsheet/1900.xlsx", "1900.xlsx")</f>
        <v>1900.xlsx</v>
      </c>
      <c r="B1902" s="2">
        <v>1900</v>
      </c>
      <c r="C1902" t="s">
        <v>51</v>
      </c>
      <c r="D1902" t="s">
        <v>946</v>
      </c>
      <c r="E1902" t="s">
        <v>160</v>
      </c>
    </row>
    <row r="1903" spans="1:5" x14ac:dyDescent="0.25">
      <c r="A1903" s="2" t="str">
        <f>HYPERLINK("spreadsheet/1901.xlsx", "1901.xlsx")</f>
        <v>1901.xlsx</v>
      </c>
      <c r="B1903" s="2">
        <v>1901</v>
      </c>
      <c r="C1903" t="s">
        <v>52</v>
      </c>
      <c r="D1903" t="s">
        <v>946</v>
      </c>
      <c r="E1903" t="s">
        <v>160</v>
      </c>
    </row>
    <row r="1904" spans="1:5" x14ac:dyDescent="0.25">
      <c r="A1904" s="2" t="str">
        <f>HYPERLINK("spreadsheet/1902.xlsx", "1902.xlsx")</f>
        <v>1902.xlsx</v>
      </c>
      <c r="B1904" s="2">
        <v>1902</v>
      </c>
      <c r="C1904" t="s">
        <v>950</v>
      </c>
      <c r="D1904" t="s">
        <v>946</v>
      </c>
      <c r="E1904" t="s">
        <v>160</v>
      </c>
    </row>
    <row r="1905" spans="1:5" x14ac:dyDescent="0.25">
      <c r="A1905" s="2" t="str">
        <f>HYPERLINK("spreadsheet/1903.xlsx", "1903.xlsx")</f>
        <v>1903.xlsx</v>
      </c>
      <c r="B1905" s="2">
        <v>1903</v>
      </c>
      <c r="C1905" t="s">
        <v>10</v>
      </c>
      <c r="D1905" t="s">
        <v>951</v>
      </c>
      <c r="E1905" t="s">
        <v>71</v>
      </c>
    </row>
    <row r="1906" spans="1:5" x14ac:dyDescent="0.25">
      <c r="A1906" s="2" t="str">
        <f>HYPERLINK("spreadsheet/1904.xlsx", "1904.xlsx")</f>
        <v>1904.xlsx</v>
      </c>
      <c r="B1906" s="2">
        <v>1904</v>
      </c>
      <c r="C1906" t="s">
        <v>5</v>
      </c>
      <c r="D1906" t="s">
        <v>952</v>
      </c>
      <c r="E1906" t="s">
        <v>332</v>
      </c>
    </row>
    <row r="1907" spans="1:5" x14ac:dyDescent="0.25">
      <c r="A1907" s="2" t="s">
        <v>953</v>
      </c>
      <c r="B1907" s="2">
        <v>1905</v>
      </c>
      <c r="C1907" t="s">
        <v>10</v>
      </c>
      <c r="D1907" t="s">
        <v>952</v>
      </c>
      <c r="E1907" t="s">
        <v>332</v>
      </c>
    </row>
    <row r="1908" spans="1:5" x14ac:dyDescent="0.25">
      <c r="A1908" s="2" t="str">
        <f>HYPERLINK("spreadsheet/1906.xlsx", "1906.xlsx")</f>
        <v>1906.xlsx</v>
      </c>
      <c r="B1908" s="2">
        <v>1906</v>
      </c>
      <c r="C1908" t="s">
        <v>14</v>
      </c>
      <c r="D1908" t="s">
        <v>952</v>
      </c>
      <c r="E1908" t="s">
        <v>332</v>
      </c>
    </row>
    <row r="1909" spans="1:5" x14ac:dyDescent="0.25">
      <c r="A1909" s="2" t="str">
        <f>HYPERLINK("spreadsheet/1907.xlsx", "1907.xlsx")</f>
        <v>1907.xlsx</v>
      </c>
      <c r="B1909" s="2">
        <v>1907</v>
      </c>
      <c r="C1909" t="s">
        <v>15</v>
      </c>
      <c r="D1909" t="s">
        <v>952</v>
      </c>
      <c r="E1909" t="s">
        <v>332</v>
      </c>
    </row>
    <row r="1910" spans="1:5" x14ac:dyDescent="0.25">
      <c r="A1910" s="2" t="str">
        <f>HYPERLINK("spreadsheet/1908.xlsx", "1908.xlsx")</f>
        <v>1908.xlsx</v>
      </c>
      <c r="B1910" s="2">
        <v>1908</v>
      </c>
      <c r="C1910" t="s">
        <v>22</v>
      </c>
      <c r="D1910" t="s">
        <v>952</v>
      </c>
      <c r="E1910" t="s">
        <v>332</v>
      </c>
    </row>
    <row r="1911" spans="1:5" x14ac:dyDescent="0.25">
      <c r="A1911" s="2" t="str">
        <f>HYPERLINK("spreadsheet/1909.xlsx", "1909.xlsx")</f>
        <v>1909.xlsx</v>
      </c>
      <c r="B1911" s="2">
        <v>1909</v>
      </c>
      <c r="C1911" t="s">
        <v>24</v>
      </c>
      <c r="D1911" t="s">
        <v>952</v>
      </c>
      <c r="E1911" t="s">
        <v>332</v>
      </c>
    </row>
    <row r="1912" spans="1:5" x14ac:dyDescent="0.25">
      <c r="A1912" s="2" t="str">
        <f>HYPERLINK("spreadsheet/1910.xlsx", "1910.xlsx")</f>
        <v>1910.xlsx</v>
      </c>
      <c r="B1912" s="2">
        <v>1910</v>
      </c>
      <c r="C1912" t="s">
        <v>60</v>
      </c>
      <c r="D1912" t="s">
        <v>952</v>
      </c>
      <c r="E1912" t="s">
        <v>332</v>
      </c>
    </row>
    <row r="1913" spans="1:5" x14ac:dyDescent="0.25">
      <c r="A1913" s="2" t="str">
        <f>HYPERLINK("spreadsheet/1911.xlsx", "1911.xlsx")</f>
        <v>1911.xlsx</v>
      </c>
      <c r="B1913" s="2">
        <v>1911</v>
      </c>
      <c r="C1913" t="s">
        <v>5</v>
      </c>
      <c r="D1913" t="s">
        <v>954</v>
      </c>
      <c r="E1913" t="s">
        <v>150</v>
      </c>
    </row>
    <row r="1914" spans="1:5" x14ac:dyDescent="0.25">
      <c r="A1914" s="2" t="str">
        <f>HYPERLINK("spreadsheet/1912.xlsx", "1912.xlsx")</f>
        <v>1912.xlsx</v>
      </c>
      <c r="B1914" s="2">
        <v>1912</v>
      </c>
      <c r="C1914" t="s">
        <v>10</v>
      </c>
      <c r="D1914" t="s">
        <v>954</v>
      </c>
      <c r="E1914" t="s">
        <v>150</v>
      </c>
    </row>
    <row r="1915" spans="1:5" x14ac:dyDescent="0.25">
      <c r="A1915" s="2" t="str">
        <f>HYPERLINK("spreadsheet/1913.xlsx", "1913.xlsx")</f>
        <v>1913.xlsx</v>
      </c>
      <c r="B1915" s="2">
        <v>1913</v>
      </c>
      <c r="C1915" t="s">
        <v>14</v>
      </c>
      <c r="D1915" t="s">
        <v>954</v>
      </c>
      <c r="E1915" t="s">
        <v>150</v>
      </c>
    </row>
    <row r="1916" spans="1:5" x14ac:dyDescent="0.25">
      <c r="A1916" s="2" t="str">
        <f>HYPERLINK("spreadsheet/1914.xlsx", "1914.xlsx")</f>
        <v>1914.xlsx</v>
      </c>
      <c r="B1916" s="2">
        <v>1914</v>
      </c>
      <c r="C1916" t="s">
        <v>15</v>
      </c>
      <c r="D1916" t="s">
        <v>954</v>
      </c>
      <c r="E1916" t="s">
        <v>150</v>
      </c>
    </row>
    <row r="1917" spans="1:5" x14ac:dyDescent="0.25">
      <c r="A1917" s="2" t="str">
        <f>HYPERLINK("spreadsheet/1915.xlsx", "1915.xlsx")</f>
        <v>1915.xlsx</v>
      </c>
      <c r="B1917" s="2">
        <v>1915</v>
      </c>
      <c r="C1917" t="s">
        <v>22</v>
      </c>
      <c r="D1917" t="s">
        <v>954</v>
      </c>
      <c r="E1917" t="s">
        <v>150</v>
      </c>
    </row>
    <row r="1918" spans="1:5" x14ac:dyDescent="0.25">
      <c r="A1918" s="2" t="str">
        <f>HYPERLINK("spreadsheet/1916.xlsx", "1916.xlsx")</f>
        <v>1916.xlsx</v>
      </c>
      <c r="B1918" s="2">
        <v>1916</v>
      </c>
      <c r="C1918" t="s">
        <v>24</v>
      </c>
      <c r="D1918" t="s">
        <v>954</v>
      </c>
      <c r="E1918" t="s">
        <v>150</v>
      </c>
    </row>
    <row r="1919" spans="1:5" x14ac:dyDescent="0.25">
      <c r="A1919" s="2" t="str">
        <f>HYPERLINK("spreadsheet/1917.xlsx", "1917.xlsx")</f>
        <v>1917.xlsx</v>
      </c>
      <c r="B1919" s="2">
        <v>1917</v>
      </c>
      <c r="C1919" t="s">
        <v>5</v>
      </c>
      <c r="D1919" t="s">
        <v>955</v>
      </c>
      <c r="E1919" t="s">
        <v>164</v>
      </c>
    </row>
    <row r="1920" spans="1:5" x14ac:dyDescent="0.25">
      <c r="A1920" s="2" t="str">
        <f>HYPERLINK("spreadsheet/1918.xlsx", "1918.xlsx")</f>
        <v>1918.xlsx</v>
      </c>
      <c r="B1920" s="2">
        <v>1918</v>
      </c>
      <c r="C1920" t="s">
        <v>22</v>
      </c>
      <c r="D1920" t="s">
        <v>955</v>
      </c>
      <c r="E1920" t="s">
        <v>164</v>
      </c>
    </row>
    <row r="1921" spans="1:5" x14ac:dyDescent="0.25">
      <c r="A1921" s="2" t="str">
        <f>HYPERLINK("spreadsheet/1919.xlsx", "1919.xlsx")</f>
        <v>1919.xlsx</v>
      </c>
      <c r="B1921" s="2">
        <v>1919</v>
      </c>
      <c r="C1921" t="s">
        <v>10</v>
      </c>
      <c r="D1921" t="s">
        <v>955</v>
      </c>
      <c r="E1921" t="s">
        <v>164</v>
      </c>
    </row>
    <row r="1922" spans="1:5" x14ac:dyDescent="0.25">
      <c r="A1922" s="2" t="str">
        <f>HYPERLINK("spreadsheet/1920.xlsx", "1920.xlsx")</f>
        <v>1920.xlsx</v>
      </c>
      <c r="B1922" s="2">
        <v>1920</v>
      </c>
      <c r="C1922" t="s">
        <v>14</v>
      </c>
      <c r="D1922" t="s">
        <v>955</v>
      </c>
      <c r="E1922" t="s">
        <v>164</v>
      </c>
    </row>
    <row r="1923" spans="1:5" x14ac:dyDescent="0.25">
      <c r="A1923" s="2" t="str">
        <f>HYPERLINK("spreadsheet/1921.xlsx", "1921.xlsx")</f>
        <v>1921.xlsx</v>
      </c>
      <c r="B1923" s="2">
        <v>1921</v>
      </c>
      <c r="C1923" t="s">
        <v>15</v>
      </c>
      <c r="D1923" t="s">
        <v>955</v>
      </c>
      <c r="E1923" t="s">
        <v>164</v>
      </c>
    </row>
    <row r="1924" spans="1:5" x14ac:dyDescent="0.25">
      <c r="A1924" s="2" t="str">
        <f>HYPERLINK("spreadsheet/1922.xlsx", "1922.xlsx")</f>
        <v>1922.xlsx</v>
      </c>
      <c r="B1924" s="2">
        <v>1922</v>
      </c>
      <c r="C1924" t="s">
        <v>24</v>
      </c>
      <c r="D1924" t="s">
        <v>955</v>
      </c>
      <c r="E1924" t="s">
        <v>164</v>
      </c>
    </row>
    <row r="1925" spans="1:5" x14ac:dyDescent="0.25">
      <c r="A1925" s="2" t="str">
        <f>HYPERLINK("spreadsheet/1923.xlsx", "1923.xlsx")</f>
        <v>1923.xlsx</v>
      </c>
      <c r="B1925" s="2">
        <v>1923</v>
      </c>
      <c r="C1925" t="s">
        <v>60</v>
      </c>
      <c r="D1925" t="s">
        <v>955</v>
      </c>
      <c r="E1925" t="s">
        <v>164</v>
      </c>
    </row>
    <row r="1926" spans="1:5" x14ac:dyDescent="0.25">
      <c r="A1926" s="2" t="str">
        <f>HYPERLINK("spreadsheet/1924.xlsx", "1924.xlsx")</f>
        <v>1924.xlsx</v>
      </c>
      <c r="B1926" s="2">
        <v>1924</v>
      </c>
      <c r="C1926" t="s">
        <v>44</v>
      </c>
      <c r="D1926" t="s">
        <v>955</v>
      </c>
      <c r="E1926" t="s">
        <v>164</v>
      </c>
    </row>
    <row r="1927" spans="1:5" x14ac:dyDescent="0.25">
      <c r="A1927" s="2" t="str">
        <f>HYPERLINK("spreadsheet/1925.xlsx", "1925.xlsx")</f>
        <v>1925.xlsx</v>
      </c>
      <c r="B1927" s="2">
        <v>1925</v>
      </c>
      <c r="C1927" t="s">
        <v>47</v>
      </c>
      <c r="D1927" t="s">
        <v>955</v>
      </c>
      <c r="E1927" t="s">
        <v>164</v>
      </c>
    </row>
    <row r="1928" spans="1:5" x14ac:dyDescent="0.25">
      <c r="A1928" s="2" t="str">
        <f>HYPERLINK("spreadsheet/1926.xlsx", "1926.xlsx")</f>
        <v>1926.xlsx</v>
      </c>
      <c r="B1928" s="2">
        <v>1926</v>
      </c>
      <c r="C1928" t="s">
        <v>46</v>
      </c>
      <c r="D1928" t="s">
        <v>955</v>
      </c>
      <c r="E1928" t="s">
        <v>164</v>
      </c>
    </row>
    <row r="1929" spans="1:5" x14ac:dyDescent="0.25">
      <c r="A1929" s="2" t="str">
        <f>HYPERLINK("spreadsheet/1927.xlsx", "1927.xlsx")</f>
        <v>1927.xlsx</v>
      </c>
      <c r="B1929" s="2">
        <v>1927</v>
      </c>
      <c r="C1929" t="s">
        <v>49</v>
      </c>
      <c r="D1929" t="s">
        <v>955</v>
      </c>
      <c r="E1929" t="s">
        <v>164</v>
      </c>
    </row>
    <row r="1930" spans="1:5" x14ac:dyDescent="0.25">
      <c r="A1930" s="2" t="str">
        <f>HYPERLINK("spreadsheet/1928.xlsx", "1928.xlsx")</f>
        <v>1928.xlsx</v>
      </c>
      <c r="B1930" s="2">
        <v>1928</v>
      </c>
      <c r="C1930" t="s">
        <v>50</v>
      </c>
      <c r="D1930" t="s">
        <v>955</v>
      </c>
      <c r="E1930" t="s">
        <v>164</v>
      </c>
    </row>
    <row r="1931" spans="1:5" x14ac:dyDescent="0.25">
      <c r="A1931" s="2" t="str">
        <f>HYPERLINK("spreadsheet/1929.xlsx", "1929.xlsx")</f>
        <v>1929.xlsx</v>
      </c>
      <c r="B1931" s="2">
        <v>1929</v>
      </c>
      <c r="C1931" t="s">
        <v>52</v>
      </c>
      <c r="D1931" t="s">
        <v>955</v>
      </c>
      <c r="E1931" t="s">
        <v>164</v>
      </c>
    </row>
    <row r="1932" spans="1:5" x14ac:dyDescent="0.25">
      <c r="A1932" s="2" t="str">
        <f>HYPERLINK("spreadsheet/1930.xlsx", "1930.xlsx")</f>
        <v>1930.xlsx</v>
      </c>
      <c r="B1932" s="2">
        <v>1930</v>
      </c>
      <c r="C1932" t="s">
        <v>5</v>
      </c>
      <c r="D1932" t="s">
        <v>956</v>
      </c>
      <c r="E1932" t="s">
        <v>173</v>
      </c>
    </row>
    <row r="1933" spans="1:5" x14ac:dyDescent="0.25">
      <c r="A1933" s="2" t="str">
        <f>HYPERLINK("spreadsheet/1931.xlsx", "1931.xlsx")</f>
        <v>1931.xlsx</v>
      </c>
      <c r="B1933" s="2">
        <v>1931</v>
      </c>
      <c r="C1933" t="s">
        <v>10</v>
      </c>
      <c r="D1933" t="s">
        <v>956</v>
      </c>
      <c r="E1933" t="s">
        <v>173</v>
      </c>
    </row>
    <row r="1934" spans="1:5" x14ac:dyDescent="0.25">
      <c r="A1934" s="2" t="s">
        <v>957</v>
      </c>
      <c r="B1934" s="2">
        <v>1932</v>
      </c>
      <c r="C1934" t="s">
        <v>5</v>
      </c>
      <c r="D1934" t="s">
        <v>958</v>
      </c>
      <c r="E1934" t="s">
        <v>115</v>
      </c>
    </row>
    <row r="1935" spans="1:5" x14ac:dyDescent="0.25">
      <c r="A1935" s="2" t="s">
        <v>959</v>
      </c>
      <c r="B1935" s="2">
        <v>1933</v>
      </c>
      <c r="C1935" t="s">
        <v>5</v>
      </c>
      <c r="D1935" t="s">
        <v>960</v>
      </c>
      <c r="E1935" t="s">
        <v>126</v>
      </c>
    </row>
    <row r="1936" spans="1:5" x14ac:dyDescent="0.25">
      <c r="A1936" s="2" t="str">
        <f>HYPERLINK("spreadsheet/1934.xlsx", "1934.xlsx")</f>
        <v>1934.xlsx</v>
      </c>
      <c r="B1936" s="2">
        <v>1934</v>
      </c>
      <c r="C1936" t="s">
        <v>940</v>
      </c>
      <c r="D1936" t="s">
        <v>961</v>
      </c>
      <c r="E1936" t="s">
        <v>115</v>
      </c>
    </row>
    <row r="1937" spans="1:5" x14ac:dyDescent="0.25">
      <c r="A1937" s="2" t="s">
        <v>962</v>
      </c>
      <c r="B1937" s="2">
        <v>1935</v>
      </c>
      <c r="C1937" t="s">
        <v>5</v>
      </c>
      <c r="D1937" t="s">
        <v>963</v>
      </c>
      <c r="E1937" t="s">
        <v>160</v>
      </c>
    </row>
    <row r="1938" spans="1:5" x14ac:dyDescent="0.25">
      <c r="A1938" s="2" t="str">
        <f>HYPERLINK("spreadsheet/1936.xlsx", "1936.xlsx")</f>
        <v>1936.xlsx</v>
      </c>
      <c r="B1938" s="2">
        <v>1936</v>
      </c>
      <c r="C1938" t="s">
        <v>10</v>
      </c>
      <c r="D1938" t="s">
        <v>963</v>
      </c>
      <c r="E1938" t="s">
        <v>160</v>
      </c>
    </row>
    <row r="1939" spans="1:5" x14ac:dyDescent="0.25">
      <c r="A1939" s="2" t="str">
        <f>HYPERLINK("spreadsheet/1937.xlsx", "1937.xlsx")</f>
        <v>1937.xlsx</v>
      </c>
      <c r="B1939" s="2">
        <v>1937</v>
      </c>
      <c r="C1939" t="s">
        <v>14</v>
      </c>
      <c r="D1939" t="s">
        <v>963</v>
      </c>
      <c r="E1939" t="s">
        <v>160</v>
      </c>
    </row>
    <row r="1940" spans="1:5" x14ac:dyDescent="0.25">
      <c r="A1940" s="2" t="str">
        <f>HYPERLINK("spreadsheet/1938.xlsx", "1938.xlsx")</f>
        <v>1938.xlsx</v>
      </c>
      <c r="B1940" s="2">
        <v>1938</v>
      </c>
      <c r="C1940" t="s">
        <v>15</v>
      </c>
      <c r="D1940" t="s">
        <v>963</v>
      </c>
      <c r="E1940" t="s">
        <v>160</v>
      </c>
    </row>
    <row r="1941" spans="1:5" x14ac:dyDescent="0.25">
      <c r="A1941" s="2" t="str">
        <f>HYPERLINK("spreadsheet/1939.xlsx", "1939.xlsx")</f>
        <v>1939.xlsx</v>
      </c>
      <c r="B1941" s="2">
        <v>1939</v>
      </c>
      <c r="C1941" t="s">
        <v>10</v>
      </c>
      <c r="D1941" t="s">
        <v>964</v>
      </c>
      <c r="E1941" t="s">
        <v>150</v>
      </c>
    </row>
    <row r="1942" spans="1:5" x14ac:dyDescent="0.25">
      <c r="A1942" s="2" t="str">
        <f>HYPERLINK("spreadsheet/1940.xlsx", "1940.xlsx")</f>
        <v>1940.xlsx</v>
      </c>
      <c r="B1942" s="2">
        <v>1940</v>
      </c>
      <c r="C1942" t="s">
        <v>752</v>
      </c>
      <c r="D1942" t="s">
        <v>964</v>
      </c>
      <c r="E1942" t="s">
        <v>150</v>
      </c>
    </row>
    <row r="1943" spans="1:5" x14ac:dyDescent="0.25">
      <c r="A1943" s="2" t="str">
        <f>HYPERLINK("spreadsheet/1941.xlsx", "1941.xlsx")</f>
        <v>1941.xlsx</v>
      </c>
      <c r="B1943" s="2">
        <v>1941</v>
      </c>
      <c r="C1943" t="s">
        <v>837</v>
      </c>
      <c r="D1943" t="s">
        <v>964</v>
      </c>
      <c r="E1943" t="s">
        <v>150</v>
      </c>
    </row>
    <row r="1944" spans="1:5" x14ac:dyDescent="0.25">
      <c r="A1944" s="2" t="str">
        <f>HYPERLINK("spreadsheet/1942.xlsx", "1942.xlsx")</f>
        <v>1942.xlsx</v>
      </c>
      <c r="B1944" s="2">
        <v>1942</v>
      </c>
      <c r="C1944" t="s">
        <v>507</v>
      </c>
      <c r="D1944" t="s">
        <v>964</v>
      </c>
      <c r="E1944" t="s">
        <v>150</v>
      </c>
    </row>
    <row r="1945" spans="1:5" x14ac:dyDescent="0.25">
      <c r="A1945" s="2" t="str">
        <f>HYPERLINK("spreadsheet/1943.xlsx", "1943.xlsx")</f>
        <v>1943.xlsx</v>
      </c>
      <c r="B1945" s="2">
        <v>1943</v>
      </c>
      <c r="C1945" t="s">
        <v>508</v>
      </c>
      <c r="D1945" t="s">
        <v>964</v>
      </c>
      <c r="E1945" t="s">
        <v>150</v>
      </c>
    </row>
    <row r="1946" spans="1:5" x14ac:dyDescent="0.25">
      <c r="A1946" s="2" t="str">
        <f>HYPERLINK("spreadsheet/1944.xlsx", "1944.xlsx")</f>
        <v>1944.xlsx</v>
      </c>
      <c r="B1946" s="2">
        <v>1944</v>
      </c>
      <c r="C1946" t="s">
        <v>24</v>
      </c>
      <c r="D1946" t="s">
        <v>964</v>
      </c>
      <c r="E1946" t="s">
        <v>150</v>
      </c>
    </row>
    <row r="1947" spans="1:5" x14ac:dyDescent="0.25">
      <c r="A1947" s="2" t="str">
        <f>HYPERLINK("spreadsheet/1945.xlsx", "1945.xlsx")</f>
        <v>1945.xlsx</v>
      </c>
      <c r="B1947" s="2">
        <v>1945</v>
      </c>
      <c r="C1947" t="s">
        <v>60</v>
      </c>
      <c r="D1947" t="s">
        <v>964</v>
      </c>
      <c r="E1947" t="s">
        <v>150</v>
      </c>
    </row>
    <row r="1948" spans="1:5" x14ac:dyDescent="0.25">
      <c r="A1948" s="2" t="str">
        <f>HYPERLINK("spreadsheet/1946.xlsx", "1946.xlsx")</f>
        <v>1946.xlsx</v>
      </c>
      <c r="B1948" s="2">
        <v>1946</v>
      </c>
      <c r="C1948" t="s">
        <v>44</v>
      </c>
      <c r="D1948" t="s">
        <v>964</v>
      </c>
      <c r="E1948" t="s">
        <v>150</v>
      </c>
    </row>
    <row r="1949" spans="1:5" x14ac:dyDescent="0.25">
      <c r="A1949" s="2" t="str">
        <f>HYPERLINK("spreadsheet/1947.xlsx", "1947.xlsx")</f>
        <v>1947.xlsx</v>
      </c>
      <c r="B1949" s="2">
        <v>1947</v>
      </c>
      <c r="C1949" t="s">
        <v>45</v>
      </c>
      <c r="D1949" t="s">
        <v>964</v>
      </c>
      <c r="E1949" t="s">
        <v>150</v>
      </c>
    </row>
    <row r="1950" spans="1:5" x14ac:dyDescent="0.25">
      <c r="A1950" s="2" t="s">
        <v>965</v>
      </c>
      <c r="B1950" s="2">
        <v>1948</v>
      </c>
      <c r="C1950" t="s">
        <v>5</v>
      </c>
      <c r="D1950" t="s">
        <v>966</v>
      </c>
      <c r="E1950" t="s">
        <v>150</v>
      </c>
    </row>
    <row r="1951" spans="1:5" x14ac:dyDescent="0.25">
      <c r="A1951" s="2" t="s">
        <v>967</v>
      </c>
      <c r="B1951" s="2">
        <v>1949</v>
      </c>
      <c r="C1951" t="s">
        <v>10</v>
      </c>
      <c r="D1951" t="s">
        <v>966</v>
      </c>
      <c r="E1951" t="s">
        <v>150</v>
      </c>
    </row>
    <row r="1952" spans="1:5" x14ac:dyDescent="0.25">
      <c r="A1952" s="2" t="str">
        <f>HYPERLINK("spreadsheet/1950.xlsx", "1950.xlsx")</f>
        <v>1950.xlsx</v>
      </c>
      <c r="B1952" s="2">
        <v>1950</v>
      </c>
      <c r="C1952" t="s">
        <v>650</v>
      </c>
      <c r="D1952" t="s">
        <v>968</v>
      </c>
      <c r="E1952" t="s">
        <v>150</v>
      </c>
    </row>
    <row r="1953" spans="1:5" x14ac:dyDescent="0.25">
      <c r="A1953" s="2" t="str">
        <f>HYPERLINK("spreadsheet/1951.xlsx", "1951.xlsx")</f>
        <v>1951.xlsx</v>
      </c>
      <c r="B1953" s="2">
        <v>1951</v>
      </c>
      <c r="C1953" t="s">
        <v>652</v>
      </c>
      <c r="D1953" t="s">
        <v>968</v>
      </c>
      <c r="E1953" t="s">
        <v>150</v>
      </c>
    </row>
    <row r="1954" spans="1:5" x14ac:dyDescent="0.25">
      <c r="A1954" s="2" t="str">
        <f>HYPERLINK("spreadsheet/1952.xlsx", "1952.xlsx")</f>
        <v>1952.xlsx</v>
      </c>
      <c r="B1954" s="2">
        <v>1952</v>
      </c>
      <c r="C1954" t="s">
        <v>10</v>
      </c>
      <c r="D1954" t="s">
        <v>968</v>
      </c>
      <c r="E1954" t="s">
        <v>150</v>
      </c>
    </row>
    <row r="1955" spans="1:5" x14ac:dyDescent="0.25">
      <c r="A1955" s="2" t="str">
        <f>HYPERLINK("spreadsheet/1953.xlsx", "1953.xlsx")</f>
        <v>1953.xlsx</v>
      </c>
      <c r="B1955" s="2">
        <v>1953</v>
      </c>
      <c r="C1955" t="s">
        <v>14</v>
      </c>
      <c r="D1955" t="s">
        <v>968</v>
      </c>
      <c r="E1955" t="s">
        <v>150</v>
      </c>
    </row>
    <row r="1956" spans="1:5" x14ac:dyDescent="0.25">
      <c r="A1956" s="2" t="str">
        <f>HYPERLINK("spreadsheet/1954.xlsx", "1954.xlsx")</f>
        <v>1954.xlsx</v>
      </c>
      <c r="B1956" s="2">
        <v>1954</v>
      </c>
      <c r="C1956" t="s">
        <v>15</v>
      </c>
      <c r="D1956" t="s">
        <v>968</v>
      </c>
      <c r="E1956" t="s">
        <v>150</v>
      </c>
    </row>
    <row r="1957" spans="1:5" x14ac:dyDescent="0.25">
      <c r="A1957" s="2" t="str">
        <f>HYPERLINK("spreadsheet/1955.xlsx", "1955.xlsx")</f>
        <v>1955.xlsx</v>
      </c>
      <c r="B1957" s="2">
        <v>1955</v>
      </c>
      <c r="C1957" t="s">
        <v>22</v>
      </c>
      <c r="D1957" t="s">
        <v>968</v>
      </c>
      <c r="E1957" t="s">
        <v>150</v>
      </c>
    </row>
    <row r="1958" spans="1:5" x14ac:dyDescent="0.25">
      <c r="A1958" s="2" t="str">
        <f>HYPERLINK("spreadsheet/1956.xlsx", "1956.xlsx")</f>
        <v>1956.xlsx</v>
      </c>
      <c r="B1958" s="2">
        <v>1956</v>
      </c>
      <c r="C1958" t="s">
        <v>24</v>
      </c>
      <c r="D1958" t="s">
        <v>968</v>
      </c>
      <c r="E1958" t="s">
        <v>150</v>
      </c>
    </row>
    <row r="1959" spans="1:5" x14ac:dyDescent="0.25">
      <c r="A1959" s="2" t="str">
        <f>HYPERLINK("spreadsheet/1957.xlsx", "1957.xlsx")</f>
        <v>1957.xlsx</v>
      </c>
      <c r="B1959" s="2">
        <v>1957</v>
      </c>
      <c r="C1959" t="s">
        <v>60</v>
      </c>
      <c r="D1959" t="s">
        <v>968</v>
      </c>
      <c r="E1959" t="s">
        <v>150</v>
      </c>
    </row>
    <row r="1960" spans="1:5" x14ac:dyDescent="0.25">
      <c r="A1960" s="2" t="str">
        <f>HYPERLINK("spreadsheet/1958.xlsx", "1958.xlsx")</f>
        <v>1958.xlsx</v>
      </c>
      <c r="B1960" s="2">
        <v>1958</v>
      </c>
      <c r="C1960" t="s">
        <v>44</v>
      </c>
      <c r="D1960" t="s">
        <v>968</v>
      </c>
      <c r="E1960" t="s">
        <v>150</v>
      </c>
    </row>
    <row r="1961" spans="1:5" x14ac:dyDescent="0.25">
      <c r="A1961" s="2" t="str">
        <f>HYPERLINK("spreadsheet/1959.xlsx", "1959.xlsx")</f>
        <v>1959.xlsx</v>
      </c>
      <c r="B1961" s="2">
        <v>1959</v>
      </c>
      <c r="C1961" t="s">
        <v>650</v>
      </c>
      <c r="D1961" t="s">
        <v>969</v>
      </c>
      <c r="E1961" t="s">
        <v>164</v>
      </c>
    </row>
    <row r="1962" spans="1:5" x14ac:dyDescent="0.25">
      <c r="A1962" s="2" t="str">
        <f>HYPERLINK("spreadsheet/1960.xlsx", "1960.xlsx")</f>
        <v>1960.xlsx</v>
      </c>
      <c r="B1962" s="2">
        <v>1960</v>
      </c>
      <c r="C1962" t="s">
        <v>652</v>
      </c>
      <c r="D1962" t="s">
        <v>969</v>
      </c>
      <c r="E1962" t="s">
        <v>164</v>
      </c>
    </row>
    <row r="1963" spans="1:5" x14ac:dyDescent="0.25">
      <c r="A1963" s="2" t="str">
        <f>HYPERLINK("spreadsheet/1961.xlsx", "1961.xlsx")</f>
        <v>1961.xlsx</v>
      </c>
      <c r="B1963" s="2">
        <v>1961</v>
      </c>
      <c r="C1963" t="s">
        <v>360</v>
      </c>
      <c r="D1963" t="s">
        <v>969</v>
      </c>
      <c r="E1963" t="s">
        <v>164</v>
      </c>
    </row>
    <row r="1964" spans="1:5" x14ac:dyDescent="0.25">
      <c r="A1964" s="2" t="str">
        <f>HYPERLINK("spreadsheet/1962.xlsx", "1962.xlsx")</f>
        <v>1962.xlsx</v>
      </c>
      <c r="B1964" s="2">
        <v>1962</v>
      </c>
      <c r="C1964" t="s">
        <v>361</v>
      </c>
      <c r="D1964" t="s">
        <v>969</v>
      </c>
      <c r="E1964" t="s">
        <v>164</v>
      </c>
    </row>
    <row r="1965" spans="1:5" x14ac:dyDescent="0.25">
      <c r="A1965" s="2" t="str">
        <f>HYPERLINK("spreadsheet/1963.xlsx", "1963.xlsx")</f>
        <v>1963.xlsx</v>
      </c>
      <c r="B1965" s="2">
        <v>1963</v>
      </c>
      <c r="C1965" t="s">
        <v>14</v>
      </c>
      <c r="D1965" t="s">
        <v>969</v>
      </c>
      <c r="E1965" t="s">
        <v>164</v>
      </c>
    </row>
    <row r="1966" spans="1:5" x14ac:dyDescent="0.25">
      <c r="A1966" s="2" t="str">
        <f>HYPERLINK("spreadsheet/1964.xlsx", "1964.xlsx")</f>
        <v>1964.xlsx</v>
      </c>
      <c r="B1966" s="2">
        <v>1964</v>
      </c>
      <c r="C1966" t="s">
        <v>22</v>
      </c>
      <c r="D1966" t="s">
        <v>969</v>
      </c>
      <c r="E1966" t="s">
        <v>164</v>
      </c>
    </row>
    <row r="1967" spans="1:5" x14ac:dyDescent="0.25">
      <c r="A1967" s="2" t="str">
        <f>HYPERLINK("spreadsheet/1965.xlsx", "1965.xlsx")</f>
        <v>1965.xlsx</v>
      </c>
      <c r="B1967" s="2">
        <v>1965</v>
      </c>
      <c r="C1967" t="s">
        <v>15</v>
      </c>
      <c r="D1967" t="s">
        <v>969</v>
      </c>
      <c r="E1967" t="s">
        <v>164</v>
      </c>
    </row>
    <row r="1968" spans="1:5" x14ac:dyDescent="0.25">
      <c r="A1968" s="2" t="str">
        <f>HYPERLINK("spreadsheet/1966.xlsx", "1966.xlsx")</f>
        <v>1966.xlsx</v>
      </c>
      <c r="B1968" s="2">
        <v>1966</v>
      </c>
      <c r="C1968" t="s">
        <v>24</v>
      </c>
      <c r="D1968" t="s">
        <v>969</v>
      </c>
      <c r="E1968" t="s">
        <v>164</v>
      </c>
    </row>
    <row r="1969" spans="1:5" x14ac:dyDescent="0.25">
      <c r="A1969" s="2" t="str">
        <f>HYPERLINK("spreadsheet/1967.xlsx", "1967.xlsx")</f>
        <v>1967.xlsx</v>
      </c>
      <c r="B1969" s="2">
        <v>1967</v>
      </c>
      <c r="C1969" t="s">
        <v>60</v>
      </c>
      <c r="D1969" t="s">
        <v>969</v>
      </c>
      <c r="E1969" t="s">
        <v>164</v>
      </c>
    </row>
    <row r="1970" spans="1:5" x14ac:dyDescent="0.25">
      <c r="A1970" s="2" t="str">
        <f>HYPERLINK("spreadsheet/1968.xlsx", "1968.xlsx")</f>
        <v>1968.xlsx</v>
      </c>
      <c r="B1970" s="2">
        <v>1968</v>
      </c>
      <c r="C1970" t="s">
        <v>44</v>
      </c>
      <c r="D1970" t="s">
        <v>969</v>
      </c>
      <c r="E1970" t="s">
        <v>164</v>
      </c>
    </row>
    <row r="1971" spans="1:5" x14ac:dyDescent="0.25">
      <c r="A1971" s="2" t="str">
        <f>HYPERLINK("spreadsheet/1969.xlsx", "1969.xlsx")</f>
        <v>1969.xlsx</v>
      </c>
      <c r="B1971" s="2">
        <v>1969</v>
      </c>
      <c r="C1971" t="s">
        <v>45</v>
      </c>
      <c r="D1971" t="s">
        <v>969</v>
      </c>
      <c r="E1971" t="s">
        <v>164</v>
      </c>
    </row>
    <row r="1972" spans="1:5" x14ac:dyDescent="0.25">
      <c r="A1972" s="2" t="str">
        <f>HYPERLINK("spreadsheet/1970.xlsx", "1970.xlsx")</f>
        <v>1970.xlsx</v>
      </c>
      <c r="B1972" s="2">
        <v>1970</v>
      </c>
      <c r="C1972" t="s">
        <v>47</v>
      </c>
      <c r="D1972" t="s">
        <v>969</v>
      </c>
      <c r="E1972" t="s">
        <v>164</v>
      </c>
    </row>
    <row r="1973" spans="1:5" x14ac:dyDescent="0.25">
      <c r="A1973" s="2" t="str">
        <f>HYPERLINK("spreadsheet/1971.xlsx", "1971.xlsx")</f>
        <v>1971.xlsx</v>
      </c>
      <c r="B1973" s="2">
        <v>1971</v>
      </c>
      <c r="C1973" t="s">
        <v>658</v>
      </c>
      <c r="D1973" t="s">
        <v>969</v>
      </c>
      <c r="E1973" t="s">
        <v>164</v>
      </c>
    </row>
    <row r="1974" spans="1:5" x14ac:dyDescent="0.25">
      <c r="A1974" s="2" t="str">
        <f>HYPERLINK("spreadsheet/1972.xlsx", "1972.xlsx")</f>
        <v>1972.xlsx</v>
      </c>
      <c r="B1974" s="2">
        <v>1972</v>
      </c>
      <c r="C1974" t="s">
        <v>5</v>
      </c>
      <c r="D1974" t="s">
        <v>970</v>
      </c>
      <c r="E1974" t="s">
        <v>134</v>
      </c>
    </row>
    <row r="1975" spans="1:5" x14ac:dyDescent="0.25">
      <c r="A1975" s="2" t="str">
        <f>HYPERLINK("spreadsheet/1973.xlsx", "1973.xlsx")</f>
        <v>1973.xlsx</v>
      </c>
      <c r="B1975" s="2">
        <v>1973</v>
      </c>
      <c r="C1975" t="s">
        <v>5</v>
      </c>
      <c r="D1975" t="s">
        <v>970</v>
      </c>
      <c r="E1975" t="s">
        <v>134</v>
      </c>
    </row>
    <row r="1976" spans="1:5" x14ac:dyDescent="0.25">
      <c r="A1976" s="2" t="str">
        <f>HYPERLINK("spreadsheet/1974.xlsx", "1974.xlsx")</f>
        <v>1974.xlsx</v>
      </c>
      <c r="B1976" s="2">
        <v>1974</v>
      </c>
      <c r="C1976" t="s">
        <v>10</v>
      </c>
      <c r="D1976" t="s">
        <v>970</v>
      </c>
      <c r="E1976" t="s">
        <v>134</v>
      </c>
    </row>
    <row r="1977" spans="1:5" x14ac:dyDescent="0.25">
      <c r="A1977" s="2" t="str">
        <f>HYPERLINK("spreadsheet/1975.xlsx", "1975.xlsx")</f>
        <v>1975.xlsx</v>
      </c>
      <c r="B1977" s="2">
        <v>1975</v>
      </c>
      <c r="C1977" t="s">
        <v>14</v>
      </c>
      <c r="D1977" t="s">
        <v>970</v>
      </c>
      <c r="E1977" t="s">
        <v>134</v>
      </c>
    </row>
    <row r="1978" spans="1:5" x14ac:dyDescent="0.25">
      <c r="A1978" s="2" t="str">
        <f>HYPERLINK("spreadsheet/1976.xlsx", "1976.xlsx")</f>
        <v>1976.xlsx</v>
      </c>
      <c r="B1978" s="2">
        <v>1976</v>
      </c>
      <c r="C1978" t="s">
        <v>5</v>
      </c>
      <c r="D1978" t="s">
        <v>971</v>
      </c>
      <c r="E1978" t="s">
        <v>71</v>
      </c>
    </row>
    <row r="1979" spans="1:5" x14ac:dyDescent="0.25">
      <c r="A1979" s="2" t="str">
        <f>HYPERLINK("spreadsheet/1977.xlsx", "1977.xlsx")</f>
        <v>1977.xlsx</v>
      </c>
      <c r="B1979" s="2">
        <v>1977</v>
      </c>
      <c r="C1979" t="s">
        <v>14</v>
      </c>
      <c r="D1979" t="s">
        <v>971</v>
      </c>
      <c r="E1979" t="s">
        <v>71</v>
      </c>
    </row>
    <row r="1980" spans="1:5" x14ac:dyDescent="0.25">
      <c r="A1980" s="2" t="str">
        <f>HYPERLINK("spreadsheet/1978.xlsx", "1978.xlsx")</f>
        <v>1978.xlsx</v>
      </c>
      <c r="B1980" s="2">
        <v>1978</v>
      </c>
      <c r="C1980" t="s">
        <v>15</v>
      </c>
      <c r="D1980" t="s">
        <v>971</v>
      </c>
      <c r="E1980" t="s">
        <v>71</v>
      </c>
    </row>
    <row r="1981" spans="1:5" x14ac:dyDescent="0.25">
      <c r="A1981" s="2" t="str">
        <f>HYPERLINK("spreadsheet/1979.xlsx", "1979.xlsx")</f>
        <v>1979.xlsx</v>
      </c>
      <c r="B1981" s="2">
        <v>1979</v>
      </c>
      <c r="C1981" t="s">
        <v>5</v>
      </c>
      <c r="D1981" t="s">
        <v>972</v>
      </c>
      <c r="E1981" t="s">
        <v>126</v>
      </c>
    </row>
    <row r="1982" spans="1:5" x14ac:dyDescent="0.25">
      <c r="A1982" s="2" t="str">
        <f>HYPERLINK("spreadsheet/1980.xlsx", "1980.xlsx")</f>
        <v>1980.xlsx</v>
      </c>
      <c r="B1982" s="2">
        <v>1980</v>
      </c>
      <c r="C1982" t="s">
        <v>10</v>
      </c>
      <c r="D1982" t="s">
        <v>972</v>
      </c>
      <c r="E1982" t="s">
        <v>126</v>
      </c>
    </row>
    <row r="1983" spans="1:5" x14ac:dyDescent="0.25">
      <c r="A1983" s="2" t="str">
        <f>HYPERLINK("spreadsheet/1981.xlsx", "1981.xlsx")</f>
        <v>1981.xlsx</v>
      </c>
      <c r="B1983" s="2">
        <v>1981</v>
      </c>
      <c r="C1983" t="s">
        <v>14</v>
      </c>
      <c r="D1983" t="s">
        <v>972</v>
      </c>
      <c r="E1983" t="s">
        <v>126</v>
      </c>
    </row>
    <row r="1984" spans="1:5" x14ac:dyDescent="0.25">
      <c r="A1984" s="2" t="str">
        <f>HYPERLINK("spreadsheet/1982.xlsx", "1982.xlsx")</f>
        <v>1982.xlsx</v>
      </c>
      <c r="B1984" s="2">
        <v>1982</v>
      </c>
      <c r="C1984" t="s">
        <v>973</v>
      </c>
      <c r="D1984" t="s">
        <v>974</v>
      </c>
      <c r="E1984" t="s">
        <v>160</v>
      </c>
    </row>
    <row r="1985" spans="1:5" x14ac:dyDescent="0.25">
      <c r="A1985" s="2" t="str">
        <f>HYPERLINK("spreadsheet/1983.xlsx", "1983.xlsx")</f>
        <v>1983.xlsx</v>
      </c>
      <c r="B1985" s="2">
        <v>1983</v>
      </c>
      <c r="C1985" t="s">
        <v>975</v>
      </c>
      <c r="D1985" t="s">
        <v>974</v>
      </c>
      <c r="E1985" t="s">
        <v>160</v>
      </c>
    </row>
    <row r="1986" spans="1:5" x14ac:dyDescent="0.25">
      <c r="A1986" s="2" t="str">
        <f>HYPERLINK("spreadsheet/1984.xlsx", "1984.xlsx")</f>
        <v>1984.xlsx</v>
      </c>
      <c r="B1986" s="2">
        <v>1984</v>
      </c>
      <c r="C1986" t="s">
        <v>976</v>
      </c>
      <c r="D1986" t="s">
        <v>974</v>
      </c>
      <c r="E1986" t="s">
        <v>160</v>
      </c>
    </row>
    <row r="1987" spans="1:5" x14ac:dyDescent="0.25">
      <c r="A1987" s="2" t="str">
        <f>HYPERLINK("spreadsheet/1985.xlsx", "1985.xlsx")</f>
        <v>1985.xlsx</v>
      </c>
      <c r="B1987" s="2">
        <v>1985</v>
      </c>
      <c r="C1987" t="s">
        <v>977</v>
      </c>
      <c r="D1987" t="s">
        <v>974</v>
      </c>
      <c r="E1987" t="s">
        <v>160</v>
      </c>
    </row>
    <row r="1988" spans="1:5" x14ac:dyDescent="0.25">
      <c r="A1988" s="2" t="str">
        <f>HYPERLINK("spreadsheet/1986.xlsx", "1986.xlsx")</f>
        <v>1986.xlsx</v>
      </c>
      <c r="B1988" s="2">
        <v>1986</v>
      </c>
      <c r="C1988" t="s">
        <v>22</v>
      </c>
      <c r="D1988" t="s">
        <v>974</v>
      </c>
      <c r="E1988" t="s">
        <v>160</v>
      </c>
    </row>
    <row r="1989" spans="1:5" x14ac:dyDescent="0.25">
      <c r="A1989" s="2" t="str">
        <f>HYPERLINK("spreadsheet/1987.xlsx", "1987.xlsx")</f>
        <v>1987.xlsx</v>
      </c>
      <c r="B1989" s="2">
        <v>1987</v>
      </c>
      <c r="C1989" t="s">
        <v>5</v>
      </c>
      <c r="D1989" t="s">
        <v>978</v>
      </c>
      <c r="E1989" t="s">
        <v>120</v>
      </c>
    </row>
    <row r="1990" spans="1:5" x14ac:dyDescent="0.25">
      <c r="A1990" s="2" t="s">
        <v>979</v>
      </c>
      <c r="B1990" s="2">
        <v>1988</v>
      </c>
      <c r="C1990" t="s">
        <v>10</v>
      </c>
      <c r="D1990" t="s">
        <v>978</v>
      </c>
      <c r="E1990" t="s">
        <v>120</v>
      </c>
    </row>
    <row r="1991" spans="1:5" x14ac:dyDescent="0.25">
      <c r="A1991" s="2" t="s">
        <v>980</v>
      </c>
      <c r="B1991" s="2">
        <v>1989</v>
      </c>
      <c r="C1991" t="s">
        <v>5</v>
      </c>
      <c r="D1991" t="s">
        <v>981</v>
      </c>
      <c r="E1991" t="s">
        <v>115</v>
      </c>
    </row>
    <row r="1992" spans="1:5" x14ac:dyDescent="0.25">
      <c r="A1992" s="2" t="s">
        <v>982</v>
      </c>
      <c r="B1992" s="2">
        <v>1990</v>
      </c>
      <c r="C1992" t="s">
        <v>10</v>
      </c>
      <c r="D1992" t="s">
        <v>981</v>
      </c>
      <c r="E1992" t="s">
        <v>115</v>
      </c>
    </row>
    <row r="1993" spans="1:5" x14ac:dyDescent="0.25">
      <c r="A1993" s="2" t="str">
        <f>HYPERLINK("spreadsheet/1991.xlsx", "1991.xlsx")</f>
        <v>1991.xlsx</v>
      </c>
      <c r="B1993" s="2">
        <v>1991</v>
      </c>
      <c r="C1993" t="s">
        <v>14</v>
      </c>
      <c r="D1993" t="s">
        <v>981</v>
      </c>
      <c r="E1993" t="s">
        <v>115</v>
      </c>
    </row>
    <row r="1994" spans="1:5" x14ac:dyDescent="0.25">
      <c r="A1994" s="2" t="s">
        <v>983</v>
      </c>
      <c r="B1994" s="2">
        <v>1992</v>
      </c>
      <c r="C1994" t="s">
        <v>15</v>
      </c>
      <c r="D1994" t="s">
        <v>981</v>
      </c>
      <c r="E1994" t="s">
        <v>115</v>
      </c>
    </row>
    <row r="1995" spans="1:5" x14ac:dyDescent="0.25">
      <c r="A1995" s="2" t="s">
        <v>984</v>
      </c>
      <c r="B1995" s="2">
        <v>1993</v>
      </c>
      <c r="C1995" t="s">
        <v>650</v>
      </c>
      <c r="D1995" t="s">
        <v>985</v>
      </c>
      <c r="E1995" t="s">
        <v>150</v>
      </c>
    </row>
    <row r="1996" spans="1:5" x14ac:dyDescent="0.25">
      <c r="A1996" s="2" t="s">
        <v>986</v>
      </c>
      <c r="B1996" s="2">
        <v>1994</v>
      </c>
      <c r="C1996" t="s">
        <v>652</v>
      </c>
      <c r="D1996" t="s">
        <v>985</v>
      </c>
      <c r="E1996" t="s">
        <v>150</v>
      </c>
    </row>
    <row r="1997" spans="1:5" x14ac:dyDescent="0.25">
      <c r="A1997" s="2" t="str">
        <f>HYPERLINK("spreadsheet/1995.xlsx", "1995.xlsx")</f>
        <v>1995.xlsx</v>
      </c>
      <c r="B1997" s="2">
        <v>1995</v>
      </c>
      <c r="C1997" t="s">
        <v>360</v>
      </c>
      <c r="D1997" t="s">
        <v>985</v>
      </c>
      <c r="E1997" t="s">
        <v>150</v>
      </c>
    </row>
    <row r="1998" spans="1:5" x14ac:dyDescent="0.25">
      <c r="A1998" s="2" t="str">
        <f>HYPERLINK("spreadsheet/1996.xlsx", "1996.xlsx")</f>
        <v>1996.xlsx</v>
      </c>
      <c r="B1998" s="2">
        <v>1996</v>
      </c>
      <c r="C1998" t="s">
        <v>361</v>
      </c>
      <c r="D1998" t="s">
        <v>985</v>
      </c>
      <c r="E1998" t="s">
        <v>150</v>
      </c>
    </row>
    <row r="1999" spans="1:5" x14ac:dyDescent="0.25">
      <c r="A1999" s="2" t="str">
        <f>HYPERLINK("spreadsheet/1997.xlsx", "1997.xlsx")</f>
        <v>1997.xlsx</v>
      </c>
      <c r="B1999" s="2">
        <v>1997</v>
      </c>
      <c r="C1999" t="s">
        <v>14</v>
      </c>
      <c r="D1999" t="s">
        <v>985</v>
      </c>
      <c r="E1999" t="s">
        <v>150</v>
      </c>
    </row>
    <row r="2000" spans="1:5" x14ac:dyDescent="0.25">
      <c r="A2000" s="2" t="str">
        <f>HYPERLINK("spreadsheet/1998.xlsx", "1998.xlsx")</f>
        <v>1998.xlsx</v>
      </c>
      <c r="B2000" s="2">
        <v>1998</v>
      </c>
      <c r="C2000" t="s">
        <v>15</v>
      </c>
      <c r="D2000" t="s">
        <v>985</v>
      </c>
      <c r="E2000" t="s">
        <v>150</v>
      </c>
    </row>
    <row r="2001" spans="1:5" x14ac:dyDescent="0.25">
      <c r="A2001" s="2" t="str">
        <f>HYPERLINK("spreadsheet/1999.xlsx", "1999.xlsx")</f>
        <v>1999.xlsx</v>
      </c>
      <c r="B2001" s="2">
        <v>1999</v>
      </c>
      <c r="C2001" t="s">
        <v>22</v>
      </c>
      <c r="D2001" t="s">
        <v>985</v>
      </c>
      <c r="E2001" t="s">
        <v>150</v>
      </c>
    </row>
    <row r="2002" spans="1:5" x14ac:dyDescent="0.25">
      <c r="A2002" s="2" t="str">
        <f>HYPERLINK("spreadsheet/2000.xlsx", "2000.xlsx")</f>
        <v>2000.xlsx</v>
      </c>
      <c r="B2002" s="2">
        <v>2000</v>
      </c>
      <c r="C2002" t="s">
        <v>24</v>
      </c>
      <c r="D2002" t="s">
        <v>985</v>
      </c>
      <c r="E2002" t="s">
        <v>150</v>
      </c>
    </row>
    <row r="2003" spans="1:5" x14ac:dyDescent="0.25">
      <c r="A2003" s="2" t="str">
        <f>HYPERLINK("spreadsheet/2001.xlsx", "2001.xlsx")</f>
        <v>2001.xlsx</v>
      </c>
      <c r="B2003" s="2">
        <v>2001</v>
      </c>
      <c r="C2003" t="s">
        <v>60</v>
      </c>
      <c r="D2003" t="s">
        <v>985</v>
      </c>
      <c r="E2003" t="s">
        <v>150</v>
      </c>
    </row>
    <row r="2004" spans="1:5" x14ac:dyDescent="0.25">
      <c r="A2004" s="2" t="s">
        <v>987</v>
      </c>
      <c r="B2004" s="2">
        <v>2002</v>
      </c>
      <c r="C2004" t="s">
        <v>988</v>
      </c>
      <c r="D2004" t="s">
        <v>985</v>
      </c>
      <c r="E2004" t="s">
        <v>150</v>
      </c>
    </row>
    <row r="2005" spans="1:5" x14ac:dyDescent="0.25">
      <c r="A2005" s="2" t="str">
        <f>HYPERLINK("spreadsheet/2003.xlsx", "2003.xlsx")</f>
        <v>2003.xlsx</v>
      </c>
      <c r="B2005" s="2">
        <v>2003</v>
      </c>
      <c r="C2005" t="s">
        <v>656</v>
      </c>
      <c r="D2005" t="s">
        <v>985</v>
      </c>
      <c r="E2005" t="s">
        <v>150</v>
      </c>
    </row>
    <row r="2006" spans="1:5" x14ac:dyDescent="0.25">
      <c r="A2006" s="2" t="str">
        <f>HYPERLINK("spreadsheet/2004.xlsx", "2004.xlsx")</f>
        <v>2004.xlsx</v>
      </c>
      <c r="B2006" s="2">
        <v>2004</v>
      </c>
      <c r="C2006" t="s">
        <v>46</v>
      </c>
      <c r="D2006" t="s">
        <v>985</v>
      </c>
      <c r="E2006" t="s">
        <v>150</v>
      </c>
    </row>
    <row r="2007" spans="1:5" x14ac:dyDescent="0.25">
      <c r="A2007" s="2" t="s">
        <v>989</v>
      </c>
      <c r="B2007" s="2">
        <v>2005</v>
      </c>
      <c r="C2007" t="s">
        <v>5</v>
      </c>
      <c r="D2007" t="s">
        <v>990</v>
      </c>
      <c r="E2007" t="s">
        <v>120</v>
      </c>
    </row>
    <row r="2008" spans="1:5" x14ac:dyDescent="0.25">
      <c r="A2008" s="2" t="str">
        <f>HYPERLINK("spreadsheet/2006.xlsx", "2006.xlsx")</f>
        <v>2006.xlsx</v>
      </c>
      <c r="B2008" s="2">
        <v>2006</v>
      </c>
      <c r="C2008" t="s">
        <v>10</v>
      </c>
      <c r="D2008" t="s">
        <v>990</v>
      </c>
      <c r="E2008" t="s">
        <v>120</v>
      </c>
    </row>
    <row r="2009" spans="1:5" x14ac:dyDescent="0.25">
      <c r="A2009" s="2" t="s">
        <v>991</v>
      </c>
      <c r="B2009" s="2">
        <v>2007</v>
      </c>
      <c r="C2009" t="s">
        <v>5</v>
      </c>
      <c r="D2009" t="s">
        <v>992</v>
      </c>
      <c r="E2009" t="s">
        <v>288</v>
      </c>
    </row>
    <row r="2010" spans="1:5" x14ac:dyDescent="0.25">
      <c r="A2010" s="2" t="s">
        <v>993</v>
      </c>
      <c r="B2010" s="2">
        <v>2008</v>
      </c>
      <c r="C2010" t="s">
        <v>10</v>
      </c>
      <c r="D2010" t="s">
        <v>992</v>
      </c>
      <c r="E2010" t="s">
        <v>288</v>
      </c>
    </row>
    <row r="2011" spans="1:5" x14ac:dyDescent="0.25">
      <c r="A2011" s="2" t="str">
        <f>HYPERLINK("spreadsheet/2009.xlsx", "2009.xlsx")</f>
        <v>2009.xlsx</v>
      </c>
      <c r="B2011" s="2">
        <v>2009</v>
      </c>
      <c r="C2011" t="s">
        <v>14</v>
      </c>
      <c r="D2011" t="s">
        <v>992</v>
      </c>
      <c r="E2011" t="s">
        <v>288</v>
      </c>
    </row>
    <row r="2012" spans="1:5" x14ac:dyDescent="0.25">
      <c r="A2012" s="2" t="str">
        <f>HYPERLINK("spreadsheet/2010.xlsx", "2010.xlsx")</f>
        <v>2010.xlsx</v>
      </c>
      <c r="B2012" s="2">
        <v>2010</v>
      </c>
      <c r="C2012" t="s">
        <v>15</v>
      </c>
      <c r="D2012" t="s">
        <v>992</v>
      </c>
      <c r="E2012" t="s">
        <v>288</v>
      </c>
    </row>
    <row r="2013" spans="1:5" x14ac:dyDescent="0.25">
      <c r="A2013" s="2" t="str">
        <f>HYPERLINK("spreadsheet/2011.xlsx", "2011.xlsx")</f>
        <v>2011.xlsx</v>
      </c>
      <c r="B2013" s="2">
        <v>2011</v>
      </c>
      <c r="C2013" t="s">
        <v>22</v>
      </c>
      <c r="D2013" t="s">
        <v>992</v>
      </c>
      <c r="E2013" t="s">
        <v>288</v>
      </c>
    </row>
    <row r="2014" spans="1:5" x14ac:dyDescent="0.25">
      <c r="A2014" s="2" t="str">
        <f>HYPERLINK("spreadsheet/2012.xlsx", "2012.xlsx")</f>
        <v>2012.xlsx</v>
      </c>
      <c r="B2014" s="2">
        <v>2012</v>
      </c>
      <c r="C2014" t="s">
        <v>24</v>
      </c>
      <c r="D2014" t="s">
        <v>992</v>
      </c>
      <c r="E2014" t="s">
        <v>288</v>
      </c>
    </row>
    <row r="2015" spans="1:5" x14ac:dyDescent="0.25">
      <c r="A2015" s="2" t="str">
        <f>HYPERLINK("spreadsheet/2013.xlsx", "2013.xlsx")</f>
        <v>2013.xlsx</v>
      </c>
      <c r="B2015" s="2">
        <v>2013</v>
      </c>
      <c r="C2015" t="s">
        <v>60</v>
      </c>
      <c r="D2015" t="s">
        <v>992</v>
      </c>
      <c r="E2015" t="s">
        <v>288</v>
      </c>
    </row>
    <row r="2016" spans="1:5" x14ac:dyDescent="0.25">
      <c r="A2016" s="2" t="str">
        <f>HYPERLINK("spreadsheet/2014.xlsx", "2014.xlsx")</f>
        <v>2014.xlsx</v>
      </c>
      <c r="B2016" s="2">
        <v>2014</v>
      </c>
      <c r="C2016" t="s">
        <v>44</v>
      </c>
      <c r="D2016" t="s">
        <v>992</v>
      </c>
      <c r="E2016" t="s">
        <v>288</v>
      </c>
    </row>
    <row r="2017" spans="1:5" x14ac:dyDescent="0.25">
      <c r="A2017" s="2" t="str">
        <f>HYPERLINK("spreadsheet/2015.xlsx", "2015.xlsx")</f>
        <v>2015.xlsx</v>
      </c>
      <c r="B2017" s="2">
        <v>2015</v>
      </c>
      <c r="C2017" t="s">
        <v>45</v>
      </c>
      <c r="D2017" t="s">
        <v>992</v>
      </c>
      <c r="E2017" t="s">
        <v>288</v>
      </c>
    </row>
    <row r="2018" spans="1:5" x14ac:dyDescent="0.25">
      <c r="A2018" s="2" t="str">
        <f>HYPERLINK("spreadsheet/2016.xlsx", "2016.xlsx")</f>
        <v>2016.xlsx</v>
      </c>
      <c r="B2018" s="2">
        <v>2016</v>
      </c>
      <c r="C2018" t="s">
        <v>46</v>
      </c>
      <c r="D2018" t="s">
        <v>992</v>
      </c>
      <c r="E2018" t="s">
        <v>288</v>
      </c>
    </row>
    <row r="2019" spans="1:5" x14ac:dyDescent="0.25">
      <c r="A2019" s="2" t="str">
        <f>HYPERLINK("spreadsheet/2017.xlsx", "2017.xlsx")</f>
        <v>2017.xlsx</v>
      </c>
      <c r="B2019" s="2">
        <v>2017</v>
      </c>
      <c r="C2019" t="s">
        <v>47</v>
      </c>
      <c r="D2019" t="s">
        <v>992</v>
      </c>
      <c r="E2019" t="s">
        <v>288</v>
      </c>
    </row>
    <row r="2020" spans="1:5" x14ac:dyDescent="0.25">
      <c r="A2020" s="2" t="str">
        <f>HYPERLINK("spreadsheet/2018.xlsx", "2018.xlsx")</f>
        <v>2018.xlsx</v>
      </c>
      <c r="B2020" s="2">
        <v>2018</v>
      </c>
      <c r="C2020" t="s">
        <v>48</v>
      </c>
      <c r="D2020" t="s">
        <v>992</v>
      </c>
      <c r="E2020" t="s">
        <v>288</v>
      </c>
    </row>
    <row r="2021" spans="1:5" x14ac:dyDescent="0.25">
      <c r="A2021" s="2" t="str">
        <f>HYPERLINK("spreadsheet/2019.xlsx", "2019.xlsx")</f>
        <v>2019.xlsx</v>
      </c>
      <c r="B2021" s="2">
        <v>2019</v>
      </c>
      <c r="C2021" t="s">
        <v>5</v>
      </c>
      <c r="D2021" t="s">
        <v>994</v>
      </c>
      <c r="E2021" t="s">
        <v>139</v>
      </c>
    </row>
    <row r="2022" spans="1:5" x14ac:dyDescent="0.25">
      <c r="A2022" s="2" t="str">
        <f>HYPERLINK("spreadsheet/2020.xlsx", "2020.xlsx")</f>
        <v>2020.xlsx</v>
      </c>
      <c r="B2022" s="2">
        <v>2020</v>
      </c>
      <c r="C2022" t="s">
        <v>10</v>
      </c>
      <c r="D2022" t="s">
        <v>994</v>
      </c>
      <c r="E2022" t="s">
        <v>139</v>
      </c>
    </row>
    <row r="2023" spans="1:5" x14ac:dyDescent="0.25">
      <c r="A2023" s="2" t="str">
        <f>HYPERLINK("spreadsheet/2021.xlsx", "2021.xlsx")</f>
        <v>2021.xlsx</v>
      </c>
      <c r="B2023" s="2">
        <v>2021</v>
      </c>
      <c r="C2023" t="s">
        <v>14</v>
      </c>
      <c r="D2023" t="s">
        <v>994</v>
      </c>
      <c r="E2023" t="s">
        <v>139</v>
      </c>
    </row>
    <row r="2024" spans="1:5" x14ac:dyDescent="0.25">
      <c r="A2024" s="2" t="str">
        <f>HYPERLINK("spreadsheet/2022.xlsx", "2022.xlsx")</f>
        <v>2022.xlsx</v>
      </c>
      <c r="B2024" s="2">
        <v>2022</v>
      </c>
      <c r="C2024" t="s">
        <v>15</v>
      </c>
      <c r="D2024" t="s">
        <v>994</v>
      </c>
      <c r="E2024" t="s">
        <v>139</v>
      </c>
    </row>
    <row r="2025" spans="1:5" x14ac:dyDescent="0.25">
      <c r="A2025" s="2" t="str">
        <f>HYPERLINK("spreadsheet/2023.xlsx", "2023.xlsx")</f>
        <v>2023.xlsx</v>
      </c>
      <c r="B2025" s="2">
        <v>2023</v>
      </c>
      <c r="C2025" t="s">
        <v>22</v>
      </c>
      <c r="D2025" t="s">
        <v>994</v>
      </c>
      <c r="E2025" t="s">
        <v>139</v>
      </c>
    </row>
    <row r="2026" spans="1:5" x14ac:dyDescent="0.25">
      <c r="A2026" s="2" t="str">
        <f>HYPERLINK("spreadsheet/2024.xlsx", "2024.xlsx")</f>
        <v>2024.xlsx</v>
      </c>
      <c r="B2026" s="2">
        <v>2024</v>
      </c>
      <c r="C2026" t="s">
        <v>5</v>
      </c>
      <c r="D2026" t="s">
        <v>995</v>
      </c>
      <c r="E2026" t="s">
        <v>154</v>
      </c>
    </row>
    <row r="2027" spans="1:5" x14ac:dyDescent="0.25">
      <c r="A2027" s="2" t="str">
        <f>HYPERLINK("spreadsheet/2025.xlsx", "2025.xlsx")</f>
        <v>2025.xlsx</v>
      </c>
      <c r="B2027" s="2">
        <v>2025</v>
      </c>
      <c r="C2027" t="s">
        <v>10</v>
      </c>
      <c r="D2027" t="s">
        <v>995</v>
      </c>
      <c r="E2027" t="s">
        <v>154</v>
      </c>
    </row>
    <row r="2028" spans="1:5" x14ac:dyDescent="0.25">
      <c r="A2028" s="2" t="s">
        <v>996</v>
      </c>
      <c r="B2028" s="2">
        <v>2026</v>
      </c>
      <c r="C2028" t="s">
        <v>14</v>
      </c>
      <c r="D2028" t="s">
        <v>995</v>
      </c>
      <c r="E2028" t="s">
        <v>154</v>
      </c>
    </row>
    <row r="2029" spans="1:5" x14ac:dyDescent="0.25">
      <c r="A2029" s="2" t="str">
        <f>HYPERLINK("spreadsheet/2027.xlsx", "2027.xlsx")</f>
        <v>2027.xlsx</v>
      </c>
      <c r="B2029" s="2">
        <v>2027</v>
      </c>
      <c r="C2029" t="s">
        <v>15</v>
      </c>
      <c r="D2029" t="s">
        <v>995</v>
      </c>
      <c r="E2029" t="s">
        <v>154</v>
      </c>
    </row>
    <row r="2030" spans="1:5" x14ac:dyDescent="0.25">
      <c r="A2030" s="2" t="s">
        <v>997</v>
      </c>
      <c r="B2030" s="2">
        <v>2028</v>
      </c>
      <c r="C2030" t="s">
        <v>22</v>
      </c>
      <c r="D2030" t="s">
        <v>995</v>
      </c>
      <c r="E2030" t="s">
        <v>154</v>
      </c>
    </row>
    <row r="2031" spans="1:5" x14ac:dyDescent="0.25">
      <c r="A2031" s="2" t="str">
        <f>HYPERLINK("spreadsheet/2029.xlsx", "2029.xlsx")</f>
        <v>2029.xlsx</v>
      </c>
      <c r="B2031" s="2">
        <v>2029</v>
      </c>
      <c r="C2031" t="s">
        <v>5</v>
      </c>
      <c r="D2031" t="s">
        <v>998</v>
      </c>
      <c r="E2031" t="s">
        <v>126</v>
      </c>
    </row>
    <row r="2032" spans="1:5" x14ac:dyDescent="0.25">
      <c r="A2032" s="2" t="str">
        <f>HYPERLINK("spreadsheet/2030.xlsx", "2030.xlsx")</f>
        <v>2030.xlsx</v>
      </c>
      <c r="B2032" s="2">
        <v>2030</v>
      </c>
      <c r="C2032" t="s">
        <v>5</v>
      </c>
      <c r="D2032" t="s">
        <v>999</v>
      </c>
      <c r="E2032" t="s">
        <v>134</v>
      </c>
    </row>
    <row r="2033" spans="1:5" x14ac:dyDescent="0.25">
      <c r="A2033" s="2" t="s">
        <v>1000</v>
      </c>
      <c r="B2033" s="2">
        <v>2031</v>
      </c>
      <c r="C2033" t="s">
        <v>10</v>
      </c>
      <c r="D2033" t="s">
        <v>999</v>
      </c>
      <c r="E2033" t="s">
        <v>134</v>
      </c>
    </row>
    <row r="2034" spans="1:5" x14ac:dyDescent="0.25">
      <c r="A2034" s="2" t="s">
        <v>1001</v>
      </c>
      <c r="B2034" s="2">
        <v>2032</v>
      </c>
      <c r="C2034" t="s">
        <v>14</v>
      </c>
      <c r="D2034" t="s">
        <v>999</v>
      </c>
      <c r="E2034" t="s">
        <v>134</v>
      </c>
    </row>
    <row r="2035" spans="1:5" x14ac:dyDescent="0.25">
      <c r="A2035" s="2" t="str">
        <f>HYPERLINK("spreadsheet/2033.xlsx", "2033.xlsx")</f>
        <v>2033.xlsx</v>
      </c>
      <c r="B2035" s="2">
        <v>2033</v>
      </c>
      <c r="C2035" t="s">
        <v>15</v>
      </c>
      <c r="D2035" t="s">
        <v>999</v>
      </c>
      <c r="E2035" t="s">
        <v>134</v>
      </c>
    </row>
    <row r="2036" spans="1:5" x14ac:dyDescent="0.25">
      <c r="A2036" s="2" t="s">
        <v>1002</v>
      </c>
      <c r="B2036" s="2">
        <v>2034</v>
      </c>
      <c r="C2036" t="s">
        <v>22</v>
      </c>
      <c r="D2036" t="s">
        <v>999</v>
      </c>
      <c r="E2036" t="s">
        <v>134</v>
      </c>
    </row>
    <row r="2037" spans="1:5" x14ac:dyDescent="0.25">
      <c r="A2037" s="2" t="s">
        <v>1003</v>
      </c>
      <c r="B2037" s="2">
        <v>2035</v>
      </c>
      <c r="C2037" t="s">
        <v>5</v>
      </c>
      <c r="D2037" t="s">
        <v>1004</v>
      </c>
      <c r="E2037" t="s">
        <v>218</v>
      </c>
    </row>
    <row r="2038" spans="1:5" x14ac:dyDescent="0.25">
      <c r="A2038" s="2" t="s">
        <v>1005</v>
      </c>
      <c r="B2038" s="2">
        <v>2036</v>
      </c>
      <c r="C2038" t="s">
        <v>10</v>
      </c>
      <c r="D2038" t="s">
        <v>1004</v>
      </c>
      <c r="E2038" t="s">
        <v>218</v>
      </c>
    </row>
    <row r="2039" spans="1:5" x14ac:dyDescent="0.25">
      <c r="A2039" s="2" t="str">
        <f>HYPERLINK("spreadsheet/2037.xlsx", "2037.xlsx")</f>
        <v>2037.xlsx</v>
      </c>
      <c r="B2039" s="2">
        <v>2037</v>
      </c>
      <c r="C2039" t="s">
        <v>14</v>
      </c>
      <c r="D2039" t="s">
        <v>1004</v>
      </c>
      <c r="E2039" t="s">
        <v>218</v>
      </c>
    </row>
    <row r="2040" spans="1:5" x14ac:dyDescent="0.25">
      <c r="A2040" s="2" t="str">
        <f>HYPERLINK("spreadsheet/2038.xlsx", "2038.xlsx")</f>
        <v>2038.xlsx</v>
      </c>
      <c r="B2040" s="2">
        <v>2038</v>
      </c>
      <c r="C2040" t="s">
        <v>15</v>
      </c>
      <c r="D2040" t="s">
        <v>1004</v>
      </c>
      <c r="E2040" t="s">
        <v>218</v>
      </c>
    </row>
    <row r="2041" spans="1:5" x14ac:dyDescent="0.25">
      <c r="A2041" s="2" t="str">
        <f>HYPERLINK("spreadsheet/2039.xlsx", "2039.xlsx")</f>
        <v>2039.xlsx</v>
      </c>
      <c r="B2041" s="2">
        <v>2039</v>
      </c>
      <c r="C2041" t="s">
        <v>22</v>
      </c>
      <c r="D2041" t="s">
        <v>1004</v>
      </c>
      <c r="E2041" t="s">
        <v>218</v>
      </c>
    </row>
    <row r="2042" spans="1:5" x14ac:dyDescent="0.25">
      <c r="A2042" s="2" t="str">
        <f>HYPERLINK("spreadsheet/2040.xlsx", "2040.xlsx")</f>
        <v>2040.xlsx</v>
      </c>
      <c r="B2042" s="2">
        <v>2040</v>
      </c>
      <c r="C2042" t="s">
        <v>14</v>
      </c>
      <c r="D2042" t="s">
        <v>1006</v>
      </c>
      <c r="E2042" t="s">
        <v>154</v>
      </c>
    </row>
    <row r="2043" spans="1:5" x14ac:dyDescent="0.25">
      <c r="A2043" s="2" t="str">
        <f>HYPERLINK("spreadsheet/2041.xlsx", "2041.xlsx")</f>
        <v>2041.xlsx</v>
      </c>
      <c r="B2043" s="2">
        <v>2041</v>
      </c>
      <c r="C2043" t="s">
        <v>15</v>
      </c>
      <c r="D2043" t="s">
        <v>1006</v>
      </c>
      <c r="E2043" t="s">
        <v>154</v>
      </c>
    </row>
    <row r="2044" spans="1:5" x14ac:dyDescent="0.25">
      <c r="A2044" s="2" t="s">
        <v>1007</v>
      </c>
      <c r="B2044" s="2">
        <v>2042</v>
      </c>
      <c r="C2044" t="s">
        <v>22</v>
      </c>
      <c r="D2044" t="s">
        <v>1006</v>
      </c>
      <c r="E2044" t="s">
        <v>154</v>
      </c>
    </row>
    <row r="2045" spans="1:5" x14ac:dyDescent="0.25">
      <c r="A2045" s="2" t="str">
        <f>HYPERLINK("spreadsheet/2043.xlsx", "2043.xlsx")</f>
        <v>2043.xlsx</v>
      </c>
      <c r="B2045" s="2">
        <v>2043</v>
      </c>
      <c r="C2045" t="s">
        <v>24</v>
      </c>
      <c r="D2045" t="s">
        <v>1006</v>
      </c>
      <c r="E2045" t="s">
        <v>154</v>
      </c>
    </row>
    <row r="2046" spans="1:5" x14ac:dyDescent="0.25">
      <c r="A2046" s="2" t="str">
        <f>HYPERLINK("spreadsheet/2044.xlsx", "2044.xlsx")</f>
        <v>2044.xlsx</v>
      </c>
      <c r="B2046" s="2">
        <v>2044</v>
      </c>
      <c r="C2046" t="s">
        <v>45</v>
      </c>
      <c r="D2046" t="s">
        <v>1006</v>
      </c>
      <c r="E2046" t="s">
        <v>154</v>
      </c>
    </row>
    <row r="2047" spans="1:5" x14ac:dyDescent="0.25">
      <c r="A2047" s="2" t="str">
        <f>HYPERLINK("spreadsheet/2045.xlsx", "2045.xlsx")</f>
        <v>2045.xlsx</v>
      </c>
      <c r="B2047" s="2">
        <v>2045</v>
      </c>
      <c r="C2047" t="s">
        <v>5</v>
      </c>
      <c r="D2047" t="s">
        <v>1008</v>
      </c>
      <c r="E2047" t="s">
        <v>332</v>
      </c>
    </row>
    <row r="2048" spans="1:5" x14ac:dyDescent="0.25">
      <c r="A2048" s="2" t="str">
        <f>HYPERLINK("spreadsheet/2046.xlsx", "2046.xlsx")</f>
        <v>2046.xlsx</v>
      </c>
      <c r="B2048" s="2">
        <v>2046</v>
      </c>
      <c r="C2048" t="s">
        <v>10</v>
      </c>
      <c r="D2048" t="s">
        <v>1008</v>
      </c>
      <c r="E2048" t="s">
        <v>332</v>
      </c>
    </row>
    <row r="2049" spans="1:5" x14ac:dyDescent="0.25">
      <c r="A2049" s="2" t="str">
        <f>HYPERLINK("spreadsheet/2047.xlsx", "2047.xlsx")</f>
        <v>2047.xlsx</v>
      </c>
      <c r="B2049" s="2">
        <v>2047</v>
      </c>
      <c r="C2049" t="s">
        <v>14</v>
      </c>
      <c r="D2049" t="s">
        <v>1008</v>
      </c>
      <c r="E2049" t="s">
        <v>332</v>
      </c>
    </row>
    <row r="2050" spans="1:5" x14ac:dyDescent="0.25">
      <c r="A2050" s="2" t="str">
        <f>HYPERLINK("spreadsheet/2048.xlsx", "2048.xlsx")</f>
        <v>2048.xlsx</v>
      </c>
      <c r="B2050" s="2">
        <v>2048</v>
      </c>
      <c r="C2050" t="s">
        <v>15</v>
      </c>
      <c r="D2050" t="s">
        <v>1008</v>
      </c>
      <c r="E2050" t="s">
        <v>332</v>
      </c>
    </row>
    <row r="2051" spans="1:5" x14ac:dyDescent="0.25">
      <c r="A2051" s="2" t="str">
        <f>HYPERLINK("spreadsheet/2049.xlsx", "2049.xlsx")</f>
        <v>2049.xlsx</v>
      </c>
      <c r="B2051" s="2">
        <v>2049</v>
      </c>
      <c r="C2051" t="s">
        <v>22</v>
      </c>
      <c r="D2051" t="s">
        <v>1008</v>
      </c>
      <c r="E2051" t="s">
        <v>332</v>
      </c>
    </row>
    <row r="2052" spans="1:5" x14ac:dyDescent="0.25">
      <c r="A2052" s="2" t="s">
        <v>1009</v>
      </c>
      <c r="B2052" s="2">
        <v>2050</v>
      </c>
      <c r="C2052" t="s">
        <v>24</v>
      </c>
      <c r="D2052" t="s">
        <v>1008</v>
      </c>
      <c r="E2052" t="s">
        <v>332</v>
      </c>
    </row>
    <row r="2053" spans="1:5" x14ac:dyDescent="0.25">
      <c r="A2053" s="2" t="s">
        <v>1010</v>
      </c>
      <c r="B2053" s="2">
        <v>2051</v>
      </c>
      <c r="C2053" t="s">
        <v>45</v>
      </c>
      <c r="D2053" t="s">
        <v>1008</v>
      </c>
      <c r="E2053" t="s">
        <v>332</v>
      </c>
    </row>
    <row r="2054" spans="1:5" x14ac:dyDescent="0.25">
      <c r="A2054" s="2" t="s">
        <v>1011</v>
      </c>
      <c r="B2054" s="2">
        <v>2052</v>
      </c>
      <c r="C2054" t="s">
        <v>5</v>
      </c>
      <c r="D2054" t="s">
        <v>1012</v>
      </c>
      <c r="E2054" t="s">
        <v>154</v>
      </c>
    </row>
    <row r="2055" spans="1:5" x14ac:dyDescent="0.25">
      <c r="A2055" s="2" t="str">
        <f>HYPERLINK("spreadsheet/2053.xlsx", "2053.xlsx")</f>
        <v>2053.xlsx</v>
      </c>
      <c r="B2055" s="2">
        <v>2053</v>
      </c>
      <c r="C2055" t="s">
        <v>10</v>
      </c>
      <c r="D2055" t="s">
        <v>1012</v>
      </c>
      <c r="E2055" t="s">
        <v>154</v>
      </c>
    </row>
    <row r="2056" spans="1:5" x14ac:dyDescent="0.25">
      <c r="A2056" s="2" t="str">
        <f>HYPERLINK("spreadsheet/2054.xlsx", "2054.xlsx")</f>
        <v>2054.xlsx</v>
      </c>
      <c r="B2056" s="2">
        <v>2054</v>
      </c>
      <c r="C2056" t="s">
        <v>14</v>
      </c>
      <c r="D2056" t="s">
        <v>1012</v>
      </c>
      <c r="E2056" t="s">
        <v>154</v>
      </c>
    </row>
    <row r="2057" spans="1:5" x14ac:dyDescent="0.25">
      <c r="A2057" s="2" t="str">
        <f>HYPERLINK("spreadsheet/2055.xlsx", "2055.xlsx")</f>
        <v>2055.xlsx</v>
      </c>
      <c r="B2057" s="2">
        <v>2055</v>
      </c>
      <c r="C2057" t="s">
        <v>15</v>
      </c>
      <c r="D2057" t="s">
        <v>1012</v>
      </c>
      <c r="E2057" t="s">
        <v>154</v>
      </c>
    </row>
    <row r="2058" spans="1:5" x14ac:dyDescent="0.25">
      <c r="A2058" s="2" t="s">
        <v>1013</v>
      </c>
      <c r="B2058" s="2">
        <v>2056</v>
      </c>
      <c r="C2058" t="s">
        <v>22</v>
      </c>
      <c r="D2058" t="s">
        <v>1012</v>
      </c>
      <c r="E2058" t="s">
        <v>154</v>
      </c>
    </row>
    <row r="2059" spans="1:5" x14ac:dyDescent="0.25">
      <c r="A2059" s="2" t="s">
        <v>1014</v>
      </c>
      <c r="B2059" s="2">
        <v>2057</v>
      </c>
      <c r="C2059" t="s">
        <v>24</v>
      </c>
      <c r="D2059" t="s">
        <v>1012</v>
      </c>
      <c r="E2059" t="s">
        <v>154</v>
      </c>
    </row>
    <row r="2060" spans="1:5" x14ac:dyDescent="0.25">
      <c r="A2060" s="2" t="str">
        <f>HYPERLINK("spreadsheet/2058.xlsx", "2058.xlsx")</f>
        <v>2058.xlsx</v>
      </c>
      <c r="B2060" s="2">
        <v>2058</v>
      </c>
      <c r="C2060" t="s">
        <v>5</v>
      </c>
      <c r="D2060" t="s">
        <v>1015</v>
      </c>
      <c r="E2060" t="s">
        <v>154</v>
      </c>
    </row>
    <row r="2061" spans="1:5" x14ac:dyDescent="0.25">
      <c r="A2061" s="2" t="s">
        <v>1016</v>
      </c>
      <c r="B2061" s="2">
        <v>2059</v>
      </c>
      <c r="C2061" t="s">
        <v>5</v>
      </c>
      <c r="D2061" t="s">
        <v>1015</v>
      </c>
      <c r="E2061" t="s">
        <v>154</v>
      </c>
    </row>
    <row r="2062" spans="1:5" x14ac:dyDescent="0.25">
      <c r="A2062" s="2" t="str">
        <f>HYPERLINK("spreadsheet/2060.xlsx", "2060.xlsx")</f>
        <v>2060.xlsx</v>
      </c>
      <c r="B2062" s="2">
        <v>2060</v>
      </c>
      <c r="C2062" t="s">
        <v>5</v>
      </c>
      <c r="D2062" t="s">
        <v>1017</v>
      </c>
      <c r="E2062" t="s">
        <v>173</v>
      </c>
    </row>
    <row r="2063" spans="1:5" x14ac:dyDescent="0.25">
      <c r="A2063" s="2" t="str">
        <f>HYPERLINK("spreadsheet/2061.xlsx", "2061.xlsx")</f>
        <v>2061.xlsx</v>
      </c>
      <c r="B2063" s="2">
        <v>2061</v>
      </c>
      <c r="C2063" t="s">
        <v>15</v>
      </c>
      <c r="D2063" t="s">
        <v>1017</v>
      </c>
      <c r="E2063" t="s">
        <v>173</v>
      </c>
    </row>
    <row r="2064" spans="1:5" x14ac:dyDescent="0.25">
      <c r="A2064" s="2" t="str">
        <f>HYPERLINK("spreadsheet/2062.xlsx", "2062.xlsx")</f>
        <v>2062.xlsx</v>
      </c>
      <c r="B2064" s="2">
        <v>2062</v>
      </c>
      <c r="C2064" t="s">
        <v>22</v>
      </c>
      <c r="D2064" t="s">
        <v>1017</v>
      </c>
      <c r="E2064" t="s">
        <v>173</v>
      </c>
    </row>
    <row r="2065" spans="1:5" x14ac:dyDescent="0.25">
      <c r="A2065" s="2" t="s">
        <v>1018</v>
      </c>
      <c r="B2065" s="2">
        <v>2063</v>
      </c>
      <c r="C2065" t="s">
        <v>24</v>
      </c>
      <c r="D2065" t="s">
        <v>1017</v>
      </c>
      <c r="E2065" t="s">
        <v>173</v>
      </c>
    </row>
    <row r="2066" spans="1:5" x14ac:dyDescent="0.25">
      <c r="A2066" s="2" t="str">
        <f>HYPERLINK("spreadsheet/2064.xlsx", "2064.xlsx")</f>
        <v>2064.xlsx</v>
      </c>
      <c r="B2066" s="2">
        <v>2064</v>
      </c>
      <c r="C2066" t="s">
        <v>60</v>
      </c>
      <c r="D2066" t="s">
        <v>1017</v>
      </c>
      <c r="E2066" t="s">
        <v>173</v>
      </c>
    </row>
    <row r="2067" spans="1:5" x14ac:dyDescent="0.25">
      <c r="A2067" s="2" t="s">
        <v>1019</v>
      </c>
      <c r="B2067" s="2">
        <v>2065</v>
      </c>
      <c r="C2067" t="s">
        <v>1020</v>
      </c>
      <c r="D2067" t="s">
        <v>1021</v>
      </c>
      <c r="E2067" t="s">
        <v>150</v>
      </c>
    </row>
    <row r="2068" spans="1:5" x14ac:dyDescent="0.25">
      <c r="A2068" s="2" t="s">
        <v>1022</v>
      </c>
      <c r="B2068" s="2">
        <v>2066</v>
      </c>
      <c r="C2068" t="s">
        <v>5</v>
      </c>
      <c r="D2068" t="s">
        <v>1021</v>
      </c>
      <c r="E2068" t="s">
        <v>150</v>
      </c>
    </row>
    <row r="2069" spans="1:5" x14ac:dyDescent="0.25">
      <c r="A2069" s="2" t="str">
        <f>HYPERLINK("spreadsheet/2067.xlsx", "2067.xlsx")</f>
        <v>2067.xlsx</v>
      </c>
      <c r="B2069" s="2">
        <v>2067</v>
      </c>
      <c r="C2069" t="s">
        <v>10</v>
      </c>
      <c r="D2069" t="s">
        <v>1021</v>
      </c>
      <c r="E2069" t="s">
        <v>150</v>
      </c>
    </row>
    <row r="2070" spans="1:5" x14ac:dyDescent="0.25">
      <c r="A2070" s="2" t="str">
        <f>HYPERLINK("spreadsheet/2068.xlsx", "2068.xlsx")</f>
        <v>2068.xlsx</v>
      </c>
      <c r="B2070" s="2">
        <v>2068</v>
      </c>
      <c r="C2070" t="s">
        <v>14</v>
      </c>
      <c r="D2070" t="s">
        <v>1021</v>
      </c>
      <c r="E2070" t="s">
        <v>150</v>
      </c>
    </row>
    <row r="2071" spans="1:5" x14ac:dyDescent="0.25">
      <c r="A2071" s="2" t="str">
        <f>HYPERLINK("spreadsheet/2069.xlsx", "2069.xlsx")</f>
        <v>2069.xlsx</v>
      </c>
      <c r="B2071" s="2">
        <v>2069</v>
      </c>
      <c r="C2071" t="s">
        <v>15</v>
      </c>
      <c r="D2071" t="s">
        <v>1021</v>
      </c>
      <c r="E2071" t="s">
        <v>150</v>
      </c>
    </row>
    <row r="2072" spans="1:5" x14ac:dyDescent="0.25">
      <c r="A2072" s="2" t="str">
        <f>HYPERLINK("spreadsheet/2070.xlsx", "2070.xlsx")</f>
        <v>2070.xlsx</v>
      </c>
      <c r="B2072" s="2">
        <v>2070</v>
      </c>
      <c r="C2072" t="s">
        <v>22</v>
      </c>
      <c r="D2072" t="s">
        <v>1021</v>
      </c>
      <c r="E2072" t="s">
        <v>150</v>
      </c>
    </row>
    <row r="2073" spans="1:5" x14ac:dyDescent="0.25">
      <c r="A2073" s="2" t="str">
        <f>HYPERLINK("spreadsheet/2071.xlsx", "2071.xlsx")</f>
        <v>2071.xlsx</v>
      </c>
      <c r="B2073" s="2">
        <v>2071</v>
      </c>
      <c r="C2073" t="s">
        <v>24</v>
      </c>
      <c r="D2073" t="s">
        <v>1021</v>
      </c>
      <c r="E2073" t="s">
        <v>150</v>
      </c>
    </row>
    <row r="2074" spans="1:5" x14ac:dyDescent="0.25">
      <c r="A2074" s="2" t="str">
        <f>HYPERLINK("spreadsheet/2072.xlsx", "2072.xlsx")</f>
        <v>2072.xlsx</v>
      </c>
      <c r="B2074" s="2">
        <v>2072</v>
      </c>
      <c r="C2074" t="s">
        <v>60</v>
      </c>
      <c r="D2074" t="s">
        <v>1021</v>
      </c>
      <c r="E2074" t="s">
        <v>150</v>
      </c>
    </row>
    <row r="2075" spans="1:5" x14ac:dyDescent="0.25">
      <c r="A2075" s="2" t="str">
        <f>HYPERLINK("spreadsheet/2073.xlsx", "2073.xlsx")</f>
        <v>2073.xlsx</v>
      </c>
      <c r="B2075" s="2">
        <v>2073</v>
      </c>
      <c r="C2075" t="s">
        <v>5</v>
      </c>
      <c r="D2075" t="s">
        <v>1023</v>
      </c>
      <c r="E2075" t="s">
        <v>134</v>
      </c>
    </row>
    <row r="2076" spans="1:5" x14ac:dyDescent="0.25">
      <c r="A2076" s="2" t="str">
        <f>HYPERLINK("spreadsheet/2074.xlsx", "2074.xlsx")</f>
        <v>2074.xlsx</v>
      </c>
      <c r="B2076" s="2">
        <v>2074</v>
      </c>
      <c r="C2076" t="s">
        <v>5</v>
      </c>
      <c r="D2076" t="s">
        <v>1024</v>
      </c>
      <c r="E2076" t="s">
        <v>71</v>
      </c>
    </row>
    <row r="2077" spans="1:5" x14ac:dyDescent="0.25">
      <c r="A2077" s="2" t="str">
        <f>HYPERLINK("spreadsheet/2075.xlsx", "2075.xlsx")</f>
        <v>2075.xlsx</v>
      </c>
      <c r="B2077" s="2">
        <v>2075</v>
      </c>
      <c r="C2077" t="s">
        <v>10</v>
      </c>
      <c r="D2077" t="s">
        <v>1024</v>
      </c>
      <c r="E2077" t="s">
        <v>71</v>
      </c>
    </row>
    <row r="2078" spans="1:5" x14ac:dyDescent="0.25">
      <c r="A2078" s="2" t="str">
        <f>HYPERLINK("spreadsheet/2076.xlsx", "2076.xlsx")</f>
        <v>2076.xlsx</v>
      </c>
      <c r="B2078" s="2">
        <v>2076</v>
      </c>
      <c r="C2078" t="s">
        <v>14</v>
      </c>
      <c r="D2078" t="s">
        <v>1024</v>
      </c>
      <c r="E2078" t="s">
        <v>71</v>
      </c>
    </row>
    <row r="2079" spans="1:5" x14ac:dyDescent="0.25">
      <c r="A2079" s="2" t="str">
        <f>HYPERLINK("spreadsheet/2077.xlsx", "2077.xlsx")</f>
        <v>2077.xlsx</v>
      </c>
      <c r="B2079" s="2">
        <v>2077</v>
      </c>
      <c r="C2079" t="s">
        <v>60</v>
      </c>
      <c r="D2079" t="s">
        <v>1024</v>
      </c>
      <c r="E2079" t="s">
        <v>71</v>
      </c>
    </row>
    <row r="2080" spans="1:5" x14ac:dyDescent="0.25">
      <c r="A2080" s="2" t="str">
        <f>HYPERLINK("spreadsheet/2078.xlsx", "2078.xlsx")</f>
        <v>2078.xlsx</v>
      </c>
      <c r="B2080" s="2">
        <v>2078</v>
      </c>
      <c r="C2080" t="s">
        <v>44</v>
      </c>
      <c r="D2080" t="s">
        <v>1024</v>
      </c>
      <c r="E2080" t="s">
        <v>71</v>
      </c>
    </row>
    <row r="2081" spans="1:5" x14ac:dyDescent="0.25">
      <c r="A2081" s="2" t="str">
        <f>HYPERLINK("spreadsheet/2079.xlsx", "2079.xlsx")</f>
        <v>2079.xlsx</v>
      </c>
      <c r="B2081" s="2">
        <v>2079</v>
      </c>
      <c r="C2081" t="s">
        <v>5</v>
      </c>
      <c r="D2081" t="s">
        <v>1025</v>
      </c>
      <c r="E2081" t="s">
        <v>115</v>
      </c>
    </row>
    <row r="2082" spans="1:5" x14ac:dyDescent="0.25">
      <c r="A2082" s="2" t="str">
        <f>HYPERLINK("spreadsheet/2080.xlsx", "2080.xlsx")</f>
        <v>2080.xlsx</v>
      </c>
      <c r="B2082" s="2">
        <v>2080</v>
      </c>
      <c r="C2082" t="s">
        <v>10</v>
      </c>
      <c r="D2082" t="s">
        <v>1025</v>
      </c>
      <c r="E2082" t="s">
        <v>115</v>
      </c>
    </row>
    <row r="2083" spans="1:5" x14ac:dyDescent="0.25">
      <c r="A2083" s="2" t="str">
        <f>HYPERLINK("spreadsheet/2081.xlsx", "2081.xlsx")</f>
        <v>2081.xlsx</v>
      </c>
      <c r="B2083" s="2">
        <v>2081</v>
      </c>
      <c r="C2083" t="s">
        <v>14</v>
      </c>
      <c r="D2083" t="s">
        <v>1025</v>
      </c>
      <c r="E2083" t="s">
        <v>115</v>
      </c>
    </row>
    <row r="2084" spans="1:5" x14ac:dyDescent="0.25">
      <c r="A2084" s="2" t="str">
        <f>HYPERLINK("spreadsheet/2082.xlsx", "2082.xlsx")</f>
        <v>2082.xlsx</v>
      </c>
      <c r="B2084" s="2">
        <v>2082</v>
      </c>
      <c r="C2084" t="s">
        <v>15</v>
      </c>
      <c r="D2084" t="s">
        <v>1025</v>
      </c>
      <c r="E2084" t="s">
        <v>115</v>
      </c>
    </row>
    <row r="2085" spans="1:5" x14ac:dyDescent="0.25">
      <c r="A2085" s="2" t="str">
        <f>HYPERLINK("spreadsheet/2083.xlsx", "2083.xlsx")</f>
        <v>2083.xlsx</v>
      </c>
      <c r="B2085" s="2">
        <v>2083</v>
      </c>
      <c r="C2085" t="s">
        <v>5</v>
      </c>
      <c r="D2085" t="s">
        <v>1026</v>
      </c>
      <c r="E2085" t="s">
        <v>218</v>
      </c>
    </row>
    <row r="2086" spans="1:5" x14ac:dyDescent="0.25">
      <c r="A2086" s="2" t="str">
        <f>HYPERLINK("spreadsheet/2084.xlsx", "2084.xlsx")</f>
        <v>2084.xlsx</v>
      </c>
      <c r="B2086" s="2">
        <v>2084</v>
      </c>
      <c r="C2086" t="s">
        <v>10</v>
      </c>
      <c r="D2086" t="s">
        <v>1026</v>
      </c>
      <c r="E2086" t="s">
        <v>218</v>
      </c>
    </row>
    <row r="2087" spans="1:5" x14ac:dyDescent="0.25">
      <c r="A2087" s="2" t="str">
        <f>HYPERLINK("spreadsheet/2085.xlsx", "2085.xlsx")</f>
        <v>2085.xlsx</v>
      </c>
      <c r="B2087" s="2">
        <v>2085</v>
      </c>
      <c r="C2087" t="s">
        <v>14</v>
      </c>
      <c r="D2087" t="s">
        <v>1026</v>
      </c>
      <c r="E2087" t="s">
        <v>218</v>
      </c>
    </row>
    <row r="2088" spans="1:5" x14ac:dyDescent="0.25">
      <c r="A2088" s="2" t="str">
        <f>HYPERLINK("spreadsheet/2086.xlsx", "2086.xlsx")</f>
        <v>2086.xlsx</v>
      </c>
      <c r="B2088" s="2">
        <v>2086</v>
      </c>
      <c r="C2088" t="s">
        <v>15</v>
      </c>
      <c r="D2088" t="s">
        <v>1026</v>
      </c>
      <c r="E2088" t="s">
        <v>218</v>
      </c>
    </row>
    <row r="2089" spans="1:5" x14ac:dyDescent="0.25">
      <c r="A2089" s="2" t="str">
        <f>HYPERLINK("spreadsheet/2087.xlsx", "2087.xlsx")</f>
        <v>2087.xlsx</v>
      </c>
      <c r="B2089" s="2">
        <v>2087</v>
      </c>
      <c r="C2089" t="s">
        <v>22</v>
      </c>
      <c r="D2089" t="s">
        <v>1026</v>
      </c>
      <c r="E2089" t="s">
        <v>218</v>
      </c>
    </row>
    <row r="2090" spans="1:5" x14ac:dyDescent="0.25">
      <c r="A2090" s="2" t="str">
        <f>HYPERLINK("spreadsheet/2088.xlsx", "2088.xlsx")</f>
        <v>2088.xlsx</v>
      </c>
      <c r="B2090" s="2">
        <v>2088</v>
      </c>
      <c r="C2090" t="s">
        <v>24</v>
      </c>
      <c r="D2090" t="s">
        <v>1026</v>
      </c>
      <c r="E2090" t="s">
        <v>218</v>
      </c>
    </row>
    <row r="2091" spans="1:5" x14ac:dyDescent="0.25">
      <c r="A2091" s="2" t="str">
        <f>HYPERLINK("spreadsheet/2089.xlsx", "2089.xlsx")</f>
        <v>2089.xlsx</v>
      </c>
      <c r="B2091" s="2">
        <v>2089</v>
      </c>
      <c r="C2091" t="s">
        <v>5</v>
      </c>
      <c r="D2091" t="s">
        <v>1027</v>
      </c>
      <c r="E2091" t="s">
        <v>690</v>
      </c>
    </row>
    <row r="2092" spans="1:5" x14ac:dyDescent="0.25">
      <c r="A2092" s="2" t="str">
        <f>HYPERLINK("spreadsheet/2090.xlsx", "2090.xlsx")</f>
        <v>2090.xlsx</v>
      </c>
      <c r="B2092" s="2">
        <v>2090</v>
      </c>
      <c r="C2092" t="s">
        <v>10</v>
      </c>
      <c r="D2092" t="s">
        <v>1027</v>
      </c>
      <c r="E2092" t="s">
        <v>690</v>
      </c>
    </row>
    <row r="2093" spans="1:5" x14ac:dyDescent="0.25">
      <c r="A2093" s="2" t="s">
        <v>1028</v>
      </c>
      <c r="B2093" s="2">
        <v>2091</v>
      </c>
      <c r="C2093" t="s">
        <v>14</v>
      </c>
      <c r="D2093" t="s">
        <v>1027</v>
      </c>
      <c r="E2093" t="s">
        <v>690</v>
      </c>
    </row>
    <row r="2094" spans="1:5" x14ac:dyDescent="0.25">
      <c r="A2094" s="2" t="str">
        <f>HYPERLINK("spreadsheet/2092.xlsx", "2092.xlsx")</f>
        <v>2092.xlsx</v>
      </c>
      <c r="B2094" s="2">
        <v>2092</v>
      </c>
      <c r="C2094" t="s">
        <v>15</v>
      </c>
      <c r="D2094" t="s">
        <v>1027</v>
      </c>
      <c r="E2094" t="s">
        <v>690</v>
      </c>
    </row>
    <row r="2095" spans="1:5" x14ac:dyDescent="0.25">
      <c r="A2095" s="2" t="str">
        <f>HYPERLINK("spreadsheet/2093.xlsx", "2093.xlsx")</f>
        <v>2093.xlsx</v>
      </c>
      <c r="B2095" s="2">
        <v>2093</v>
      </c>
      <c r="C2095" t="s">
        <v>22</v>
      </c>
      <c r="D2095" t="s">
        <v>1027</v>
      </c>
      <c r="E2095" t="s">
        <v>690</v>
      </c>
    </row>
    <row r="2096" spans="1:5" x14ac:dyDescent="0.25">
      <c r="A2096" s="2" t="str">
        <f>HYPERLINK("spreadsheet/2094.xlsx", "2094.xlsx")</f>
        <v>2094.xlsx</v>
      </c>
      <c r="B2096" s="2">
        <v>2094</v>
      </c>
      <c r="C2096" t="s">
        <v>24</v>
      </c>
      <c r="D2096" t="s">
        <v>1027</v>
      </c>
      <c r="E2096" t="s">
        <v>690</v>
      </c>
    </row>
    <row r="2097" spans="1:5" x14ac:dyDescent="0.25">
      <c r="A2097" s="2" t="str">
        <f>HYPERLINK("spreadsheet/2095.xlsx", "2095.xlsx")</f>
        <v>2095.xlsx</v>
      </c>
      <c r="B2097" s="2">
        <v>2095</v>
      </c>
      <c r="C2097" t="s">
        <v>60</v>
      </c>
      <c r="D2097" t="s">
        <v>1027</v>
      </c>
      <c r="E2097" t="s">
        <v>690</v>
      </c>
    </row>
    <row r="2098" spans="1:5" x14ac:dyDescent="0.25">
      <c r="A2098" s="2" t="s">
        <v>1029</v>
      </c>
      <c r="B2098" s="2">
        <v>2096</v>
      </c>
      <c r="C2098" t="s">
        <v>44</v>
      </c>
      <c r="D2098" t="s">
        <v>1027</v>
      </c>
      <c r="E2098" t="s">
        <v>690</v>
      </c>
    </row>
    <row r="2099" spans="1:5" x14ac:dyDescent="0.25">
      <c r="A2099" s="2" t="str">
        <f>HYPERLINK("spreadsheet/2097.xlsx", "2097.xlsx")</f>
        <v>2097.xlsx</v>
      </c>
      <c r="B2099" s="2">
        <v>2097</v>
      </c>
      <c r="C2099" t="s">
        <v>5</v>
      </c>
      <c r="D2099" t="s">
        <v>1030</v>
      </c>
      <c r="E2099" t="s">
        <v>319</v>
      </c>
    </row>
    <row r="2100" spans="1:5" x14ac:dyDescent="0.25">
      <c r="A2100" s="2" t="str">
        <f>HYPERLINK("spreadsheet/2098.xlsx", "2098.xlsx")</f>
        <v>2098.xlsx</v>
      </c>
      <c r="B2100" s="2">
        <v>2098</v>
      </c>
      <c r="C2100" t="s">
        <v>10</v>
      </c>
      <c r="D2100" t="s">
        <v>1030</v>
      </c>
      <c r="E2100" t="s">
        <v>319</v>
      </c>
    </row>
    <row r="2101" spans="1:5" x14ac:dyDescent="0.25">
      <c r="A2101" s="2" t="str">
        <f>HYPERLINK("spreadsheet/2099.xlsx", "2099.xlsx")</f>
        <v>2099.xlsx</v>
      </c>
      <c r="B2101" s="2">
        <v>2099</v>
      </c>
      <c r="C2101" t="s">
        <v>14</v>
      </c>
      <c r="D2101" t="s">
        <v>1030</v>
      </c>
      <c r="E2101" t="s">
        <v>319</v>
      </c>
    </row>
    <row r="2102" spans="1:5" x14ac:dyDescent="0.25">
      <c r="A2102" s="2" t="str">
        <f>HYPERLINK("spreadsheet/2100.xlsx", "2100.xlsx")</f>
        <v>2100.xlsx</v>
      </c>
      <c r="B2102" s="2">
        <v>2100</v>
      </c>
      <c r="C2102" t="s">
        <v>22</v>
      </c>
      <c r="D2102" t="s">
        <v>1030</v>
      </c>
      <c r="E2102" t="s">
        <v>319</v>
      </c>
    </row>
    <row r="2103" spans="1:5" x14ac:dyDescent="0.25">
      <c r="A2103" s="2" t="str">
        <f>HYPERLINK("spreadsheet/2101.xlsx", "2101.xlsx")</f>
        <v>2101.xlsx</v>
      </c>
      <c r="B2103" s="2">
        <v>2101</v>
      </c>
      <c r="C2103" t="s">
        <v>24</v>
      </c>
      <c r="D2103" t="s">
        <v>1030</v>
      </c>
      <c r="E2103" t="s">
        <v>319</v>
      </c>
    </row>
    <row r="2104" spans="1:5" x14ac:dyDescent="0.25">
      <c r="A2104" s="2" t="str">
        <f>HYPERLINK("spreadsheet/2102.xlsx", "2102.xlsx")</f>
        <v>2102.xlsx</v>
      </c>
      <c r="B2104" s="2">
        <v>2102</v>
      </c>
      <c r="C2104" t="s">
        <v>5</v>
      </c>
      <c r="D2104" t="s">
        <v>1031</v>
      </c>
      <c r="E2104" t="s">
        <v>115</v>
      </c>
    </row>
    <row r="2105" spans="1:5" x14ac:dyDescent="0.25">
      <c r="A2105" s="2" t="str">
        <f>HYPERLINK("spreadsheet/2103.xlsx", "2103.xlsx")</f>
        <v>2103.xlsx</v>
      </c>
      <c r="B2105" s="2">
        <v>2103</v>
      </c>
      <c r="C2105" t="s">
        <v>10</v>
      </c>
      <c r="D2105" t="s">
        <v>1031</v>
      </c>
      <c r="E2105" t="s">
        <v>115</v>
      </c>
    </row>
    <row r="2106" spans="1:5" x14ac:dyDescent="0.25">
      <c r="A2106" s="2" t="str">
        <f>HYPERLINK("spreadsheet/2104.xlsx", "2104.xlsx")</f>
        <v>2104.xlsx</v>
      </c>
      <c r="B2106" s="2">
        <v>2104</v>
      </c>
      <c r="C2106" t="s">
        <v>5</v>
      </c>
      <c r="D2106" t="s">
        <v>1032</v>
      </c>
      <c r="E2106" t="s">
        <v>115</v>
      </c>
    </row>
    <row r="2107" spans="1:5" x14ac:dyDescent="0.25">
      <c r="A2107" s="2" t="str">
        <f>HYPERLINK("spreadsheet/2105.xlsx", "2105.xlsx")</f>
        <v>2105.xlsx</v>
      </c>
      <c r="B2107" s="2">
        <v>2105</v>
      </c>
      <c r="C2107" t="s">
        <v>10</v>
      </c>
      <c r="D2107" t="s">
        <v>1032</v>
      </c>
      <c r="E2107" t="s">
        <v>115</v>
      </c>
    </row>
    <row r="2108" spans="1:5" x14ac:dyDescent="0.25">
      <c r="A2108" s="2" t="str">
        <f>HYPERLINK("spreadsheet/2106.xlsx", "2106.xlsx")</f>
        <v>2106.xlsx</v>
      </c>
      <c r="B2108" s="2">
        <v>2106</v>
      </c>
      <c r="C2108" t="s">
        <v>5</v>
      </c>
      <c r="D2108" t="s">
        <v>1033</v>
      </c>
      <c r="E2108" t="s">
        <v>150</v>
      </c>
    </row>
    <row r="2109" spans="1:5" x14ac:dyDescent="0.25">
      <c r="A2109" s="2" t="str">
        <f>HYPERLINK("spreadsheet/2107.xlsx", "2107.xlsx")</f>
        <v>2107.xlsx</v>
      </c>
      <c r="B2109" s="2">
        <v>2107</v>
      </c>
      <c r="C2109" t="s">
        <v>10</v>
      </c>
      <c r="D2109" t="s">
        <v>1033</v>
      </c>
      <c r="E2109" t="s">
        <v>150</v>
      </c>
    </row>
    <row r="2110" spans="1:5" x14ac:dyDescent="0.25">
      <c r="A2110" s="2" t="str">
        <f>HYPERLINK("spreadsheet/2108.xlsx", "2108.xlsx")</f>
        <v>2108.xlsx</v>
      </c>
      <c r="B2110" s="2">
        <v>2108</v>
      </c>
      <c r="C2110" t="s">
        <v>14</v>
      </c>
      <c r="D2110" t="s">
        <v>1033</v>
      </c>
      <c r="E2110" t="s">
        <v>150</v>
      </c>
    </row>
    <row r="2111" spans="1:5" x14ac:dyDescent="0.25">
      <c r="A2111" s="2" t="str">
        <f>HYPERLINK("spreadsheet/2109.xlsx", "2109.xlsx")</f>
        <v>2109.xlsx</v>
      </c>
      <c r="B2111" s="2">
        <v>2109</v>
      </c>
      <c r="C2111" t="s">
        <v>15</v>
      </c>
      <c r="D2111" t="s">
        <v>1033</v>
      </c>
      <c r="E2111" t="s">
        <v>150</v>
      </c>
    </row>
    <row r="2112" spans="1:5" x14ac:dyDescent="0.25">
      <c r="A2112" s="2" t="str">
        <f>HYPERLINK("spreadsheet/2110.xlsx", "2110.xlsx")</f>
        <v>2110.xlsx</v>
      </c>
      <c r="B2112" s="2">
        <v>2110</v>
      </c>
      <c r="C2112" t="s">
        <v>22</v>
      </c>
      <c r="D2112" t="s">
        <v>1033</v>
      </c>
      <c r="E2112" t="s">
        <v>150</v>
      </c>
    </row>
    <row r="2113" spans="1:5" x14ac:dyDescent="0.25">
      <c r="A2113" s="2" t="str">
        <f>HYPERLINK("spreadsheet/2111.xlsx", "2111.xlsx")</f>
        <v>2111.xlsx</v>
      </c>
      <c r="B2113" s="2">
        <v>2111</v>
      </c>
      <c r="C2113" t="s">
        <v>24</v>
      </c>
      <c r="D2113" t="s">
        <v>1033</v>
      </c>
      <c r="E2113" t="s">
        <v>150</v>
      </c>
    </row>
    <row r="2114" spans="1:5" x14ac:dyDescent="0.25">
      <c r="A2114" s="2" t="str">
        <f>HYPERLINK("spreadsheet/2112.xlsx", "2112.xlsx")</f>
        <v>2112.xlsx</v>
      </c>
      <c r="B2114" s="2">
        <v>2112</v>
      </c>
      <c r="C2114" t="s">
        <v>5</v>
      </c>
      <c r="D2114" t="s">
        <v>1034</v>
      </c>
      <c r="E2114" t="s">
        <v>150</v>
      </c>
    </row>
    <row r="2115" spans="1:5" x14ac:dyDescent="0.25">
      <c r="A2115" s="2" t="str">
        <f>HYPERLINK("spreadsheet/2113.xlsx", "2113.xlsx")</f>
        <v>2113.xlsx</v>
      </c>
      <c r="B2115" s="2">
        <v>2113</v>
      </c>
      <c r="C2115" t="s">
        <v>10</v>
      </c>
      <c r="D2115" t="s">
        <v>1034</v>
      </c>
      <c r="E2115" t="s">
        <v>150</v>
      </c>
    </row>
    <row r="2116" spans="1:5" x14ac:dyDescent="0.25">
      <c r="A2116" s="2" t="str">
        <f>HYPERLINK("spreadsheet/2114.xlsx", "2114.xlsx")</f>
        <v>2114.xlsx</v>
      </c>
      <c r="B2116" s="2">
        <v>2114</v>
      </c>
      <c r="C2116" t="s">
        <v>14</v>
      </c>
      <c r="D2116" t="s">
        <v>1034</v>
      </c>
      <c r="E2116" t="s">
        <v>150</v>
      </c>
    </row>
    <row r="2117" spans="1:5" x14ac:dyDescent="0.25">
      <c r="A2117" s="2" t="str">
        <f>HYPERLINK("spreadsheet/2115.xlsx", "2115.xlsx")</f>
        <v>2115.xlsx</v>
      </c>
      <c r="B2117" s="2">
        <v>2115</v>
      </c>
      <c r="C2117" t="s">
        <v>15</v>
      </c>
      <c r="D2117" t="s">
        <v>1034</v>
      </c>
      <c r="E2117" t="s">
        <v>150</v>
      </c>
    </row>
    <row r="2118" spans="1:5" x14ac:dyDescent="0.25">
      <c r="A2118" s="2" t="str">
        <f>HYPERLINK("spreadsheet/2116.xlsx", "2116.xlsx")</f>
        <v>2116.xlsx</v>
      </c>
      <c r="B2118" s="2">
        <v>2116</v>
      </c>
      <c r="C2118" t="s">
        <v>22</v>
      </c>
      <c r="D2118" t="s">
        <v>1034</v>
      </c>
      <c r="E2118" t="s">
        <v>150</v>
      </c>
    </row>
    <row r="2119" spans="1:5" x14ac:dyDescent="0.25">
      <c r="A2119" s="2" t="str">
        <f>HYPERLINK("spreadsheet/2117.xlsx", "2117.xlsx")</f>
        <v>2117.xlsx</v>
      </c>
      <c r="B2119" s="2">
        <v>2117</v>
      </c>
      <c r="C2119" t="s">
        <v>459</v>
      </c>
      <c r="D2119" t="s">
        <v>1035</v>
      </c>
      <c r="E2119" t="s">
        <v>126</v>
      </c>
    </row>
    <row r="2120" spans="1:5" x14ac:dyDescent="0.25">
      <c r="A2120" s="2" t="str">
        <f>HYPERLINK("spreadsheet/2118.xlsx", "2118.xlsx")</f>
        <v>2118.xlsx</v>
      </c>
      <c r="B2120" s="2">
        <v>2118</v>
      </c>
      <c r="C2120" t="s">
        <v>10</v>
      </c>
      <c r="D2120" t="s">
        <v>1035</v>
      </c>
      <c r="E2120" t="s">
        <v>126</v>
      </c>
    </row>
    <row r="2121" spans="1:5" x14ac:dyDescent="0.25">
      <c r="A2121" s="2" t="str">
        <f>HYPERLINK("spreadsheet/2119.xlsx", "2119.xlsx")</f>
        <v>2119.xlsx</v>
      </c>
      <c r="B2121" s="2">
        <v>2119</v>
      </c>
      <c r="C2121" t="s">
        <v>14</v>
      </c>
      <c r="D2121" t="s">
        <v>1035</v>
      </c>
      <c r="E2121" t="s">
        <v>126</v>
      </c>
    </row>
    <row r="2122" spans="1:5" x14ac:dyDescent="0.25">
      <c r="A2122" s="2" t="s">
        <v>1036</v>
      </c>
      <c r="B2122" s="2">
        <v>2120</v>
      </c>
      <c r="C2122" t="s">
        <v>5</v>
      </c>
      <c r="D2122" t="s">
        <v>1037</v>
      </c>
      <c r="E2122" t="s">
        <v>126</v>
      </c>
    </row>
    <row r="2123" spans="1:5" x14ac:dyDescent="0.25">
      <c r="A2123" s="2" t="str">
        <f>HYPERLINK("spreadsheet/2121.xlsx", "2121.xlsx")</f>
        <v>2121.xlsx</v>
      </c>
      <c r="B2123" s="2">
        <v>2121</v>
      </c>
      <c r="C2123" t="s">
        <v>10</v>
      </c>
      <c r="D2123" t="s">
        <v>1037</v>
      </c>
      <c r="E2123" t="s">
        <v>126</v>
      </c>
    </row>
    <row r="2124" spans="1:5" x14ac:dyDescent="0.25">
      <c r="A2124" s="2" t="str">
        <f>HYPERLINK("spreadsheet/2122.xlsx", "2122.xlsx")</f>
        <v>2122.xlsx</v>
      </c>
      <c r="B2124" s="2">
        <v>2122</v>
      </c>
      <c r="C2124" t="s">
        <v>14</v>
      </c>
      <c r="D2124" t="s">
        <v>1037</v>
      </c>
      <c r="E2124" t="s">
        <v>126</v>
      </c>
    </row>
    <row r="2125" spans="1:5" x14ac:dyDescent="0.25">
      <c r="A2125" s="2" t="str">
        <f>HYPERLINK("spreadsheet/2123.xlsx", "2123.xlsx")</f>
        <v>2123.xlsx</v>
      </c>
      <c r="B2125" s="2">
        <v>2123</v>
      </c>
      <c r="C2125" t="s">
        <v>15</v>
      </c>
      <c r="D2125" t="s">
        <v>1037</v>
      </c>
      <c r="E2125" t="s">
        <v>126</v>
      </c>
    </row>
    <row r="2126" spans="1:5" x14ac:dyDescent="0.25">
      <c r="A2126" s="2" t="str">
        <f>HYPERLINK("spreadsheet/2124.xlsx", "2124.xlsx")</f>
        <v>2124.xlsx</v>
      </c>
      <c r="B2126" s="2">
        <v>2124</v>
      </c>
      <c r="C2126" t="s">
        <v>22</v>
      </c>
      <c r="D2126" t="s">
        <v>1037</v>
      </c>
      <c r="E2126" t="s">
        <v>126</v>
      </c>
    </row>
    <row r="2127" spans="1:5" x14ac:dyDescent="0.25">
      <c r="A2127" s="2" t="str">
        <f>HYPERLINK("spreadsheet/2125.xlsx", "2125.xlsx")</f>
        <v>2125.xlsx</v>
      </c>
      <c r="B2127" s="2">
        <v>2125</v>
      </c>
      <c r="C2127" t="s">
        <v>24</v>
      </c>
      <c r="D2127" t="s">
        <v>1037</v>
      </c>
      <c r="E2127" t="s">
        <v>126</v>
      </c>
    </row>
    <row r="2128" spans="1:5" x14ac:dyDescent="0.25">
      <c r="A2128" s="2" t="str">
        <f>HYPERLINK("spreadsheet/2126.xlsx", "2126.xlsx")</f>
        <v>2126.xlsx</v>
      </c>
      <c r="B2128" s="2">
        <v>2126</v>
      </c>
      <c r="C2128" t="s">
        <v>5</v>
      </c>
      <c r="D2128" t="s">
        <v>1038</v>
      </c>
      <c r="E2128" t="s">
        <v>115</v>
      </c>
    </row>
    <row r="2129" spans="1:5" x14ac:dyDescent="0.25">
      <c r="A2129" s="2" t="s">
        <v>1039</v>
      </c>
      <c r="B2129" s="2">
        <v>2127</v>
      </c>
      <c r="C2129" t="s">
        <v>5</v>
      </c>
      <c r="D2129" t="s">
        <v>1040</v>
      </c>
      <c r="E2129" t="s">
        <v>115</v>
      </c>
    </row>
    <row r="2130" spans="1:5" x14ac:dyDescent="0.25">
      <c r="A2130" s="2" t="s">
        <v>1041</v>
      </c>
      <c r="B2130" s="2">
        <v>2128</v>
      </c>
      <c r="C2130" t="s">
        <v>10</v>
      </c>
      <c r="D2130" t="s">
        <v>1042</v>
      </c>
      <c r="E2130" t="s">
        <v>115</v>
      </c>
    </row>
    <row r="2131" spans="1:5" x14ac:dyDescent="0.25">
      <c r="A2131" s="2" t="str">
        <f>HYPERLINK("spreadsheet/2129.xlsx", "2129.xlsx")</f>
        <v>2129.xlsx</v>
      </c>
      <c r="B2131" s="2">
        <v>2129</v>
      </c>
      <c r="C2131" t="s">
        <v>14</v>
      </c>
      <c r="D2131" t="s">
        <v>1042</v>
      </c>
      <c r="E2131" t="s">
        <v>115</v>
      </c>
    </row>
    <row r="2132" spans="1:5" x14ac:dyDescent="0.25">
      <c r="A2132" s="2" t="str">
        <f>HYPERLINK("spreadsheet/2130.xlsx", "2130.xlsx")</f>
        <v>2130.xlsx</v>
      </c>
      <c r="B2132" s="2">
        <v>2130</v>
      </c>
      <c r="C2132" t="s">
        <v>5</v>
      </c>
      <c r="D2132" t="s">
        <v>1043</v>
      </c>
      <c r="E2132" t="s">
        <v>332</v>
      </c>
    </row>
    <row r="2133" spans="1:5" x14ac:dyDescent="0.25">
      <c r="A2133" s="2" t="str">
        <f>HYPERLINK("spreadsheet/2131.xlsx", "2131.xlsx")</f>
        <v>2131.xlsx</v>
      </c>
      <c r="B2133" s="2">
        <v>2131</v>
      </c>
      <c r="C2133" t="s">
        <v>10</v>
      </c>
      <c r="D2133" t="s">
        <v>1043</v>
      </c>
      <c r="E2133" t="s">
        <v>332</v>
      </c>
    </row>
    <row r="2134" spans="1:5" x14ac:dyDescent="0.25">
      <c r="A2134" s="2" t="str">
        <f>HYPERLINK("spreadsheet/2132.xlsx", "2132.xlsx")</f>
        <v>2132.xlsx</v>
      </c>
      <c r="B2134" s="2">
        <v>2132</v>
      </c>
      <c r="C2134" t="s">
        <v>14</v>
      </c>
      <c r="D2134" t="s">
        <v>1043</v>
      </c>
      <c r="E2134" t="s">
        <v>332</v>
      </c>
    </row>
    <row r="2135" spans="1:5" x14ac:dyDescent="0.25">
      <c r="A2135" s="2" t="str">
        <f>HYPERLINK("spreadsheet/2133.xlsx", "2133.xlsx")</f>
        <v>2133.xlsx</v>
      </c>
      <c r="B2135" s="2">
        <v>2133</v>
      </c>
      <c r="C2135" t="s">
        <v>15</v>
      </c>
      <c r="D2135" t="s">
        <v>1043</v>
      </c>
      <c r="E2135" t="s">
        <v>332</v>
      </c>
    </row>
    <row r="2136" spans="1:5" x14ac:dyDescent="0.25">
      <c r="A2136" s="2" t="str">
        <f>HYPERLINK("spreadsheet/2134.xlsx", "2134.xlsx")</f>
        <v>2134.xlsx</v>
      </c>
      <c r="B2136" s="2">
        <v>2134</v>
      </c>
      <c r="C2136" t="s">
        <v>22</v>
      </c>
      <c r="D2136" t="s">
        <v>1043</v>
      </c>
      <c r="E2136" t="s">
        <v>332</v>
      </c>
    </row>
    <row r="2137" spans="1:5" x14ac:dyDescent="0.25">
      <c r="A2137" s="2" t="str">
        <f>HYPERLINK("spreadsheet/2135.xlsx", "2135.xlsx")</f>
        <v>2135.xlsx</v>
      </c>
      <c r="B2137" s="2">
        <v>2135</v>
      </c>
      <c r="C2137" t="s">
        <v>24</v>
      </c>
      <c r="D2137" t="s">
        <v>1043</v>
      </c>
      <c r="E2137" t="s">
        <v>332</v>
      </c>
    </row>
    <row r="2138" spans="1:5" x14ac:dyDescent="0.25">
      <c r="A2138" s="2" t="str">
        <f>HYPERLINK("spreadsheet/2136.xlsx", "2136.xlsx")</f>
        <v>2136.xlsx</v>
      </c>
      <c r="B2138" s="2">
        <v>2136</v>
      </c>
      <c r="C2138" t="s">
        <v>60</v>
      </c>
      <c r="D2138" t="s">
        <v>1043</v>
      </c>
      <c r="E2138" t="s">
        <v>332</v>
      </c>
    </row>
    <row r="2139" spans="1:5" x14ac:dyDescent="0.25">
      <c r="A2139" s="2" t="str">
        <f>HYPERLINK("spreadsheet/2137.xlsx", "2137.xlsx")</f>
        <v>2137.xlsx</v>
      </c>
      <c r="B2139" s="2">
        <v>2137</v>
      </c>
      <c r="C2139" t="s">
        <v>44</v>
      </c>
      <c r="D2139" t="s">
        <v>1043</v>
      </c>
      <c r="E2139" t="s">
        <v>332</v>
      </c>
    </row>
    <row r="2140" spans="1:5" x14ac:dyDescent="0.25">
      <c r="A2140" s="2" t="str">
        <f>HYPERLINK("spreadsheet/2138.xlsx", "2138.xlsx")</f>
        <v>2138.xlsx</v>
      </c>
      <c r="B2140" s="2">
        <v>2138</v>
      </c>
      <c r="C2140" t="s">
        <v>45</v>
      </c>
      <c r="D2140" t="s">
        <v>1043</v>
      </c>
      <c r="E2140" t="s">
        <v>332</v>
      </c>
    </row>
    <row r="2141" spans="1:5" x14ac:dyDescent="0.25">
      <c r="A2141" s="2" t="str">
        <f>HYPERLINK("spreadsheet/2139.xlsx", "2139.xlsx")</f>
        <v>2139.xlsx</v>
      </c>
      <c r="B2141" s="2">
        <v>2139</v>
      </c>
      <c r="C2141" t="s">
        <v>46</v>
      </c>
      <c r="D2141" t="s">
        <v>1043</v>
      </c>
      <c r="E2141" t="s">
        <v>332</v>
      </c>
    </row>
    <row r="2142" spans="1:5" x14ac:dyDescent="0.25">
      <c r="A2142" s="2" t="str">
        <f>HYPERLINK("spreadsheet/2140.xlsx", "2140.xlsx")</f>
        <v>2140.xlsx</v>
      </c>
      <c r="B2142" s="2">
        <v>2140</v>
      </c>
      <c r="C2142" t="s">
        <v>47</v>
      </c>
      <c r="D2142" t="s">
        <v>1043</v>
      </c>
      <c r="E2142" t="s">
        <v>332</v>
      </c>
    </row>
    <row r="2143" spans="1:5" x14ac:dyDescent="0.25">
      <c r="A2143" s="2" t="str">
        <f>HYPERLINK("spreadsheet/2141.xlsx", "2141.xlsx")</f>
        <v>2141.xlsx</v>
      </c>
      <c r="B2143" s="2">
        <v>2141</v>
      </c>
      <c r="C2143" t="s">
        <v>48</v>
      </c>
      <c r="D2143" t="s">
        <v>1043</v>
      </c>
      <c r="E2143" t="s">
        <v>332</v>
      </c>
    </row>
    <row r="2144" spans="1:5" x14ac:dyDescent="0.25">
      <c r="A2144" s="2" t="str">
        <f>HYPERLINK("spreadsheet/2142.xlsx", "2142.xlsx")</f>
        <v>2142.xlsx</v>
      </c>
      <c r="B2144" s="2">
        <v>2142</v>
      </c>
      <c r="C2144" t="s">
        <v>49</v>
      </c>
      <c r="D2144" t="s">
        <v>1043</v>
      </c>
      <c r="E2144" t="s">
        <v>332</v>
      </c>
    </row>
    <row r="2145" spans="1:5" x14ac:dyDescent="0.25">
      <c r="A2145" s="2" t="str">
        <f>HYPERLINK("spreadsheet/2143.xlsx", "2143.xlsx")</f>
        <v>2143.xlsx</v>
      </c>
      <c r="B2145" s="2">
        <v>2143</v>
      </c>
      <c r="C2145" t="s">
        <v>50</v>
      </c>
      <c r="D2145" t="s">
        <v>1043</v>
      </c>
      <c r="E2145" t="s">
        <v>332</v>
      </c>
    </row>
    <row r="2146" spans="1:5" x14ac:dyDescent="0.25">
      <c r="A2146" s="2" t="str">
        <f>HYPERLINK("spreadsheet/2144.xlsx", "2144.xlsx")</f>
        <v>2144.xlsx</v>
      </c>
      <c r="B2146" s="2">
        <v>2144</v>
      </c>
      <c r="C2146" t="s">
        <v>51</v>
      </c>
      <c r="D2146" t="s">
        <v>1043</v>
      </c>
      <c r="E2146" t="s">
        <v>332</v>
      </c>
    </row>
    <row r="2147" spans="1:5" x14ac:dyDescent="0.25">
      <c r="A2147" s="2" t="str">
        <f>HYPERLINK("spreadsheet/2145.xlsx", "2145.xlsx")</f>
        <v>2145.xlsx</v>
      </c>
      <c r="B2147" s="2">
        <v>2145</v>
      </c>
      <c r="C2147" t="s">
        <v>5</v>
      </c>
      <c r="D2147" t="s">
        <v>1044</v>
      </c>
      <c r="E2147" t="s">
        <v>115</v>
      </c>
    </row>
    <row r="2148" spans="1:5" x14ac:dyDescent="0.25">
      <c r="A2148" s="2" t="str">
        <f>HYPERLINK("spreadsheet/2146.xlsx", "2146.xlsx")</f>
        <v>2146.xlsx</v>
      </c>
      <c r="B2148" s="2">
        <v>2146</v>
      </c>
      <c r="C2148" t="s">
        <v>5</v>
      </c>
      <c r="D2148" t="s">
        <v>1045</v>
      </c>
      <c r="E2148" t="s">
        <v>173</v>
      </c>
    </row>
    <row r="2149" spans="1:5" x14ac:dyDescent="0.25">
      <c r="A2149" s="2" t="str">
        <f>HYPERLINK("spreadsheet/2147.xlsx", "2147.xlsx")</f>
        <v>2147.xlsx</v>
      </c>
      <c r="B2149" s="2">
        <v>2147</v>
      </c>
      <c r="C2149" t="s">
        <v>10</v>
      </c>
      <c r="D2149" t="s">
        <v>1045</v>
      </c>
      <c r="E2149" t="s">
        <v>173</v>
      </c>
    </row>
    <row r="2150" spans="1:5" x14ac:dyDescent="0.25">
      <c r="A2150" s="2" t="str">
        <f>HYPERLINK("spreadsheet/2148.xlsx", "2148.xlsx")</f>
        <v>2148.xlsx</v>
      </c>
      <c r="B2150" s="2">
        <v>2148</v>
      </c>
      <c r="C2150" t="s">
        <v>14</v>
      </c>
      <c r="D2150" t="s">
        <v>1045</v>
      </c>
      <c r="E2150" t="s">
        <v>173</v>
      </c>
    </row>
    <row r="2151" spans="1:5" x14ac:dyDescent="0.25">
      <c r="A2151" s="2" t="str">
        <f>HYPERLINK("spreadsheet/2149.xlsx", "2149.xlsx")</f>
        <v>2149.xlsx</v>
      </c>
      <c r="B2151" s="2">
        <v>2149</v>
      </c>
      <c r="C2151" t="s">
        <v>15</v>
      </c>
      <c r="D2151" t="s">
        <v>1045</v>
      </c>
      <c r="E2151" t="s">
        <v>173</v>
      </c>
    </row>
    <row r="2152" spans="1:5" x14ac:dyDescent="0.25">
      <c r="A2152" s="2" t="str">
        <f>HYPERLINK("spreadsheet/2150.xlsx", "2150.xlsx")</f>
        <v>2150.xlsx</v>
      </c>
      <c r="B2152" s="2">
        <v>2150</v>
      </c>
      <c r="C2152" t="s">
        <v>22</v>
      </c>
      <c r="D2152" t="s">
        <v>1045</v>
      </c>
      <c r="E2152" t="s">
        <v>173</v>
      </c>
    </row>
    <row r="2153" spans="1:5" x14ac:dyDescent="0.25">
      <c r="A2153" s="2" t="str">
        <f>HYPERLINK("spreadsheet/2151.xlsx", "2151.xlsx")</f>
        <v>2151.xlsx</v>
      </c>
      <c r="B2153" s="2">
        <v>2151</v>
      </c>
      <c r="C2153" t="s">
        <v>24</v>
      </c>
      <c r="D2153" t="s">
        <v>1045</v>
      </c>
      <c r="E2153" t="s">
        <v>173</v>
      </c>
    </row>
    <row r="2154" spans="1:5" x14ac:dyDescent="0.25">
      <c r="A2154" s="2" t="str">
        <f>HYPERLINK("spreadsheet/2152.xlsx", "2152.xlsx")</f>
        <v>2152.xlsx</v>
      </c>
      <c r="B2154" s="2">
        <v>2152</v>
      </c>
      <c r="C2154" t="s">
        <v>5</v>
      </c>
      <c r="D2154" t="s">
        <v>1046</v>
      </c>
      <c r="E2154" t="s">
        <v>164</v>
      </c>
    </row>
    <row r="2155" spans="1:5" x14ac:dyDescent="0.25">
      <c r="A2155" s="2" t="s">
        <v>1047</v>
      </c>
      <c r="B2155" s="2">
        <v>2153</v>
      </c>
      <c r="C2155" t="s">
        <v>10</v>
      </c>
      <c r="D2155" t="s">
        <v>1046</v>
      </c>
      <c r="E2155" t="s">
        <v>164</v>
      </c>
    </row>
    <row r="2156" spans="1:5" x14ac:dyDescent="0.25">
      <c r="A2156" s="2" t="s">
        <v>1048</v>
      </c>
      <c r="B2156" s="2">
        <v>2154</v>
      </c>
      <c r="C2156" t="s">
        <v>14</v>
      </c>
      <c r="D2156" t="s">
        <v>1046</v>
      </c>
      <c r="E2156" t="s">
        <v>164</v>
      </c>
    </row>
    <row r="2157" spans="1:5" x14ac:dyDescent="0.25">
      <c r="A2157" s="2" t="str">
        <f>HYPERLINK("spreadsheet/2155.xlsx", "2155.xlsx")</f>
        <v>2155.xlsx</v>
      </c>
      <c r="B2157" s="2">
        <v>2155</v>
      </c>
      <c r="C2157" t="s">
        <v>5</v>
      </c>
      <c r="D2157" t="s">
        <v>1049</v>
      </c>
      <c r="E2157" t="s">
        <v>668</v>
      </c>
    </row>
    <row r="2158" spans="1:5" x14ac:dyDescent="0.25">
      <c r="A2158" s="2" t="str">
        <f>HYPERLINK("spreadsheet/2156.xlsx", "2156.xlsx")</f>
        <v>2156.xlsx</v>
      </c>
      <c r="B2158" s="2">
        <v>2156</v>
      </c>
      <c r="C2158" t="s">
        <v>925</v>
      </c>
      <c r="D2158" t="s">
        <v>1049</v>
      </c>
      <c r="E2158" t="s">
        <v>668</v>
      </c>
    </row>
    <row r="2159" spans="1:5" x14ac:dyDescent="0.25">
      <c r="A2159" s="2" t="str">
        <f>HYPERLINK("spreadsheet/2157.xlsx", "2157.xlsx")</f>
        <v>2157.xlsx</v>
      </c>
      <c r="B2159" s="2">
        <v>2157</v>
      </c>
      <c r="C2159" t="s">
        <v>925</v>
      </c>
      <c r="D2159" t="s">
        <v>1049</v>
      </c>
      <c r="E2159" t="s">
        <v>668</v>
      </c>
    </row>
    <row r="2160" spans="1:5" x14ac:dyDescent="0.25">
      <c r="A2160" s="2" t="str">
        <f>HYPERLINK("spreadsheet/2158.xlsx", "2158.xlsx")</f>
        <v>2158.xlsx</v>
      </c>
      <c r="B2160" s="2">
        <v>2158</v>
      </c>
      <c r="C2160" t="s">
        <v>5</v>
      </c>
      <c r="D2160" t="s">
        <v>1050</v>
      </c>
      <c r="E2160" t="s">
        <v>154</v>
      </c>
    </row>
    <row r="2161" spans="1:5" x14ac:dyDescent="0.25">
      <c r="A2161" s="2" t="str">
        <f>HYPERLINK("spreadsheet/2159.xlsx", "2159.xlsx")</f>
        <v>2159.xlsx</v>
      </c>
      <c r="B2161" s="2">
        <v>2159</v>
      </c>
      <c r="C2161" t="s">
        <v>14</v>
      </c>
      <c r="D2161" t="s">
        <v>1050</v>
      </c>
      <c r="E2161" t="s">
        <v>154</v>
      </c>
    </row>
    <row r="2162" spans="1:5" x14ac:dyDescent="0.25">
      <c r="A2162" s="2" t="s">
        <v>1051</v>
      </c>
      <c r="B2162" s="2">
        <v>2160</v>
      </c>
      <c r="C2162" t="s">
        <v>5</v>
      </c>
      <c r="D2162" t="s">
        <v>1052</v>
      </c>
      <c r="E2162" t="s">
        <v>332</v>
      </c>
    </row>
    <row r="2163" spans="1:5" x14ac:dyDescent="0.25">
      <c r="A2163" s="2" t="str">
        <f>HYPERLINK("spreadsheet/2161.xlsx", "2161.xlsx")</f>
        <v>2161.xlsx</v>
      </c>
      <c r="B2163" s="2">
        <v>2161</v>
      </c>
      <c r="C2163" t="s">
        <v>5</v>
      </c>
      <c r="D2163" t="s">
        <v>1053</v>
      </c>
      <c r="E2163" t="s">
        <v>173</v>
      </c>
    </row>
    <row r="2164" spans="1:5" x14ac:dyDescent="0.25">
      <c r="A2164" s="2" t="s">
        <v>1054</v>
      </c>
      <c r="B2164" s="2">
        <v>2162</v>
      </c>
      <c r="C2164" t="s">
        <v>5</v>
      </c>
      <c r="D2164" t="s">
        <v>1055</v>
      </c>
      <c r="E2164" t="s">
        <v>173</v>
      </c>
    </row>
    <row r="2165" spans="1:5" x14ac:dyDescent="0.25">
      <c r="A2165" s="2" t="str">
        <f>HYPERLINK("spreadsheet/2163.xlsx", "2163.xlsx")</f>
        <v>2163.xlsx</v>
      </c>
      <c r="B2165" s="2">
        <v>2163</v>
      </c>
      <c r="C2165" t="s">
        <v>5</v>
      </c>
      <c r="D2165" t="s">
        <v>1056</v>
      </c>
      <c r="E2165" t="s">
        <v>115</v>
      </c>
    </row>
    <row r="2166" spans="1:5" x14ac:dyDescent="0.25">
      <c r="A2166" s="2" t="str">
        <f>HYPERLINK("spreadsheet/2164.xlsx", "2164.xlsx")</f>
        <v>2164.xlsx</v>
      </c>
      <c r="B2166" s="2">
        <v>2164</v>
      </c>
      <c r="C2166" t="s">
        <v>10</v>
      </c>
      <c r="D2166" t="s">
        <v>1056</v>
      </c>
      <c r="E2166" t="s">
        <v>115</v>
      </c>
    </row>
    <row r="2167" spans="1:5" x14ac:dyDescent="0.25">
      <c r="A2167" s="2" t="str">
        <f>HYPERLINK("spreadsheet/2165.xlsx", "2165.xlsx")</f>
        <v>2165.xlsx</v>
      </c>
      <c r="B2167" s="2">
        <v>2165</v>
      </c>
      <c r="C2167" t="s">
        <v>14</v>
      </c>
      <c r="D2167" t="s">
        <v>1056</v>
      </c>
      <c r="E2167" t="s">
        <v>115</v>
      </c>
    </row>
    <row r="2168" spans="1:5" x14ac:dyDescent="0.25">
      <c r="A2168" s="2" t="str">
        <f>HYPERLINK("spreadsheet/2166.xlsx", "2166.xlsx")</f>
        <v>2166.xlsx</v>
      </c>
      <c r="B2168" s="2">
        <v>2166</v>
      </c>
      <c r="C2168" t="s">
        <v>15</v>
      </c>
      <c r="D2168" t="s">
        <v>1056</v>
      </c>
      <c r="E2168" t="s">
        <v>115</v>
      </c>
    </row>
    <row r="2169" spans="1:5" x14ac:dyDescent="0.25">
      <c r="A2169" s="2" t="str">
        <f>HYPERLINK("spreadsheet/2167.xlsx", "2167.xlsx")</f>
        <v>2167.xlsx</v>
      </c>
      <c r="B2169" s="2">
        <v>2167</v>
      </c>
      <c r="C2169" t="s">
        <v>22</v>
      </c>
      <c r="D2169" t="s">
        <v>1056</v>
      </c>
      <c r="E2169" t="s">
        <v>115</v>
      </c>
    </row>
    <row r="2170" spans="1:5" x14ac:dyDescent="0.25">
      <c r="A2170" s="2" t="str">
        <f>HYPERLINK("spreadsheet/2168.xlsx", "2168.xlsx")</f>
        <v>2168.xlsx</v>
      </c>
      <c r="B2170" s="2">
        <v>2168</v>
      </c>
      <c r="C2170" t="s">
        <v>24</v>
      </c>
      <c r="D2170" t="s">
        <v>1056</v>
      </c>
      <c r="E2170" t="s">
        <v>115</v>
      </c>
    </row>
    <row r="2171" spans="1:5" x14ac:dyDescent="0.25">
      <c r="A2171" s="2" t="str">
        <f>HYPERLINK("spreadsheet/2169.xlsx", "2169.xlsx")</f>
        <v>2169.xlsx</v>
      </c>
      <c r="B2171" s="2">
        <v>2169</v>
      </c>
      <c r="C2171" t="s">
        <v>5</v>
      </c>
      <c r="D2171" t="s">
        <v>1057</v>
      </c>
      <c r="E2171" t="s">
        <v>115</v>
      </c>
    </row>
    <row r="2172" spans="1:5" x14ac:dyDescent="0.25">
      <c r="A2172" s="2" t="str">
        <f>HYPERLINK("spreadsheet/2170.xlsx", "2170.xlsx")</f>
        <v>2170.xlsx</v>
      </c>
      <c r="B2172" s="2">
        <v>2170</v>
      </c>
      <c r="C2172" t="s">
        <v>281</v>
      </c>
      <c r="D2172" t="s">
        <v>1057</v>
      </c>
      <c r="E2172" t="s">
        <v>115</v>
      </c>
    </row>
    <row r="2173" spans="1:5" x14ac:dyDescent="0.25">
      <c r="A2173" s="2" t="str">
        <f>HYPERLINK("spreadsheet/2171.xlsx", "2171.xlsx")</f>
        <v>2171.xlsx</v>
      </c>
      <c r="B2173" s="2">
        <v>2171</v>
      </c>
      <c r="C2173" t="s">
        <v>282</v>
      </c>
      <c r="D2173" t="s">
        <v>1057</v>
      </c>
      <c r="E2173" t="s">
        <v>115</v>
      </c>
    </row>
    <row r="2174" spans="1:5" x14ac:dyDescent="0.25">
      <c r="A2174" s="2" t="str">
        <f>HYPERLINK("spreadsheet/2172.xlsx", "2172.xlsx")</f>
        <v>2172.xlsx</v>
      </c>
      <c r="B2174" s="2">
        <v>2172</v>
      </c>
      <c r="C2174" t="s">
        <v>586</v>
      </c>
      <c r="D2174" t="s">
        <v>1057</v>
      </c>
      <c r="E2174" t="s">
        <v>115</v>
      </c>
    </row>
    <row r="2175" spans="1:5" x14ac:dyDescent="0.25">
      <c r="A2175" s="2" t="str">
        <f>HYPERLINK("spreadsheet/2173.xlsx", "2173.xlsx")</f>
        <v>2173.xlsx</v>
      </c>
      <c r="B2175" s="2">
        <v>2173</v>
      </c>
      <c r="C2175" t="s">
        <v>586</v>
      </c>
      <c r="D2175" t="s">
        <v>1057</v>
      </c>
      <c r="E2175" t="s">
        <v>115</v>
      </c>
    </row>
    <row r="2176" spans="1:5" x14ac:dyDescent="0.25">
      <c r="A2176" s="2" t="str">
        <f>HYPERLINK("spreadsheet/2174.xlsx", "2174.xlsx")</f>
        <v>2174.xlsx</v>
      </c>
      <c r="B2176" s="2">
        <v>2174</v>
      </c>
      <c r="C2176" t="s">
        <v>10</v>
      </c>
      <c r="D2176" t="s">
        <v>1057</v>
      </c>
      <c r="E2176" t="s">
        <v>115</v>
      </c>
    </row>
    <row r="2177" spans="1:5" x14ac:dyDescent="0.25">
      <c r="A2177" s="2" t="str">
        <f>HYPERLINK("spreadsheet/2175.xlsx", "2175.xlsx")</f>
        <v>2175.xlsx</v>
      </c>
      <c r="B2177" s="2">
        <v>2175</v>
      </c>
      <c r="C2177" t="s">
        <v>14</v>
      </c>
      <c r="D2177" t="s">
        <v>1057</v>
      </c>
      <c r="E2177" t="s">
        <v>115</v>
      </c>
    </row>
    <row r="2178" spans="1:5" x14ac:dyDescent="0.25">
      <c r="A2178" s="2" t="str">
        <f>HYPERLINK("spreadsheet/2176.xlsx", "2176.xlsx")</f>
        <v>2176.xlsx</v>
      </c>
      <c r="B2178" s="2">
        <v>2176</v>
      </c>
      <c r="C2178" t="s">
        <v>456</v>
      </c>
      <c r="D2178" t="s">
        <v>1057</v>
      </c>
      <c r="E2178" t="s">
        <v>115</v>
      </c>
    </row>
    <row r="2179" spans="1:5" x14ac:dyDescent="0.25">
      <c r="A2179" s="2" t="str">
        <f>HYPERLINK("spreadsheet/2177.xlsx", "2177.xlsx")</f>
        <v>2177.xlsx</v>
      </c>
      <c r="B2179" s="2">
        <v>2177</v>
      </c>
      <c r="C2179" t="s">
        <v>5</v>
      </c>
      <c r="D2179" t="s">
        <v>1058</v>
      </c>
      <c r="E2179" t="s">
        <v>154</v>
      </c>
    </row>
    <row r="2180" spans="1:5" x14ac:dyDescent="0.25">
      <c r="A2180" s="2" t="str">
        <f>HYPERLINK("spreadsheet/2178.xlsx", "2178.xlsx")</f>
        <v>2178.xlsx</v>
      </c>
      <c r="B2180" s="2">
        <v>2178</v>
      </c>
      <c r="C2180" t="s">
        <v>10</v>
      </c>
      <c r="D2180" t="s">
        <v>1058</v>
      </c>
      <c r="E2180" t="s">
        <v>154</v>
      </c>
    </row>
    <row r="2181" spans="1:5" x14ac:dyDescent="0.25">
      <c r="A2181" s="2" t="str">
        <f>HYPERLINK("spreadsheet/2179.xlsx", "2179.xlsx")</f>
        <v>2179.xlsx</v>
      </c>
      <c r="B2181" s="2">
        <v>2179</v>
      </c>
      <c r="C2181" t="s">
        <v>14</v>
      </c>
      <c r="D2181" t="s">
        <v>1058</v>
      </c>
      <c r="E2181" t="s">
        <v>154</v>
      </c>
    </row>
    <row r="2182" spans="1:5" x14ac:dyDescent="0.25">
      <c r="A2182" s="2" t="str">
        <f>HYPERLINK("spreadsheet/2180.xlsx", "2180.xlsx")</f>
        <v>2180.xlsx</v>
      </c>
      <c r="B2182" s="2">
        <v>2180</v>
      </c>
      <c r="C2182" t="s">
        <v>5</v>
      </c>
      <c r="D2182" t="s">
        <v>1059</v>
      </c>
      <c r="E2182" t="s">
        <v>332</v>
      </c>
    </row>
    <row r="2183" spans="1:5" x14ac:dyDescent="0.25">
      <c r="A2183" s="2" t="str">
        <f>HYPERLINK("spreadsheet/2181.xlsx", "2181.xlsx")</f>
        <v>2181.xlsx</v>
      </c>
      <c r="B2183" s="2">
        <v>2181</v>
      </c>
      <c r="C2183" t="s">
        <v>10</v>
      </c>
      <c r="D2183" t="s">
        <v>1059</v>
      </c>
      <c r="E2183" t="s">
        <v>332</v>
      </c>
    </row>
    <row r="2184" spans="1:5" x14ac:dyDescent="0.25">
      <c r="A2184" s="2" t="s">
        <v>1060</v>
      </c>
      <c r="B2184" s="2">
        <v>2182</v>
      </c>
      <c r="C2184" t="s">
        <v>5</v>
      </c>
      <c r="D2184" t="s">
        <v>1061</v>
      </c>
      <c r="E2184" t="s">
        <v>160</v>
      </c>
    </row>
    <row r="2185" spans="1:5" x14ac:dyDescent="0.25">
      <c r="A2185" s="2" t="s">
        <v>1062</v>
      </c>
      <c r="B2185" s="2">
        <v>2183</v>
      </c>
      <c r="C2185" t="s">
        <v>10</v>
      </c>
      <c r="D2185" t="s">
        <v>1061</v>
      </c>
      <c r="E2185" t="s">
        <v>160</v>
      </c>
    </row>
    <row r="2186" spans="1:5" x14ac:dyDescent="0.25">
      <c r="A2186" s="2" t="str">
        <f>HYPERLINK("spreadsheet/2184.xlsx", "2184.xlsx")</f>
        <v>2184.xlsx</v>
      </c>
      <c r="B2186" s="2">
        <v>2184</v>
      </c>
      <c r="C2186" t="s">
        <v>281</v>
      </c>
      <c r="D2186" t="s">
        <v>1061</v>
      </c>
      <c r="E2186" t="s">
        <v>160</v>
      </c>
    </row>
    <row r="2187" spans="1:5" x14ac:dyDescent="0.25">
      <c r="A2187" s="2" t="str">
        <f>HYPERLINK("spreadsheet/2185.xlsx", "2185.xlsx")</f>
        <v>2185.xlsx</v>
      </c>
      <c r="B2187" s="2">
        <v>2185</v>
      </c>
      <c r="C2187" t="s">
        <v>5</v>
      </c>
      <c r="D2187" t="s">
        <v>1063</v>
      </c>
      <c r="E2187" t="s">
        <v>115</v>
      </c>
    </row>
    <row r="2188" spans="1:5" x14ac:dyDescent="0.25">
      <c r="A2188" s="2" t="str">
        <f>HYPERLINK("spreadsheet/2186.xlsx", "2186.xlsx")</f>
        <v>2186.xlsx</v>
      </c>
      <c r="B2188" s="2">
        <v>2186</v>
      </c>
      <c r="C2188" t="s">
        <v>10</v>
      </c>
      <c r="D2188" t="s">
        <v>1063</v>
      </c>
      <c r="E2188" t="s">
        <v>115</v>
      </c>
    </row>
    <row r="2189" spans="1:5" x14ac:dyDescent="0.25">
      <c r="A2189" s="2" t="str">
        <f>HYPERLINK("spreadsheet/2187.xlsx", "2187.xlsx")</f>
        <v>2187.xlsx</v>
      </c>
      <c r="B2189" s="2">
        <v>2187</v>
      </c>
      <c r="C2189" t="s">
        <v>281</v>
      </c>
      <c r="D2189" t="s">
        <v>1064</v>
      </c>
      <c r="E2189" t="s">
        <v>134</v>
      </c>
    </row>
    <row r="2190" spans="1:5" x14ac:dyDescent="0.25">
      <c r="A2190" s="2" t="str">
        <f>HYPERLINK("spreadsheet/2188.xlsx", "2188.xlsx")</f>
        <v>2188.xlsx</v>
      </c>
      <c r="B2190" s="2">
        <v>2188</v>
      </c>
      <c r="C2190" t="s">
        <v>5</v>
      </c>
      <c r="D2190" t="s">
        <v>1064</v>
      </c>
      <c r="E2190" t="s">
        <v>134</v>
      </c>
    </row>
    <row r="2191" spans="1:5" x14ac:dyDescent="0.25">
      <c r="A2191" s="2" t="str">
        <f>HYPERLINK("spreadsheet/2189.xlsx", "2189.xlsx")</f>
        <v>2189.xlsx</v>
      </c>
      <c r="B2191" s="2">
        <v>2189</v>
      </c>
      <c r="C2191" t="s">
        <v>10</v>
      </c>
      <c r="D2191" t="s">
        <v>1064</v>
      </c>
      <c r="E2191" t="s">
        <v>134</v>
      </c>
    </row>
    <row r="2192" spans="1:5" x14ac:dyDescent="0.25">
      <c r="A2192" s="2" t="str">
        <f>HYPERLINK("spreadsheet/2190.xlsx", "2190.xlsx")</f>
        <v>2190.xlsx</v>
      </c>
      <c r="B2192" s="2">
        <v>2190</v>
      </c>
      <c r="C2192" t="s">
        <v>14</v>
      </c>
      <c r="D2192" t="s">
        <v>1064</v>
      </c>
      <c r="E2192" t="s">
        <v>134</v>
      </c>
    </row>
    <row r="2193" spans="1:5" x14ac:dyDescent="0.25">
      <c r="A2193" s="2" t="str">
        <f>HYPERLINK("spreadsheet/2191.xlsx", "2191.xlsx")</f>
        <v>2191.xlsx</v>
      </c>
      <c r="B2193" s="2">
        <v>2191</v>
      </c>
      <c r="C2193" t="s">
        <v>15</v>
      </c>
      <c r="D2193" t="s">
        <v>1064</v>
      </c>
      <c r="E2193" t="s">
        <v>134</v>
      </c>
    </row>
    <row r="2194" spans="1:5" x14ac:dyDescent="0.25">
      <c r="A2194" s="2" t="str">
        <f>HYPERLINK("spreadsheet/2192.xlsx", "2192.xlsx")</f>
        <v>2192.xlsx</v>
      </c>
      <c r="B2194" s="2">
        <v>2192</v>
      </c>
      <c r="C2194" t="s">
        <v>5</v>
      </c>
      <c r="D2194" t="s">
        <v>1065</v>
      </c>
      <c r="E2194" t="s">
        <v>115</v>
      </c>
    </row>
    <row r="2195" spans="1:5" x14ac:dyDescent="0.25">
      <c r="A2195" s="2" t="s">
        <v>1066</v>
      </c>
      <c r="B2195" s="2">
        <v>2193</v>
      </c>
      <c r="C2195" t="s">
        <v>10</v>
      </c>
      <c r="D2195" t="s">
        <v>1065</v>
      </c>
      <c r="E2195" t="s">
        <v>115</v>
      </c>
    </row>
    <row r="2196" spans="1:5" x14ac:dyDescent="0.25">
      <c r="A2196" s="2" t="str">
        <f>HYPERLINK("spreadsheet/2194.xlsx", "2194.xlsx")</f>
        <v>2194.xlsx</v>
      </c>
      <c r="B2196" s="2">
        <v>2194</v>
      </c>
      <c r="C2196" t="s">
        <v>14</v>
      </c>
      <c r="D2196" t="s">
        <v>1065</v>
      </c>
      <c r="E2196" t="s">
        <v>115</v>
      </c>
    </row>
    <row r="2197" spans="1:5" x14ac:dyDescent="0.25">
      <c r="A2197" s="2" t="s">
        <v>1067</v>
      </c>
      <c r="B2197" s="2">
        <v>2195</v>
      </c>
      <c r="C2197" t="s">
        <v>5</v>
      </c>
      <c r="D2197" t="s">
        <v>1068</v>
      </c>
      <c r="E2197" t="s">
        <v>150</v>
      </c>
    </row>
    <row r="2198" spans="1:5" x14ac:dyDescent="0.25">
      <c r="A2198" s="2" t="str">
        <f>HYPERLINK("spreadsheet/2196.xlsx", "2196.xlsx")</f>
        <v>2196.xlsx</v>
      </c>
      <c r="B2198" s="2">
        <v>2196</v>
      </c>
      <c r="C2198" t="s">
        <v>5</v>
      </c>
      <c r="D2198" t="s">
        <v>1069</v>
      </c>
      <c r="E2198" t="s">
        <v>115</v>
      </c>
    </row>
    <row r="2199" spans="1:5" x14ac:dyDescent="0.25">
      <c r="A2199" s="2" t="str">
        <f>HYPERLINK("spreadsheet/2197.xlsx", "2197.xlsx")</f>
        <v>2197.xlsx</v>
      </c>
      <c r="B2199" s="2">
        <v>2197</v>
      </c>
      <c r="C2199" t="s">
        <v>10</v>
      </c>
      <c r="D2199" t="s">
        <v>1069</v>
      </c>
      <c r="E2199" t="s">
        <v>115</v>
      </c>
    </row>
    <row r="2200" spans="1:5" x14ac:dyDescent="0.25">
      <c r="A2200" s="2" t="str">
        <f>HYPERLINK("spreadsheet/2198.xlsx", "2198.xlsx")</f>
        <v>2198.xlsx</v>
      </c>
      <c r="B2200" s="2">
        <v>2198</v>
      </c>
      <c r="C2200" t="s">
        <v>14</v>
      </c>
      <c r="D2200" t="s">
        <v>1069</v>
      </c>
      <c r="E2200" t="s">
        <v>115</v>
      </c>
    </row>
    <row r="2201" spans="1:5" x14ac:dyDescent="0.25">
      <c r="A2201" s="2" t="s">
        <v>1070</v>
      </c>
      <c r="B2201" s="2">
        <v>2199</v>
      </c>
      <c r="C2201" t="s">
        <v>15</v>
      </c>
      <c r="D2201" t="s">
        <v>1069</v>
      </c>
      <c r="E2201" t="s">
        <v>115</v>
      </c>
    </row>
    <row r="2202" spans="1:5" x14ac:dyDescent="0.25">
      <c r="A2202" s="2" t="str">
        <f>HYPERLINK("spreadsheet/2200.xlsx", "2200.xlsx")</f>
        <v>2200.xlsx</v>
      </c>
      <c r="B2202" s="2">
        <v>2200</v>
      </c>
      <c r="C2202" t="s">
        <v>5</v>
      </c>
      <c r="D2202" t="s">
        <v>1071</v>
      </c>
      <c r="E2202" t="s">
        <v>154</v>
      </c>
    </row>
    <row r="2203" spans="1:5" x14ac:dyDescent="0.25">
      <c r="A2203" s="2" t="str">
        <f>HYPERLINK("spreadsheet/2201.xlsx", "2201.xlsx")</f>
        <v>2201.xlsx</v>
      </c>
      <c r="B2203" s="2">
        <v>2201</v>
      </c>
      <c r="C2203" t="s">
        <v>10</v>
      </c>
      <c r="D2203" t="s">
        <v>1071</v>
      </c>
      <c r="E2203" t="s">
        <v>154</v>
      </c>
    </row>
    <row r="2204" spans="1:5" x14ac:dyDescent="0.25">
      <c r="A2204" s="2" t="str">
        <f>HYPERLINK("spreadsheet/2202.xlsx", "2202.xlsx")</f>
        <v>2202.xlsx</v>
      </c>
      <c r="B2204" s="2">
        <v>2202</v>
      </c>
      <c r="C2204" t="s">
        <v>14</v>
      </c>
      <c r="D2204" t="s">
        <v>1071</v>
      </c>
      <c r="E2204" t="s">
        <v>154</v>
      </c>
    </row>
    <row r="2205" spans="1:5" x14ac:dyDescent="0.25">
      <c r="A2205" s="2" t="str">
        <f>HYPERLINK("spreadsheet/2203.xlsx", "2203.xlsx")</f>
        <v>2203.xlsx</v>
      </c>
      <c r="B2205" s="2">
        <v>2203</v>
      </c>
      <c r="C2205" t="s">
        <v>5</v>
      </c>
      <c r="D2205" t="s">
        <v>1072</v>
      </c>
      <c r="E2205" t="s">
        <v>164</v>
      </c>
    </row>
    <row r="2206" spans="1:5" x14ac:dyDescent="0.25">
      <c r="A2206" s="2" t="str">
        <f>HYPERLINK("spreadsheet/2204.xlsx", "2204.xlsx")</f>
        <v>2204.xlsx</v>
      </c>
      <c r="B2206" s="2">
        <v>2204</v>
      </c>
      <c r="C2206" t="s">
        <v>10</v>
      </c>
      <c r="D2206" t="s">
        <v>1072</v>
      </c>
      <c r="E2206" t="s">
        <v>164</v>
      </c>
    </row>
    <row r="2207" spans="1:5" x14ac:dyDescent="0.25">
      <c r="A2207" s="2" t="str">
        <f>HYPERLINK("spreadsheet/2205.xlsx", "2205.xlsx")</f>
        <v>2205.xlsx</v>
      </c>
      <c r="B2207" s="2">
        <v>2205</v>
      </c>
      <c r="C2207" t="s">
        <v>14</v>
      </c>
      <c r="D2207" t="s">
        <v>1072</v>
      </c>
      <c r="E2207" t="s">
        <v>164</v>
      </c>
    </row>
    <row r="2208" spans="1:5" x14ac:dyDescent="0.25">
      <c r="A2208" s="2" t="str">
        <f>HYPERLINK("spreadsheet/2206.xlsx", "2206.xlsx")</f>
        <v>2206.xlsx</v>
      </c>
      <c r="B2208" s="2">
        <v>2206</v>
      </c>
      <c r="C2208" t="s">
        <v>15</v>
      </c>
      <c r="D2208" t="s">
        <v>1072</v>
      </c>
      <c r="E2208" t="s">
        <v>164</v>
      </c>
    </row>
    <row r="2209" spans="1:5" x14ac:dyDescent="0.25">
      <c r="A2209" s="2" t="str">
        <f>HYPERLINK("spreadsheet/2207.xlsx", "2207.xlsx")</f>
        <v>2207.xlsx</v>
      </c>
      <c r="B2209" s="2">
        <v>2207</v>
      </c>
      <c r="C2209" t="s">
        <v>22</v>
      </c>
      <c r="D2209" t="s">
        <v>1072</v>
      </c>
      <c r="E2209" t="s">
        <v>164</v>
      </c>
    </row>
    <row r="2210" spans="1:5" x14ac:dyDescent="0.25">
      <c r="A2210" s="2" t="str">
        <f>HYPERLINK("spreadsheet/2208.xlsx", "2208.xlsx")</f>
        <v>2208.xlsx</v>
      </c>
      <c r="B2210" s="2">
        <v>2208</v>
      </c>
      <c r="C2210" t="s">
        <v>24</v>
      </c>
      <c r="D2210" t="s">
        <v>1072</v>
      </c>
      <c r="E2210" t="s">
        <v>164</v>
      </c>
    </row>
    <row r="2211" spans="1:5" x14ac:dyDescent="0.25">
      <c r="A2211" s="2" t="str">
        <f>HYPERLINK("spreadsheet/2209.xlsx", "2209.xlsx")</f>
        <v>2209.xlsx</v>
      </c>
      <c r="B2211" s="2">
        <v>2209</v>
      </c>
      <c r="C2211" t="s">
        <v>60</v>
      </c>
      <c r="D2211" t="s">
        <v>1072</v>
      </c>
      <c r="E2211" t="s">
        <v>164</v>
      </c>
    </row>
    <row r="2212" spans="1:5" x14ac:dyDescent="0.25">
      <c r="A2212" s="2" t="str">
        <f>HYPERLINK("spreadsheet/2210.xlsx", "2210.xlsx")</f>
        <v>2210.xlsx</v>
      </c>
      <c r="B2212" s="2">
        <v>2210</v>
      </c>
      <c r="C2212" t="s">
        <v>44</v>
      </c>
      <c r="D2212" t="s">
        <v>1072</v>
      </c>
      <c r="E2212" t="s">
        <v>164</v>
      </c>
    </row>
    <row r="2213" spans="1:5" x14ac:dyDescent="0.25">
      <c r="A2213" s="2" t="str">
        <f>HYPERLINK("spreadsheet/2211.xlsx", "2211.xlsx")</f>
        <v>2211.xlsx</v>
      </c>
      <c r="B2213" s="2">
        <v>2211</v>
      </c>
      <c r="C2213" t="s">
        <v>45</v>
      </c>
      <c r="D2213" t="s">
        <v>1072</v>
      </c>
      <c r="E2213" t="s">
        <v>164</v>
      </c>
    </row>
    <row r="2214" spans="1:5" x14ac:dyDescent="0.25">
      <c r="A2214" s="2" t="str">
        <f>HYPERLINK("spreadsheet/2212.xlsx", "2212.xlsx")</f>
        <v>2212.xlsx</v>
      </c>
      <c r="B2214" s="2">
        <v>2212</v>
      </c>
      <c r="C2214" t="s">
        <v>46</v>
      </c>
      <c r="D2214" t="s">
        <v>1072</v>
      </c>
      <c r="E2214" t="s">
        <v>164</v>
      </c>
    </row>
    <row r="2215" spans="1:5" x14ac:dyDescent="0.25">
      <c r="A2215" s="2" t="str">
        <f>HYPERLINK("spreadsheet/2213.xlsx", "2213.xlsx")</f>
        <v>2213.xlsx</v>
      </c>
      <c r="B2215" s="2">
        <v>2213</v>
      </c>
      <c r="C2215" t="s">
        <v>47</v>
      </c>
      <c r="D2215" t="s">
        <v>1072</v>
      </c>
      <c r="E2215" t="s">
        <v>164</v>
      </c>
    </row>
    <row r="2216" spans="1:5" x14ac:dyDescent="0.25">
      <c r="A2216" s="2" t="str">
        <f>HYPERLINK("spreadsheet/2214.xlsx", "2214.xlsx")</f>
        <v>2214.xlsx</v>
      </c>
      <c r="B2216" s="2">
        <v>2214</v>
      </c>
      <c r="C2216" t="s">
        <v>48</v>
      </c>
      <c r="D2216" t="s">
        <v>1072</v>
      </c>
      <c r="E2216" t="s">
        <v>164</v>
      </c>
    </row>
    <row r="2217" spans="1:5" x14ac:dyDescent="0.25">
      <c r="A2217" s="2" t="str">
        <f>HYPERLINK("spreadsheet/2215.xlsx", "2215.xlsx")</f>
        <v>2215.xlsx</v>
      </c>
      <c r="B2217" s="2">
        <v>2215</v>
      </c>
      <c r="C2217" t="s">
        <v>49</v>
      </c>
      <c r="D2217" t="s">
        <v>1072</v>
      </c>
      <c r="E2217" t="s">
        <v>164</v>
      </c>
    </row>
    <row r="2218" spans="1:5" x14ac:dyDescent="0.25">
      <c r="A2218" s="2" t="s">
        <v>1073</v>
      </c>
      <c r="B2218" s="2">
        <v>2216</v>
      </c>
      <c r="C2218" t="s">
        <v>5</v>
      </c>
      <c r="D2218" t="s">
        <v>1074</v>
      </c>
      <c r="E2218" t="s">
        <v>154</v>
      </c>
    </row>
    <row r="2219" spans="1:5" x14ac:dyDescent="0.25">
      <c r="A2219" s="2" t="s">
        <v>1075</v>
      </c>
      <c r="B2219" s="2">
        <v>2217</v>
      </c>
      <c r="C2219" t="s">
        <v>10</v>
      </c>
      <c r="D2219" t="s">
        <v>1074</v>
      </c>
      <c r="E2219" t="s">
        <v>154</v>
      </c>
    </row>
    <row r="2220" spans="1:5" x14ac:dyDescent="0.25">
      <c r="A2220" s="2" t="str">
        <f>HYPERLINK("spreadsheet/2218.xlsx", "2218.xlsx")</f>
        <v>2218.xlsx</v>
      </c>
      <c r="B2220" s="2">
        <v>2218</v>
      </c>
      <c r="C2220" t="s">
        <v>14</v>
      </c>
      <c r="D2220" t="s">
        <v>1074</v>
      </c>
      <c r="E2220" t="s">
        <v>154</v>
      </c>
    </row>
    <row r="2221" spans="1:5" x14ac:dyDescent="0.25">
      <c r="A2221" s="2" t="str">
        <f>HYPERLINK("spreadsheet/2219.xlsx", "2219.xlsx")</f>
        <v>2219.xlsx</v>
      </c>
      <c r="B2221" s="2">
        <v>2219</v>
      </c>
      <c r="C2221" t="s">
        <v>15</v>
      </c>
      <c r="D2221" t="s">
        <v>1074</v>
      </c>
      <c r="E2221" t="s">
        <v>154</v>
      </c>
    </row>
    <row r="2222" spans="1:5" x14ac:dyDescent="0.25">
      <c r="A2222" s="2" t="s">
        <v>1076</v>
      </c>
      <c r="B2222" s="2">
        <v>2220</v>
      </c>
      <c r="C2222" t="s">
        <v>22</v>
      </c>
      <c r="D2222" t="s">
        <v>1074</v>
      </c>
      <c r="E2222" t="s">
        <v>154</v>
      </c>
    </row>
    <row r="2223" spans="1:5" x14ac:dyDescent="0.25">
      <c r="A2223" s="2" t="s">
        <v>1077</v>
      </c>
      <c r="B2223" s="2">
        <v>2221</v>
      </c>
      <c r="C2223" t="s">
        <v>24</v>
      </c>
      <c r="D2223" t="s">
        <v>1074</v>
      </c>
      <c r="E2223" t="s">
        <v>154</v>
      </c>
    </row>
    <row r="2224" spans="1:5" x14ac:dyDescent="0.25">
      <c r="A2224" s="2" t="str">
        <f>HYPERLINK("spreadsheet/2222.xlsx", "2222.xlsx")</f>
        <v>2222.xlsx</v>
      </c>
      <c r="B2224" s="2">
        <v>2222</v>
      </c>
      <c r="C2224" t="s">
        <v>5</v>
      </c>
      <c r="D2224" t="s">
        <v>1078</v>
      </c>
      <c r="E2224" t="s">
        <v>150</v>
      </c>
    </row>
    <row r="2225" spans="1:5" x14ac:dyDescent="0.25">
      <c r="A2225" s="2" t="str">
        <f>HYPERLINK("spreadsheet/2223.xlsx", "2223.xlsx")</f>
        <v>2223.xlsx</v>
      </c>
      <c r="B2225" s="2">
        <v>2223</v>
      </c>
      <c r="C2225" t="s">
        <v>10</v>
      </c>
      <c r="D2225" t="s">
        <v>1078</v>
      </c>
      <c r="E2225" t="s">
        <v>150</v>
      </c>
    </row>
    <row r="2226" spans="1:5" x14ac:dyDescent="0.25">
      <c r="A2226" s="2" t="str">
        <f>HYPERLINK("spreadsheet/2224.xlsx", "2224.xlsx")</f>
        <v>2224.xlsx</v>
      </c>
      <c r="B2226" s="2">
        <v>2224</v>
      </c>
      <c r="C2226" t="s">
        <v>14</v>
      </c>
      <c r="D2226" t="s">
        <v>1078</v>
      </c>
      <c r="E2226" t="s">
        <v>150</v>
      </c>
    </row>
    <row r="2227" spans="1:5" x14ac:dyDescent="0.25">
      <c r="A2227" s="2" t="s">
        <v>1079</v>
      </c>
      <c r="B2227" s="2">
        <v>2225</v>
      </c>
      <c r="C2227" t="s">
        <v>15</v>
      </c>
      <c r="D2227" t="s">
        <v>1078</v>
      </c>
      <c r="E2227" t="s">
        <v>150</v>
      </c>
    </row>
    <row r="2228" spans="1:5" x14ac:dyDescent="0.25">
      <c r="A2228" s="2" t="s">
        <v>1080</v>
      </c>
      <c r="B2228" s="2">
        <v>2226</v>
      </c>
      <c r="C2228" t="s">
        <v>22</v>
      </c>
      <c r="D2228" t="s">
        <v>1078</v>
      </c>
      <c r="E2228" t="s">
        <v>150</v>
      </c>
    </row>
    <row r="2229" spans="1:5" x14ac:dyDescent="0.25">
      <c r="A2229" s="2" t="str">
        <f>HYPERLINK("spreadsheet/2227.xlsx", "2227.xlsx")</f>
        <v>2227.xlsx</v>
      </c>
      <c r="B2229" s="2">
        <v>2227</v>
      </c>
      <c r="C2229" t="s">
        <v>24</v>
      </c>
      <c r="D2229" t="s">
        <v>1078</v>
      </c>
      <c r="E2229" t="s">
        <v>150</v>
      </c>
    </row>
    <row r="2230" spans="1:5" x14ac:dyDescent="0.25">
      <c r="A2230" s="2" t="s">
        <v>1081</v>
      </c>
      <c r="B2230" s="2">
        <v>2228</v>
      </c>
      <c r="C2230" t="s">
        <v>60</v>
      </c>
      <c r="D2230" t="s">
        <v>1078</v>
      </c>
      <c r="E2230" t="s">
        <v>150</v>
      </c>
    </row>
    <row r="2231" spans="1:5" x14ac:dyDescent="0.25">
      <c r="A2231" s="2" t="s">
        <v>1082</v>
      </c>
      <c r="B2231" s="2">
        <v>2229</v>
      </c>
      <c r="C2231" t="s">
        <v>44</v>
      </c>
      <c r="D2231" t="s">
        <v>1078</v>
      </c>
      <c r="E2231" t="s">
        <v>150</v>
      </c>
    </row>
    <row r="2232" spans="1:5" x14ac:dyDescent="0.25">
      <c r="A2232" s="2" t="s">
        <v>1083</v>
      </c>
      <c r="B2232" s="2">
        <v>2230</v>
      </c>
      <c r="C2232" t="s">
        <v>45</v>
      </c>
      <c r="D2232" t="s">
        <v>1078</v>
      </c>
      <c r="E2232" t="s">
        <v>150</v>
      </c>
    </row>
    <row r="2233" spans="1:5" x14ac:dyDescent="0.25">
      <c r="A2233" s="2" t="str">
        <f>HYPERLINK("spreadsheet/2231.xlsx", "2231.xlsx")</f>
        <v>2231.xlsx</v>
      </c>
      <c r="B2233" s="2">
        <v>2231</v>
      </c>
      <c r="C2233" t="s">
        <v>5</v>
      </c>
      <c r="D2233" t="s">
        <v>1084</v>
      </c>
      <c r="E2233" t="s">
        <v>134</v>
      </c>
    </row>
    <row r="2234" spans="1:5" x14ac:dyDescent="0.25">
      <c r="A2234" s="2" t="str">
        <f>HYPERLINK("spreadsheet/2232.xlsx", "2232.xlsx")</f>
        <v>2232.xlsx</v>
      </c>
      <c r="B2234" s="2">
        <v>2232</v>
      </c>
      <c r="C2234" t="s">
        <v>10</v>
      </c>
      <c r="D2234" t="s">
        <v>1084</v>
      </c>
      <c r="E2234" t="s">
        <v>134</v>
      </c>
    </row>
    <row r="2235" spans="1:5" x14ac:dyDescent="0.25">
      <c r="A2235" s="2" t="str">
        <f>HYPERLINK("spreadsheet/2233.xlsx", "2233.xlsx")</f>
        <v>2233.xlsx</v>
      </c>
      <c r="B2235" s="2">
        <v>2233</v>
      </c>
      <c r="C2235" t="s">
        <v>5</v>
      </c>
      <c r="D2235" t="s">
        <v>1085</v>
      </c>
      <c r="E2235" t="s">
        <v>154</v>
      </c>
    </row>
    <row r="2236" spans="1:5" x14ac:dyDescent="0.25">
      <c r="A2236" s="2" t="str">
        <f>HYPERLINK("spreadsheet/2234.xlsx", "2234.xlsx")</f>
        <v>2234.xlsx</v>
      </c>
      <c r="B2236" s="2">
        <v>2234</v>
      </c>
      <c r="C2236" t="s">
        <v>950</v>
      </c>
      <c r="D2236" t="s">
        <v>1085</v>
      </c>
      <c r="E2236" t="s">
        <v>154</v>
      </c>
    </row>
    <row r="2237" spans="1:5" x14ac:dyDescent="0.25">
      <c r="A2237" s="2" t="str">
        <f>HYPERLINK("spreadsheet/2235.xlsx", "2235.xlsx")</f>
        <v>2235.xlsx</v>
      </c>
      <c r="B2237" s="2">
        <v>2235</v>
      </c>
      <c r="C2237" t="s">
        <v>10</v>
      </c>
      <c r="D2237" t="s">
        <v>1085</v>
      </c>
      <c r="E2237" t="s">
        <v>154</v>
      </c>
    </row>
    <row r="2238" spans="1:5" x14ac:dyDescent="0.25">
      <c r="A2238" s="2" t="str">
        <f>HYPERLINK("spreadsheet/2236.xlsx", "2236.xlsx")</f>
        <v>2236.xlsx</v>
      </c>
      <c r="B2238" s="2">
        <v>2236</v>
      </c>
      <c r="C2238" t="s">
        <v>14</v>
      </c>
      <c r="D2238" t="s">
        <v>1085</v>
      </c>
      <c r="E2238" t="s">
        <v>154</v>
      </c>
    </row>
    <row r="2239" spans="1:5" x14ac:dyDescent="0.25">
      <c r="A2239" s="2" t="str">
        <f>HYPERLINK("spreadsheet/2237.xlsx", "2237.xlsx")</f>
        <v>2237.xlsx</v>
      </c>
      <c r="B2239" s="2">
        <v>2237</v>
      </c>
      <c r="C2239" t="s">
        <v>15</v>
      </c>
      <c r="D2239" t="s">
        <v>1085</v>
      </c>
      <c r="E2239" t="s">
        <v>154</v>
      </c>
    </row>
    <row r="2240" spans="1:5" x14ac:dyDescent="0.25">
      <c r="A2240" s="2" t="str">
        <f>HYPERLINK("spreadsheet/2238.xlsx", "2238.xlsx")</f>
        <v>2238.xlsx</v>
      </c>
      <c r="B2240" s="2">
        <v>2238</v>
      </c>
      <c r="C2240" t="s">
        <v>5</v>
      </c>
      <c r="D2240" t="s">
        <v>1086</v>
      </c>
      <c r="E2240" t="s">
        <v>115</v>
      </c>
    </row>
    <row r="2241" spans="1:5" x14ac:dyDescent="0.25">
      <c r="A2241" s="2" t="s">
        <v>1087</v>
      </c>
      <c r="B2241" s="2">
        <v>2239</v>
      </c>
      <c r="C2241" t="s">
        <v>10</v>
      </c>
      <c r="D2241" t="s">
        <v>1086</v>
      </c>
      <c r="E2241" t="s">
        <v>115</v>
      </c>
    </row>
    <row r="2242" spans="1:5" x14ac:dyDescent="0.25">
      <c r="A2242" s="2" t="s">
        <v>1088</v>
      </c>
      <c r="B2242" s="2">
        <v>2240</v>
      </c>
      <c r="C2242" t="s">
        <v>5</v>
      </c>
      <c r="D2242" t="s">
        <v>1089</v>
      </c>
      <c r="E2242" t="s">
        <v>115</v>
      </c>
    </row>
    <row r="2243" spans="1:5" x14ac:dyDescent="0.25">
      <c r="A2243" s="2" t="s">
        <v>1090</v>
      </c>
      <c r="B2243" s="2">
        <v>2241</v>
      </c>
      <c r="C2243" t="s">
        <v>517</v>
      </c>
      <c r="D2243" t="s">
        <v>1091</v>
      </c>
      <c r="E2243" t="s">
        <v>150</v>
      </c>
    </row>
    <row r="2244" spans="1:5" x14ac:dyDescent="0.25">
      <c r="A2244" s="2" t="s">
        <v>1092</v>
      </c>
      <c r="B2244" s="2">
        <v>2242</v>
      </c>
      <c r="C2244" t="s">
        <v>519</v>
      </c>
      <c r="D2244" t="s">
        <v>1091</v>
      </c>
      <c r="E2244" t="s">
        <v>150</v>
      </c>
    </row>
    <row r="2245" spans="1:5" x14ac:dyDescent="0.25">
      <c r="A2245" s="2" t="s">
        <v>1093</v>
      </c>
      <c r="B2245" s="2">
        <v>2243</v>
      </c>
      <c r="C2245" t="s">
        <v>520</v>
      </c>
      <c r="D2245" t="s">
        <v>1091</v>
      </c>
      <c r="E2245" t="s">
        <v>150</v>
      </c>
    </row>
    <row r="2246" spans="1:5" x14ac:dyDescent="0.25">
      <c r="A2246" s="2" t="s">
        <v>1094</v>
      </c>
      <c r="B2246" s="2">
        <v>2244</v>
      </c>
      <c r="C2246" t="s">
        <v>869</v>
      </c>
      <c r="D2246" t="s">
        <v>1091</v>
      </c>
      <c r="E2246" t="s">
        <v>150</v>
      </c>
    </row>
    <row r="2247" spans="1:5" x14ac:dyDescent="0.25">
      <c r="A2247" s="2" t="s">
        <v>1095</v>
      </c>
      <c r="B2247" s="2">
        <v>2245</v>
      </c>
      <c r="C2247" t="s">
        <v>871</v>
      </c>
      <c r="D2247" t="s">
        <v>1091</v>
      </c>
      <c r="E2247" t="s">
        <v>150</v>
      </c>
    </row>
    <row r="2248" spans="1:5" x14ac:dyDescent="0.25">
      <c r="A2248" s="2" t="s">
        <v>1096</v>
      </c>
      <c r="B2248" s="2">
        <v>2246</v>
      </c>
      <c r="C2248" t="s">
        <v>872</v>
      </c>
      <c r="D2248" t="s">
        <v>1091</v>
      </c>
      <c r="E2248" t="s">
        <v>150</v>
      </c>
    </row>
    <row r="2249" spans="1:5" x14ac:dyDescent="0.25">
      <c r="A2249" s="2" t="s">
        <v>1097</v>
      </c>
      <c r="B2249" s="2">
        <v>2247</v>
      </c>
      <c r="C2249" t="s">
        <v>874</v>
      </c>
      <c r="D2249" t="s">
        <v>1091</v>
      </c>
      <c r="E2249" t="s">
        <v>150</v>
      </c>
    </row>
    <row r="2250" spans="1:5" x14ac:dyDescent="0.25">
      <c r="A2250" s="2" t="s">
        <v>1098</v>
      </c>
      <c r="B2250" s="2">
        <v>2248</v>
      </c>
      <c r="C2250" t="s">
        <v>521</v>
      </c>
      <c r="D2250" t="s">
        <v>1091</v>
      </c>
      <c r="E2250" t="s">
        <v>150</v>
      </c>
    </row>
    <row r="2251" spans="1:5" x14ac:dyDescent="0.25">
      <c r="A2251" s="2" t="s">
        <v>1099</v>
      </c>
      <c r="B2251" s="2">
        <v>2249</v>
      </c>
      <c r="C2251" t="s">
        <v>522</v>
      </c>
      <c r="D2251" t="s">
        <v>1091</v>
      </c>
      <c r="E2251" t="s">
        <v>150</v>
      </c>
    </row>
    <row r="2252" spans="1:5" x14ac:dyDescent="0.25">
      <c r="A2252" s="2" t="s">
        <v>1100</v>
      </c>
      <c r="B2252" s="2">
        <v>2250</v>
      </c>
      <c r="C2252" t="s">
        <v>889</v>
      </c>
      <c r="D2252" t="s">
        <v>1091</v>
      </c>
      <c r="E2252" t="s">
        <v>150</v>
      </c>
    </row>
    <row r="2253" spans="1:5" x14ac:dyDescent="0.25">
      <c r="A2253" s="2" t="s">
        <v>1101</v>
      </c>
      <c r="B2253" s="2">
        <v>2251</v>
      </c>
      <c r="C2253" t="s">
        <v>890</v>
      </c>
      <c r="D2253" t="s">
        <v>1091</v>
      </c>
      <c r="E2253" t="s">
        <v>150</v>
      </c>
    </row>
    <row r="2254" spans="1:5" x14ac:dyDescent="0.25">
      <c r="A2254" s="2" t="s">
        <v>1102</v>
      </c>
      <c r="B2254" s="2">
        <v>2252</v>
      </c>
      <c r="C2254" t="s">
        <v>892</v>
      </c>
      <c r="D2254" t="s">
        <v>1091</v>
      </c>
      <c r="E2254" t="s">
        <v>150</v>
      </c>
    </row>
    <row r="2255" spans="1:5" x14ac:dyDescent="0.25">
      <c r="A2255" s="2" t="s">
        <v>1103</v>
      </c>
      <c r="B2255" s="2">
        <v>2253</v>
      </c>
      <c r="C2255" t="s">
        <v>893</v>
      </c>
      <c r="D2255" t="s">
        <v>1091</v>
      </c>
      <c r="E2255" t="s">
        <v>150</v>
      </c>
    </row>
    <row r="2256" spans="1:5" x14ac:dyDescent="0.25">
      <c r="A2256" s="2" t="s">
        <v>1104</v>
      </c>
      <c r="B2256" s="2">
        <v>2254</v>
      </c>
      <c r="C2256" t="s">
        <v>894</v>
      </c>
      <c r="D2256" t="s">
        <v>1091</v>
      </c>
      <c r="E2256" t="s">
        <v>150</v>
      </c>
    </row>
    <row r="2257" spans="1:5" x14ac:dyDescent="0.25">
      <c r="A2257" s="2" t="s">
        <v>1105</v>
      </c>
      <c r="B2257" s="2">
        <v>2255</v>
      </c>
      <c r="C2257" t="s">
        <v>1106</v>
      </c>
      <c r="D2257" t="s">
        <v>1091</v>
      </c>
      <c r="E2257" t="s">
        <v>150</v>
      </c>
    </row>
    <row r="2258" spans="1:5" x14ac:dyDescent="0.25">
      <c r="A2258" s="2" t="s">
        <v>1107</v>
      </c>
      <c r="B2258" s="2">
        <v>2256</v>
      </c>
      <c r="C2258" t="s">
        <v>523</v>
      </c>
      <c r="D2258" t="s">
        <v>1091</v>
      </c>
      <c r="E2258" t="s">
        <v>150</v>
      </c>
    </row>
    <row r="2259" spans="1:5" x14ac:dyDescent="0.25">
      <c r="A2259" s="2" t="s">
        <v>1108</v>
      </c>
      <c r="B2259" s="2">
        <v>2257</v>
      </c>
      <c r="C2259" t="s">
        <v>524</v>
      </c>
      <c r="D2259" t="s">
        <v>1091</v>
      </c>
      <c r="E2259" t="s">
        <v>150</v>
      </c>
    </row>
    <row r="2260" spans="1:5" x14ac:dyDescent="0.25">
      <c r="A2260" s="2" t="s">
        <v>1109</v>
      </c>
      <c r="B2260" s="2">
        <v>2258</v>
      </c>
      <c r="C2260" t="s">
        <v>1110</v>
      </c>
      <c r="D2260" t="s">
        <v>1091</v>
      </c>
      <c r="E2260" t="s">
        <v>150</v>
      </c>
    </row>
    <row r="2261" spans="1:5" x14ac:dyDescent="0.25">
      <c r="A2261" s="2" t="s">
        <v>1111</v>
      </c>
      <c r="B2261" s="2">
        <v>2259</v>
      </c>
      <c r="C2261" t="s">
        <v>1112</v>
      </c>
      <c r="D2261" t="s">
        <v>1091</v>
      </c>
      <c r="E2261" t="s">
        <v>150</v>
      </c>
    </row>
    <row r="2262" spans="1:5" x14ac:dyDescent="0.25">
      <c r="A2262" s="2" t="s">
        <v>1113</v>
      </c>
      <c r="B2262" s="2">
        <v>2260</v>
      </c>
      <c r="C2262" t="s">
        <v>1114</v>
      </c>
      <c r="D2262" t="s">
        <v>1091</v>
      </c>
      <c r="E2262" t="s">
        <v>150</v>
      </c>
    </row>
    <row r="2263" spans="1:5" x14ac:dyDescent="0.25">
      <c r="A2263" s="2" t="s">
        <v>1115</v>
      </c>
      <c r="B2263" s="2">
        <v>2261</v>
      </c>
      <c r="C2263" t="s">
        <v>1116</v>
      </c>
      <c r="D2263" t="s">
        <v>1091</v>
      </c>
      <c r="E2263" t="s">
        <v>150</v>
      </c>
    </row>
    <row r="2264" spans="1:5" x14ac:dyDescent="0.25">
      <c r="A2264" s="2" t="s">
        <v>1117</v>
      </c>
      <c r="B2264" s="2">
        <v>2262</v>
      </c>
      <c r="C2264" t="s">
        <v>1118</v>
      </c>
      <c r="D2264" t="s">
        <v>1091</v>
      </c>
      <c r="E2264" t="s">
        <v>150</v>
      </c>
    </row>
    <row r="2265" spans="1:5" x14ac:dyDescent="0.25">
      <c r="A2265" s="2" t="s">
        <v>1119</v>
      </c>
      <c r="B2265" s="2">
        <v>2263</v>
      </c>
      <c r="C2265" t="s">
        <v>1120</v>
      </c>
      <c r="D2265" t="s">
        <v>1091</v>
      </c>
      <c r="E2265" t="s">
        <v>150</v>
      </c>
    </row>
    <row r="2266" spans="1:5" x14ac:dyDescent="0.25">
      <c r="A2266" s="2" t="s">
        <v>1121</v>
      </c>
      <c r="B2266" s="2">
        <v>2264</v>
      </c>
      <c r="C2266" t="s">
        <v>525</v>
      </c>
      <c r="D2266" t="s">
        <v>1091</v>
      </c>
      <c r="E2266" t="s">
        <v>150</v>
      </c>
    </row>
    <row r="2267" spans="1:5" x14ac:dyDescent="0.25">
      <c r="A2267" s="2" t="s">
        <v>1122</v>
      </c>
      <c r="B2267" s="2">
        <v>2265</v>
      </c>
      <c r="C2267" t="s">
        <v>526</v>
      </c>
      <c r="D2267" t="s">
        <v>1091</v>
      </c>
      <c r="E2267" t="s">
        <v>150</v>
      </c>
    </row>
    <row r="2268" spans="1:5" x14ac:dyDescent="0.25">
      <c r="A2268" s="2" t="s">
        <v>1123</v>
      </c>
      <c r="B2268" s="2">
        <v>2266</v>
      </c>
      <c r="C2268" t="s">
        <v>407</v>
      </c>
      <c r="D2268" t="s">
        <v>1091</v>
      </c>
      <c r="E2268" t="s">
        <v>150</v>
      </c>
    </row>
    <row r="2269" spans="1:5" x14ac:dyDescent="0.25">
      <c r="A2269" s="2" t="s">
        <v>1124</v>
      </c>
      <c r="B2269" s="2">
        <v>2267</v>
      </c>
      <c r="C2269" t="s">
        <v>410</v>
      </c>
      <c r="D2269" t="s">
        <v>1091</v>
      </c>
      <c r="E2269" t="s">
        <v>150</v>
      </c>
    </row>
    <row r="2270" spans="1:5" x14ac:dyDescent="0.25">
      <c r="A2270" s="2" t="s">
        <v>1125</v>
      </c>
      <c r="B2270" s="2">
        <v>2268</v>
      </c>
      <c r="C2270" t="s">
        <v>412</v>
      </c>
      <c r="D2270" t="s">
        <v>1091</v>
      </c>
      <c r="E2270" t="s">
        <v>150</v>
      </c>
    </row>
    <row r="2271" spans="1:5" x14ac:dyDescent="0.25">
      <c r="A2271" s="2" t="s">
        <v>1126</v>
      </c>
      <c r="B2271" s="2">
        <v>2269</v>
      </c>
      <c r="C2271" t="s">
        <v>414</v>
      </c>
      <c r="D2271" t="s">
        <v>1091</v>
      </c>
      <c r="E2271" t="s">
        <v>150</v>
      </c>
    </row>
    <row r="2272" spans="1:5" x14ac:dyDescent="0.25">
      <c r="A2272" s="2" t="s">
        <v>1127</v>
      </c>
      <c r="B2272" s="2">
        <v>2270</v>
      </c>
      <c r="C2272" t="s">
        <v>418</v>
      </c>
      <c r="D2272" t="s">
        <v>1091</v>
      </c>
      <c r="E2272" t="s">
        <v>150</v>
      </c>
    </row>
    <row r="2273" spans="1:5" x14ac:dyDescent="0.25">
      <c r="A2273" s="2" t="s">
        <v>1128</v>
      </c>
      <c r="B2273" s="2">
        <v>2271</v>
      </c>
      <c r="C2273" t="s">
        <v>1129</v>
      </c>
      <c r="D2273" t="s">
        <v>1091</v>
      </c>
      <c r="E2273" t="s">
        <v>150</v>
      </c>
    </row>
    <row r="2274" spans="1:5" x14ac:dyDescent="0.25">
      <c r="A2274" s="2" t="s">
        <v>1130</v>
      </c>
      <c r="B2274" s="2">
        <v>2272</v>
      </c>
      <c r="C2274" t="s">
        <v>1131</v>
      </c>
      <c r="D2274" t="s">
        <v>1091</v>
      </c>
      <c r="E2274" t="s">
        <v>150</v>
      </c>
    </row>
    <row r="2275" spans="1:5" x14ac:dyDescent="0.25">
      <c r="A2275" s="2" t="s">
        <v>1132</v>
      </c>
      <c r="B2275" s="2">
        <v>2273</v>
      </c>
      <c r="C2275" t="s">
        <v>1133</v>
      </c>
      <c r="D2275" t="s">
        <v>1091</v>
      </c>
      <c r="E2275" t="s">
        <v>150</v>
      </c>
    </row>
    <row r="2276" spans="1:5" x14ac:dyDescent="0.25">
      <c r="A2276" s="2" t="s">
        <v>1134</v>
      </c>
      <c r="B2276" s="2">
        <v>2274</v>
      </c>
      <c r="C2276" t="s">
        <v>1135</v>
      </c>
      <c r="D2276" t="s">
        <v>1091</v>
      </c>
      <c r="E2276" t="s">
        <v>150</v>
      </c>
    </row>
    <row r="2277" spans="1:5" x14ac:dyDescent="0.25">
      <c r="A2277" s="2" t="s">
        <v>1136</v>
      </c>
      <c r="B2277" s="2">
        <v>2275</v>
      </c>
      <c r="C2277" t="s">
        <v>1137</v>
      </c>
      <c r="D2277" t="s">
        <v>1091</v>
      </c>
      <c r="E2277" t="s">
        <v>150</v>
      </c>
    </row>
    <row r="2278" spans="1:5" x14ac:dyDescent="0.25">
      <c r="A2278" s="2" t="s">
        <v>1138</v>
      </c>
      <c r="B2278" s="2">
        <v>2276</v>
      </c>
      <c r="C2278" t="s">
        <v>1139</v>
      </c>
      <c r="D2278" t="s">
        <v>1091</v>
      </c>
      <c r="E2278" t="s">
        <v>150</v>
      </c>
    </row>
    <row r="2279" spans="1:5" x14ac:dyDescent="0.25">
      <c r="A2279" s="2" t="s">
        <v>1140</v>
      </c>
      <c r="B2279" s="2">
        <v>2277</v>
      </c>
      <c r="C2279" t="s">
        <v>1141</v>
      </c>
      <c r="D2279" t="s">
        <v>1091</v>
      </c>
      <c r="E2279" t="s">
        <v>150</v>
      </c>
    </row>
    <row r="2280" spans="1:5" x14ac:dyDescent="0.25">
      <c r="A2280" s="2" t="s">
        <v>1142</v>
      </c>
      <c r="B2280" s="2">
        <v>2278</v>
      </c>
      <c r="C2280" t="s">
        <v>1143</v>
      </c>
      <c r="D2280" t="s">
        <v>1091</v>
      </c>
      <c r="E2280" t="s">
        <v>150</v>
      </c>
    </row>
    <row r="2281" spans="1:5" x14ac:dyDescent="0.25">
      <c r="A2281" s="2" t="s">
        <v>1144</v>
      </c>
      <c r="B2281" s="2">
        <v>2279</v>
      </c>
      <c r="C2281" t="s">
        <v>1145</v>
      </c>
      <c r="D2281" t="s">
        <v>1091</v>
      </c>
      <c r="E2281" t="s">
        <v>150</v>
      </c>
    </row>
    <row r="2282" spans="1:5" x14ac:dyDescent="0.25">
      <c r="A2282" s="2" t="s">
        <v>1146</v>
      </c>
      <c r="B2282" s="2">
        <v>2280</v>
      </c>
      <c r="C2282" t="s">
        <v>1147</v>
      </c>
      <c r="D2282" t="s">
        <v>1091</v>
      </c>
      <c r="E2282" t="s">
        <v>150</v>
      </c>
    </row>
    <row r="2283" spans="1:5" x14ac:dyDescent="0.25">
      <c r="A2283" s="2" t="s">
        <v>1148</v>
      </c>
      <c r="B2283" s="2">
        <v>2281</v>
      </c>
      <c r="C2283" t="s">
        <v>1149</v>
      </c>
      <c r="D2283" t="s">
        <v>1091</v>
      </c>
      <c r="E2283" t="s">
        <v>150</v>
      </c>
    </row>
    <row r="2284" spans="1:5" x14ac:dyDescent="0.25">
      <c r="A2284" s="2" t="str">
        <f>HYPERLINK("spreadsheet/2282.xlsx", "2282.xlsx")</f>
        <v>2282.xlsx</v>
      </c>
      <c r="B2284" s="2">
        <v>2282</v>
      </c>
      <c r="C2284" t="s">
        <v>5</v>
      </c>
      <c r="D2284" t="s">
        <v>1150</v>
      </c>
      <c r="E2284" t="s">
        <v>154</v>
      </c>
    </row>
    <row r="2285" spans="1:5" x14ac:dyDescent="0.25">
      <c r="A2285" s="2" t="s">
        <v>1151</v>
      </c>
      <c r="B2285" s="2">
        <v>2283</v>
      </c>
      <c r="C2285" t="s">
        <v>10</v>
      </c>
      <c r="D2285" t="s">
        <v>1152</v>
      </c>
      <c r="E2285" t="s">
        <v>115</v>
      </c>
    </row>
    <row r="2286" spans="1:5" x14ac:dyDescent="0.25">
      <c r="A2286" s="2" t="str">
        <f>HYPERLINK("spreadsheet/2284.xlsx", "2284.xlsx")</f>
        <v>2284.xlsx</v>
      </c>
      <c r="B2286" s="2">
        <v>2284</v>
      </c>
      <c r="C2286" t="s">
        <v>15</v>
      </c>
      <c r="D2286" t="s">
        <v>1152</v>
      </c>
      <c r="E2286" t="s">
        <v>115</v>
      </c>
    </row>
    <row r="2287" spans="1:5" x14ac:dyDescent="0.25">
      <c r="A2287" s="2" t="str">
        <f>HYPERLINK("spreadsheet/2285.xlsx", "2285.xlsx")</f>
        <v>2285.xlsx</v>
      </c>
      <c r="B2287" s="2">
        <v>2285</v>
      </c>
      <c r="C2287" t="s">
        <v>24</v>
      </c>
      <c r="D2287" t="s">
        <v>1152</v>
      </c>
      <c r="E2287" t="s">
        <v>115</v>
      </c>
    </row>
    <row r="2288" spans="1:5" x14ac:dyDescent="0.25">
      <c r="A2288" s="2" t="str">
        <f>HYPERLINK("spreadsheet/2286.xlsx", "2286.xlsx")</f>
        <v>2286.xlsx</v>
      </c>
      <c r="B2288" s="2">
        <v>2286</v>
      </c>
      <c r="C2288" t="s">
        <v>60</v>
      </c>
      <c r="D2288" t="s">
        <v>1152</v>
      </c>
      <c r="E2288" t="s">
        <v>115</v>
      </c>
    </row>
    <row r="2289" spans="1:5" x14ac:dyDescent="0.25">
      <c r="A2289" s="2" t="str">
        <f>HYPERLINK("spreadsheet/2287.xlsx", "2287.xlsx")</f>
        <v>2287.xlsx</v>
      </c>
      <c r="B2289" s="2">
        <v>2287</v>
      </c>
      <c r="C2289" t="s">
        <v>45</v>
      </c>
      <c r="D2289" t="s">
        <v>1152</v>
      </c>
      <c r="E2289" t="s">
        <v>115</v>
      </c>
    </row>
    <row r="2290" spans="1:5" x14ac:dyDescent="0.25">
      <c r="A2290" s="2" t="str">
        <f>HYPERLINK("spreadsheet/2288.xlsx", "2288.xlsx")</f>
        <v>2288.xlsx</v>
      </c>
      <c r="B2290" s="2">
        <v>2288</v>
      </c>
      <c r="C2290" t="s">
        <v>46</v>
      </c>
      <c r="D2290" t="s">
        <v>1152</v>
      </c>
      <c r="E2290" t="s">
        <v>115</v>
      </c>
    </row>
    <row r="2291" spans="1:5" x14ac:dyDescent="0.25">
      <c r="A2291" s="2" t="str">
        <f>HYPERLINK("spreadsheet/2289.xlsx", "2289.xlsx")</f>
        <v>2289.xlsx</v>
      </c>
      <c r="B2291" s="2">
        <v>2289</v>
      </c>
      <c r="C2291" t="s">
        <v>5</v>
      </c>
      <c r="D2291" t="s">
        <v>1153</v>
      </c>
      <c r="E2291" t="s">
        <v>154</v>
      </c>
    </row>
    <row r="2292" spans="1:5" x14ac:dyDescent="0.25">
      <c r="A2292" s="2" t="str">
        <f>HYPERLINK("spreadsheet/2290.xlsx", "2290.xlsx")</f>
        <v>2290.xlsx</v>
      </c>
      <c r="B2292" s="2">
        <v>2290</v>
      </c>
      <c r="C2292" t="s">
        <v>10</v>
      </c>
      <c r="D2292" t="s">
        <v>1153</v>
      </c>
      <c r="E2292" t="s">
        <v>154</v>
      </c>
    </row>
    <row r="2293" spans="1:5" x14ac:dyDescent="0.25">
      <c r="A2293" s="2" t="str">
        <f>HYPERLINK("spreadsheet/2291.xlsx", "2291.xlsx")</f>
        <v>2291.xlsx</v>
      </c>
      <c r="B2293" s="2">
        <v>2291</v>
      </c>
      <c r="C2293" t="s">
        <v>14</v>
      </c>
      <c r="D2293" t="s">
        <v>1153</v>
      </c>
      <c r="E2293" t="s">
        <v>154</v>
      </c>
    </row>
    <row r="2294" spans="1:5" x14ac:dyDescent="0.25">
      <c r="A2294" s="2" t="str">
        <f>HYPERLINK("spreadsheet/2292.xlsx", "2292.xlsx")</f>
        <v>2292.xlsx</v>
      </c>
      <c r="B2294" s="2">
        <v>2292</v>
      </c>
      <c r="C2294" t="s">
        <v>15</v>
      </c>
      <c r="D2294" t="s">
        <v>1153</v>
      </c>
      <c r="E2294" t="s">
        <v>154</v>
      </c>
    </row>
    <row r="2295" spans="1:5" x14ac:dyDescent="0.25">
      <c r="A2295" s="2" t="str">
        <f>HYPERLINK("spreadsheet/2293.xlsx", "2293.xlsx")</f>
        <v>2293.xlsx</v>
      </c>
      <c r="B2295" s="2">
        <v>2293</v>
      </c>
      <c r="C2295" t="s">
        <v>22</v>
      </c>
      <c r="D2295" t="s">
        <v>1153</v>
      </c>
      <c r="E2295" t="s">
        <v>154</v>
      </c>
    </row>
    <row r="2296" spans="1:5" x14ac:dyDescent="0.25">
      <c r="A2296" s="2" t="str">
        <f>HYPERLINK("spreadsheet/2294.xlsx", "2294.xlsx")</f>
        <v>2294.xlsx</v>
      </c>
      <c r="B2296" s="2">
        <v>2294</v>
      </c>
      <c r="C2296" t="s">
        <v>24</v>
      </c>
      <c r="D2296" t="s">
        <v>1153</v>
      </c>
      <c r="E2296" t="s">
        <v>154</v>
      </c>
    </row>
    <row r="2297" spans="1:5" x14ac:dyDescent="0.25">
      <c r="A2297" s="2" t="str">
        <f>HYPERLINK("spreadsheet/2295.xlsx", "2295.xlsx")</f>
        <v>2295.xlsx</v>
      </c>
      <c r="B2297" s="2">
        <v>2295</v>
      </c>
      <c r="C2297" t="s">
        <v>60</v>
      </c>
      <c r="D2297" t="s">
        <v>1153</v>
      </c>
      <c r="E2297" t="s">
        <v>154</v>
      </c>
    </row>
    <row r="2298" spans="1:5" x14ac:dyDescent="0.25">
      <c r="A2298" s="2" t="str">
        <f>HYPERLINK("spreadsheet/2296.xlsx", "2296.xlsx")</f>
        <v>2296.xlsx</v>
      </c>
      <c r="B2298" s="2">
        <v>2296</v>
      </c>
      <c r="C2298" t="s">
        <v>44</v>
      </c>
      <c r="D2298" t="s">
        <v>1153</v>
      </c>
      <c r="E2298" t="s">
        <v>154</v>
      </c>
    </row>
    <row r="2299" spans="1:5" x14ac:dyDescent="0.25">
      <c r="A2299" s="2" t="str">
        <f>HYPERLINK("spreadsheet/2297.xlsx", "2297.xlsx")</f>
        <v>2297.xlsx</v>
      </c>
      <c r="B2299" s="2">
        <v>2297</v>
      </c>
      <c r="C2299" t="s">
        <v>45</v>
      </c>
      <c r="D2299" t="s">
        <v>1153</v>
      </c>
      <c r="E2299" t="s">
        <v>154</v>
      </c>
    </row>
    <row r="2300" spans="1:5" x14ac:dyDescent="0.25">
      <c r="A2300" s="2" t="str">
        <f>HYPERLINK("spreadsheet/2298.xlsx", "2298.xlsx")</f>
        <v>2298.xlsx</v>
      </c>
      <c r="B2300" s="2">
        <v>2298</v>
      </c>
      <c r="C2300" t="s">
        <v>46</v>
      </c>
      <c r="D2300" t="s">
        <v>1153</v>
      </c>
      <c r="E2300" t="s">
        <v>154</v>
      </c>
    </row>
    <row r="2301" spans="1:5" x14ac:dyDescent="0.25">
      <c r="A2301" s="2" t="str">
        <f>HYPERLINK("spreadsheet/2299.xlsx", "2299.xlsx")</f>
        <v>2299.xlsx</v>
      </c>
      <c r="B2301" s="2">
        <v>2299</v>
      </c>
      <c r="C2301" t="s">
        <v>47</v>
      </c>
      <c r="D2301" t="s">
        <v>1153</v>
      </c>
      <c r="E2301" t="s">
        <v>154</v>
      </c>
    </row>
    <row r="2302" spans="1:5" x14ac:dyDescent="0.25">
      <c r="A2302" s="2" t="s">
        <v>1154</v>
      </c>
      <c r="B2302" s="2">
        <v>2300</v>
      </c>
      <c r="C2302" t="s">
        <v>48</v>
      </c>
      <c r="D2302" t="s">
        <v>1153</v>
      </c>
      <c r="E2302" t="s">
        <v>154</v>
      </c>
    </row>
    <row r="2303" spans="1:5" x14ac:dyDescent="0.25">
      <c r="A2303" s="2" t="str">
        <f>HYPERLINK("spreadsheet/2301.xlsx", "2301.xlsx")</f>
        <v>2301.xlsx</v>
      </c>
      <c r="B2303" s="2">
        <v>2301</v>
      </c>
      <c r="C2303" t="s">
        <v>49</v>
      </c>
      <c r="D2303" t="s">
        <v>1153</v>
      </c>
      <c r="E2303" t="s">
        <v>154</v>
      </c>
    </row>
    <row r="2304" spans="1:5" x14ac:dyDescent="0.25">
      <c r="A2304" s="2" t="str">
        <f>HYPERLINK("spreadsheet/2302.xlsx", "2302.xlsx")</f>
        <v>2302.xlsx</v>
      </c>
      <c r="B2304" s="2">
        <v>2302</v>
      </c>
      <c r="C2304" t="s">
        <v>50</v>
      </c>
      <c r="D2304" t="s">
        <v>1153</v>
      </c>
      <c r="E2304" t="s">
        <v>154</v>
      </c>
    </row>
    <row r="2305" spans="1:5" x14ac:dyDescent="0.25">
      <c r="A2305" s="2" t="str">
        <f>HYPERLINK("spreadsheet/2303.xlsx", "2303.xlsx")</f>
        <v>2303.xlsx</v>
      </c>
      <c r="B2305" s="2">
        <v>2303</v>
      </c>
      <c r="C2305" t="s">
        <v>51</v>
      </c>
      <c r="D2305" t="s">
        <v>1153</v>
      </c>
      <c r="E2305" t="s">
        <v>154</v>
      </c>
    </row>
    <row r="2306" spans="1:5" x14ac:dyDescent="0.25">
      <c r="A2306" s="2" t="str">
        <f>HYPERLINK("spreadsheet/2304.xlsx", "2304.xlsx")</f>
        <v>2304.xlsx</v>
      </c>
      <c r="B2306" s="2">
        <v>2304</v>
      </c>
      <c r="C2306" t="s">
        <v>52</v>
      </c>
      <c r="D2306" t="s">
        <v>1153</v>
      </c>
      <c r="E2306" t="s">
        <v>154</v>
      </c>
    </row>
    <row r="2307" spans="1:5" x14ac:dyDescent="0.25">
      <c r="A2307" s="2" t="str">
        <f>HYPERLINK("spreadsheet/2305.xlsx", "2305.xlsx")</f>
        <v>2305.xlsx</v>
      </c>
      <c r="B2307" s="2">
        <v>2305</v>
      </c>
      <c r="C2307" t="s">
        <v>53</v>
      </c>
      <c r="D2307" t="s">
        <v>1153</v>
      </c>
      <c r="E2307" t="s">
        <v>154</v>
      </c>
    </row>
    <row r="2308" spans="1:5" x14ac:dyDescent="0.25">
      <c r="A2308" s="2" t="str">
        <f>HYPERLINK("spreadsheet/2306.xlsx", "2306.xlsx")</f>
        <v>2306.xlsx</v>
      </c>
      <c r="B2308" s="2">
        <v>2306</v>
      </c>
      <c r="C2308" t="s">
        <v>54</v>
      </c>
      <c r="D2308" t="s">
        <v>1153</v>
      </c>
      <c r="E2308" t="s">
        <v>154</v>
      </c>
    </row>
    <row r="2309" spans="1:5" x14ac:dyDescent="0.25">
      <c r="A2309" s="2" t="str">
        <f>HYPERLINK("spreadsheet/2307.xlsx", "2307.xlsx")</f>
        <v>2307.xlsx</v>
      </c>
      <c r="B2309" s="2">
        <v>2307</v>
      </c>
      <c r="C2309" t="s">
        <v>55</v>
      </c>
      <c r="D2309" t="s">
        <v>1153</v>
      </c>
      <c r="E2309" t="s">
        <v>154</v>
      </c>
    </row>
    <row r="2310" spans="1:5" x14ac:dyDescent="0.25">
      <c r="A2310" s="2" t="s">
        <v>1155</v>
      </c>
      <c r="B2310" s="2">
        <v>2308</v>
      </c>
      <c r="C2310" t="s">
        <v>56</v>
      </c>
      <c r="D2310" t="s">
        <v>1153</v>
      </c>
      <c r="E2310" t="s">
        <v>154</v>
      </c>
    </row>
    <row r="2311" spans="1:5" x14ac:dyDescent="0.25">
      <c r="A2311" s="2" t="str">
        <f>HYPERLINK("spreadsheet/2309.xlsx", "2309.xlsx")</f>
        <v>2309.xlsx</v>
      </c>
      <c r="B2311" s="2">
        <v>2309</v>
      </c>
      <c r="C2311" t="s">
        <v>57</v>
      </c>
      <c r="D2311" t="s">
        <v>1153</v>
      </c>
      <c r="E2311" t="s">
        <v>154</v>
      </c>
    </row>
    <row r="2312" spans="1:5" x14ac:dyDescent="0.25">
      <c r="A2312" s="2" t="str">
        <f>HYPERLINK("spreadsheet/2310.xlsx", "2310.xlsx")</f>
        <v>2310.xlsx</v>
      </c>
      <c r="B2312" s="2">
        <v>2310</v>
      </c>
      <c r="C2312" t="s">
        <v>393</v>
      </c>
      <c r="D2312" t="s">
        <v>1153</v>
      </c>
      <c r="E2312" t="s">
        <v>154</v>
      </c>
    </row>
    <row r="2313" spans="1:5" x14ac:dyDescent="0.25">
      <c r="A2313" s="2" t="str">
        <f>HYPERLINK("spreadsheet/2311.xlsx", "2311.xlsx")</f>
        <v>2311.xlsx</v>
      </c>
      <c r="B2313" s="2">
        <v>2311</v>
      </c>
      <c r="C2313" t="s">
        <v>300</v>
      </c>
      <c r="D2313" t="s">
        <v>1153</v>
      </c>
      <c r="E2313" t="s">
        <v>154</v>
      </c>
    </row>
    <row r="2314" spans="1:5" x14ac:dyDescent="0.25">
      <c r="A2314" s="2" t="s">
        <v>1156</v>
      </c>
      <c r="B2314" s="2">
        <v>2312</v>
      </c>
      <c r="C2314" t="s">
        <v>10</v>
      </c>
      <c r="D2314" t="s">
        <v>1157</v>
      </c>
      <c r="E2314" t="s">
        <v>319</v>
      </c>
    </row>
    <row r="2315" spans="1:5" x14ac:dyDescent="0.25">
      <c r="A2315" s="2" t="str">
        <f>HYPERLINK("spreadsheet/2313.xlsx", "2313.xlsx")</f>
        <v>2313.xlsx</v>
      </c>
      <c r="B2315" s="2">
        <v>2313</v>
      </c>
      <c r="C2315" t="s">
        <v>5</v>
      </c>
      <c r="D2315" t="s">
        <v>1158</v>
      </c>
      <c r="E2315" t="s">
        <v>126</v>
      </c>
    </row>
    <row r="2316" spans="1:5" x14ac:dyDescent="0.25">
      <c r="A2316" s="2" t="str">
        <f>HYPERLINK("spreadsheet/2314.xlsx", "2314.xlsx")</f>
        <v>2314.xlsx</v>
      </c>
      <c r="B2316" s="2">
        <v>2314</v>
      </c>
      <c r="C2316" t="s">
        <v>10</v>
      </c>
      <c r="D2316" t="s">
        <v>1158</v>
      </c>
      <c r="E2316" t="s">
        <v>126</v>
      </c>
    </row>
    <row r="2317" spans="1:5" x14ac:dyDescent="0.25">
      <c r="A2317" s="2" t="str">
        <f>HYPERLINK("spreadsheet/2315.xlsx", "2315.xlsx")</f>
        <v>2315.xlsx</v>
      </c>
      <c r="B2317" s="2">
        <v>2315</v>
      </c>
      <c r="C2317" t="s">
        <v>14</v>
      </c>
      <c r="D2317" t="s">
        <v>1158</v>
      </c>
      <c r="E2317" t="s">
        <v>126</v>
      </c>
    </row>
    <row r="2318" spans="1:5" x14ac:dyDescent="0.25">
      <c r="A2318" s="2" t="str">
        <f>HYPERLINK("spreadsheet/2316.xlsx", "2316.xlsx")</f>
        <v>2316.xlsx</v>
      </c>
      <c r="B2318" s="2">
        <v>2316</v>
      </c>
      <c r="C2318" t="s">
        <v>15</v>
      </c>
      <c r="D2318" t="s">
        <v>1158</v>
      </c>
      <c r="E2318" t="s">
        <v>126</v>
      </c>
    </row>
    <row r="2319" spans="1:5" x14ac:dyDescent="0.25">
      <c r="A2319" s="2" t="str">
        <f>HYPERLINK("spreadsheet/2317.xlsx", "2317.xlsx")</f>
        <v>2317.xlsx</v>
      </c>
      <c r="B2319" s="2">
        <v>2317</v>
      </c>
      <c r="C2319" t="s">
        <v>22</v>
      </c>
      <c r="D2319" t="s">
        <v>1158</v>
      </c>
      <c r="E2319" t="s">
        <v>126</v>
      </c>
    </row>
    <row r="2320" spans="1:5" x14ac:dyDescent="0.25">
      <c r="A2320" s="2" t="str">
        <f>HYPERLINK("spreadsheet/2318.xlsx", "2318.xlsx")</f>
        <v>2318.xlsx</v>
      </c>
      <c r="B2320" s="2">
        <v>2318</v>
      </c>
      <c r="C2320" t="s">
        <v>24</v>
      </c>
      <c r="D2320" t="s">
        <v>1158</v>
      </c>
      <c r="E2320" t="s">
        <v>126</v>
      </c>
    </row>
    <row r="2321" spans="1:5" x14ac:dyDescent="0.25">
      <c r="A2321" s="2" t="str">
        <f>HYPERLINK("spreadsheet/2319.xlsx", "2319.xlsx")</f>
        <v>2319.xlsx</v>
      </c>
      <c r="B2321" s="2">
        <v>2319</v>
      </c>
      <c r="C2321" t="s">
        <v>60</v>
      </c>
      <c r="D2321" t="s">
        <v>1158</v>
      </c>
      <c r="E2321" t="s">
        <v>126</v>
      </c>
    </row>
    <row r="2322" spans="1:5" x14ac:dyDescent="0.25">
      <c r="A2322" s="2" t="str">
        <f>HYPERLINK("spreadsheet/2320.xlsx", "2320.xlsx")</f>
        <v>2320.xlsx</v>
      </c>
      <c r="B2322" s="2">
        <v>2320</v>
      </c>
      <c r="C2322" t="s">
        <v>44</v>
      </c>
      <c r="D2322" t="s">
        <v>1158</v>
      </c>
      <c r="E2322" t="s">
        <v>126</v>
      </c>
    </row>
    <row r="2323" spans="1:5" x14ac:dyDescent="0.25">
      <c r="A2323" s="2" t="str">
        <f>HYPERLINK("spreadsheet/2321.xlsx", "2321.xlsx")</f>
        <v>2321.xlsx</v>
      </c>
      <c r="B2323" s="2">
        <v>2321</v>
      </c>
      <c r="C2323" t="s">
        <v>45</v>
      </c>
      <c r="D2323" t="s">
        <v>1158</v>
      </c>
      <c r="E2323" t="s">
        <v>126</v>
      </c>
    </row>
    <row r="2324" spans="1:5" x14ac:dyDescent="0.25">
      <c r="A2324" s="2" t="str">
        <f>HYPERLINK("spreadsheet/2322.xlsx", "2322.xlsx")</f>
        <v>2322.xlsx</v>
      </c>
      <c r="B2324" s="2">
        <v>2322</v>
      </c>
      <c r="C2324" t="s">
        <v>5</v>
      </c>
      <c r="D2324" t="s">
        <v>1159</v>
      </c>
      <c r="E2324" t="s">
        <v>288</v>
      </c>
    </row>
    <row r="2325" spans="1:5" x14ac:dyDescent="0.25">
      <c r="A2325" s="2" t="str">
        <f>HYPERLINK("spreadsheet/2323.xlsx", "2323.xlsx")</f>
        <v>2323.xlsx</v>
      </c>
      <c r="B2325" s="2">
        <v>2323</v>
      </c>
      <c r="C2325" t="s">
        <v>14</v>
      </c>
      <c r="D2325" t="s">
        <v>1159</v>
      </c>
      <c r="E2325" t="s">
        <v>288</v>
      </c>
    </row>
    <row r="2326" spans="1:5" x14ac:dyDescent="0.25">
      <c r="A2326" s="2" t="str">
        <f>HYPERLINK("spreadsheet/2324.xlsx", "2324.xlsx")</f>
        <v>2324.xlsx</v>
      </c>
      <c r="B2326" s="2">
        <v>2324</v>
      </c>
      <c r="C2326" t="s">
        <v>5</v>
      </c>
      <c r="D2326" t="s">
        <v>1160</v>
      </c>
      <c r="E2326" t="s">
        <v>71</v>
      </c>
    </row>
    <row r="2327" spans="1:5" x14ac:dyDescent="0.25">
      <c r="A2327" s="2" t="s">
        <v>1161</v>
      </c>
      <c r="B2327" s="2">
        <v>2325</v>
      </c>
      <c r="C2327" t="s">
        <v>10</v>
      </c>
      <c r="D2327" t="s">
        <v>1162</v>
      </c>
      <c r="E2327" t="s">
        <v>150</v>
      </c>
    </row>
    <row r="2328" spans="1:5" x14ac:dyDescent="0.25">
      <c r="A2328" s="2" t="str">
        <f>HYPERLINK("spreadsheet/2326.xlsx", "2326.xlsx")</f>
        <v>2326.xlsx</v>
      </c>
      <c r="B2328" s="2">
        <v>2326</v>
      </c>
      <c r="C2328" t="s">
        <v>14</v>
      </c>
      <c r="D2328" t="s">
        <v>1162</v>
      </c>
      <c r="E2328" t="s">
        <v>150</v>
      </c>
    </row>
    <row r="2329" spans="1:5" x14ac:dyDescent="0.25">
      <c r="A2329" s="2" t="str">
        <f>HYPERLINK("spreadsheet/2327.xlsx", "2327.xlsx")</f>
        <v>2327.xlsx</v>
      </c>
      <c r="B2329" s="2">
        <v>2327</v>
      </c>
      <c r="C2329" t="s">
        <v>5</v>
      </c>
      <c r="D2329" t="s">
        <v>1162</v>
      </c>
      <c r="E2329" t="s">
        <v>150</v>
      </c>
    </row>
    <row r="2330" spans="1:5" x14ac:dyDescent="0.25">
      <c r="A2330" s="2" t="str">
        <f>HYPERLINK("spreadsheet/2328.xlsx", "2328.xlsx")</f>
        <v>2328.xlsx</v>
      </c>
      <c r="B2330" s="2">
        <v>2328</v>
      </c>
      <c r="C2330" t="s">
        <v>15</v>
      </c>
      <c r="D2330" t="s">
        <v>1162</v>
      </c>
      <c r="E2330" t="s">
        <v>150</v>
      </c>
    </row>
    <row r="2331" spans="1:5" x14ac:dyDescent="0.25">
      <c r="A2331" s="2" t="s">
        <v>1163</v>
      </c>
      <c r="B2331" s="2">
        <v>2329</v>
      </c>
      <c r="C2331" t="s">
        <v>1164</v>
      </c>
      <c r="D2331" t="s">
        <v>1165</v>
      </c>
      <c r="E2331" t="s">
        <v>164</v>
      </c>
    </row>
    <row r="2332" spans="1:5" x14ac:dyDescent="0.25">
      <c r="A2332" s="2" t="str">
        <f>HYPERLINK("spreadsheet/2330.xlsx", "2330.xlsx")</f>
        <v>2330.xlsx</v>
      </c>
      <c r="B2332" s="2">
        <v>2330</v>
      </c>
      <c r="C2332" t="s">
        <v>5</v>
      </c>
      <c r="D2332" t="s">
        <v>1166</v>
      </c>
      <c r="E2332" t="s">
        <v>115</v>
      </c>
    </row>
    <row r="2333" spans="1:5" x14ac:dyDescent="0.25">
      <c r="A2333" s="2" t="str">
        <f>HYPERLINK("spreadsheet/2331.xlsx", "2331.xlsx")</f>
        <v>2331.xlsx</v>
      </c>
      <c r="B2333" s="2">
        <v>2331</v>
      </c>
      <c r="C2333" t="s">
        <v>10</v>
      </c>
      <c r="D2333" t="s">
        <v>1166</v>
      </c>
      <c r="E2333" t="s">
        <v>115</v>
      </c>
    </row>
    <row r="2334" spans="1:5" x14ac:dyDescent="0.25">
      <c r="A2334" s="2" t="str">
        <f>HYPERLINK("spreadsheet/2332.xlsx", "2332.xlsx")</f>
        <v>2332.xlsx</v>
      </c>
      <c r="B2334" s="2">
        <v>2332</v>
      </c>
      <c r="C2334" t="s">
        <v>14</v>
      </c>
      <c r="D2334" t="s">
        <v>1166</v>
      </c>
      <c r="E2334" t="s">
        <v>115</v>
      </c>
    </row>
    <row r="2335" spans="1:5" x14ac:dyDescent="0.25">
      <c r="A2335" s="2" t="s">
        <v>1167</v>
      </c>
      <c r="B2335" s="2">
        <v>2333</v>
      </c>
      <c r="C2335" t="s">
        <v>15</v>
      </c>
      <c r="D2335" t="s">
        <v>1166</v>
      </c>
      <c r="E2335" t="s">
        <v>115</v>
      </c>
    </row>
    <row r="2336" spans="1:5" x14ac:dyDescent="0.25">
      <c r="A2336" s="2" t="s">
        <v>1168</v>
      </c>
      <c r="B2336" s="2">
        <v>2334</v>
      </c>
      <c r="C2336" t="s">
        <v>22</v>
      </c>
      <c r="D2336" t="s">
        <v>1166</v>
      </c>
      <c r="E2336" t="s">
        <v>115</v>
      </c>
    </row>
    <row r="2337" spans="1:5" x14ac:dyDescent="0.25">
      <c r="A2337" s="2" t="str">
        <f>HYPERLINK("spreadsheet/2335.xlsx", "2335.xlsx")</f>
        <v>2335.xlsx</v>
      </c>
      <c r="B2337" s="2">
        <v>2335</v>
      </c>
      <c r="C2337" t="s">
        <v>14</v>
      </c>
      <c r="D2337" t="s">
        <v>1169</v>
      </c>
      <c r="E2337" t="s">
        <v>218</v>
      </c>
    </row>
    <row r="2338" spans="1:5" x14ac:dyDescent="0.25">
      <c r="A2338" s="2" t="str">
        <f>HYPERLINK("spreadsheet/2336.xlsx", "2336.xlsx")</f>
        <v>2336.xlsx</v>
      </c>
      <c r="B2338" s="2">
        <v>2336</v>
      </c>
      <c r="C2338" t="s">
        <v>22</v>
      </c>
      <c r="D2338" t="s">
        <v>1169</v>
      </c>
      <c r="E2338" t="s">
        <v>218</v>
      </c>
    </row>
    <row r="2339" spans="1:5" x14ac:dyDescent="0.25">
      <c r="A2339" s="2" t="str">
        <f>HYPERLINK("spreadsheet/2337.xlsx", "2337.xlsx")</f>
        <v>2337.xlsx</v>
      </c>
      <c r="B2339" s="2">
        <v>2337</v>
      </c>
      <c r="C2339" t="s">
        <v>5</v>
      </c>
      <c r="D2339" t="s">
        <v>1170</v>
      </c>
      <c r="E2339" t="s">
        <v>126</v>
      </c>
    </row>
    <row r="2340" spans="1:5" x14ac:dyDescent="0.25">
      <c r="A2340" s="2" t="str">
        <f>HYPERLINK("spreadsheet/2338.xlsx", "2338.xlsx")</f>
        <v>2338.xlsx</v>
      </c>
      <c r="B2340" s="2">
        <v>2338</v>
      </c>
      <c r="C2340" t="s">
        <v>10</v>
      </c>
      <c r="D2340" t="s">
        <v>1170</v>
      </c>
      <c r="E2340" t="s">
        <v>126</v>
      </c>
    </row>
    <row r="2341" spans="1:5" x14ac:dyDescent="0.25">
      <c r="A2341" s="2" t="str">
        <f>HYPERLINK("spreadsheet/2339.xlsx", "2339.xlsx")</f>
        <v>2339.xlsx</v>
      </c>
      <c r="B2341" s="2">
        <v>2339</v>
      </c>
      <c r="C2341" t="s">
        <v>15</v>
      </c>
      <c r="D2341" t="s">
        <v>1170</v>
      </c>
      <c r="E2341" t="s">
        <v>126</v>
      </c>
    </row>
    <row r="2342" spans="1:5" x14ac:dyDescent="0.25">
      <c r="A2342" s="2" t="str">
        <f>HYPERLINK("spreadsheet/2340.xlsx", "2340.xlsx")</f>
        <v>2340.xlsx</v>
      </c>
      <c r="B2342" s="2">
        <v>2340</v>
      </c>
      <c r="C2342" t="s">
        <v>22</v>
      </c>
      <c r="D2342" t="s">
        <v>1170</v>
      </c>
      <c r="E2342" t="s">
        <v>126</v>
      </c>
    </row>
    <row r="2343" spans="1:5" x14ac:dyDescent="0.25">
      <c r="A2343" s="2" t="str">
        <f>HYPERLINK("spreadsheet/2341.xlsx", "2341.xlsx")</f>
        <v>2341.xlsx</v>
      </c>
      <c r="B2343" s="2">
        <v>2341</v>
      </c>
      <c r="C2343" t="s">
        <v>24</v>
      </c>
      <c r="D2343" t="s">
        <v>1170</v>
      </c>
      <c r="E2343" t="s">
        <v>126</v>
      </c>
    </row>
    <row r="2344" spans="1:5" x14ac:dyDescent="0.25">
      <c r="A2344" s="2" t="str">
        <f>HYPERLINK("spreadsheet/2342.xlsx", "2342.xlsx")</f>
        <v>2342.xlsx</v>
      </c>
      <c r="B2344" s="2">
        <v>2342</v>
      </c>
      <c r="C2344" t="s">
        <v>60</v>
      </c>
      <c r="D2344" t="s">
        <v>1170</v>
      </c>
      <c r="E2344" t="s">
        <v>126</v>
      </c>
    </row>
    <row r="2345" spans="1:5" x14ac:dyDescent="0.25">
      <c r="A2345" s="2" t="s">
        <v>1171</v>
      </c>
      <c r="B2345" s="2">
        <v>2343</v>
      </c>
      <c r="C2345" t="s">
        <v>44</v>
      </c>
      <c r="D2345" t="s">
        <v>1170</v>
      </c>
      <c r="E2345" t="s">
        <v>126</v>
      </c>
    </row>
    <row r="2346" spans="1:5" x14ac:dyDescent="0.25">
      <c r="A2346" s="2" t="str">
        <f>HYPERLINK("spreadsheet/2344.xlsx", "2344.xlsx")</f>
        <v>2344.xlsx</v>
      </c>
      <c r="B2346" s="2">
        <v>2344</v>
      </c>
      <c r="C2346" t="s">
        <v>45</v>
      </c>
      <c r="D2346" t="s">
        <v>1170</v>
      </c>
      <c r="E2346" t="s">
        <v>126</v>
      </c>
    </row>
    <row r="2347" spans="1:5" x14ac:dyDescent="0.25">
      <c r="A2347" s="2" t="str">
        <f>HYPERLINK("spreadsheet/2345.xlsx", "2345.xlsx")</f>
        <v>2345.xlsx</v>
      </c>
      <c r="B2347" s="2">
        <v>2345</v>
      </c>
      <c r="C2347" t="s">
        <v>46</v>
      </c>
      <c r="D2347" t="s">
        <v>1170</v>
      </c>
      <c r="E2347" t="s">
        <v>126</v>
      </c>
    </row>
    <row r="2348" spans="1:5" x14ac:dyDescent="0.25">
      <c r="A2348" s="2" t="s">
        <v>1172</v>
      </c>
      <c r="B2348" s="2">
        <v>2346</v>
      </c>
      <c r="C2348" t="s">
        <v>47</v>
      </c>
      <c r="D2348" t="s">
        <v>1170</v>
      </c>
      <c r="E2348" t="s">
        <v>126</v>
      </c>
    </row>
    <row r="2349" spans="1:5" x14ac:dyDescent="0.25">
      <c r="A2349" s="2" t="s">
        <v>1173</v>
      </c>
      <c r="B2349" s="2">
        <v>2347</v>
      </c>
      <c r="C2349" t="s">
        <v>5</v>
      </c>
      <c r="D2349" t="s">
        <v>1174</v>
      </c>
      <c r="E2349" t="s">
        <v>173</v>
      </c>
    </row>
    <row r="2350" spans="1:5" x14ac:dyDescent="0.25">
      <c r="A2350" s="2" t="str">
        <f>HYPERLINK("spreadsheet/2348.xlsx", "2348.xlsx")</f>
        <v>2348.xlsx</v>
      </c>
      <c r="B2350" s="2">
        <v>2348</v>
      </c>
      <c r="C2350" t="s">
        <v>10</v>
      </c>
      <c r="D2350" t="s">
        <v>1174</v>
      </c>
      <c r="E2350" t="s">
        <v>173</v>
      </c>
    </row>
    <row r="2351" spans="1:5" x14ac:dyDescent="0.25">
      <c r="A2351" s="2" t="str">
        <f>HYPERLINK("spreadsheet/2349.xlsx", "2349.xlsx")</f>
        <v>2349.xlsx</v>
      </c>
      <c r="B2351" s="2">
        <v>2349</v>
      </c>
      <c r="C2351" t="s">
        <v>14</v>
      </c>
      <c r="D2351" t="s">
        <v>1174</v>
      </c>
      <c r="E2351" t="s">
        <v>173</v>
      </c>
    </row>
    <row r="2352" spans="1:5" x14ac:dyDescent="0.25">
      <c r="A2352" s="2" t="str">
        <f>HYPERLINK("spreadsheet/2350.xlsx", "2350.xlsx")</f>
        <v>2350.xlsx</v>
      </c>
      <c r="B2352" s="2">
        <v>2350</v>
      </c>
      <c r="C2352" t="s">
        <v>15</v>
      </c>
      <c r="D2352" t="s">
        <v>1174</v>
      </c>
      <c r="E2352" t="s">
        <v>173</v>
      </c>
    </row>
    <row r="2353" spans="1:5" x14ac:dyDescent="0.25">
      <c r="A2353" s="2" t="str">
        <f>HYPERLINK("spreadsheet/2351.xlsx", "2351.xlsx")</f>
        <v>2351.xlsx</v>
      </c>
      <c r="B2353" s="2">
        <v>2351</v>
      </c>
      <c r="C2353" t="s">
        <v>5</v>
      </c>
      <c r="D2353" t="s">
        <v>1175</v>
      </c>
      <c r="E2353" t="s">
        <v>150</v>
      </c>
    </row>
    <row r="2354" spans="1:5" x14ac:dyDescent="0.25">
      <c r="A2354" s="2" t="str">
        <f>HYPERLINK("spreadsheet/2352.xlsx", "2352.xlsx")</f>
        <v>2352.xlsx</v>
      </c>
      <c r="B2354" s="2">
        <v>2352</v>
      </c>
      <c r="C2354" t="s">
        <v>10</v>
      </c>
      <c r="D2354" t="s">
        <v>1175</v>
      </c>
      <c r="E2354" t="s">
        <v>150</v>
      </c>
    </row>
    <row r="2355" spans="1:5" x14ac:dyDescent="0.25">
      <c r="A2355" s="2" t="str">
        <f>HYPERLINK("spreadsheet/2353.xlsx", "2353.xlsx")</f>
        <v>2353.xlsx</v>
      </c>
      <c r="B2355" s="2">
        <v>2353</v>
      </c>
      <c r="C2355" t="s">
        <v>14</v>
      </c>
      <c r="D2355" t="s">
        <v>1175</v>
      </c>
      <c r="E2355" t="s">
        <v>150</v>
      </c>
    </row>
    <row r="2356" spans="1:5" x14ac:dyDescent="0.25">
      <c r="A2356" s="2" t="str">
        <f>HYPERLINK("spreadsheet/2354.xlsx", "2354.xlsx")</f>
        <v>2354.xlsx</v>
      </c>
      <c r="B2356" s="2">
        <v>2354</v>
      </c>
      <c r="C2356" t="s">
        <v>5</v>
      </c>
      <c r="D2356" t="s">
        <v>1176</v>
      </c>
      <c r="E2356" t="s">
        <v>134</v>
      </c>
    </row>
    <row r="2357" spans="1:5" x14ac:dyDescent="0.25">
      <c r="A2357" s="2" t="str">
        <f>HYPERLINK("spreadsheet/2355.xlsx", "2355.xlsx")</f>
        <v>2355.xlsx</v>
      </c>
      <c r="B2357" s="2">
        <v>2355</v>
      </c>
      <c r="C2357" t="s">
        <v>10</v>
      </c>
      <c r="D2357" t="s">
        <v>1176</v>
      </c>
      <c r="E2357" t="s">
        <v>134</v>
      </c>
    </row>
    <row r="2358" spans="1:5" x14ac:dyDescent="0.25">
      <c r="A2358" s="2" t="s">
        <v>1177</v>
      </c>
      <c r="B2358" s="2">
        <v>2356</v>
      </c>
      <c r="C2358" t="s">
        <v>925</v>
      </c>
      <c r="D2358" t="s">
        <v>1176</v>
      </c>
      <c r="E2358" t="s">
        <v>134</v>
      </c>
    </row>
    <row r="2359" spans="1:5" x14ac:dyDescent="0.25">
      <c r="A2359" s="2" t="s">
        <v>1178</v>
      </c>
      <c r="B2359" s="2">
        <v>2357</v>
      </c>
      <c r="C2359" t="s">
        <v>925</v>
      </c>
      <c r="D2359" t="s">
        <v>1176</v>
      </c>
      <c r="E2359" t="s">
        <v>134</v>
      </c>
    </row>
    <row r="2360" spans="1:5" x14ac:dyDescent="0.25">
      <c r="A2360" s="2" t="str">
        <f>HYPERLINK("spreadsheet/2358.xlsx", "2358.xlsx")</f>
        <v>2358.xlsx</v>
      </c>
      <c r="B2360" s="2">
        <v>2358</v>
      </c>
      <c r="C2360" t="s">
        <v>15</v>
      </c>
      <c r="D2360" t="s">
        <v>1176</v>
      </c>
      <c r="E2360" t="s">
        <v>134</v>
      </c>
    </row>
    <row r="2361" spans="1:5" x14ac:dyDescent="0.25">
      <c r="A2361" s="2" t="str">
        <f>HYPERLINK("spreadsheet/2359.xlsx", "2359.xlsx")</f>
        <v>2359.xlsx</v>
      </c>
      <c r="B2361" s="2">
        <v>2359</v>
      </c>
      <c r="C2361" t="s">
        <v>22</v>
      </c>
      <c r="D2361" t="s">
        <v>1176</v>
      </c>
      <c r="E2361" t="s">
        <v>134</v>
      </c>
    </row>
    <row r="2362" spans="1:5" x14ac:dyDescent="0.25">
      <c r="A2362" s="2" t="s">
        <v>1179</v>
      </c>
      <c r="B2362" s="2">
        <v>2360</v>
      </c>
      <c r="C2362" t="s">
        <v>925</v>
      </c>
      <c r="D2362" t="s">
        <v>1176</v>
      </c>
      <c r="E2362" t="s">
        <v>134</v>
      </c>
    </row>
    <row r="2363" spans="1:5" x14ac:dyDescent="0.25">
      <c r="A2363" s="2" t="str">
        <f>HYPERLINK("spreadsheet/2361.xlsx", "2361.xlsx")</f>
        <v>2361.xlsx</v>
      </c>
      <c r="B2363" s="2">
        <v>2361</v>
      </c>
      <c r="C2363" t="s">
        <v>60</v>
      </c>
      <c r="D2363" t="s">
        <v>1176</v>
      </c>
      <c r="E2363" t="s">
        <v>134</v>
      </c>
    </row>
    <row r="2364" spans="1:5" x14ac:dyDescent="0.25">
      <c r="A2364" s="2" t="str">
        <f>HYPERLINK("spreadsheet/2362.xlsx", "2362.xlsx")</f>
        <v>2362.xlsx</v>
      </c>
      <c r="B2364" s="2">
        <v>2362</v>
      </c>
      <c r="C2364" t="s">
        <v>44</v>
      </c>
      <c r="D2364" t="s">
        <v>1176</v>
      </c>
      <c r="E2364" t="s">
        <v>134</v>
      </c>
    </row>
    <row r="2365" spans="1:5" x14ac:dyDescent="0.25">
      <c r="A2365" s="2" t="s">
        <v>1180</v>
      </c>
      <c r="B2365" s="2">
        <v>2363</v>
      </c>
      <c r="C2365" t="s">
        <v>45</v>
      </c>
      <c r="D2365" t="s">
        <v>1176</v>
      </c>
      <c r="E2365" t="s">
        <v>134</v>
      </c>
    </row>
    <row r="2366" spans="1:5" x14ac:dyDescent="0.25">
      <c r="A2366" s="2" t="s">
        <v>1181</v>
      </c>
      <c r="B2366" s="2">
        <v>2364</v>
      </c>
      <c r="C2366" t="s">
        <v>5</v>
      </c>
      <c r="D2366" t="s">
        <v>1182</v>
      </c>
      <c r="E2366" t="s">
        <v>115</v>
      </c>
    </row>
    <row r="2367" spans="1:5" x14ac:dyDescent="0.25">
      <c r="A2367" s="2" t="s">
        <v>1183</v>
      </c>
      <c r="B2367" s="2">
        <v>2365</v>
      </c>
      <c r="C2367" t="s">
        <v>10</v>
      </c>
      <c r="D2367" t="s">
        <v>1182</v>
      </c>
      <c r="E2367" t="s">
        <v>115</v>
      </c>
    </row>
    <row r="2368" spans="1:5" x14ac:dyDescent="0.25">
      <c r="A2368" s="2" t="str">
        <f>HYPERLINK("spreadsheet/2366.xlsx", "2366.xlsx")</f>
        <v>2366.xlsx</v>
      </c>
      <c r="B2368" s="2">
        <v>2366</v>
      </c>
      <c r="C2368" t="s">
        <v>14</v>
      </c>
      <c r="D2368" t="s">
        <v>1182</v>
      </c>
      <c r="E2368" t="s">
        <v>115</v>
      </c>
    </row>
    <row r="2369" spans="1:5" x14ac:dyDescent="0.25">
      <c r="A2369" s="2" t="s">
        <v>1184</v>
      </c>
      <c r="B2369" s="2">
        <v>2367</v>
      </c>
      <c r="C2369" t="s">
        <v>15</v>
      </c>
      <c r="D2369" t="s">
        <v>1182</v>
      </c>
      <c r="E2369" t="s">
        <v>115</v>
      </c>
    </row>
    <row r="2370" spans="1:5" x14ac:dyDescent="0.25">
      <c r="A2370" s="2" t="str">
        <f>HYPERLINK("spreadsheet/2368.xlsx", "2368.xlsx")</f>
        <v>2368.xlsx</v>
      </c>
      <c r="B2370" s="2">
        <v>2368</v>
      </c>
      <c r="C2370" t="s">
        <v>5</v>
      </c>
      <c r="D2370" t="s">
        <v>1185</v>
      </c>
      <c r="E2370" t="s">
        <v>164</v>
      </c>
    </row>
    <row r="2371" spans="1:5" x14ac:dyDescent="0.25">
      <c r="A2371" s="2" t="s">
        <v>1186</v>
      </c>
      <c r="B2371" s="2">
        <v>2369</v>
      </c>
      <c r="C2371" t="s">
        <v>10</v>
      </c>
      <c r="D2371" t="s">
        <v>1185</v>
      </c>
      <c r="E2371" t="s">
        <v>164</v>
      </c>
    </row>
    <row r="2372" spans="1:5" x14ac:dyDescent="0.25">
      <c r="A2372" s="2" t="s">
        <v>1187</v>
      </c>
      <c r="B2372" s="2">
        <v>2370</v>
      </c>
      <c r="C2372" t="s">
        <v>14</v>
      </c>
      <c r="D2372" t="s">
        <v>1185</v>
      </c>
      <c r="E2372" t="s">
        <v>164</v>
      </c>
    </row>
    <row r="2373" spans="1:5" x14ac:dyDescent="0.25">
      <c r="A2373" s="2" t="s">
        <v>1188</v>
      </c>
      <c r="B2373" s="2">
        <v>2371</v>
      </c>
      <c r="C2373" t="s">
        <v>15</v>
      </c>
      <c r="D2373" t="s">
        <v>1185</v>
      </c>
      <c r="E2373" t="s">
        <v>164</v>
      </c>
    </row>
    <row r="2374" spans="1:5" x14ac:dyDescent="0.25">
      <c r="A2374" s="2" t="s">
        <v>1189</v>
      </c>
      <c r="B2374" s="2">
        <v>2372</v>
      </c>
      <c r="C2374" t="s">
        <v>22</v>
      </c>
      <c r="D2374" t="s">
        <v>1185</v>
      </c>
      <c r="E2374" t="s">
        <v>164</v>
      </c>
    </row>
    <row r="2375" spans="1:5" x14ac:dyDescent="0.25">
      <c r="A2375" s="2" t="s">
        <v>1190</v>
      </c>
      <c r="B2375" s="2">
        <v>2373</v>
      </c>
      <c r="C2375" t="s">
        <v>5</v>
      </c>
      <c r="D2375" t="s">
        <v>1191</v>
      </c>
      <c r="E2375" t="s">
        <v>134</v>
      </c>
    </row>
    <row r="2376" spans="1:5" x14ac:dyDescent="0.25">
      <c r="A2376" s="2" t="str">
        <f>HYPERLINK("spreadsheet/2374.xlsx", "2374.xlsx")</f>
        <v>2374.xlsx</v>
      </c>
      <c r="B2376" s="2">
        <v>2374</v>
      </c>
      <c r="C2376" t="s">
        <v>5</v>
      </c>
      <c r="D2376" t="s">
        <v>1192</v>
      </c>
      <c r="E2376" t="s">
        <v>154</v>
      </c>
    </row>
    <row r="2377" spans="1:5" x14ac:dyDescent="0.25">
      <c r="A2377" s="2" t="str">
        <f>HYPERLINK("spreadsheet/2375.xlsx", "2375.xlsx")</f>
        <v>2375.xlsx</v>
      </c>
      <c r="B2377" s="2">
        <v>2375</v>
      </c>
      <c r="C2377" t="s">
        <v>10</v>
      </c>
      <c r="D2377" t="s">
        <v>1192</v>
      </c>
      <c r="E2377" t="s">
        <v>154</v>
      </c>
    </row>
    <row r="2378" spans="1:5" x14ac:dyDescent="0.25">
      <c r="A2378" s="2" t="str">
        <f>HYPERLINK("spreadsheet/2376.xlsx", "2376.xlsx")</f>
        <v>2376.xlsx</v>
      </c>
      <c r="B2378" s="2">
        <v>2376</v>
      </c>
      <c r="C2378" t="s">
        <v>14</v>
      </c>
      <c r="D2378" t="s">
        <v>1192</v>
      </c>
      <c r="E2378" t="s">
        <v>154</v>
      </c>
    </row>
    <row r="2379" spans="1:5" x14ac:dyDescent="0.25">
      <c r="A2379" s="2" t="str">
        <f>HYPERLINK("spreadsheet/2377.xlsx", "2377.xlsx")</f>
        <v>2377.xlsx</v>
      </c>
      <c r="B2379" s="2">
        <v>2377</v>
      </c>
      <c r="C2379" t="s">
        <v>15</v>
      </c>
      <c r="D2379" t="s">
        <v>1192</v>
      </c>
      <c r="E2379" t="s">
        <v>154</v>
      </c>
    </row>
    <row r="2380" spans="1:5" x14ac:dyDescent="0.25">
      <c r="A2380" s="2" t="s">
        <v>1193</v>
      </c>
      <c r="B2380" s="2">
        <v>2378</v>
      </c>
      <c r="C2380" t="s">
        <v>5</v>
      </c>
      <c r="D2380" t="s">
        <v>1194</v>
      </c>
      <c r="E2380" t="s">
        <v>173</v>
      </c>
    </row>
    <row r="2381" spans="1:5" x14ac:dyDescent="0.25">
      <c r="A2381" s="2" t="s">
        <v>1195</v>
      </c>
      <c r="B2381" s="2">
        <v>2379</v>
      </c>
      <c r="C2381" t="s">
        <v>10</v>
      </c>
      <c r="D2381" t="s">
        <v>1194</v>
      </c>
      <c r="E2381" t="s">
        <v>173</v>
      </c>
    </row>
    <row r="2382" spans="1:5" x14ac:dyDescent="0.25">
      <c r="A2382" s="2" t="str">
        <f>HYPERLINK("spreadsheet/2380.xlsx", "2380.xlsx")</f>
        <v>2380.xlsx</v>
      </c>
      <c r="B2382" s="2">
        <v>2380</v>
      </c>
      <c r="C2382" t="s">
        <v>14</v>
      </c>
      <c r="D2382" t="s">
        <v>1194</v>
      </c>
      <c r="E2382" t="s">
        <v>173</v>
      </c>
    </row>
    <row r="2383" spans="1:5" x14ac:dyDescent="0.25">
      <c r="A2383" s="2" t="str">
        <f>HYPERLINK("spreadsheet/2381.xlsx", "2381.xlsx")</f>
        <v>2381.xlsx</v>
      </c>
      <c r="B2383" s="2">
        <v>2381</v>
      </c>
      <c r="C2383" t="s">
        <v>5</v>
      </c>
      <c r="D2383" t="s">
        <v>1196</v>
      </c>
      <c r="E2383" t="s">
        <v>115</v>
      </c>
    </row>
    <row r="2384" spans="1:5" x14ac:dyDescent="0.25">
      <c r="A2384" s="2" t="str">
        <f>HYPERLINK("spreadsheet/2382.xlsx", "2382.xlsx")</f>
        <v>2382.xlsx</v>
      </c>
      <c r="B2384" s="2">
        <v>2382</v>
      </c>
      <c r="C2384" t="s">
        <v>10</v>
      </c>
      <c r="D2384" t="s">
        <v>1196</v>
      </c>
      <c r="E2384" t="s">
        <v>115</v>
      </c>
    </row>
    <row r="2385" spans="1:5" x14ac:dyDescent="0.25">
      <c r="A2385" s="2" t="str">
        <f>HYPERLINK("spreadsheet/2383.xlsx", "2383.xlsx")</f>
        <v>2383.xlsx</v>
      </c>
      <c r="B2385" s="2">
        <v>2383</v>
      </c>
      <c r="C2385" t="s">
        <v>14</v>
      </c>
      <c r="D2385" t="s">
        <v>1196</v>
      </c>
      <c r="E2385" t="s">
        <v>115</v>
      </c>
    </row>
    <row r="2386" spans="1:5" x14ac:dyDescent="0.25">
      <c r="A2386" s="2" t="str">
        <f>HYPERLINK("spreadsheet/2384.xlsx", "2384.xlsx")</f>
        <v>2384.xlsx</v>
      </c>
      <c r="B2386" s="2">
        <v>2384</v>
      </c>
      <c r="C2386" t="s">
        <v>15</v>
      </c>
      <c r="D2386" t="s">
        <v>1196</v>
      </c>
      <c r="E2386" t="s">
        <v>115</v>
      </c>
    </row>
    <row r="2387" spans="1:5" x14ac:dyDescent="0.25">
      <c r="A2387" s="2" t="s">
        <v>1197</v>
      </c>
      <c r="B2387" s="2">
        <v>2385</v>
      </c>
      <c r="C2387" t="s">
        <v>22</v>
      </c>
      <c r="D2387" t="s">
        <v>1196</v>
      </c>
      <c r="E2387" t="s">
        <v>115</v>
      </c>
    </row>
    <row r="2388" spans="1:5" x14ac:dyDescent="0.25">
      <c r="A2388" s="2" t="str">
        <f>HYPERLINK("spreadsheet/2386.xlsx", "2386.xlsx")</f>
        <v>2386.xlsx</v>
      </c>
      <c r="B2388" s="2">
        <v>2386</v>
      </c>
      <c r="C2388" t="s">
        <v>5</v>
      </c>
      <c r="D2388" t="s">
        <v>1198</v>
      </c>
      <c r="E2388" t="s">
        <v>115</v>
      </c>
    </row>
    <row r="2389" spans="1:5" x14ac:dyDescent="0.25">
      <c r="A2389" s="2" t="str">
        <f>HYPERLINK("spreadsheet/2387.xlsx", "2387.xlsx")</f>
        <v>2387.xlsx</v>
      </c>
      <c r="B2389" s="2">
        <v>2387</v>
      </c>
      <c r="C2389" t="s">
        <v>10</v>
      </c>
      <c r="D2389" t="s">
        <v>1198</v>
      </c>
      <c r="E2389" t="s">
        <v>115</v>
      </c>
    </row>
    <row r="2390" spans="1:5" x14ac:dyDescent="0.25">
      <c r="A2390" s="2" t="str">
        <f>HYPERLINK("spreadsheet/2388.xlsx", "2388.xlsx")</f>
        <v>2388.xlsx</v>
      </c>
      <c r="B2390" s="2">
        <v>2388</v>
      </c>
      <c r="C2390" t="s">
        <v>14</v>
      </c>
      <c r="D2390" t="s">
        <v>1198</v>
      </c>
      <c r="E2390" t="s">
        <v>115</v>
      </c>
    </row>
    <row r="2391" spans="1:5" x14ac:dyDescent="0.25">
      <c r="A2391" s="2" t="str">
        <f>HYPERLINK("spreadsheet/2389.xlsx", "2389.xlsx")</f>
        <v>2389.xlsx</v>
      </c>
      <c r="B2391" s="2">
        <v>2389</v>
      </c>
      <c r="C2391" t="s">
        <v>5</v>
      </c>
      <c r="D2391" t="s">
        <v>1199</v>
      </c>
      <c r="E2391" t="s">
        <v>319</v>
      </c>
    </row>
    <row r="2392" spans="1:5" x14ac:dyDescent="0.25">
      <c r="A2392" s="2" t="str">
        <f>HYPERLINK("spreadsheet/2390.xlsx", "2390.xlsx")</f>
        <v>2390.xlsx</v>
      </c>
      <c r="B2392" s="2">
        <v>2390</v>
      </c>
      <c r="C2392" t="s">
        <v>10</v>
      </c>
      <c r="D2392" t="s">
        <v>1199</v>
      </c>
      <c r="E2392" t="s">
        <v>319</v>
      </c>
    </row>
    <row r="2393" spans="1:5" x14ac:dyDescent="0.25">
      <c r="A2393" s="2" t="str">
        <f>HYPERLINK("spreadsheet/2391.xlsx", "2391.xlsx")</f>
        <v>2391.xlsx</v>
      </c>
      <c r="B2393" s="2">
        <v>2391</v>
      </c>
      <c r="C2393" t="s">
        <v>14</v>
      </c>
      <c r="D2393" t="s">
        <v>1199</v>
      </c>
      <c r="E2393" t="s">
        <v>319</v>
      </c>
    </row>
    <row r="2394" spans="1:5" x14ac:dyDescent="0.25">
      <c r="A2394" s="2" t="str">
        <f>HYPERLINK("spreadsheet/2392.xlsx", "2392.xlsx")</f>
        <v>2392.xlsx</v>
      </c>
      <c r="B2394" s="2">
        <v>2392</v>
      </c>
      <c r="C2394" t="s">
        <v>5</v>
      </c>
      <c r="D2394" t="s">
        <v>1200</v>
      </c>
      <c r="E2394" t="s">
        <v>164</v>
      </c>
    </row>
    <row r="2395" spans="1:5" x14ac:dyDescent="0.25">
      <c r="A2395" s="2" t="s">
        <v>1201</v>
      </c>
      <c r="B2395" s="2">
        <v>2393</v>
      </c>
      <c r="C2395" t="s">
        <v>22</v>
      </c>
      <c r="D2395" t="s">
        <v>1200</v>
      </c>
      <c r="E2395" t="s">
        <v>164</v>
      </c>
    </row>
    <row r="2396" spans="1:5" x14ac:dyDescent="0.25">
      <c r="A2396" s="2" t="s">
        <v>1202</v>
      </c>
      <c r="B2396" s="2">
        <v>2394</v>
      </c>
      <c r="C2396" t="s">
        <v>517</v>
      </c>
      <c r="D2396" t="s">
        <v>1203</v>
      </c>
      <c r="E2396" t="s">
        <v>150</v>
      </c>
    </row>
    <row r="2397" spans="1:5" x14ac:dyDescent="0.25">
      <c r="A2397" s="2" t="str">
        <f>HYPERLINK("spreadsheet/2395.xlsx", "2395.xlsx")</f>
        <v>2395.xlsx</v>
      </c>
      <c r="B2397" s="2">
        <v>2395</v>
      </c>
      <c r="C2397" t="s">
        <v>523</v>
      </c>
      <c r="D2397" t="s">
        <v>1203</v>
      </c>
      <c r="E2397" t="s">
        <v>150</v>
      </c>
    </row>
    <row r="2398" spans="1:5" x14ac:dyDescent="0.25">
      <c r="A2398" s="2" t="str">
        <f>HYPERLINK("spreadsheet/2396.xlsx", "2396.xlsx")</f>
        <v>2396.xlsx</v>
      </c>
      <c r="B2398" s="2">
        <v>2396</v>
      </c>
      <c r="C2398" t="s">
        <v>524</v>
      </c>
      <c r="D2398" t="s">
        <v>1203</v>
      </c>
      <c r="E2398" t="s">
        <v>150</v>
      </c>
    </row>
    <row r="2399" spans="1:5" x14ac:dyDescent="0.25">
      <c r="A2399" s="2" t="str">
        <f>HYPERLINK("spreadsheet/2397.xlsx", "2397.xlsx")</f>
        <v>2397.xlsx</v>
      </c>
      <c r="B2399" s="2">
        <v>2397</v>
      </c>
      <c r="C2399" t="s">
        <v>1110</v>
      </c>
      <c r="D2399" t="s">
        <v>1203</v>
      </c>
      <c r="E2399" t="s">
        <v>150</v>
      </c>
    </row>
    <row r="2400" spans="1:5" x14ac:dyDescent="0.25">
      <c r="A2400" s="2" t="str">
        <f>HYPERLINK("spreadsheet/2398.xlsx", "2398.xlsx")</f>
        <v>2398.xlsx</v>
      </c>
      <c r="B2400" s="2">
        <v>2398</v>
      </c>
      <c r="C2400" t="s">
        <v>5</v>
      </c>
      <c r="D2400" t="s">
        <v>1204</v>
      </c>
      <c r="E2400" t="s">
        <v>690</v>
      </c>
    </row>
    <row r="2401" spans="1:5" x14ac:dyDescent="0.25">
      <c r="A2401" s="2" t="s">
        <v>1205</v>
      </c>
      <c r="B2401" s="2">
        <v>2399</v>
      </c>
      <c r="C2401" t="s">
        <v>10</v>
      </c>
      <c r="D2401" t="s">
        <v>1204</v>
      </c>
      <c r="E2401" t="s">
        <v>690</v>
      </c>
    </row>
    <row r="2402" spans="1:5" x14ac:dyDescent="0.25">
      <c r="A2402" s="2" t="str">
        <f>HYPERLINK("spreadsheet/2400.xlsx", "2400.xlsx")</f>
        <v>2400.xlsx</v>
      </c>
      <c r="B2402" s="2">
        <v>2400</v>
      </c>
      <c r="C2402" t="s">
        <v>5</v>
      </c>
      <c r="D2402" t="s">
        <v>1206</v>
      </c>
      <c r="E2402" t="s">
        <v>134</v>
      </c>
    </row>
    <row r="2403" spans="1:5" x14ac:dyDescent="0.25">
      <c r="A2403" s="2" t="str">
        <f>HYPERLINK("spreadsheet/2401.xlsx", "2401.xlsx")</f>
        <v>2401.xlsx</v>
      </c>
      <c r="B2403" s="2">
        <v>2401</v>
      </c>
      <c r="C2403" t="s">
        <v>14</v>
      </c>
      <c r="D2403" t="s">
        <v>1206</v>
      </c>
      <c r="E2403" t="s">
        <v>134</v>
      </c>
    </row>
    <row r="2404" spans="1:5" x14ac:dyDescent="0.25">
      <c r="A2404" s="2" t="str">
        <f>HYPERLINK("spreadsheet/2402.xlsx", "2402.xlsx")</f>
        <v>2402.xlsx</v>
      </c>
      <c r="B2404" s="2">
        <v>2402</v>
      </c>
      <c r="C2404" t="s">
        <v>15</v>
      </c>
      <c r="D2404" t="s">
        <v>1206</v>
      </c>
      <c r="E2404" t="s">
        <v>134</v>
      </c>
    </row>
    <row r="2405" spans="1:5" x14ac:dyDescent="0.25">
      <c r="A2405" s="2" t="str">
        <f>HYPERLINK("spreadsheet/2403.xlsx", "2403.xlsx")</f>
        <v>2403.xlsx</v>
      </c>
      <c r="B2405" s="2">
        <v>2403</v>
      </c>
      <c r="C2405" t="s">
        <v>22</v>
      </c>
      <c r="D2405" t="s">
        <v>1206</v>
      </c>
      <c r="E2405" t="s">
        <v>134</v>
      </c>
    </row>
    <row r="2406" spans="1:5" x14ac:dyDescent="0.25">
      <c r="A2406" s="2" t="str">
        <f>HYPERLINK("spreadsheet/2404.xlsx", "2404.xlsx")</f>
        <v>2404.xlsx</v>
      </c>
      <c r="B2406" s="2">
        <v>2404</v>
      </c>
      <c r="C2406" t="s">
        <v>24</v>
      </c>
      <c r="D2406" t="s">
        <v>1206</v>
      </c>
      <c r="E2406" t="s">
        <v>134</v>
      </c>
    </row>
    <row r="2407" spans="1:5" x14ac:dyDescent="0.25">
      <c r="A2407" s="2" t="str">
        <f>HYPERLINK("spreadsheet/2405.xlsx", "2405.xlsx")</f>
        <v>2405.xlsx</v>
      </c>
      <c r="B2407" s="2">
        <v>2405</v>
      </c>
      <c r="C2407" t="s">
        <v>5</v>
      </c>
      <c r="D2407" t="s">
        <v>1207</v>
      </c>
      <c r="E2407" t="s">
        <v>115</v>
      </c>
    </row>
    <row r="2408" spans="1:5" x14ac:dyDescent="0.25">
      <c r="A2408" s="2" t="str">
        <f>HYPERLINK("spreadsheet/2406.xlsx", "2406.xlsx")</f>
        <v>2406.xlsx</v>
      </c>
      <c r="B2408" s="2">
        <v>2406</v>
      </c>
      <c r="C2408" t="s">
        <v>10</v>
      </c>
      <c r="D2408" t="s">
        <v>1207</v>
      </c>
      <c r="E2408" t="s">
        <v>115</v>
      </c>
    </row>
    <row r="2409" spans="1:5" x14ac:dyDescent="0.25">
      <c r="A2409" s="2" t="str">
        <f>HYPERLINK("spreadsheet/2407.xlsx", "2407.xlsx")</f>
        <v>2407.xlsx</v>
      </c>
      <c r="B2409" s="2">
        <v>2407</v>
      </c>
      <c r="C2409" t="s">
        <v>14</v>
      </c>
      <c r="D2409" t="s">
        <v>1207</v>
      </c>
      <c r="E2409" t="s">
        <v>115</v>
      </c>
    </row>
    <row r="2410" spans="1:5" x14ac:dyDescent="0.25">
      <c r="A2410" s="2" t="s">
        <v>1208</v>
      </c>
      <c r="B2410" s="2">
        <v>2408</v>
      </c>
      <c r="C2410" t="s">
        <v>5</v>
      </c>
      <c r="D2410" t="s">
        <v>1209</v>
      </c>
      <c r="E2410" t="s">
        <v>115</v>
      </c>
    </row>
    <row r="2411" spans="1:5" x14ac:dyDescent="0.25">
      <c r="A2411" s="2" t="str">
        <f>HYPERLINK("spreadsheet/2409.xlsx", "2409.xlsx")</f>
        <v>2409.xlsx</v>
      </c>
      <c r="B2411" s="2">
        <v>2409</v>
      </c>
      <c r="C2411" t="s">
        <v>10</v>
      </c>
      <c r="D2411" t="s">
        <v>1209</v>
      </c>
      <c r="E2411" t="s">
        <v>115</v>
      </c>
    </row>
    <row r="2412" spans="1:5" x14ac:dyDescent="0.25">
      <c r="A2412" s="2" t="str">
        <f>HYPERLINK("spreadsheet/2410.xlsx", "2410.xlsx")</f>
        <v>2410.xlsx</v>
      </c>
      <c r="B2412" s="2">
        <v>2410</v>
      </c>
      <c r="C2412" t="s">
        <v>14</v>
      </c>
      <c r="D2412" t="s">
        <v>1209</v>
      </c>
      <c r="E2412" t="s">
        <v>115</v>
      </c>
    </row>
    <row r="2413" spans="1:5" x14ac:dyDescent="0.25">
      <c r="A2413" s="2" t="str">
        <f>HYPERLINK("spreadsheet/2411.xlsx", "2411.xlsx")</f>
        <v>2411.xlsx</v>
      </c>
      <c r="B2413" s="2">
        <v>2411</v>
      </c>
      <c r="C2413" t="s">
        <v>15</v>
      </c>
      <c r="D2413" t="s">
        <v>1209</v>
      </c>
      <c r="E2413" t="s">
        <v>115</v>
      </c>
    </row>
    <row r="2414" spans="1:5" x14ac:dyDescent="0.25">
      <c r="A2414" s="2" t="str">
        <f>HYPERLINK("spreadsheet/2412.xlsx", "2412.xlsx")</f>
        <v>2412.xlsx</v>
      </c>
      <c r="B2414" s="2">
        <v>2412</v>
      </c>
      <c r="C2414" t="s">
        <v>5</v>
      </c>
      <c r="D2414" t="s">
        <v>1210</v>
      </c>
      <c r="E2414" t="s">
        <v>154</v>
      </c>
    </row>
    <row r="2415" spans="1:5" x14ac:dyDescent="0.25">
      <c r="A2415" s="2" t="str">
        <f>HYPERLINK("spreadsheet/2413.xlsx", "2413.xlsx")</f>
        <v>2413.xlsx</v>
      </c>
      <c r="B2415" s="2">
        <v>2413</v>
      </c>
      <c r="C2415" t="s">
        <v>10</v>
      </c>
      <c r="D2415" t="s">
        <v>1210</v>
      </c>
      <c r="E2415" t="s">
        <v>154</v>
      </c>
    </row>
    <row r="2416" spans="1:5" x14ac:dyDescent="0.25">
      <c r="A2416" s="2" t="str">
        <f>HYPERLINK("spreadsheet/2414.xlsx", "2414.xlsx")</f>
        <v>2414.xlsx</v>
      </c>
      <c r="B2416" s="2">
        <v>2414</v>
      </c>
      <c r="C2416" t="s">
        <v>14</v>
      </c>
      <c r="D2416" t="s">
        <v>1210</v>
      </c>
      <c r="E2416" t="s">
        <v>154</v>
      </c>
    </row>
    <row r="2417" spans="1:5" x14ac:dyDescent="0.25">
      <c r="A2417" s="2" t="str">
        <f>HYPERLINK("spreadsheet/2415.xlsx", "2415.xlsx")</f>
        <v>2415.xlsx</v>
      </c>
      <c r="B2417" s="2">
        <v>2415</v>
      </c>
      <c r="C2417" t="s">
        <v>15</v>
      </c>
      <c r="D2417" t="s">
        <v>1210</v>
      </c>
      <c r="E2417" t="s">
        <v>154</v>
      </c>
    </row>
    <row r="2418" spans="1:5" x14ac:dyDescent="0.25">
      <c r="A2418" s="2" t="str">
        <f>HYPERLINK("spreadsheet/2416.xlsx", "2416.xlsx")</f>
        <v>2416.xlsx</v>
      </c>
      <c r="B2418" s="2">
        <v>2416</v>
      </c>
      <c r="C2418" t="s">
        <v>10</v>
      </c>
      <c r="D2418" t="s">
        <v>1211</v>
      </c>
      <c r="E2418" t="s">
        <v>115</v>
      </c>
    </row>
    <row r="2419" spans="1:5" x14ac:dyDescent="0.25">
      <c r="A2419" s="2" t="str">
        <f>HYPERLINK("spreadsheet/2417.xlsx", "2417.xlsx")</f>
        <v>2417.xlsx</v>
      </c>
      <c r="B2419" s="2">
        <v>2417</v>
      </c>
      <c r="C2419" t="s">
        <v>14</v>
      </c>
      <c r="D2419" t="s">
        <v>1211</v>
      </c>
      <c r="E2419" t="s">
        <v>115</v>
      </c>
    </row>
    <row r="2420" spans="1:5" x14ac:dyDescent="0.25">
      <c r="A2420" s="2" t="s">
        <v>1212</v>
      </c>
      <c r="B2420" s="2">
        <v>2418</v>
      </c>
      <c r="C2420" t="s">
        <v>5</v>
      </c>
      <c r="D2420" t="s">
        <v>1213</v>
      </c>
      <c r="E2420" t="s">
        <v>150</v>
      </c>
    </row>
    <row r="2421" spans="1:5" x14ac:dyDescent="0.25">
      <c r="A2421" s="2" t="str">
        <f>HYPERLINK("spreadsheet/2419.xlsx", "2419.xlsx")</f>
        <v>2419.xlsx</v>
      </c>
      <c r="B2421" s="2">
        <v>2419</v>
      </c>
      <c r="C2421" t="s">
        <v>10</v>
      </c>
      <c r="D2421" t="s">
        <v>1213</v>
      </c>
      <c r="E2421" t="s">
        <v>150</v>
      </c>
    </row>
    <row r="2422" spans="1:5" x14ac:dyDescent="0.25">
      <c r="A2422" s="2" t="str">
        <f>HYPERLINK("spreadsheet/2420.xlsx", "2420.xlsx")</f>
        <v>2420.xlsx</v>
      </c>
      <c r="B2422" s="2">
        <v>2420</v>
      </c>
      <c r="C2422" t="s">
        <v>15</v>
      </c>
      <c r="D2422" t="s">
        <v>1213</v>
      </c>
      <c r="E2422" t="s">
        <v>150</v>
      </c>
    </row>
    <row r="2423" spans="1:5" x14ac:dyDescent="0.25">
      <c r="A2423" s="2" t="str">
        <f>HYPERLINK("spreadsheet/2421.xlsx", "2421.xlsx")</f>
        <v>2421.xlsx</v>
      </c>
      <c r="B2423" s="2">
        <v>2421</v>
      </c>
      <c r="C2423" t="s">
        <v>22</v>
      </c>
      <c r="D2423" t="s">
        <v>1213</v>
      </c>
      <c r="E2423" t="s">
        <v>150</v>
      </c>
    </row>
    <row r="2424" spans="1:5" x14ac:dyDescent="0.25">
      <c r="A2424" s="2" t="str">
        <f>HYPERLINK("spreadsheet/2422.xlsx", "2422.xlsx")</f>
        <v>2422.xlsx</v>
      </c>
      <c r="B2424" s="2">
        <v>2422</v>
      </c>
      <c r="C2424" t="s">
        <v>24</v>
      </c>
      <c r="D2424" t="s">
        <v>1213</v>
      </c>
      <c r="E2424" t="s">
        <v>150</v>
      </c>
    </row>
    <row r="2425" spans="1:5" x14ac:dyDescent="0.25">
      <c r="A2425" s="2" t="str">
        <f>HYPERLINK("spreadsheet/2423.xlsx", "2423.xlsx")</f>
        <v>2423.xlsx</v>
      </c>
      <c r="B2425" s="2">
        <v>2423</v>
      </c>
      <c r="C2425" t="s">
        <v>5</v>
      </c>
      <c r="D2425" t="s">
        <v>1214</v>
      </c>
      <c r="E2425" t="s">
        <v>126</v>
      </c>
    </row>
    <row r="2426" spans="1:5" x14ac:dyDescent="0.25">
      <c r="A2426" s="2" t="str">
        <f>HYPERLINK("spreadsheet/2424.xlsx", "2424.xlsx")</f>
        <v>2424.xlsx</v>
      </c>
      <c r="B2426" s="2">
        <v>2424</v>
      </c>
      <c r="C2426" t="s">
        <v>14</v>
      </c>
      <c r="D2426" t="s">
        <v>1214</v>
      </c>
      <c r="E2426" t="s">
        <v>126</v>
      </c>
    </row>
    <row r="2427" spans="1:5" x14ac:dyDescent="0.25">
      <c r="A2427" s="2" t="str">
        <f>HYPERLINK("spreadsheet/2425.xlsx", "2425.xlsx")</f>
        <v>2425.xlsx</v>
      </c>
      <c r="B2427" s="2">
        <v>2425</v>
      </c>
      <c r="C2427" t="s">
        <v>5</v>
      </c>
      <c r="D2427" t="s">
        <v>1215</v>
      </c>
      <c r="E2427" t="s">
        <v>134</v>
      </c>
    </row>
    <row r="2428" spans="1:5" x14ac:dyDescent="0.25">
      <c r="A2428" s="2" t="str">
        <f>HYPERLINK("spreadsheet/2426.xlsx", "2426.xlsx")</f>
        <v>2426.xlsx</v>
      </c>
      <c r="B2428" s="2">
        <v>2426</v>
      </c>
      <c r="C2428" t="s">
        <v>10</v>
      </c>
      <c r="D2428" t="s">
        <v>1215</v>
      </c>
      <c r="E2428" t="s">
        <v>134</v>
      </c>
    </row>
    <row r="2429" spans="1:5" x14ac:dyDescent="0.25">
      <c r="A2429" s="2" t="str">
        <f>HYPERLINK("spreadsheet/2427.xlsx", "2427.xlsx")</f>
        <v>2427.xlsx</v>
      </c>
      <c r="B2429" s="2">
        <v>2427</v>
      </c>
      <c r="C2429" t="s">
        <v>14</v>
      </c>
      <c r="D2429" t="s">
        <v>1215</v>
      </c>
      <c r="E2429" t="s">
        <v>134</v>
      </c>
    </row>
    <row r="2430" spans="1:5" x14ac:dyDescent="0.25">
      <c r="A2430" s="2" t="str">
        <f>HYPERLINK("spreadsheet/2428.xlsx", "2428.xlsx")</f>
        <v>2428.xlsx</v>
      </c>
      <c r="B2430" s="2">
        <v>2428</v>
      </c>
      <c r="C2430" t="s">
        <v>15</v>
      </c>
      <c r="D2430" t="s">
        <v>1215</v>
      </c>
      <c r="E2430" t="s">
        <v>134</v>
      </c>
    </row>
    <row r="2431" spans="1:5" x14ac:dyDescent="0.25">
      <c r="A2431" s="2" t="s">
        <v>1216</v>
      </c>
      <c r="B2431" s="2">
        <v>2429</v>
      </c>
      <c r="C2431" t="s">
        <v>22</v>
      </c>
      <c r="D2431" t="s">
        <v>1215</v>
      </c>
      <c r="E2431" t="s">
        <v>134</v>
      </c>
    </row>
    <row r="2432" spans="1:5" x14ac:dyDescent="0.25">
      <c r="A2432" s="2" t="s">
        <v>1217</v>
      </c>
      <c r="B2432" s="2">
        <v>2430</v>
      </c>
      <c r="C2432" t="s">
        <v>24</v>
      </c>
      <c r="D2432" t="s">
        <v>1215</v>
      </c>
      <c r="E2432" t="s">
        <v>134</v>
      </c>
    </row>
    <row r="2433" spans="1:5" x14ac:dyDescent="0.25">
      <c r="A2433" s="2" t="s">
        <v>1218</v>
      </c>
      <c r="B2433" s="2">
        <v>2431</v>
      </c>
      <c r="C2433" t="s">
        <v>60</v>
      </c>
      <c r="D2433" t="s">
        <v>1215</v>
      </c>
      <c r="E2433" t="s">
        <v>134</v>
      </c>
    </row>
    <row r="2434" spans="1:5" x14ac:dyDescent="0.25">
      <c r="A2434" s="2" t="s">
        <v>1219</v>
      </c>
      <c r="B2434" s="2">
        <v>2432</v>
      </c>
      <c r="C2434" t="s">
        <v>44</v>
      </c>
      <c r="D2434" t="s">
        <v>1215</v>
      </c>
      <c r="E2434" t="s">
        <v>134</v>
      </c>
    </row>
    <row r="2435" spans="1:5" x14ac:dyDescent="0.25">
      <c r="A2435" s="2" t="str">
        <f>HYPERLINK("spreadsheet/2433.xlsx", "2433.xlsx")</f>
        <v>2433.xlsx</v>
      </c>
      <c r="B2435" s="2">
        <v>2433</v>
      </c>
      <c r="C2435" t="s">
        <v>10</v>
      </c>
      <c r="D2435" t="s">
        <v>1220</v>
      </c>
      <c r="E2435" t="s">
        <v>115</v>
      </c>
    </row>
    <row r="2436" spans="1:5" x14ac:dyDescent="0.25">
      <c r="A2436" s="2" t="str">
        <f>HYPERLINK("spreadsheet/2434.xlsx", "2434.xlsx")</f>
        <v>2434.xlsx</v>
      </c>
      <c r="B2436" s="2">
        <v>2434</v>
      </c>
      <c r="C2436" t="s">
        <v>14</v>
      </c>
      <c r="D2436" t="s">
        <v>1220</v>
      </c>
      <c r="E2436" t="s">
        <v>115</v>
      </c>
    </row>
    <row r="2437" spans="1:5" x14ac:dyDescent="0.25">
      <c r="A2437" s="2" t="str">
        <f>HYPERLINK("spreadsheet/2435.xlsx", "2435.xlsx")</f>
        <v>2435.xlsx</v>
      </c>
      <c r="B2437" s="2">
        <v>2435</v>
      </c>
      <c r="C2437" t="s">
        <v>5</v>
      </c>
      <c r="D2437" t="s">
        <v>1221</v>
      </c>
      <c r="E2437" t="s">
        <v>218</v>
      </c>
    </row>
    <row r="2438" spans="1:5" x14ac:dyDescent="0.25">
      <c r="A2438" s="2" t="s">
        <v>1222</v>
      </c>
      <c r="B2438" s="2">
        <v>2436</v>
      </c>
      <c r="C2438" t="s">
        <v>14</v>
      </c>
      <c r="D2438" t="s">
        <v>1221</v>
      </c>
      <c r="E2438" t="s">
        <v>218</v>
      </c>
    </row>
    <row r="2439" spans="1:5" x14ac:dyDescent="0.25">
      <c r="A2439" s="2" t="s">
        <v>1223</v>
      </c>
      <c r="B2439" s="2">
        <v>2437</v>
      </c>
      <c r="C2439" t="s">
        <v>15</v>
      </c>
      <c r="D2439" t="s">
        <v>1221</v>
      </c>
      <c r="E2439" t="s">
        <v>218</v>
      </c>
    </row>
    <row r="2440" spans="1:5" x14ac:dyDescent="0.25">
      <c r="A2440" s="2" t="str">
        <f>HYPERLINK("spreadsheet/2438.xlsx", "2438.xlsx")</f>
        <v>2438.xlsx</v>
      </c>
      <c r="B2440" s="2">
        <v>2438</v>
      </c>
      <c r="C2440" t="s">
        <v>22</v>
      </c>
      <c r="D2440" t="s">
        <v>1221</v>
      </c>
      <c r="E2440" t="s">
        <v>218</v>
      </c>
    </row>
    <row r="2441" spans="1:5" x14ac:dyDescent="0.25">
      <c r="A2441" s="2" t="str">
        <f>HYPERLINK("spreadsheet/2439.xlsx", "2439.xlsx")</f>
        <v>2439.xlsx</v>
      </c>
      <c r="B2441" s="2">
        <v>2439</v>
      </c>
      <c r="C2441" t="s">
        <v>24</v>
      </c>
      <c r="D2441" t="s">
        <v>1221</v>
      </c>
      <c r="E2441" t="s">
        <v>218</v>
      </c>
    </row>
    <row r="2442" spans="1:5" x14ac:dyDescent="0.25">
      <c r="A2442" s="2" t="str">
        <f>HYPERLINK("spreadsheet/2440.xlsx", "2440.xlsx")</f>
        <v>2440.xlsx</v>
      </c>
      <c r="B2442" s="2">
        <v>2440</v>
      </c>
      <c r="C2442" t="s">
        <v>22</v>
      </c>
      <c r="D2442" t="s">
        <v>1224</v>
      </c>
      <c r="E2442" t="s">
        <v>115</v>
      </c>
    </row>
    <row r="2443" spans="1:5" x14ac:dyDescent="0.25">
      <c r="A2443" s="2" t="str">
        <f>HYPERLINK("spreadsheet/2441.xlsx", "2441.xlsx")</f>
        <v>2441.xlsx</v>
      </c>
      <c r="B2443" s="2">
        <v>2441</v>
      </c>
      <c r="C2443" t="s">
        <v>24</v>
      </c>
      <c r="D2443" t="s">
        <v>1224</v>
      </c>
      <c r="E2443" t="s">
        <v>115</v>
      </c>
    </row>
    <row r="2444" spans="1:5" x14ac:dyDescent="0.25">
      <c r="A2444" s="2" t="str">
        <f>HYPERLINK("spreadsheet/2442.xlsx", "2442.xlsx")</f>
        <v>2442.xlsx</v>
      </c>
      <c r="B2444" s="2">
        <v>2442</v>
      </c>
      <c r="C2444" t="s">
        <v>5</v>
      </c>
      <c r="D2444" t="s">
        <v>1225</v>
      </c>
      <c r="E2444" t="s">
        <v>71</v>
      </c>
    </row>
    <row r="2445" spans="1:5" x14ac:dyDescent="0.25">
      <c r="A2445" s="2" t="s">
        <v>1226</v>
      </c>
      <c r="B2445" s="2">
        <v>2443</v>
      </c>
      <c r="C2445" t="s">
        <v>10</v>
      </c>
      <c r="D2445" t="s">
        <v>1225</v>
      </c>
      <c r="E2445" t="s">
        <v>71</v>
      </c>
    </row>
    <row r="2446" spans="1:5" x14ac:dyDescent="0.25">
      <c r="A2446" s="2" t="s">
        <v>1227</v>
      </c>
      <c r="B2446" s="2">
        <v>2444</v>
      </c>
      <c r="C2446" t="s">
        <v>14</v>
      </c>
      <c r="D2446" t="s">
        <v>1225</v>
      </c>
      <c r="E2446" t="s">
        <v>71</v>
      </c>
    </row>
    <row r="2447" spans="1:5" x14ac:dyDescent="0.25">
      <c r="A2447" s="2" t="str">
        <f>HYPERLINK("spreadsheet/2445.xlsx", "2445.xlsx")</f>
        <v>2445.xlsx</v>
      </c>
      <c r="B2447" s="2">
        <v>2445</v>
      </c>
      <c r="C2447" t="s">
        <v>15</v>
      </c>
      <c r="D2447" t="s">
        <v>1225</v>
      </c>
      <c r="E2447" t="s">
        <v>71</v>
      </c>
    </row>
    <row r="2448" spans="1:5" x14ac:dyDescent="0.25">
      <c r="A2448" s="2" t="str">
        <f>HYPERLINK("spreadsheet/2446.xlsx", "2446.xlsx")</f>
        <v>2446.xlsx</v>
      </c>
      <c r="B2448" s="2">
        <v>2446</v>
      </c>
      <c r="C2448" t="s">
        <v>24</v>
      </c>
      <c r="D2448" t="s">
        <v>1225</v>
      </c>
      <c r="E2448" t="s">
        <v>71</v>
      </c>
    </row>
    <row r="2449" spans="1:5" x14ac:dyDescent="0.25">
      <c r="A2449" s="2" t="str">
        <f>HYPERLINK("spreadsheet/2447.xlsx", "2447.xlsx")</f>
        <v>2447.xlsx</v>
      </c>
      <c r="B2449" s="2">
        <v>2447</v>
      </c>
      <c r="C2449" t="s">
        <v>5</v>
      </c>
      <c r="D2449" t="s">
        <v>1228</v>
      </c>
      <c r="E2449" t="s">
        <v>154</v>
      </c>
    </row>
    <row r="2450" spans="1:5" x14ac:dyDescent="0.25">
      <c r="A2450" s="2" t="str">
        <f>HYPERLINK("spreadsheet/2448.xlsx", "2448.xlsx")</f>
        <v>2448.xlsx</v>
      </c>
      <c r="B2450" s="2">
        <v>2448</v>
      </c>
      <c r="C2450" t="s">
        <v>10</v>
      </c>
      <c r="D2450" t="s">
        <v>1228</v>
      </c>
      <c r="E2450" t="s">
        <v>154</v>
      </c>
    </row>
    <row r="2451" spans="1:5" x14ac:dyDescent="0.25">
      <c r="A2451" s="2" t="str">
        <f>HYPERLINK("spreadsheet/2449.xlsx", "2449.xlsx")</f>
        <v>2449.xlsx</v>
      </c>
      <c r="B2451" s="2">
        <v>2449</v>
      </c>
      <c r="C2451" t="s">
        <v>14</v>
      </c>
      <c r="D2451" t="s">
        <v>1228</v>
      </c>
      <c r="E2451" t="s">
        <v>154</v>
      </c>
    </row>
    <row r="2452" spans="1:5" x14ac:dyDescent="0.25">
      <c r="A2452" s="2" t="str">
        <f>HYPERLINK("spreadsheet/2450.xlsx", "2450.xlsx")</f>
        <v>2450.xlsx</v>
      </c>
      <c r="B2452" s="2">
        <v>2450</v>
      </c>
      <c r="C2452" t="s">
        <v>15</v>
      </c>
      <c r="D2452" t="s">
        <v>1228</v>
      </c>
      <c r="E2452" t="s">
        <v>154</v>
      </c>
    </row>
    <row r="2453" spans="1:5" x14ac:dyDescent="0.25">
      <c r="A2453" s="2" t="str">
        <f>HYPERLINK("spreadsheet/2451.xlsx", "2451.xlsx")</f>
        <v>2451.xlsx</v>
      </c>
      <c r="B2453" s="2">
        <v>2451</v>
      </c>
      <c r="C2453" t="s">
        <v>22</v>
      </c>
      <c r="D2453" t="s">
        <v>1228</v>
      </c>
      <c r="E2453" t="s">
        <v>154</v>
      </c>
    </row>
    <row r="2454" spans="1:5" x14ac:dyDescent="0.25">
      <c r="A2454" s="2" t="str">
        <f>HYPERLINK("spreadsheet/2452.xlsx", "2452.xlsx")</f>
        <v>2452.xlsx</v>
      </c>
      <c r="B2454" s="2">
        <v>2452</v>
      </c>
      <c r="C2454" t="s">
        <v>1229</v>
      </c>
      <c r="D2454" t="s">
        <v>1228</v>
      </c>
      <c r="E2454" t="s">
        <v>154</v>
      </c>
    </row>
    <row r="2455" spans="1:5" x14ac:dyDescent="0.25">
      <c r="A2455" s="2" t="s">
        <v>1230</v>
      </c>
      <c r="B2455" s="2">
        <v>2453</v>
      </c>
      <c r="C2455" t="s">
        <v>1231</v>
      </c>
      <c r="D2455" t="s">
        <v>1228</v>
      </c>
      <c r="E2455" t="s">
        <v>154</v>
      </c>
    </row>
    <row r="2456" spans="1:5" x14ac:dyDescent="0.25">
      <c r="A2456" s="2" t="str">
        <f>HYPERLINK("spreadsheet/2454.xlsx", "2454.xlsx")</f>
        <v>2454.xlsx</v>
      </c>
      <c r="B2456" s="2">
        <v>2454</v>
      </c>
      <c r="C2456" t="s">
        <v>1232</v>
      </c>
      <c r="D2456" t="s">
        <v>1228</v>
      </c>
      <c r="E2456" t="s">
        <v>154</v>
      </c>
    </row>
    <row r="2457" spans="1:5" x14ac:dyDescent="0.25">
      <c r="A2457" s="2" t="s">
        <v>1233</v>
      </c>
      <c r="B2457" s="2">
        <v>2455</v>
      </c>
      <c r="C2457" t="s">
        <v>1234</v>
      </c>
      <c r="D2457" t="s">
        <v>1228</v>
      </c>
      <c r="E2457" t="s">
        <v>154</v>
      </c>
    </row>
    <row r="2458" spans="1:5" x14ac:dyDescent="0.25">
      <c r="A2458" s="2" t="str">
        <f>HYPERLINK("spreadsheet/2456.xlsx", "2456.xlsx")</f>
        <v>2456.xlsx</v>
      </c>
      <c r="B2458" s="2">
        <v>2456</v>
      </c>
      <c r="C2458" t="s">
        <v>10</v>
      </c>
      <c r="D2458" t="s">
        <v>1235</v>
      </c>
      <c r="E2458" t="s">
        <v>150</v>
      </c>
    </row>
    <row r="2459" spans="1:5" x14ac:dyDescent="0.25">
      <c r="A2459" s="2" t="str">
        <f>HYPERLINK("spreadsheet/2457.xlsx", "2457.xlsx")</f>
        <v>2457.xlsx</v>
      </c>
      <c r="B2459" s="2">
        <v>2457</v>
      </c>
      <c r="C2459" t="s">
        <v>14</v>
      </c>
      <c r="D2459" t="s">
        <v>1235</v>
      </c>
      <c r="E2459" t="s">
        <v>150</v>
      </c>
    </row>
    <row r="2460" spans="1:5" x14ac:dyDescent="0.25">
      <c r="A2460" s="2" t="str">
        <f>HYPERLINK("spreadsheet/2458.xlsx", "2458.xlsx")</f>
        <v>2458.xlsx</v>
      </c>
      <c r="B2460" s="2">
        <v>2458</v>
      </c>
      <c r="C2460" t="s">
        <v>5</v>
      </c>
      <c r="D2460" t="s">
        <v>1236</v>
      </c>
      <c r="E2460" t="s">
        <v>150</v>
      </c>
    </row>
    <row r="2461" spans="1:5" x14ac:dyDescent="0.25">
      <c r="A2461" s="2" t="str">
        <f>HYPERLINK("spreadsheet/2459.xlsx", "2459.xlsx")</f>
        <v>2459.xlsx</v>
      </c>
      <c r="B2461" s="2">
        <v>2459</v>
      </c>
      <c r="C2461" t="s">
        <v>10</v>
      </c>
      <c r="D2461" t="s">
        <v>1236</v>
      </c>
      <c r="E2461" t="s">
        <v>150</v>
      </c>
    </row>
    <row r="2462" spans="1:5" x14ac:dyDescent="0.25">
      <c r="A2462" s="2" t="s">
        <v>1237</v>
      </c>
      <c r="B2462" s="2">
        <v>2460</v>
      </c>
      <c r="C2462" t="s">
        <v>14</v>
      </c>
      <c r="D2462" t="s">
        <v>1236</v>
      </c>
      <c r="E2462" t="s">
        <v>150</v>
      </c>
    </row>
    <row r="2463" spans="1:5" x14ac:dyDescent="0.25">
      <c r="A2463" s="2" t="str">
        <f>HYPERLINK("spreadsheet/2461.xlsx", "2461.xlsx")</f>
        <v>2461.xlsx</v>
      </c>
      <c r="B2463" s="2">
        <v>2461</v>
      </c>
      <c r="C2463" t="s">
        <v>15</v>
      </c>
      <c r="D2463" t="s">
        <v>1236</v>
      </c>
      <c r="E2463" t="s">
        <v>150</v>
      </c>
    </row>
    <row r="2464" spans="1:5" x14ac:dyDescent="0.25">
      <c r="A2464" s="2" t="str">
        <f>HYPERLINK("spreadsheet/2462.xlsx", "2462.xlsx")</f>
        <v>2462.xlsx</v>
      </c>
      <c r="B2464" s="2">
        <v>2462</v>
      </c>
      <c r="C2464" t="s">
        <v>22</v>
      </c>
      <c r="D2464" t="s">
        <v>1236</v>
      </c>
      <c r="E2464" t="s">
        <v>150</v>
      </c>
    </row>
    <row r="2465" spans="1:5" x14ac:dyDescent="0.25">
      <c r="A2465" s="2" t="s">
        <v>1238</v>
      </c>
      <c r="B2465" s="2">
        <v>2463</v>
      </c>
      <c r="C2465" t="s">
        <v>24</v>
      </c>
      <c r="D2465" t="s">
        <v>1236</v>
      </c>
      <c r="E2465" t="s">
        <v>150</v>
      </c>
    </row>
    <row r="2466" spans="1:5" x14ac:dyDescent="0.25">
      <c r="A2466" s="2" t="str">
        <f>HYPERLINK("spreadsheet/2464.xlsx", "2464.xlsx")</f>
        <v>2464.xlsx</v>
      </c>
      <c r="B2466" s="2">
        <v>2464</v>
      </c>
      <c r="C2466" t="s">
        <v>60</v>
      </c>
      <c r="D2466" t="s">
        <v>1236</v>
      </c>
      <c r="E2466" t="s">
        <v>150</v>
      </c>
    </row>
    <row r="2467" spans="1:5" x14ac:dyDescent="0.25">
      <c r="A2467" s="2" t="str">
        <f>HYPERLINK("spreadsheet/2465.xlsx", "2465.xlsx")</f>
        <v>2465.xlsx</v>
      </c>
      <c r="B2467" s="2">
        <v>2465</v>
      </c>
      <c r="C2467" t="s">
        <v>44</v>
      </c>
      <c r="D2467" t="s">
        <v>1236</v>
      </c>
      <c r="E2467" t="s">
        <v>150</v>
      </c>
    </row>
    <row r="2468" spans="1:5" x14ac:dyDescent="0.25">
      <c r="A2468" s="2" t="str">
        <f>HYPERLINK("spreadsheet/2466.xlsx", "2466.xlsx")</f>
        <v>2466.xlsx</v>
      </c>
      <c r="B2468" s="2">
        <v>2466</v>
      </c>
      <c r="C2468" t="s">
        <v>45</v>
      </c>
      <c r="D2468" t="s">
        <v>1236</v>
      </c>
      <c r="E2468" t="s">
        <v>150</v>
      </c>
    </row>
    <row r="2469" spans="1:5" x14ac:dyDescent="0.25">
      <c r="A2469" s="2" t="str">
        <f>HYPERLINK("spreadsheet/2467.xlsx", "2467.xlsx")</f>
        <v>2467.xlsx</v>
      </c>
      <c r="B2469" s="2">
        <v>2467</v>
      </c>
      <c r="C2469" t="s">
        <v>46</v>
      </c>
      <c r="D2469" t="s">
        <v>1236</v>
      </c>
      <c r="E2469" t="s">
        <v>150</v>
      </c>
    </row>
    <row r="2470" spans="1:5" x14ac:dyDescent="0.25">
      <c r="A2470" s="2" t="str">
        <f>HYPERLINK("spreadsheet/2468.xlsx", "2468.xlsx")</f>
        <v>2468.xlsx</v>
      </c>
      <c r="B2470" s="2">
        <v>2468</v>
      </c>
      <c r="C2470" t="s">
        <v>47</v>
      </c>
      <c r="D2470" t="s">
        <v>1236</v>
      </c>
      <c r="E2470" t="s">
        <v>150</v>
      </c>
    </row>
    <row r="2471" spans="1:5" x14ac:dyDescent="0.25">
      <c r="A2471" s="2" t="s">
        <v>1239</v>
      </c>
      <c r="B2471" s="2">
        <v>2469</v>
      </c>
      <c r="C2471" t="s">
        <v>48</v>
      </c>
      <c r="D2471" t="s">
        <v>1236</v>
      </c>
      <c r="E2471" t="s">
        <v>150</v>
      </c>
    </row>
    <row r="2472" spans="1:5" x14ac:dyDescent="0.25">
      <c r="A2472" s="2" t="str">
        <f>HYPERLINK("spreadsheet/2470.xlsx", "2470.xlsx")</f>
        <v>2470.xlsx</v>
      </c>
      <c r="B2472" s="2">
        <v>2470</v>
      </c>
      <c r="C2472" t="s">
        <v>49</v>
      </c>
      <c r="D2472" t="s">
        <v>1236</v>
      </c>
      <c r="E2472" t="s">
        <v>150</v>
      </c>
    </row>
    <row r="2473" spans="1:5" x14ac:dyDescent="0.25">
      <c r="A2473" s="2" t="s">
        <v>1240</v>
      </c>
      <c r="B2473" s="2">
        <v>2471</v>
      </c>
      <c r="C2473" t="s">
        <v>50</v>
      </c>
      <c r="D2473" t="s">
        <v>1236</v>
      </c>
      <c r="E2473" t="s">
        <v>150</v>
      </c>
    </row>
    <row r="2474" spans="1:5" x14ac:dyDescent="0.25">
      <c r="A2474" s="2" t="s">
        <v>1241</v>
      </c>
      <c r="B2474" s="2">
        <v>2472</v>
      </c>
      <c r="C2474" t="s">
        <v>51</v>
      </c>
      <c r="D2474" t="s">
        <v>1236</v>
      </c>
      <c r="E2474" t="s">
        <v>150</v>
      </c>
    </row>
    <row r="2475" spans="1:5" x14ac:dyDescent="0.25">
      <c r="A2475" s="2" t="str">
        <f>HYPERLINK("spreadsheet/2473.xlsx", "2473.xlsx")</f>
        <v>2473.xlsx</v>
      </c>
      <c r="B2475" s="2">
        <v>2473</v>
      </c>
      <c r="C2475" t="s">
        <v>52</v>
      </c>
      <c r="D2475" t="s">
        <v>1236</v>
      </c>
      <c r="E2475" t="s">
        <v>150</v>
      </c>
    </row>
    <row r="2476" spans="1:5" x14ac:dyDescent="0.25">
      <c r="A2476" s="2" t="str">
        <f>HYPERLINK("spreadsheet/2474.xlsx", "2474.xlsx")</f>
        <v>2474.xlsx</v>
      </c>
      <c r="B2476" s="2">
        <v>2474</v>
      </c>
      <c r="C2476" t="s">
        <v>53</v>
      </c>
      <c r="D2476" t="s">
        <v>1236</v>
      </c>
      <c r="E2476" t="s">
        <v>150</v>
      </c>
    </row>
    <row r="2477" spans="1:5" x14ac:dyDescent="0.25">
      <c r="A2477" s="2" t="str">
        <f>HYPERLINK("spreadsheet/2475.xlsx", "2475.xlsx")</f>
        <v>2475.xlsx</v>
      </c>
      <c r="B2477" s="2">
        <v>2475</v>
      </c>
      <c r="C2477" t="s">
        <v>5</v>
      </c>
      <c r="D2477" t="s">
        <v>1242</v>
      </c>
      <c r="E2477" t="s">
        <v>115</v>
      </c>
    </row>
    <row r="2478" spans="1:5" x14ac:dyDescent="0.25">
      <c r="A2478" s="2" t="s">
        <v>1243</v>
      </c>
      <c r="B2478" s="2">
        <v>2476</v>
      </c>
      <c r="C2478" t="s">
        <v>10</v>
      </c>
      <c r="D2478" t="s">
        <v>1242</v>
      </c>
      <c r="E2478" t="s">
        <v>115</v>
      </c>
    </row>
    <row r="2479" spans="1:5" x14ac:dyDescent="0.25">
      <c r="A2479" s="2" t="str">
        <f>HYPERLINK("spreadsheet/2477.xlsx", "2477.xlsx")</f>
        <v>2477.xlsx</v>
      </c>
      <c r="B2479" s="2">
        <v>2477</v>
      </c>
      <c r="C2479" t="s">
        <v>5</v>
      </c>
      <c r="D2479" t="s">
        <v>1244</v>
      </c>
      <c r="E2479" t="s">
        <v>218</v>
      </c>
    </row>
    <row r="2480" spans="1:5" x14ac:dyDescent="0.25">
      <c r="A2480" s="2" t="str">
        <f>HYPERLINK("spreadsheet/2478.xlsx", "2478.xlsx")</f>
        <v>2478.xlsx</v>
      </c>
      <c r="B2480" s="2">
        <v>2478</v>
      </c>
      <c r="C2480" t="s">
        <v>10</v>
      </c>
      <c r="D2480" t="s">
        <v>1244</v>
      </c>
      <c r="E2480" t="s">
        <v>218</v>
      </c>
    </row>
    <row r="2481" spans="1:5" x14ac:dyDescent="0.25">
      <c r="A2481" s="2" t="str">
        <f>HYPERLINK("spreadsheet/2479.xlsx", "2479.xlsx")</f>
        <v>2479.xlsx</v>
      </c>
      <c r="B2481" s="2">
        <v>2479</v>
      </c>
      <c r="C2481" t="s">
        <v>22</v>
      </c>
      <c r="D2481" t="s">
        <v>1244</v>
      </c>
      <c r="E2481" t="s">
        <v>218</v>
      </c>
    </row>
    <row r="2482" spans="1:5" x14ac:dyDescent="0.25">
      <c r="A2482" s="2" t="str">
        <f>HYPERLINK("spreadsheet/2480.xlsx", "2480.xlsx")</f>
        <v>2480.xlsx</v>
      </c>
      <c r="B2482" s="2">
        <v>2480</v>
      </c>
      <c r="C2482" t="s">
        <v>24</v>
      </c>
      <c r="D2482" t="s">
        <v>1244</v>
      </c>
      <c r="E2482" t="s">
        <v>218</v>
      </c>
    </row>
    <row r="2483" spans="1:5" x14ac:dyDescent="0.25">
      <c r="A2483" s="2" t="str">
        <f>HYPERLINK("spreadsheet/2481.xlsx", "2481.xlsx")</f>
        <v>2481.xlsx</v>
      </c>
      <c r="B2483" s="2">
        <v>2481</v>
      </c>
      <c r="C2483" t="s">
        <v>5</v>
      </c>
      <c r="D2483" t="s">
        <v>1245</v>
      </c>
      <c r="E2483" t="s">
        <v>115</v>
      </c>
    </row>
    <row r="2484" spans="1:5" x14ac:dyDescent="0.25">
      <c r="A2484" s="2" t="str">
        <f>HYPERLINK("spreadsheet/2482.xlsx", "2482.xlsx")</f>
        <v>2482.xlsx</v>
      </c>
      <c r="B2484" s="2">
        <v>2482</v>
      </c>
      <c r="C2484" t="s">
        <v>10</v>
      </c>
      <c r="D2484" t="s">
        <v>1245</v>
      </c>
      <c r="E2484" t="s">
        <v>115</v>
      </c>
    </row>
    <row r="2485" spans="1:5" x14ac:dyDescent="0.25">
      <c r="A2485" s="2" t="str">
        <f>HYPERLINK("spreadsheet/2483.xlsx", "2483.xlsx")</f>
        <v>2483.xlsx</v>
      </c>
      <c r="B2485" s="2">
        <v>2483</v>
      </c>
      <c r="C2485" t="s">
        <v>14</v>
      </c>
      <c r="D2485" t="s">
        <v>1245</v>
      </c>
      <c r="E2485" t="s">
        <v>115</v>
      </c>
    </row>
    <row r="2486" spans="1:5" x14ac:dyDescent="0.25">
      <c r="A2486" s="2" t="str">
        <f>HYPERLINK("spreadsheet/2484.xlsx", "2484.xlsx")</f>
        <v>2484.xlsx</v>
      </c>
      <c r="B2486" s="2">
        <v>2484</v>
      </c>
      <c r="C2486" t="s">
        <v>5</v>
      </c>
      <c r="D2486" t="s">
        <v>1246</v>
      </c>
      <c r="E2486" t="s">
        <v>164</v>
      </c>
    </row>
    <row r="2487" spans="1:5" x14ac:dyDescent="0.25">
      <c r="A2487" s="2" t="str">
        <f>HYPERLINK("spreadsheet/2485.xlsx", "2485.xlsx")</f>
        <v>2485.xlsx</v>
      </c>
      <c r="B2487" s="2">
        <v>2485</v>
      </c>
      <c r="C2487" t="s">
        <v>10</v>
      </c>
      <c r="D2487" t="s">
        <v>1246</v>
      </c>
      <c r="E2487" t="s">
        <v>164</v>
      </c>
    </row>
    <row r="2488" spans="1:5" x14ac:dyDescent="0.25">
      <c r="A2488" s="2" t="s">
        <v>1247</v>
      </c>
      <c r="B2488" s="2">
        <v>2486</v>
      </c>
      <c r="C2488" t="s">
        <v>14</v>
      </c>
      <c r="D2488" t="s">
        <v>1246</v>
      </c>
      <c r="E2488" t="s">
        <v>164</v>
      </c>
    </row>
    <row r="2489" spans="1:5" x14ac:dyDescent="0.25">
      <c r="A2489" s="2" t="str">
        <f>HYPERLINK("spreadsheet/2487.xlsx", "2487.xlsx")</f>
        <v>2487.xlsx</v>
      </c>
      <c r="B2489" s="2">
        <v>2487</v>
      </c>
      <c r="C2489" t="s">
        <v>22</v>
      </c>
      <c r="D2489" t="s">
        <v>1246</v>
      </c>
      <c r="E2489" t="s">
        <v>164</v>
      </c>
    </row>
    <row r="2490" spans="1:5" x14ac:dyDescent="0.25">
      <c r="A2490" s="2" t="str">
        <f>HYPERLINK("spreadsheet/2488.xlsx", "2488.xlsx")</f>
        <v>2488.xlsx</v>
      </c>
      <c r="B2490" s="2">
        <v>2488</v>
      </c>
      <c r="C2490" t="s">
        <v>60</v>
      </c>
      <c r="D2490" t="s">
        <v>1246</v>
      </c>
      <c r="E2490" t="s">
        <v>164</v>
      </c>
    </row>
    <row r="2491" spans="1:5" x14ac:dyDescent="0.25">
      <c r="A2491" s="2" t="s">
        <v>1248</v>
      </c>
      <c r="B2491" s="2">
        <v>2489</v>
      </c>
      <c r="C2491" t="s">
        <v>44</v>
      </c>
      <c r="D2491" t="s">
        <v>1246</v>
      </c>
      <c r="E2491" t="s">
        <v>164</v>
      </c>
    </row>
    <row r="2492" spans="1:5" x14ac:dyDescent="0.25">
      <c r="A2492" s="2" t="s">
        <v>1249</v>
      </c>
      <c r="B2492" s="2">
        <v>2490</v>
      </c>
      <c r="C2492" t="s">
        <v>45</v>
      </c>
      <c r="D2492" t="s">
        <v>1246</v>
      </c>
      <c r="E2492" t="s">
        <v>164</v>
      </c>
    </row>
    <row r="2493" spans="1:5" x14ac:dyDescent="0.25">
      <c r="A2493" s="2" t="s">
        <v>1250</v>
      </c>
      <c r="B2493" s="2">
        <v>2491</v>
      </c>
      <c r="C2493" t="s">
        <v>46</v>
      </c>
      <c r="D2493" t="s">
        <v>1246</v>
      </c>
      <c r="E2493" t="s">
        <v>164</v>
      </c>
    </row>
    <row r="2494" spans="1:5" x14ac:dyDescent="0.25">
      <c r="A2494" s="2" t="s">
        <v>1251</v>
      </c>
      <c r="B2494" s="2">
        <v>2492</v>
      </c>
      <c r="C2494" t="s">
        <v>5</v>
      </c>
      <c r="D2494" t="s">
        <v>1252</v>
      </c>
      <c r="E2494" t="s">
        <v>126</v>
      </c>
    </row>
    <row r="2495" spans="1:5" x14ac:dyDescent="0.25">
      <c r="A2495" s="2" t="str">
        <f>HYPERLINK("spreadsheet/2493.xlsx", "2493.xlsx")</f>
        <v>2493.xlsx</v>
      </c>
      <c r="B2495" s="2">
        <v>2493</v>
      </c>
      <c r="C2495" t="s">
        <v>10</v>
      </c>
      <c r="D2495" t="s">
        <v>1252</v>
      </c>
      <c r="E2495" t="s">
        <v>126</v>
      </c>
    </row>
    <row r="2496" spans="1:5" x14ac:dyDescent="0.25">
      <c r="A2496" s="2" t="str">
        <f>HYPERLINK("spreadsheet/2494.xlsx", "2494.xlsx")</f>
        <v>2494.xlsx</v>
      </c>
      <c r="B2496" s="2">
        <v>2494</v>
      </c>
      <c r="C2496" t="s">
        <v>14</v>
      </c>
      <c r="D2496" t="s">
        <v>1252</v>
      </c>
      <c r="E2496" t="s">
        <v>126</v>
      </c>
    </row>
    <row r="2497" spans="1:5" x14ac:dyDescent="0.25">
      <c r="A2497" s="2" t="str">
        <f>HYPERLINK("spreadsheet/2495.xlsx", "2495.xlsx")</f>
        <v>2495.xlsx</v>
      </c>
      <c r="B2497" s="2">
        <v>2495</v>
      </c>
      <c r="C2497" t="s">
        <v>15</v>
      </c>
      <c r="D2497" t="s">
        <v>1252</v>
      </c>
      <c r="E2497" t="s">
        <v>126</v>
      </c>
    </row>
    <row r="2498" spans="1:5" x14ac:dyDescent="0.25">
      <c r="A2498" s="2" t="str">
        <f>HYPERLINK("spreadsheet/2496.xlsx", "2496.xlsx")</f>
        <v>2496.xlsx</v>
      </c>
      <c r="B2498" s="2">
        <v>2496</v>
      </c>
      <c r="C2498" t="s">
        <v>850</v>
      </c>
      <c r="D2498" t="s">
        <v>1253</v>
      </c>
      <c r="E2498" t="s">
        <v>71</v>
      </c>
    </row>
    <row r="2499" spans="1:5" x14ac:dyDescent="0.25">
      <c r="A2499" s="2" t="s">
        <v>1254</v>
      </c>
      <c r="B2499" s="2">
        <v>2497</v>
      </c>
      <c r="C2499" t="s">
        <v>459</v>
      </c>
      <c r="D2499" t="s">
        <v>1253</v>
      </c>
      <c r="E2499" t="s">
        <v>71</v>
      </c>
    </row>
    <row r="2500" spans="1:5" x14ac:dyDescent="0.25">
      <c r="A2500" s="2" t="str">
        <f>HYPERLINK("spreadsheet/2498.xlsx", "2498.xlsx")</f>
        <v>2498.xlsx</v>
      </c>
      <c r="B2500" s="2">
        <v>2498</v>
      </c>
      <c r="C2500" t="s">
        <v>10</v>
      </c>
      <c r="D2500" t="s">
        <v>1253</v>
      </c>
      <c r="E2500" t="s">
        <v>71</v>
      </c>
    </row>
    <row r="2501" spans="1:5" x14ac:dyDescent="0.25">
      <c r="A2501" s="2" t="str">
        <f>HYPERLINK("spreadsheet/2499.xlsx", "2499.xlsx")</f>
        <v>2499.xlsx</v>
      </c>
      <c r="B2501" s="2">
        <v>2499</v>
      </c>
      <c r="C2501" t="s">
        <v>14</v>
      </c>
      <c r="D2501" t="s">
        <v>1253</v>
      </c>
      <c r="E2501" t="s">
        <v>71</v>
      </c>
    </row>
    <row r="2502" spans="1:5" x14ac:dyDescent="0.25">
      <c r="A2502" s="2" t="s">
        <v>1255</v>
      </c>
      <c r="B2502" s="2">
        <v>2500</v>
      </c>
      <c r="C2502" t="s">
        <v>15</v>
      </c>
      <c r="D2502" t="s">
        <v>1253</v>
      </c>
      <c r="E2502" t="s">
        <v>71</v>
      </c>
    </row>
    <row r="2503" spans="1:5" x14ac:dyDescent="0.25">
      <c r="A2503" s="2" t="str">
        <f>HYPERLINK("spreadsheet/2501.xlsx", "2501.xlsx")</f>
        <v>2501.xlsx</v>
      </c>
      <c r="B2503" s="2">
        <v>2501</v>
      </c>
      <c r="C2503" t="s">
        <v>22</v>
      </c>
      <c r="D2503" t="s">
        <v>1253</v>
      </c>
      <c r="E2503" t="s">
        <v>71</v>
      </c>
    </row>
    <row r="2504" spans="1:5" x14ac:dyDescent="0.25">
      <c r="A2504" s="2" t="str">
        <f>HYPERLINK("spreadsheet/2502.xlsx", "2502.xlsx")</f>
        <v>2502.xlsx</v>
      </c>
      <c r="B2504" s="2">
        <v>2502</v>
      </c>
      <c r="C2504" t="s">
        <v>24</v>
      </c>
      <c r="D2504" t="s">
        <v>1253</v>
      </c>
      <c r="E2504" t="s">
        <v>71</v>
      </c>
    </row>
    <row r="2505" spans="1:5" x14ac:dyDescent="0.25">
      <c r="A2505" s="2" t="s">
        <v>1256</v>
      </c>
      <c r="B2505" s="2">
        <v>2503</v>
      </c>
      <c r="C2505" t="s">
        <v>60</v>
      </c>
      <c r="D2505" t="s">
        <v>1253</v>
      </c>
      <c r="E2505" t="s">
        <v>71</v>
      </c>
    </row>
    <row r="2506" spans="1:5" x14ac:dyDescent="0.25">
      <c r="A2506" s="2" t="str">
        <f>HYPERLINK("spreadsheet/2504.xlsx", "2504.xlsx")</f>
        <v>2504.xlsx</v>
      </c>
      <c r="B2506" s="2">
        <v>2504</v>
      </c>
      <c r="C2506" t="s">
        <v>5</v>
      </c>
      <c r="D2506" t="s">
        <v>1257</v>
      </c>
      <c r="E2506" t="s">
        <v>150</v>
      </c>
    </row>
    <row r="2507" spans="1:5" x14ac:dyDescent="0.25">
      <c r="A2507" s="2" t="str">
        <f>HYPERLINK("spreadsheet/2505.xlsx", "2505.xlsx")</f>
        <v>2505.xlsx</v>
      </c>
      <c r="B2507" s="2">
        <v>2505</v>
      </c>
      <c r="C2507" t="s">
        <v>10</v>
      </c>
      <c r="D2507" t="s">
        <v>1257</v>
      </c>
      <c r="E2507" t="s">
        <v>150</v>
      </c>
    </row>
    <row r="2508" spans="1:5" x14ac:dyDescent="0.25">
      <c r="A2508" s="2" t="str">
        <f>HYPERLINK("spreadsheet/2506.xlsx", "2506.xlsx")</f>
        <v>2506.xlsx</v>
      </c>
      <c r="B2508" s="2">
        <v>2506</v>
      </c>
      <c r="C2508" t="s">
        <v>5</v>
      </c>
      <c r="D2508" t="s">
        <v>1258</v>
      </c>
      <c r="E2508" t="s">
        <v>115</v>
      </c>
    </row>
    <row r="2509" spans="1:5" x14ac:dyDescent="0.25">
      <c r="A2509" s="2" t="s">
        <v>1259</v>
      </c>
      <c r="B2509" s="2">
        <v>2507</v>
      </c>
      <c r="C2509" t="s">
        <v>10</v>
      </c>
      <c r="D2509" t="s">
        <v>1258</v>
      </c>
      <c r="E2509" t="s">
        <v>115</v>
      </c>
    </row>
    <row r="2510" spans="1:5" x14ac:dyDescent="0.25">
      <c r="A2510" s="2" t="str">
        <f>HYPERLINK("spreadsheet/2508.xlsx", "2508.xlsx")</f>
        <v>2508.xlsx</v>
      </c>
      <c r="B2510" s="2">
        <v>2508</v>
      </c>
      <c r="C2510" t="s">
        <v>14</v>
      </c>
      <c r="D2510" t="s">
        <v>1258</v>
      </c>
      <c r="E2510" t="s">
        <v>115</v>
      </c>
    </row>
    <row r="2511" spans="1:5" x14ac:dyDescent="0.25">
      <c r="A2511" s="2" t="str">
        <f>HYPERLINK("spreadsheet/2509.xlsx", "2509.xlsx")</f>
        <v>2509.xlsx</v>
      </c>
      <c r="B2511" s="2">
        <v>2509</v>
      </c>
      <c r="C2511" t="s">
        <v>15</v>
      </c>
      <c r="D2511" t="s">
        <v>1258</v>
      </c>
      <c r="E2511" t="s">
        <v>115</v>
      </c>
    </row>
    <row r="2512" spans="1:5" x14ac:dyDescent="0.25">
      <c r="A2512" s="2" t="str">
        <f>HYPERLINK("spreadsheet/2510.xlsx", "2510.xlsx")</f>
        <v>2510.xlsx</v>
      </c>
      <c r="B2512" s="2">
        <v>2510</v>
      </c>
      <c r="C2512" t="s">
        <v>22</v>
      </c>
      <c r="D2512" t="s">
        <v>1258</v>
      </c>
      <c r="E2512" t="s">
        <v>115</v>
      </c>
    </row>
    <row r="2513" spans="1:5" x14ac:dyDescent="0.25">
      <c r="A2513" s="2" t="str">
        <f>HYPERLINK("spreadsheet/2511.xlsx", "2511.xlsx")</f>
        <v>2511.xlsx</v>
      </c>
      <c r="B2513" s="2">
        <v>2511</v>
      </c>
      <c r="C2513" t="s">
        <v>24</v>
      </c>
      <c r="D2513" t="s">
        <v>1258</v>
      </c>
      <c r="E2513" t="s">
        <v>115</v>
      </c>
    </row>
    <row r="2514" spans="1:5" x14ac:dyDescent="0.25">
      <c r="A2514" s="2" t="str">
        <f>HYPERLINK("spreadsheet/2512.xlsx", "2512.xlsx")</f>
        <v>2512.xlsx</v>
      </c>
      <c r="B2514" s="2">
        <v>2512</v>
      </c>
      <c r="C2514" t="s">
        <v>5</v>
      </c>
      <c r="D2514" t="s">
        <v>1260</v>
      </c>
      <c r="E2514" t="s">
        <v>115</v>
      </c>
    </row>
    <row r="2515" spans="1:5" x14ac:dyDescent="0.25">
      <c r="A2515" s="2" t="str">
        <f>HYPERLINK("spreadsheet/2513.xlsx", "2513.xlsx")</f>
        <v>2513.xlsx</v>
      </c>
      <c r="B2515" s="2">
        <v>2513</v>
      </c>
      <c r="C2515" t="s">
        <v>10</v>
      </c>
      <c r="D2515" t="s">
        <v>1260</v>
      </c>
      <c r="E2515" t="s">
        <v>115</v>
      </c>
    </row>
    <row r="2516" spans="1:5" x14ac:dyDescent="0.25">
      <c r="A2516" s="2" t="str">
        <f>HYPERLINK("spreadsheet/2514.xlsx", "2514.xlsx")</f>
        <v>2514.xlsx</v>
      </c>
      <c r="B2516" s="2">
        <v>2514</v>
      </c>
      <c r="C2516" t="s">
        <v>5</v>
      </c>
      <c r="D2516" t="s">
        <v>1261</v>
      </c>
      <c r="E2516" t="s">
        <v>150</v>
      </c>
    </row>
    <row r="2517" spans="1:5" x14ac:dyDescent="0.25">
      <c r="A2517" s="2" t="str">
        <f>HYPERLINK("spreadsheet/2515.xlsx", "2515.xlsx")</f>
        <v>2515.xlsx</v>
      </c>
      <c r="B2517" s="2">
        <v>2515</v>
      </c>
      <c r="C2517" t="s">
        <v>10</v>
      </c>
      <c r="D2517" t="s">
        <v>1261</v>
      </c>
      <c r="E2517" t="s">
        <v>150</v>
      </c>
    </row>
    <row r="2518" spans="1:5" x14ac:dyDescent="0.25">
      <c r="A2518" s="2" t="str">
        <f>HYPERLINK("spreadsheet/2516.xlsx", "2516.xlsx")</f>
        <v>2516.xlsx</v>
      </c>
      <c r="B2518" s="2">
        <v>2516</v>
      </c>
      <c r="C2518" t="s">
        <v>14</v>
      </c>
      <c r="D2518" t="s">
        <v>1261</v>
      </c>
      <c r="E2518" t="s">
        <v>150</v>
      </c>
    </row>
    <row r="2519" spans="1:5" x14ac:dyDescent="0.25">
      <c r="A2519" s="2" t="str">
        <f>HYPERLINK("spreadsheet/2517.xlsx", "2517.xlsx")</f>
        <v>2517.xlsx</v>
      </c>
      <c r="B2519" s="2">
        <v>2517</v>
      </c>
      <c r="C2519" t="s">
        <v>22</v>
      </c>
      <c r="D2519" t="s">
        <v>1261</v>
      </c>
      <c r="E2519" t="s">
        <v>150</v>
      </c>
    </row>
    <row r="2520" spans="1:5" x14ac:dyDescent="0.25">
      <c r="A2520" s="2" t="str">
        <f>HYPERLINK("spreadsheet/2518.xlsx", "2518.xlsx")</f>
        <v>2518.xlsx</v>
      </c>
      <c r="B2520" s="2">
        <v>2518</v>
      </c>
      <c r="C2520" t="s">
        <v>24</v>
      </c>
      <c r="D2520" t="s">
        <v>1261</v>
      </c>
      <c r="E2520" t="s">
        <v>150</v>
      </c>
    </row>
    <row r="2521" spans="1:5" x14ac:dyDescent="0.25">
      <c r="A2521" s="2" t="str">
        <f>HYPERLINK("spreadsheet/2519.xlsx", "2519.xlsx")</f>
        <v>2519.xlsx</v>
      </c>
      <c r="B2521" s="2">
        <v>2519</v>
      </c>
      <c r="C2521" t="s">
        <v>45</v>
      </c>
      <c r="D2521" t="s">
        <v>1261</v>
      </c>
      <c r="E2521" t="s">
        <v>150</v>
      </c>
    </row>
    <row r="2522" spans="1:5" x14ac:dyDescent="0.25">
      <c r="A2522" s="2" t="str">
        <f>HYPERLINK("spreadsheet/2520.xlsx", "2520.xlsx")</f>
        <v>2520.xlsx</v>
      </c>
      <c r="B2522" s="2">
        <v>2520</v>
      </c>
      <c r="C2522" t="s">
        <v>46</v>
      </c>
      <c r="D2522" t="s">
        <v>1261</v>
      </c>
      <c r="E2522" t="s">
        <v>150</v>
      </c>
    </row>
    <row r="2523" spans="1:5" x14ac:dyDescent="0.25">
      <c r="A2523" s="2" t="s">
        <v>1262</v>
      </c>
      <c r="B2523" s="2">
        <v>2521</v>
      </c>
      <c r="C2523" t="s">
        <v>48</v>
      </c>
      <c r="D2523" t="s">
        <v>1261</v>
      </c>
      <c r="E2523" t="s">
        <v>150</v>
      </c>
    </row>
    <row r="2524" spans="1:5" x14ac:dyDescent="0.25">
      <c r="A2524" s="2" t="str">
        <f>HYPERLINK("spreadsheet/2522.xlsx", "2522.xlsx")</f>
        <v>2522.xlsx</v>
      </c>
      <c r="B2524" s="2">
        <v>2522</v>
      </c>
      <c r="C2524" t="s">
        <v>49</v>
      </c>
      <c r="D2524" t="s">
        <v>1261</v>
      </c>
      <c r="E2524" t="s">
        <v>150</v>
      </c>
    </row>
    <row r="2525" spans="1:5" x14ac:dyDescent="0.25">
      <c r="A2525" s="2" t="str">
        <f>HYPERLINK("spreadsheet/2523.xlsx", "2523.xlsx")</f>
        <v>2523.xlsx</v>
      </c>
      <c r="B2525" s="2">
        <v>2523</v>
      </c>
      <c r="C2525" t="s">
        <v>5</v>
      </c>
      <c r="D2525" t="s">
        <v>1263</v>
      </c>
      <c r="E2525" t="s">
        <v>115</v>
      </c>
    </row>
    <row r="2526" spans="1:5" x14ac:dyDescent="0.25">
      <c r="A2526" s="2" t="s">
        <v>1264</v>
      </c>
      <c r="B2526" s="2">
        <v>2524</v>
      </c>
      <c r="C2526" t="s">
        <v>10</v>
      </c>
      <c r="D2526" t="s">
        <v>1263</v>
      </c>
      <c r="E2526" t="s">
        <v>115</v>
      </c>
    </row>
    <row r="2527" spans="1:5" x14ac:dyDescent="0.25">
      <c r="A2527" s="2" t="s">
        <v>1265</v>
      </c>
      <c r="B2527" s="2">
        <v>2525</v>
      </c>
      <c r="C2527" t="s">
        <v>14</v>
      </c>
      <c r="D2527" t="s">
        <v>1263</v>
      </c>
      <c r="E2527" t="s">
        <v>115</v>
      </c>
    </row>
    <row r="2528" spans="1:5" x14ac:dyDescent="0.25">
      <c r="A2528" s="2" t="s">
        <v>1266</v>
      </c>
      <c r="B2528" s="2">
        <v>2526</v>
      </c>
      <c r="C2528" t="s">
        <v>15</v>
      </c>
      <c r="D2528" t="s">
        <v>1263</v>
      </c>
      <c r="E2528" t="s">
        <v>115</v>
      </c>
    </row>
    <row r="2529" spans="1:5" x14ac:dyDescent="0.25">
      <c r="A2529" s="2" t="s">
        <v>1267</v>
      </c>
      <c r="B2529" s="2">
        <v>2527</v>
      </c>
      <c r="C2529" t="s">
        <v>22</v>
      </c>
      <c r="D2529" t="s">
        <v>1263</v>
      </c>
      <c r="E2529" t="s">
        <v>115</v>
      </c>
    </row>
    <row r="2530" spans="1:5" x14ac:dyDescent="0.25">
      <c r="A2530" s="2" t="s">
        <v>1268</v>
      </c>
      <c r="B2530" s="2">
        <v>2528</v>
      </c>
      <c r="C2530" t="s">
        <v>24</v>
      </c>
      <c r="D2530" t="s">
        <v>1263</v>
      </c>
      <c r="E2530" t="s">
        <v>115</v>
      </c>
    </row>
    <row r="2531" spans="1:5" x14ac:dyDescent="0.25">
      <c r="A2531" s="2" t="str">
        <f>HYPERLINK("spreadsheet/2529.xlsx", "2529.xlsx")</f>
        <v>2529.xlsx</v>
      </c>
      <c r="B2531" s="2">
        <v>2529</v>
      </c>
      <c r="C2531" t="s">
        <v>5</v>
      </c>
      <c r="D2531" t="s">
        <v>1269</v>
      </c>
      <c r="E2531" t="s">
        <v>115</v>
      </c>
    </row>
    <row r="2532" spans="1:5" x14ac:dyDescent="0.25">
      <c r="A2532" s="2" t="str">
        <f>HYPERLINK("spreadsheet/2530.xlsx", "2530.xlsx")</f>
        <v>2530.xlsx</v>
      </c>
      <c r="B2532" s="2">
        <v>2530</v>
      </c>
      <c r="C2532" t="s">
        <v>10</v>
      </c>
      <c r="D2532" t="s">
        <v>1269</v>
      </c>
      <c r="E2532" t="s">
        <v>115</v>
      </c>
    </row>
    <row r="2533" spans="1:5" x14ac:dyDescent="0.25">
      <c r="A2533" s="2" t="str">
        <f>HYPERLINK("spreadsheet/2531.xlsx", "2531.xlsx")</f>
        <v>2531.xlsx</v>
      </c>
      <c r="B2533" s="2">
        <v>2531</v>
      </c>
      <c r="C2533" t="s">
        <v>14</v>
      </c>
      <c r="D2533" t="s">
        <v>1269</v>
      </c>
      <c r="E2533" t="s">
        <v>115</v>
      </c>
    </row>
    <row r="2534" spans="1:5" x14ac:dyDescent="0.25">
      <c r="A2534" s="2" t="str">
        <f>HYPERLINK("spreadsheet/2532.xlsx", "2532.xlsx")</f>
        <v>2532.xlsx</v>
      </c>
      <c r="B2534" s="2">
        <v>2532</v>
      </c>
      <c r="C2534" t="s">
        <v>15</v>
      </c>
      <c r="D2534" t="s">
        <v>1269</v>
      </c>
      <c r="E2534" t="s">
        <v>115</v>
      </c>
    </row>
    <row r="2535" spans="1:5" x14ac:dyDescent="0.25">
      <c r="A2535" s="2" t="str">
        <f>HYPERLINK("spreadsheet/2533.xlsx", "2533.xlsx")</f>
        <v>2533.xlsx</v>
      </c>
      <c r="B2535" s="2">
        <v>2533</v>
      </c>
      <c r="C2535" t="s">
        <v>22</v>
      </c>
      <c r="D2535" t="s">
        <v>1269</v>
      </c>
      <c r="E2535" t="s">
        <v>115</v>
      </c>
    </row>
    <row r="2536" spans="1:5" x14ac:dyDescent="0.25">
      <c r="A2536" s="2" t="str">
        <f>HYPERLINK("spreadsheet/2534.xlsx", "2534.xlsx")</f>
        <v>2534.xlsx</v>
      </c>
      <c r="B2536" s="2">
        <v>2534</v>
      </c>
      <c r="C2536" t="s">
        <v>24</v>
      </c>
      <c r="D2536" t="s">
        <v>1269</v>
      </c>
      <c r="E2536" t="s">
        <v>115</v>
      </c>
    </row>
    <row r="2537" spans="1:5" x14ac:dyDescent="0.25">
      <c r="A2537" s="2" t="str">
        <f>HYPERLINK("spreadsheet/2535.xlsx", "2535.xlsx")</f>
        <v>2535.xlsx</v>
      </c>
      <c r="B2537" s="2">
        <v>2535</v>
      </c>
      <c r="C2537" t="s">
        <v>60</v>
      </c>
      <c r="D2537" t="s">
        <v>1269</v>
      </c>
      <c r="E2537" t="s">
        <v>115</v>
      </c>
    </row>
    <row r="2538" spans="1:5" x14ac:dyDescent="0.25">
      <c r="A2538" s="2" t="str">
        <f>HYPERLINK("spreadsheet/2536.xlsx", "2536.xlsx")</f>
        <v>2536.xlsx</v>
      </c>
      <c r="B2538" s="2">
        <v>2536</v>
      </c>
      <c r="C2538" t="s">
        <v>44</v>
      </c>
      <c r="D2538" t="s">
        <v>1269</v>
      </c>
      <c r="E2538" t="s">
        <v>115</v>
      </c>
    </row>
    <row r="2539" spans="1:5" x14ac:dyDescent="0.25">
      <c r="A2539" s="2" t="str">
        <f>HYPERLINK("spreadsheet/2537.xlsx", "2537.xlsx")</f>
        <v>2537.xlsx</v>
      </c>
      <c r="B2539" s="2">
        <v>2537</v>
      </c>
      <c r="C2539" t="s">
        <v>5</v>
      </c>
      <c r="D2539" t="s">
        <v>1270</v>
      </c>
      <c r="E2539" t="s">
        <v>150</v>
      </c>
    </row>
    <row r="2540" spans="1:5" x14ac:dyDescent="0.25">
      <c r="A2540" s="2" t="str">
        <f>HYPERLINK("spreadsheet/2538.xlsx", "2538.xlsx")</f>
        <v>2538.xlsx</v>
      </c>
      <c r="B2540" s="2">
        <v>2538</v>
      </c>
      <c r="C2540" t="s">
        <v>10</v>
      </c>
      <c r="D2540" t="s">
        <v>1270</v>
      </c>
      <c r="E2540" t="s">
        <v>150</v>
      </c>
    </row>
    <row r="2541" spans="1:5" x14ac:dyDescent="0.25">
      <c r="A2541" s="2" t="str">
        <f>HYPERLINK("spreadsheet/2539.xlsx", "2539.xlsx")</f>
        <v>2539.xlsx</v>
      </c>
      <c r="B2541" s="2">
        <v>2539</v>
      </c>
      <c r="C2541" t="s">
        <v>14</v>
      </c>
      <c r="D2541" t="s">
        <v>1270</v>
      </c>
      <c r="E2541" t="s">
        <v>150</v>
      </c>
    </row>
    <row r="2542" spans="1:5" x14ac:dyDescent="0.25">
      <c r="A2542" s="2" t="str">
        <f>HYPERLINK("spreadsheet/2540.xlsx", "2540.xlsx")</f>
        <v>2540.xlsx</v>
      </c>
      <c r="B2542" s="2">
        <v>2540</v>
      </c>
      <c r="C2542" t="s">
        <v>15</v>
      </c>
      <c r="D2542" t="s">
        <v>1270</v>
      </c>
      <c r="E2542" t="s">
        <v>150</v>
      </c>
    </row>
    <row r="2543" spans="1:5" x14ac:dyDescent="0.25">
      <c r="A2543" s="2" t="str">
        <f>HYPERLINK("spreadsheet/2541.xlsx", "2541.xlsx")</f>
        <v>2541.xlsx</v>
      </c>
      <c r="B2543" s="2">
        <v>2541</v>
      </c>
      <c r="C2543" t="s">
        <v>22</v>
      </c>
      <c r="D2543" t="s">
        <v>1270</v>
      </c>
      <c r="E2543" t="s">
        <v>150</v>
      </c>
    </row>
    <row r="2544" spans="1:5" x14ac:dyDescent="0.25">
      <c r="A2544" s="2" t="str">
        <f>HYPERLINK("spreadsheet/2542.xlsx", "2542.xlsx")</f>
        <v>2542.xlsx</v>
      </c>
      <c r="B2544" s="2">
        <v>2542</v>
      </c>
      <c r="C2544" t="s">
        <v>24</v>
      </c>
      <c r="D2544" t="s">
        <v>1270</v>
      </c>
      <c r="E2544" t="s">
        <v>150</v>
      </c>
    </row>
    <row r="2545" spans="1:5" x14ac:dyDescent="0.25">
      <c r="A2545" s="2" t="str">
        <f>HYPERLINK("spreadsheet/2543.xlsx", "2543.xlsx")</f>
        <v>2543.xlsx</v>
      </c>
      <c r="B2545" s="2">
        <v>2543</v>
      </c>
      <c r="C2545" t="s">
        <v>14</v>
      </c>
      <c r="D2545" t="s">
        <v>1271</v>
      </c>
      <c r="E2545" t="s">
        <v>173</v>
      </c>
    </row>
    <row r="2546" spans="1:5" x14ac:dyDescent="0.25">
      <c r="A2546" s="2" t="str">
        <f>HYPERLINK("spreadsheet/2544.xlsx", "2544.xlsx")</f>
        <v>2544.xlsx</v>
      </c>
      <c r="B2546" s="2">
        <v>2544</v>
      </c>
      <c r="C2546" t="s">
        <v>15</v>
      </c>
      <c r="D2546" t="s">
        <v>1271</v>
      </c>
      <c r="E2546" t="s">
        <v>173</v>
      </c>
    </row>
    <row r="2547" spans="1:5" x14ac:dyDescent="0.25">
      <c r="A2547" s="2" t="str">
        <f>HYPERLINK("spreadsheet/2545.xlsx", "2545.xlsx")</f>
        <v>2545.xlsx</v>
      </c>
      <c r="B2547" s="2">
        <v>2545</v>
      </c>
      <c r="C2547" t="s">
        <v>5</v>
      </c>
      <c r="D2547" t="s">
        <v>1272</v>
      </c>
      <c r="E2547" t="s">
        <v>173</v>
      </c>
    </row>
    <row r="2548" spans="1:5" x14ac:dyDescent="0.25">
      <c r="A2548" s="2" t="str">
        <f>HYPERLINK("spreadsheet/2546.xlsx", "2546.xlsx")</f>
        <v>2546.xlsx</v>
      </c>
      <c r="B2548" s="2">
        <v>2546</v>
      </c>
      <c r="C2548" t="s">
        <v>10</v>
      </c>
      <c r="D2548" t="s">
        <v>1272</v>
      </c>
      <c r="E2548" t="s">
        <v>173</v>
      </c>
    </row>
    <row r="2549" spans="1:5" x14ac:dyDescent="0.25">
      <c r="A2549" s="2" t="str">
        <f>HYPERLINK("spreadsheet/2547.xlsx", "2547.xlsx")</f>
        <v>2547.xlsx</v>
      </c>
      <c r="B2549" s="2">
        <v>2547</v>
      </c>
      <c r="C2549" t="s">
        <v>14</v>
      </c>
      <c r="D2549" t="s">
        <v>1272</v>
      </c>
      <c r="E2549" t="s">
        <v>173</v>
      </c>
    </row>
    <row r="2550" spans="1:5" x14ac:dyDescent="0.25">
      <c r="A2550" s="2" t="str">
        <f>HYPERLINK("spreadsheet/2548.xlsx", "2548.xlsx")</f>
        <v>2548.xlsx</v>
      </c>
      <c r="B2550" s="2">
        <v>2548</v>
      </c>
      <c r="C2550" t="s">
        <v>281</v>
      </c>
      <c r="D2550" t="s">
        <v>1272</v>
      </c>
      <c r="E2550" t="s">
        <v>173</v>
      </c>
    </row>
    <row r="2551" spans="1:5" x14ac:dyDescent="0.25">
      <c r="A2551" s="2" t="str">
        <f>HYPERLINK("spreadsheet/2549.xlsx", "2549.xlsx")</f>
        <v>2549.xlsx</v>
      </c>
      <c r="B2551" s="2">
        <v>2549</v>
      </c>
      <c r="C2551" t="s">
        <v>15</v>
      </c>
      <c r="D2551" t="s">
        <v>1272</v>
      </c>
      <c r="E2551" t="s">
        <v>173</v>
      </c>
    </row>
    <row r="2552" spans="1:5" x14ac:dyDescent="0.25">
      <c r="A2552" s="2" t="str">
        <f>HYPERLINK("spreadsheet/2550.xlsx", "2550.xlsx")</f>
        <v>2550.xlsx</v>
      </c>
      <c r="B2552" s="2">
        <v>2550</v>
      </c>
      <c r="C2552" t="s">
        <v>22</v>
      </c>
      <c r="D2552" t="s">
        <v>1272</v>
      </c>
      <c r="E2552" t="s">
        <v>173</v>
      </c>
    </row>
    <row r="2553" spans="1:5" x14ac:dyDescent="0.25">
      <c r="A2553" s="2" t="str">
        <f>HYPERLINK("spreadsheet/2551.xlsx", "2551.xlsx")</f>
        <v>2551.xlsx</v>
      </c>
      <c r="B2553" s="2">
        <v>2551</v>
      </c>
      <c r="C2553" t="s">
        <v>24</v>
      </c>
      <c r="D2553" t="s">
        <v>1272</v>
      </c>
      <c r="E2553" t="s">
        <v>173</v>
      </c>
    </row>
    <row r="2554" spans="1:5" x14ac:dyDescent="0.25">
      <c r="A2554" s="2" t="str">
        <f>HYPERLINK("spreadsheet/2552.xlsx", "2552.xlsx")</f>
        <v>2552.xlsx</v>
      </c>
      <c r="B2554" s="2">
        <v>2552</v>
      </c>
      <c r="C2554" t="s">
        <v>60</v>
      </c>
      <c r="D2554" t="s">
        <v>1272</v>
      </c>
      <c r="E2554" t="s">
        <v>173</v>
      </c>
    </row>
    <row r="2555" spans="1:5" x14ac:dyDescent="0.25">
      <c r="A2555" s="2" t="s">
        <v>1273</v>
      </c>
      <c r="B2555" s="2">
        <v>2553</v>
      </c>
      <c r="C2555" t="s">
        <v>44</v>
      </c>
      <c r="D2555" t="s">
        <v>1272</v>
      </c>
      <c r="E2555" t="s">
        <v>173</v>
      </c>
    </row>
    <row r="2556" spans="1:5" x14ac:dyDescent="0.25">
      <c r="A2556" s="2" t="s">
        <v>1274</v>
      </c>
      <c r="B2556" s="2">
        <v>2554</v>
      </c>
      <c r="C2556" t="s">
        <v>45</v>
      </c>
      <c r="D2556" t="s">
        <v>1272</v>
      </c>
      <c r="E2556" t="s">
        <v>173</v>
      </c>
    </row>
    <row r="2557" spans="1:5" x14ac:dyDescent="0.25">
      <c r="A2557" s="2" t="str">
        <f>HYPERLINK("spreadsheet/2555.xlsx", "2555.xlsx")</f>
        <v>2555.xlsx</v>
      </c>
      <c r="B2557" s="2">
        <v>2555</v>
      </c>
      <c r="C2557" t="s">
        <v>5</v>
      </c>
      <c r="D2557" t="s">
        <v>1275</v>
      </c>
      <c r="E2557" t="s">
        <v>164</v>
      </c>
    </row>
    <row r="2558" spans="1:5" x14ac:dyDescent="0.25">
      <c r="A2558" s="2" t="s">
        <v>1276</v>
      </c>
      <c r="B2558" s="2">
        <v>2556</v>
      </c>
      <c r="C2558" t="s">
        <v>10</v>
      </c>
      <c r="D2558" t="s">
        <v>1275</v>
      </c>
      <c r="E2558" t="s">
        <v>164</v>
      </c>
    </row>
    <row r="2559" spans="1:5" x14ac:dyDescent="0.25">
      <c r="A2559" s="2" t="str">
        <f>HYPERLINK("spreadsheet/2557.xlsx", "2557.xlsx")</f>
        <v>2557.xlsx</v>
      </c>
      <c r="B2559" s="2">
        <v>2557</v>
      </c>
      <c r="C2559" t="s">
        <v>14</v>
      </c>
      <c r="D2559" t="s">
        <v>1275</v>
      </c>
      <c r="E2559" t="s">
        <v>164</v>
      </c>
    </row>
    <row r="2560" spans="1:5" x14ac:dyDescent="0.25">
      <c r="A2560" s="2" t="str">
        <f>HYPERLINK("spreadsheet/2558.xlsx", "2558.xlsx")</f>
        <v>2558.xlsx</v>
      </c>
      <c r="B2560" s="2">
        <v>2558</v>
      </c>
      <c r="C2560" t="s">
        <v>5</v>
      </c>
      <c r="D2560" t="s">
        <v>1277</v>
      </c>
      <c r="E2560" t="s">
        <v>668</v>
      </c>
    </row>
    <row r="2561" spans="1:5" x14ac:dyDescent="0.25">
      <c r="A2561" s="2" t="str">
        <f>HYPERLINK("spreadsheet/2559.xlsx", "2559.xlsx")</f>
        <v>2559.xlsx</v>
      </c>
      <c r="B2561" s="2">
        <v>2559</v>
      </c>
      <c r="C2561" t="s">
        <v>5</v>
      </c>
      <c r="D2561" t="s">
        <v>1278</v>
      </c>
      <c r="E2561" t="s">
        <v>332</v>
      </c>
    </row>
    <row r="2562" spans="1:5" x14ac:dyDescent="0.25">
      <c r="A2562" s="2" t="str">
        <f>HYPERLINK("spreadsheet/2560.xlsx", "2560.xlsx")</f>
        <v>2560.xlsx</v>
      </c>
      <c r="B2562" s="2">
        <v>2560</v>
      </c>
      <c r="C2562" t="s">
        <v>5</v>
      </c>
      <c r="D2562" t="s">
        <v>1279</v>
      </c>
      <c r="E2562" t="s">
        <v>338</v>
      </c>
    </row>
    <row r="2563" spans="1:5" x14ac:dyDescent="0.25">
      <c r="A2563" s="2" t="str">
        <f>HYPERLINK("spreadsheet/2561.xlsx", "2561.xlsx")</f>
        <v>2561.xlsx</v>
      </c>
      <c r="B2563" s="2">
        <v>2561</v>
      </c>
      <c r="C2563" t="s">
        <v>5</v>
      </c>
      <c r="D2563" t="s">
        <v>1280</v>
      </c>
      <c r="E2563" t="s">
        <v>173</v>
      </c>
    </row>
    <row r="2564" spans="1:5" x14ac:dyDescent="0.25">
      <c r="A2564" s="2" t="str">
        <f>HYPERLINK("spreadsheet/2562.xlsx", "2562.xlsx")</f>
        <v>2562.xlsx</v>
      </c>
      <c r="B2564" s="2">
        <v>2562</v>
      </c>
      <c r="C2564" t="s">
        <v>10</v>
      </c>
      <c r="D2564" t="s">
        <v>1280</v>
      </c>
      <c r="E2564" t="s">
        <v>173</v>
      </c>
    </row>
    <row r="2565" spans="1:5" x14ac:dyDescent="0.25">
      <c r="A2565" s="2" t="s">
        <v>1281</v>
      </c>
      <c r="B2565" s="2">
        <v>2563</v>
      </c>
      <c r="C2565" t="s">
        <v>14</v>
      </c>
      <c r="D2565" t="s">
        <v>1280</v>
      </c>
      <c r="E2565" t="s">
        <v>173</v>
      </c>
    </row>
    <row r="2566" spans="1:5" x14ac:dyDescent="0.25">
      <c r="A2566" s="2" t="str">
        <f>HYPERLINK("spreadsheet/2564.xlsx", "2564.xlsx")</f>
        <v>2564.xlsx</v>
      </c>
      <c r="B2566" s="2">
        <v>2564</v>
      </c>
      <c r="C2566" t="s">
        <v>5</v>
      </c>
      <c r="D2566" t="s">
        <v>1282</v>
      </c>
      <c r="E2566" t="s">
        <v>115</v>
      </c>
    </row>
    <row r="2567" spans="1:5" x14ac:dyDescent="0.25">
      <c r="A2567" s="2" t="str">
        <f>HYPERLINK("spreadsheet/2565.xlsx", "2565.xlsx")</f>
        <v>2565.xlsx</v>
      </c>
      <c r="B2567" s="2">
        <v>2565</v>
      </c>
      <c r="C2567" t="s">
        <v>10</v>
      </c>
      <c r="D2567" t="s">
        <v>1282</v>
      </c>
      <c r="E2567" t="s">
        <v>115</v>
      </c>
    </row>
    <row r="2568" spans="1:5" x14ac:dyDescent="0.25">
      <c r="A2568" s="2" t="s">
        <v>1283</v>
      </c>
      <c r="B2568" s="2">
        <v>2566</v>
      </c>
      <c r="C2568" t="s">
        <v>5</v>
      </c>
      <c r="D2568" t="s">
        <v>1284</v>
      </c>
      <c r="E2568" t="s">
        <v>150</v>
      </c>
    </row>
    <row r="2569" spans="1:5" x14ac:dyDescent="0.25">
      <c r="A2569" s="2" t="s">
        <v>1285</v>
      </c>
      <c r="B2569" s="2">
        <v>2567</v>
      </c>
      <c r="C2569" t="s">
        <v>10</v>
      </c>
      <c r="D2569" t="s">
        <v>1284</v>
      </c>
      <c r="E2569" t="s">
        <v>150</v>
      </c>
    </row>
    <row r="2570" spans="1:5" x14ac:dyDescent="0.25">
      <c r="A2570" s="2" t="s">
        <v>1286</v>
      </c>
      <c r="B2570" s="2">
        <v>2568</v>
      </c>
      <c r="C2570" t="s">
        <v>14</v>
      </c>
      <c r="D2570" t="s">
        <v>1284</v>
      </c>
      <c r="E2570" t="s">
        <v>150</v>
      </c>
    </row>
    <row r="2571" spans="1:5" x14ac:dyDescent="0.25">
      <c r="A2571" s="2" t="str">
        <f>HYPERLINK("spreadsheet/2569.xlsx", "2569.xlsx")</f>
        <v>2569.xlsx</v>
      </c>
      <c r="B2571" s="2">
        <v>2569</v>
      </c>
      <c r="C2571" t="s">
        <v>5</v>
      </c>
      <c r="D2571" t="s">
        <v>1287</v>
      </c>
      <c r="E2571" t="s">
        <v>332</v>
      </c>
    </row>
    <row r="2572" spans="1:5" x14ac:dyDescent="0.25">
      <c r="A2572" s="2" t="s">
        <v>1288</v>
      </c>
      <c r="B2572" s="2">
        <v>2570</v>
      </c>
      <c r="C2572" t="s">
        <v>22</v>
      </c>
      <c r="D2572" t="s">
        <v>1287</v>
      </c>
      <c r="E2572" t="s">
        <v>332</v>
      </c>
    </row>
    <row r="2573" spans="1:5" x14ac:dyDescent="0.25">
      <c r="A2573" s="2" t="str">
        <f>HYPERLINK("spreadsheet/2571.xlsx", "2571.xlsx")</f>
        <v>2571.xlsx</v>
      </c>
      <c r="B2573" s="2">
        <v>2571</v>
      </c>
      <c r="C2573" t="s">
        <v>15</v>
      </c>
      <c r="D2573" t="s">
        <v>1287</v>
      </c>
      <c r="E2573" t="s">
        <v>332</v>
      </c>
    </row>
    <row r="2574" spans="1:5" x14ac:dyDescent="0.25">
      <c r="A2574" s="2" t="s">
        <v>1289</v>
      </c>
      <c r="B2574" s="2">
        <v>2572</v>
      </c>
      <c r="C2574" t="s">
        <v>5</v>
      </c>
      <c r="D2574" t="s">
        <v>1290</v>
      </c>
      <c r="E2574" t="s">
        <v>690</v>
      </c>
    </row>
    <row r="2575" spans="1:5" x14ac:dyDescent="0.25">
      <c r="A2575" s="2" t="s">
        <v>1291</v>
      </c>
      <c r="B2575" s="2">
        <v>2573</v>
      </c>
      <c r="C2575" t="s">
        <v>10</v>
      </c>
      <c r="D2575" t="s">
        <v>1290</v>
      </c>
      <c r="E2575" t="s">
        <v>690</v>
      </c>
    </row>
    <row r="2576" spans="1:5" x14ac:dyDescent="0.25">
      <c r="A2576" s="2" t="s">
        <v>1292</v>
      </c>
      <c r="B2576" s="2">
        <v>2574</v>
      </c>
      <c r="C2576" t="s">
        <v>14</v>
      </c>
      <c r="D2576" t="s">
        <v>1290</v>
      </c>
      <c r="E2576" t="s">
        <v>690</v>
      </c>
    </row>
    <row r="2577" spans="1:5" x14ac:dyDescent="0.25">
      <c r="A2577" s="2" t="s">
        <v>1293</v>
      </c>
      <c r="B2577" s="2">
        <v>2575</v>
      </c>
      <c r="C2577" t="s">
        <v>15</v>
      </c>
      <c r="D2577" t="s">
        <v>1290</v>
      </c>
      <c r="E2577" t="s">
        <v>690</v>
      </c>
    </row>
    <row r="2578" spans="1:5" x14ac:dyDescent="0.25">
      <c r="A2578" s="2" t="s">
        <v>1294</v>
      </c>
      <c r="B2578" s="2">
        <v>2576</v>
      </c>
      <c r="C2578" t="s">
        <v>5</v>
      </c>
      <c r="D2578" t="s">
        <v>1295</v>
      </c>
      <c r="E2578" t="s">
        <v>154</v>
      </c>
    </row>
    <row r="2579" spans="1:5" x14ac:dyDescent="0.25">
      <c r="A2579" s="2" t="str">
        <f>HYPERLINK("spreadsheet/2577.xlsx", "2577.xlsx")</f>
        <v>2577.xlsx</v>
      </c>
      <c r="B2579" s="2">
        <v>2577</v>
      </c>
      <c r="C2579" t="s">
        <v>10</v>
      </c>
      <c r="D2579" t="s">
        <v>1295</v>
      </c>
      <c r="E2579" t="s">
        <v>154</v>
      </c>
    </row>
    <row r="2580" spans="1:5" x14ac:dyDescent="0.25">
      <c r="A2580" s="2" t="str">
        <f>HYPERLINK("spreadsheet/2578.xlsx", "2578.xlsx")</f>
        <v>2578.xlsx</v>
      </c>
      <c r="B2580" s="2">
        <v>2578</v>
      </c>
      <c r="C2580" t="s">
        <v>14</v>
      </c>
      <c r="D2580" t="s">
        <v>1295</v>
      </c>
      <c r="E2580" t="s">
        <v>154</v>
      </c>
    </row>
    <row r="2581" spans="1:5" x14ac:dyDescent="0.25">
      <c r="A2581" s="2" t="str">
        <f>HYPERLINK("spreadsheet/2579.xlsx", "2579.xlsx")</f>
        <v>2579.xlsx</v>
      </c>
      <c r="B2581" s="2">
        <v>2579</v>
      </c>
      <c r="C2581" t="s">
        <v>5</v>
      </c>
      <c r="D2581" t="s">
        <v>1296</v>
      </c>
      <c r="E2581" t="s">
        <v>134</v>
      </c>
    </row>
    <row r="2582" spans="1:5" x14ac:dyDescent="0.25">
      <c r="A2582" s="2" t="s">
        <v>1297</v>
      </c>
      <c r="B2582" s="2">
        <v>2580</v>
      </c>
      <c r="C2582" t="s">
        <v>10</v>
      </c>
      <c r="D2582" t="s">
        <v>1296</v>
      </c>
      <c r="E2582" t="s">
        <v>134</v>
      </c>
    </row>
    <row r="2583" spans="1:5" x14ac:dyDescent="0.25">
      <c r="A2583" s="2" t="str">
        <f>HYPERLINK("spreadsheet/2581.xlsx", "2581.xlsx")</f>
        <v>2581.xlsx</v>
      </c>
      <c r="B2583" s="2">
        <v>2581</v>
      </c>
      <c r="C2583" t="s">
        <v>14</v>
      </c>
      <c r="D2583" t="s">
        <v>1296</v>
      </c>
      <c r="E2583" t="s">
        <v>134</v>
      </c>
    </row>
    <row r="2584" spans="1:5" x14ac:dyDescent="0.25">
      <c r="A2584" s="2" t="str">
        <f>HYPERLINK("spreadsheet/2582.xlsx", "2582.xlsx")</f>
        <v>2582.xlsx</v>
      </c>
      <c r="B2584" s="2">
        <v>2582</v>
      </c>
      <c r="C2584" t="s">
        <v>15</v>
      </c>
      <c r="D2584" t="s">
        <v>1296</v>
      </c>
      <c r="E2584" t="s">
        <v>134</v>
      </c>
    </row>
    <row r="2585" spans="1:5" x14ac:dyDescent="0.25">
      <c r="A2585" s="2" t="str">
        <f>HYPERLINK("spreadsheet/2583.xlsx", "2583.xlsx")</f>
        <v>2583.xlsx</v>
      </c>
      <c r="B2585" s="2">
        <v>2583</v>
      </c>
      <c r="C2585" t="s">
        <v>5</v>
      </c>
      <c r="D2585" t="s">
        <v>1298</v>
      </c>
      <c r="E2585" t="s">
        <v>150</v>
      </c>
    </row>
    <row r="2586" spans="1:5" x14ac:dyDescent="0.25">
      <c r="A2586" s="2" t="str">
        <f>HYPERLINK("spreadsheet/2584.xlsx", "2584.xlsx")</f>
        <v>2584.xlsx</v>
      </c>
      <c r="B2586" s="2">
        <v>2584</v>
      </c>
      <c r="C2586" t="s">
        <v>10</v>
      </c>
      <c r="D2586" t="s">
        <v>1298</v>
      </c>
      <c r="E2586" t="s">
        <v>150</v>
      </c>
    </row>
    <row r="2587" spans="1:5" x14ac:dyDescent="0.25">
      <c r="A2587" s="2" t="str">
        <f>HYPERLINK("spreadsheet/2585.xlsx", "2585.xlsx")</f>
        <v>2585.xlsx</v>
      </c>
      <c r="B2587" s="2">
        <v>2585</v>
      </c>
      <c r="C2587" t="s">
        <v>14</v>
      </c>
      <c r="D2587" t="s">
        <v>1298</v>
      </c>
      <c r="E2587" t="s">
        <v>150</v>
      </c>
    </row>
    <row r="2588" spans="1:5" x14ac:dyDescent="0.25">
      <c r="A2588" s="2" t="str">
        <f>HYPERLINK("spreadsheet/2586.xlsx", "2586.xlsx")</f>
        <v>2586.xlsx</v>
      </c>
      <c r="B2588" s="2">
        <v>2586</v>
      </c>
      <c r="C2588" t="s">
        <v>15</v>
      </c>
      <c r="D2588" t="s">
        <v>1298</v>
      </c>
      <c r="E2588" t="s">
        <v>150</v>
      </c>
    </row>
    <row r="2589" spans="1:5" x14ac:dyDescent="0.25">
      <c r="A2589" s="2" t="str">
        <f>HYPERLINK("spreadsheet/2587.xlsx", "2587.xlsx")</f>
        <v>2587.xlsx</v>
      </c>
      <c r="B2589" s="2">
        <v>2587</v>
      </c>
      <c r="C2589" t="s">
        <v>22</v>
      </c>
      <c r="D2589" t="s">
        <v>1298</v>
      </c>
      <c r="E2589" t="s">
        <v>150</v>
      </c>
    </row>
    <row r="2590" spans="1:5" x14ac:dyDescent="0.25">
      <c r="A2590" s="2" t="str">
        <f>HYPERLINK("spreadsheet/2588.xlsx", "2588.xlsx")</f>
        <v>2588.xlsx</v>
      </c>
      <c r="B2590" s="2">
        <v>2588</v>
      </c>
      <c r="C2590" t="s">
        <v>24</v>
      </c>
      <c r="D2590" t="s">
        <v>1298</v>
      </c>
      <c r="E2590" t="s">
        <v>150</v>
      </c>
    </row>
    <row r="2591" spans="1:5" x14ac:dyDescent="0.25">
      <c r="A2591" s="2" t="str">
        <f>HYPERLINK("spreadsheet/2589.xlsx", "2589.xlsx")</f>
        <v>2589.xlsx</v>
      </c>
      <c r="B2591" s="2">
        <v>2589</v>
      </c>
      <c r="C2591" t="s">
        <v>60</v>
      </c>
      <c r="D2591" t="s">
        <v>1298</v>
      </c>
      <c r="E2591" t="s">
        <v>150</v>
      </c>
    </row>
    <row r="2592" spans="1:5" x14ac:dyDescent="0.25">
      <c r="A2592" s="2" t="str">
        <f>HYPERLINK("spreadsheet/2590.xlsx", "2590.xlsx")</f>
        <v>2590.xlsx</v>
      </c>
      <c r="B2592" s="2">
        <v>2590</v>
      </c>
      <c r="C2592" t="s">
        <v>44</v>
      </c>
      <c r="D2592" t="s">
        <v>1298</v>
      </c>
      <c r="E2592" t="s">
        <v>150</v>
      </c>
    </row>
    <row r="2593" spans="1:5" x14ac:dyDescent="0.25">
      <c r="A2593" s="2" t="str">
        <f>HYPERLINK("spreadsheet/2591.xlsx", "2591.xlsx")</f>
        <v>2591.xlsx</v>
      </c>
      <c r="B2593" s="2">
        <v>2591</v>
      </c>
      <c r="C2593" t="s">
        <v>45</v>
      </c>
      <c r="D2593" t="s">
        <v>1298</v>
      </c>
      <c r="E2593" t="s">
        <v>150</v>
      </c>
    </row>
    <row r="2594" spans="1:5" x14ac:dyDescent="0.25">
      <c r="A2594" s="2" t="str">
        <f>HYPERLINK("spreadsheet/2592.xlsx", "2592.xlsx")</f>
        <v>2592.xlsx</v>
      </c>
      <c r="B2594" s="2">
        <v>2592</v>
      </c>
      <c r="C2594" t="s">
        <v>46</v>
      </c>
      <c r="D2594" t="s">
        <v>1298</v>
      </c>
      <c r="E2594" t="s">
        <v>150</v>
      </c>
    </row>
    <row r="2595" spans="1:5" x14ac:dyDescent="0.25">
      <c r="A2595" s="2" t="str">
        <f>HYPERLINK("spreadsheet/2593.xlsx", "2593.xlsx")</f>
        <v>2593.xlsx</v>
      </c>
      <c r="B2595" s="2">
        <v>2593</v>
      </c>
      <c r="C2595" t="s">
        <v>47</v>
      </c>
      <c r="D2595" t="s">
        <v>1298</v>
      </c>
      <c r="E2595" t="s">
        <v>150</v>
      </c>
    </row>
    <row r="2596" spans="1:5" x14ac:dyDescent="0.25">
      <c r="A2596" s="2" t="str">
        <f>HYPERLINK("spreadsheet/2594.xlsx", "2594.xlsx")</f>
        <v>2594.xlsx</v>
      </c>
      <c r="B2596" s="2">
        <v>2594</v>
      </c>
      <c r="C2596" t="s">
        <v>48</v>
      </c>
      <c r="D2596" t="s">
        <v>1298</v>
      </c>
      <c r="E2596" t="s">
        <v>150</v>
      </c>
    </row>
    <row r="2597" spans="1:5" x14ac:dyDescent="0.25">
      <c r="A2597" s="2" t="str">
        <f>HYPERLINK("spreadsheet/2595.xlsx", "2595.xlsx")</f>
        <v>2595.xlsx</v>
      </c>
      <c r="B2597" s="2">
        <v>2595</v>
      </c>
      <c r="C2597" t="s">
        <v>49</v>
      </c>
      <c r="D2597" t="s">
        <v>1298</v>
      </c>
      <c r="E2597" t="s">
        <v>150</v>
      </c>
    </row>
    <row r="2598" spans="1:5" x14ac:dyDescent="0.25">
      <c r="A2598" s="2" t="str">
        <f>HYPERLINK("spreadsheet/2596.xlsx", "2596.xlsx")</f>
        <v>2596.xlsx</v>
      </c>
      <c r="B2598" s="2">
        <v>2596</v>
      </c>
      <c r="C2598" t="s">
        <v>5</v>
      </c>
      <c r="D2598" t="s">
        <v>1299</v>
      </c>
      <c r="E2598" t="s">
        <v>164</v>
      </c>
    </row>
    <row r="2599" spans="1:5" x14ac:dyDescent="0.25">
      <c r="A2599" s="2" t="str">
        <f>HYPERLINK("spreadsheet/2597.xlsx", "2597.xlsx")</f>
        <v>2597.xlsx</v>
      </c>
      <c r="B2599" s="2">
        <v>2597</v>
      </c>
      <c r="C2599" t="s">
        <v>10</v>
      </c>
      <c r="D2599" t="s">
        <v>1299</v>
      </c>
      <c r="E2599" t="s">
        <v>164</v>
      </c>
    </row>
    <row r="2600" spans="1:5" x14ac:dyDescent="0.25">
      <c r="A2600" s="2" t="str">
        <f>HYPERLINK("spreadsheet/2598.xlsx", "2598.xlsx")</f>
        <v>2598.xlsx</v>
      </c>
      <c r="B2600" s="2">
        <v>2598</v>
      </c>
      <c r="C2600" t="s">
        <v>5</v>
      </c>
      <c r="D2600" t="s">
        <v>1300</v>
      </c>
      <c r="E2600" t="s">
        <v>115</v>
      </c>
    </row>
    <row r="2601" spans="1:5" x14ac:dyDescent="0.25">
      <c r="A2601" s="2" t="str">
        <f>HYPERLINK("spreadsheet/2599.xlsx", "2599.xlsx")</f>
        <v>2599.xlsx</v>
      </c>
      <c r="B2601" s="2">
        <v>2599</v>
      </c>
      <c r="C2601" t="s">
        <v>10</v>
      </c>
      <c r="D2601" t="s">
        <v>1300</v>
      </c>
      <c r="E2601" t="s">
        <v>115</v>
      </c>
    </row>
    <row r="2602" spans="1:5" x14ac:dyDescent="0.25">
      <c r="A2602" s="2" t="str">
        <f>HYPERLINK("spreadsheet/2600.xlsx", "2600.xlsx")</f>
        <v>2600.xlsx</v>
      </c>
      <c r="B2602" s="2">
        <v>2600</v>
      </c>
      <c r="C2602" t="s">
        <v>14</v>
      </c>
      <c r="D2602" t="s">
        <v>1300</v>
      </c>
      <c r="E2602" t="s">
        <v>115</v>
      </c>
    </row>
    <row r="2603" spans="1:5" x14ac:dyDescent="0.25">
      <c r="A2603" s="2" t="str">
        <f>HYPERLINK("spreadsheet/2601.xlsx", "2601.xlsx")</f>
        <v>2601.xlsx</v>
      </c>
      <c r="B2603" s="2">
        <v>2601</v>
      </c>
      <c r="C2603" t="s">
        <v>15</v>
      </c>
      <c r="D2603" t="s">
        <v>1300</v>
      </c>
      <c r="E2603" t="s">
        <v>115</v>
      </c>
    </row>
    <row r="2604" spans="1:5" x14ac:dyDescent="0.25">
      <c r="A2604" s="2" t="str">
        <f>HYPERLINK("spreadsheet/2602.xlsx", "2602.xlsx")</f>
        <v>2602.xlsx</v>
      </c>
      <c r="B2604" s="2">
        <v>2602</v>
      </c>
      <c r="C2604" t="s">
        <v>5</v>
      </c>
      <c r="D2604" t="s">
        <v>1301</v>
      </c>
      <c r="E2604" t="s">
        <v>218</v>
      </c>
    </row>
    <row r="2605" spans="1:5" x14ac:dyDescent="0.25">
      <c r="A2605" s="2" t="str">
        <f>HYPERLINK("spreadsheet/2603.xlsx", "2603.xlsx")</f>
        <v>2603.xlsx</v>
      </c>
      <c r="B2605" s="2">
        <v>2603</v>
      </c>
      <c r="C2605" t="s">
        <v>10</v>
      </c>
      <c r="D2605" t="s">
        <v>1301</v>
      </c>
      <c r="E2605" t="s">
        <v>218</v>
      </c>
    </row>
    <row r="2606" spans="1:5" x14ac:dyDescent="0.25">
      <c r="A2606" s="2" t="str">
        <f>HYPERLINK("spreadsheet/2604.xlsx", "2604.xlsx")</f>
        <v>2604.xlsx</v>
      </c>
      <c r="B2606" s="2">
        <v>2604</v>
      </c>
      <c r="C2606" t="s">
        <v>14</v>
      </c>
      <c r="D2606" t="s">
        <v>1301</v>
      </c>
      <c r="E2606" t="s">
        <v>218</v>
      </c>
    </row>
    <row r="2607" spans="1:5" x14ac:dyDescent="0.25">
      <c r="A2607" s="2" t="str">
        <f>HYPERLINK("spreadsheet/2605.xlsx", "2605.xlsx")</f>
        <v>2605.xlsx</v>
      </c>
      <c r="B2607" s="2">
        <v>2605</v>
      </c>
      <c r="C2607" t="s">
        <v>15</v>
      </c>
      <c r="D2607" t="s">
        <v>1301</v>
      </c>
      <c r="E2607" t="s">
        <v>218</v>
      </c>
    </row>
    <row r="2608" spans="1:5" x14ac:dyDescent="0.25">
      <c r="A2608" s="2" t="str">
        <f>HYPERLINK("spreadsheet/2606.xlsx", "2606.xlsx")</f>
        <v>2606.xlsx</v>
      </c>
      <c r="B2608" s="2">
        <v>2606</v>
      </c>
      <c r="C2608" t="s">
        <v>22</v>
      </c>
      <c r="D2608" t="s">
        <v>1301</v>
      </c>
      <c r="E2608" t="s">
        <v>218</v>
      </c>
    </row>
    <row r="2609" spans="1:5" x14ac:dyDescent="0.25">
      <c r="A2609" s="2" t="str">
        <f>HYPERLINK("spreadsheet/2607.xlsx", "2607.xlsx")</f>
        <v>2607.xlsx</v>
      </c>
      <c r="B2609" s="2">
        <v>2607</v>
      </c>
      <c r="C2609" t="s">
        <v>24</v>
      </c>
      <c r="D2609" t="s">
        <v>1301</v>
      </c>
      <c r="E2609" t="s">
        <v>218</v>
      </c>
    </row>
    <row r="2610" spans="1:5" x14ac:dyDescent="0.25">
      <c r="A2610" s="2" t="str">
        <f>HYPERLINK("spreadsheet/2608.xlsx", "2608.xlsx")</f>
        <v>2608.xlsx</v>
      </c>
      <c r="B2610" s="2">
        <v>2608</v>
      </c>
      <c r="C2610" t="s">
        <v>5</v>
      </c>
      <c r="D2610" t="s">
        <v>1302</v>
      </c>
      <c r="E2610" t="s">
        <v>126</v>
      </c>
    </row>
    <row r="2611" spans="1:5" x14ac:dyDescent="0.25">
      <c r="A2611" s="2" t="str">
        <f>HYPERLINK("spreadsheet/2609.xlsx", "2609.xlsx")</f>
        <v>2609.xlsx</v>
      </c>
      <c r="B2611" s="2">
        <v>2609</v>
      </c>
      <c r="C2611" t="s">
        <v>10</v>
      </c>
      <c r="D2611" t="s">
        <v>1302</v>
      </c>
      <c r="E2611" t="s">
        <v>126</v>
      </c>
    </row>
    <row r="2612" spans="1:5" x14ac:dyDescent="0.25">
      <c r="A2612" s="2" t="str">
        <f>HYPERLINK("spreadsheet/2610.xlsx", "2610.xlsx")</f>
        <v>2610.xlsx</v>
      </c>
      <c r="B2612" s="2">
        <v>2610</v>
      </c>
      <c r="C2612" t="s">
        <v>14</v>
      </c>
      <c r="D2612" t="s">
        <v>1302</v>
      </c>
      <c r="E2612" t="s">
        <v>126</v>
      </c>
    </row>
    <row r="2613" spans="1:5" x14ac:dyDescent="0.25">
      <c r="A2613" s="2" t="s">
        <v>1303</v>
      </c>
      <c r="B2613" s="2">
        <v>2611</v>
      </c>
      <c r="C2613" t="s">
        <v>5</v>
      </c>
      <c r="D2613" t="s">
        <v>1304</v>
      </c>
      <c r="E2613" t="s">
        <v>150</v>
      </c>
    </row>
    <row r="2614" spans="1:5" x14ac:dyDescent="0.25">
      <c r="A2614" s="2" t="str">
        <f>HYPERLINK("spreadsheet/2612.xlsx", "2612.xlsx")</f>
        <v>2612.xlsx</v>
      </c>
      <c r="B2614" s="2">
        <v>2612</v>
      </c>
      <c r="C2614" t="s">
        <v>5</v>
      </c>
      <c r="D2614" t="s">
        <v>1305</v>
      </c>
      <c r="E2614" t="s">
        <v>145</v>
      </c>
    </row>
    <row r="2615" spans="1:5" x14ac:dyDescent="0.25">
      <c r="A2615" s="2" t="str">
        <f>HYPERLINK("spreadsheet/2613.xlsx", "2613.xlsx")</f>
        <v>2613.xlsx</v>
      </c>
      <c r="B2615" s="2">
        <v>2613</v>
      </c>
      <c r="C2615" t="s">
        <v>10</v>
      </c>
      <c r="D2615" t="s">
        <v>1305</v>
      </c>
      <c r="E2615" t="s">
        <v>145</v>
      </c>
    </row>
    <row r="2616" spans="1:5" x14ac:dyDescent="0.25">
      <c r="A2616" s="2" t="str">
        <f>HYPERLINK("spreadsheet/2614.xlsx", "2614.xlsx")</f>
        <v>2614.xlsx</v>
      </c>
      <c r="B2616" s="2">
        <v>2614</v>
      </c>
      <c r="C2616" t="s">
        <v>14</v>
      </c>
      <c r="D2616" t="s">
        <v>1305</v>
      </c>
      <c r="E2616" t="s">
        <v>145</v>
      </c>
    </row>
    <row r="2617" spans="1:5" x14ac:dyDescent="0.25">
      <c r="A2617" s="2" t="str">
        <f>HYPERLINK("spreadsheet/2615.xlsx", "2615.xlsx")</f>
        <v>2615.xlsx</v>
      </c>
      <c r="B2617" s="2">
        <v>2615</v>
      </c>
      <c r="C2617" t="s">
        <v>15</v>
      </c>
      <c r="D2617" t="s">
        <v>1305</v>
      </c>
      <c r="E2617" t="s">
        <v>145</v>
      </c>
    </row>
    <row r="2618" spans="1:5" x14ac:dyDescent="0.25">
      <c r="A2618" s="2" t="str">
        <f>HYPERLINK("spreadsheet/2616.xlsx", "2616.xlsx")</f>
        <v>2616.xlsx</v>
      </c>
      <c r="B2618" s="2">
        <v>2616</v>
      </c>
      <c r="C2618" t="s">
        <v>22</v>
      </c>
      <c r="D2618" t="s">
        <v>1305</v>
      </c>
      <c r="E2618" t="s">
        <v>145</v>
      </c>
    </row>
    <row r="2619" spans="1:5" x14ac:dyDescent="0.25">
      <c r="A2619" s="2" t="str">
        <f>HYPERLINK("spreadsheet/2617.xlsx", "2617.xlsx")</f>
        <v>2617.xlsx</v>
      </c>
      <c r="B2619" s="2">
        <v>2617</v>
      </c>
      <c r="C2619" t="s">
        <v>24</v>
      </c>
      <c r="D2619" t="s">
        <v>1305</v>
      </c>
      <c r="E2619" t="s">
        <v>145</v>
      </c>
    </row>
    <row r="2620" spans="1:5" x14ac:dyDescent="0.25">
      <c r="A2620" s="2" t="str">
        <f>HYPERLINK("spreadsheet/2618.xlsx", "2618.xlsx")</f>
        <v>2618.xlsx</v>
      </c>
      <c r="B2620" s="2">
        <v>2618</v>
      </c>
      <c r="C2620" t="s">
        <v>60</v>
      </c>
      <c r="D2620" t="s">
        <v>1305</v>
      </c>
      <c r="E2620" t="s">
        <v>145</v>
      </c>
    </row>
    <row r="2621" spans="1:5" x14ac:dyDescent="0.25">
      <c r="A2621" s="2" t="str">
        <f>HYPERLINK("spreadsheet/2619.xlsx", "2619.xlsx")</f>
        <v>2619.xlsx</v>
      </c>
      <c r="B2621" s="2">
        <v>2619</v>
      </c>
      <c r="C2621" t="s">
        <v>44</v>
      </c>
      <c r="D2621" t="s">
        <v>1305</v>
      </c>
      <c r="E2621" t="s">
        <v>145</v>
      </c>
    </row>
    <row r="2622" spans="1:5" x14ac:dyDescent="0.25">
      <c r="A2622" s="2" t="str">
        <f>HYPERLINK("spreadsheet/2620.xlsx", "2620.xlsx")</f>
        <v>2620.xlsx</v>
      </c>
      <c r="B2622" s="2">
        <v>2620</v>
      </c>
      <c r="C2622" t="s">
        <v>45</v>
      </c>
      <c r="D2622" t="s">
        <v>1305</v>
      </c>
      <c r="E2622" t="s">
        <v>145</v>
      </c>
    </row>
    <row r="2623" spans="1:5" x14ac:dyDescent="0.25">
      <c r="A2623" s="2" t="str">
        <f>HYPERLINK("spreadsheet/2621.xlsx", "2621.xlsx")</f>
        <v>2621.xlsx</v>
      </c>
      <c r="B2623" s="2">
        <v>2621</v>
      </c>
      <c r="C2623" t="s">
        <v>10</v>
      </c>
      <c r="D2623" t="s">
        <v>1306</v>
      </c>
      <c r="E2623" t="s">
        <v>126</v>
      </c>
    </row>
    <row r="2624" spans="1:5" x14ac:dyDescent="0.25">
      <c r="A2624" s="2" t="str">
        <f>HYPERLINK("spreadsheet/2622.xlsx", "2622.xlsx")</f>
        <v>2622.xlsx</v>
      </c>
      <c r="B2624" s="2">
        <v>2622</v>
      </c>
      <c r="C2624" t="s">
        <v>5</v>
      </c>
      <c r="D2624" t="s">
        <v>1307</v>
      </c>
      <c r="E2624" t="s">
        <v>150</v>
      </c>
    </row>
    <row r="2625" spans="1:5" x14ac:dyDescent="0.25">
      <c r="A2625" s="2" t="str">
        <f>HYPERLINK("spreadsheet/2623.xlsx", "2623.xlsx")</f>
        <v>2623.xlsx</v>
      </c>
      <c r="B2625" s="2">
        <v>2623</v>
      </c>
      <c r="C2625" t="s">
        <v>10</v>
      </c>
      <c r="D2625" t="s">
        <v>1307</v>
      </c>
      <c r="E2625" t="s">
        <v>150</v>
      </c>
    </row>
    <row r="2626" spans="1:5" x14ac:dyDescent="0.25">
      <c r="A2626" s="2" t="str">
        <f>HYPERLINK("spreadsheet/2624.xlsx", "2624.xlsx")</f>
        <v>2624.xlsx</v>
      </c>
      <c r="B2626" s="2">
        <v>2624</v>
      </c>
      <c r="C2626" t="s">
        <v>14</v>
      </c>
      <c r="D2626" t="s">
        <v>1307</v>
      </c>
      <c r="E2626" t="s">
        <v>150</v>
      </c>
    </row>
    <row r="2627" spans="1:5" x14ac:dyDescent="0.25">
      <c r="A2627" s="2" t="str">
        <f>HYPERLINK("spreadsheet/2625.xlsx", "2625.xlsx")</f>
        <v>2625.xlsx</v>
      </c>
      <c r="B2627" s="2">
        <v>2625</v>
      </c>
      <c r="C2627" t="s">
        <v>15</v>
      </c>
      <c r="D2627" t="s">
        <v>1307</v>
      </c>
      <c r="E2627" t="s">
        <v>150</v>
      </c>
    </row>
    <row r="2628" spans="1:5" x14ac:dyDescent="0.25">
      <c r="A2628" s="2" t="str">
        <f>HYPERLINK("spreadsheet/2626.xlsx", "2626.xlsx")</f>
        <v>2626.xlsx</v>
      </c>
      <c r="B2628" s="2">
        <v>2626</v>
      </c>
      <c r="C2628" t="s">
        <v>22</v>
      </c>
      <c r="D2628" t="s">
        <v>1307</v>
      </c>
      <c r="E2628" t="s">
        <v>150</v>
      </c>
    </row>
    <row r="2629" spans="1:5" x14ac:dyDescent="0.25">
      <c r="A2629" s="2" t="str">
        <f>HYPERLINK("spreadsheet/2627.xlsx", "2627.xlsx")</f>
        <v>2627.xlsx</v>
      </c>
      <c r="B2629" s="2">
        <v>2627</v>
      </c>
      <c r="C2629" t="s">
        <v>24</v>
      </c>
      <c r="D2629" t="s">
        <v>1307</v>
      </c>
      <c r="E2629" t="s">
        <v>150</v>
      </c>
    </row>
    <row r="2630" spans="1:5" x14ac:dyDescent="0.25">
      <c r="A2630" s="2" t="str">
        <f>HYPERLINK("spreadsheet/2628.xlsx", "2628.xlsx")</f>
        <v>2628.xlsx</v>
      </c>
      <c r="B2630" s="2">
        <v>2628</v>
      </c>
      <c r="C2630" t="s">
        <v>60</v>
      </c>
      <c r="D2630" t="s">
        <v>1307</v>
      </c>
      <c r="E2630" t="s">
        <v>150</v>
      </c>
    </row>
    <row r="2631" spans="1:5" x14ac:dyDescent="0.25">
      <c r="A2631" s="2" t="str">
        <f>HYPERLINK("spreadsheet/2629.xlsx", "2629.xlsx")</f>
        <v>2629.xlsx</v>
      </c>
      <c r="B2631" s="2">
        <v>2629</v>
      </c>
      <c r="C2631" t="s">
        <v>44</v>
      </c>
      <c r="D2631" t="s">
        <v>1307</v>
      </c>
      <c r="E2631" t="s">
        <v>150</v>
      </c>
    </row>
    <row r="2632" spans="1:5" x14ac:dyDescent="0.25">
      <c r="A2632" s="2" t="str">
        <f>HYPERLINK("spreadsheet/2630.xlsx", "2630.xlsx")</f>
        <v>2630.xlsx</v>
      </c>
      <c r="B2632" s="2">
        <v>2630</v>
      </c>
      <c r="C2632" t="s">
        <v>45</v>
      </c>
      <c r="D2632" t="s">
        <v>1307</v>
      </c>
      <c r="E2632" t="s">
        <v>150</v>
      </c>
    </row>
    <row r="2633" spans="1:5" x14ac:dyDescent="0.25">
      <c r="A2633" s="2" t="str">
        <f>HYPERLINK("spreadsheet/2631.xlsx", "2631.xlsx")</f>
        <v>2631.xlsx</v>
      </c>
      <c r="B2633" s="2">
        <v>2631</v>
      </c>
      <c r="C2633" t="s">
        <v>46</v>
      </c>
      <c r="D2633" t="s">
        <v>1307</v>
      </c>
      <c r="E2633" t="s">
        <v>150</v>
      </c>
    </row>
    <row r="2634" spans="1:5" x14ac:dyDescent="0.25">
      <c r="A2634" s="2" t="str">
        <f>HYPERLINK("spreadsheet/2632.xlsx", "2632.xlsx")</f>
        <v>2632.xlsx</v>
      </c>
      <c r="B2634" s="2">
        <v>2632</v>
      </c>
      <c r="C2634" t="s">
        <v>47</v>
      </c>
      <c r="D2634" t="s">
        <v>1307</v>
      </c>
      <c r="E2634" t="s">
        <v>150</v>
      </c>
    </row>
    <row r="2635" spans="1:5" x14ac:dyDescent="0.25">
      <c r="A2635" s="2" t="str">
        <f>HYPERLINK("spreadsheet/2633.xlsx", "2633.xlsx")</f>
        <v>2633.xlsx</v>
      </c>
      <c r="B2635" s="2">
        <v>2633</v>
      </c>
      <c r="C2635" t="s">
        <v>5</v>
      </c>
      <c r="D2635" t="s">
        <v>1308</v>
      </c>
      <c r="E2635" t="s">
        <v>126</v>
      </c>
    </row>
    <row r="2636" spans="1:5" x14ac:dyDescent="0.25">
      <c r="A2636" s="2" t="str">
        <f>HYPERLINK("spreadsheet/2634.xlsx", "2634.xlsx")</f>
        <v>2634.xlsx</v>
      </c>
      <c r="B2636" s="2">
        <v>2634</v>
      </c>
      <c r="C2636" t="s">
        <v>10</v>
      </c>
      <c r="D2636" t="s">
        <v>1308</v>
      </c>
      <c r="E2636" t="s">
        <v>126</v>
      </c>
    </row>
    <row r="2637" spans="1:5" x14ac:dyDescent="0.25">
      <c r="A2637" s="2" t="s">
        <v>1309</v>
      </c>
      <c r="B2637" s="2">
        <v>2635</v>
      </c>
      <c r="C2637" t="s">
        <v>14</v>
      </c>
      <c r="D2637" t="s">
        <v>1308</v>
      </c>
      <c r="E2637" t="s">
        <v>126</v>
      </c>
    </row>
    <row r="2638" spans="1:5" x14ac:dyDescent="0.25">
      <c r="A2638" s="2" t="s">
        <v>1310</v>
      </c>
      <c r="B2638" s="2">
        <v>2636</v>
      </c>
      <c r="C2638" t="s">
        <v>15</v>
      </c>
      <c r="D2638" t="s">
        <v>1308</v>
      </c>
      <c r="E2638" t="s">
        <v>126</v>
      </c>
    </row>
    <row r="2639" spans="1:5" x14ac:dyDescent="0.25">
      <c r="A2639" s="2" t="str">
        <f>HYPERLINK("spreadsheet/2637.xlsx", "2637.xlsx")</f>
        <v>2637.xlsx</v>
      </c>
      <c r="B2639" s="2">
        <v>2637</v>
      </c>
      <c r="C2639" t="s">
        <v>523</v>
      </c>
      <c r="D2639" t="s">
        <v>1311</v>
      </c>
      <c r="E2639" t="s">
        <v>173</v>
      </c>
    </row>
    <row r="2640" spans="1:5" x14ac:dyDescent="0.25">
      <c r="A2640" s="2" t="str">
        <f>HYPERLINK("spreadsheet/2638.xlsx", "2638.xlsx")</f>
        <v>2638.xlsx</v>
      </c>
      <c r="B2640" s="2">
        <v>2638</v>
      </c>
      <c r="C2640" t="s">
        <v>524</v>
      </c>
      <c r="D2640" t="s">
        <v>1311</v>
      </c>
      <c r="E2640" t="s">
        <v>173</v>
      </c>
    </row>
    <row r="2641" spans="1:5" x14ac:dyDescent="0.25">
      <c r="A2641" s="2" t="str">
        <f>HYPERLINK("spreadsheet/2639.xlsx", "2639.xlsx")</f>
        <v>2639.xlsx</v>
      </c>
      <c r="B2641" s="2">
        <v>2639</v>
      </c>
      <c r="C2641" t="s">
        <v>1110</v>
      </c>
      <c r="D2641" t="s">
        <v>1311</v>
      </c>
      <c r="E2641" t="s">
        <v>173</v>
      </c>
    </row>
    <row r="2642" spans="1:5" x14ac:dyDescent="0.25">
      <c r="A2642" s="2" t="s">
        <v>1312</v>
      </c>
      <c r="B2642" s="2">
        <v>2640</v>
      </c>
      <c r="C2642" t="s">
        <v>525</v>
      </c>
      <c r="D2642" t="s">
        <v>1311</v>
      </c>
      <c r="E2642" t="s">
        <v>173</v>
      </c>
    </row>
    <row r="2643" spans="1:5" x14ac:dyDescent="0.25">
      <c r="A2643" s="2" t="str">
        <f>HYPERLINK("spreadsheet/2641.xlsx", "2641.xlsx")</f>
        <v>2641.xlsx</v>
      </c>
      <c r="B2643" s="2">
        <v>2641</v>
      </c>
      <c r="C2643" t="s">
        <v>526</v>
      </c>
      <c r="D2643" t="s">
        <v>1311</v>
      </c>
      <c r="E2643" t="s">
        <v>173</v>
      </c>
    </row>
    <row r="2644" spans="1:5" x14ac:dyDescent="0.25">
      <c r="A2644" s="2" t="str">
        <f>HYPERLINK("spreadsheet/2642.xlsx", "2642.xlsx")</f>
        <v>2642.xlsx</v>
      </c>
      <c r="B2644" s="2">
        <v>2642</v>
      </c>
      <c r="C2644" t="s">
        <v>5</v>
      </c>
      <c r="D2644" t="s">
        <v>1313</v>
      </c>
      <c r="E2644" t="s">
        <v>115</v>
      </c>
    </row>
    <row r="2645" spans="1:5" x14ac:dyDescent="0.25">
      <c r="A2645" s="2" t="str">
        <f>HYPERLINK("spreadsheet/2643.xlsx", "2643.xlsx")</f>
        <v>2643.xlsx</v>
      </c>
      <c r="B2645" s="2">
        <v>2643</v>
      </c>
      <c r="C2645" t="s">
        <v>10</v>
      </c>
      <c r="D2645" t="s">
        <v>1313</v>
      </c>
      <c r="E2645" t="s">
        <v>115</v>
      </c>
    </row>
    <row r="2646" spans="1:5" x14ac:dyDescent="0.25">
      <c r="A2646" s="2" t="s">
        <v>1314</v>
      </c>
      <c r="B2646" s="2">
        <v>2644</v>
      </c>
      <c r="C2646" t="s">
        <v>14</v>
      </c>
      <c r="D2646" t="s">
        <v>1313</v>
      </c>
      <c r="E2646" t="s">
        <v>115</v>
      </c>
    </row>
    <row r="2647" spans="1:5" x14ac:dyDescent="0.25">
      <c r="A2647" s="2" t="str">
        <f>HYPERLINK("spreadsheet/2645.xlsx", "2645.xlsx")</f>
        <v>2645.xlsx</v>
      </c>
      <c r="B2647" s="2">
        <v>2645</v>
      </c>
      <c r="C2647" t="s">
        <v>15</v>
      </c>
      <c r="D2647" t="s">
        <v>1313</v>
      </c>
      <c r="E2647" t="s">
        <v>115</v>
      </c>
    </row>
    <row r="2648" spans="1:5" x14ac:dyDescent="0.25">
      <c r="A2648" s="2" t="str">
        <f>HYPERLINK("spreadsheet/2646.xlsx", "2646.xlsx")</f>
        <v>2646.xlsx</v>
      </c>
      <c r="B2648" s="2">
        <v>2646</v>
      </c>
      <c r="C2648" t="s">
        <v>5</v>
      </c>
      <c r="D2648" t="s">
        <v>1315</v>
      </c>
      <c r="E2648" t="s">
        <v>147</v>
      </c>
    </row>
    <row r="2649" spans="1:5" x14ac:dyDescent="0.25">
      <c r="A2649" s="2" t="str">
        <f>HYPERLINK("spreadsheet/2647.xlsx", "2647.xlsx")</f>
        <v>2647.xlsx</v>
      </c>
      <c r="B2649" s="2">
        <v>2647</v>
      </c>
      <c r="C2649" t="s">
        <v>10</v>
      </c>
      <c r="D2649" t="s">
        <v>1315</v>
      </c>
      <c r="E2649" t="s">
        <v>147</v>
      </c>
    </row>
    <row r="2650" spans="1:5" x14ac:dyDescent="0.25">
      <c r="A2650" s="2" t="str">
        <f>HYPERLINK("spreadsheet/2648.xlsx", "2648.xlsx")</f>
        <v>2648.xlsx</v>
      </c>
      <c r="B2650" s="2">
        <v>2648</v>
      </c>
      <c r="C2650" t="s">
        <v>14</v>
      </c>
      <c r="D2650" t="s">
        <v>1315</v>
      </c>
      <c r="E2650" t="s">
        <v>147</v>
      </c>
    </row>
    <row r="2651" spans="1:5" x14ac:dyDescent="0.25">
      <c r="A2651" s="2" t="str">
        <f>HYPERLINK("spreadsheet/2649.xlsx", "2649.xlsx")</f>
        <v>2649.xlsx</v>
      </c>
      <c r="B2651" s="2">
        <v>2649</v>
      </c>
      <c r="C2651" t="s">
        <v>5</v>
      </c>
      <c r="D2651" t="s">
        <v>1316</v>
      </c>
      <c r="E2651" t="s">
        <v>115</v>
      </c>
    </row>
    <row r="2652" spans="1:5" x14ac:dyDescent="0.25">
      <c r="A2652" s="2" t="str">
        <f>HYPERLINK("spreadsheet/2650.xlsx", "2650.xlsx")</f>
        <v>2650.xlsx</v>
      </c>
      <c r="B2652" s="2">
        <v>2650</v>
      </c>
      <c r="C2652" t="s">
        <v>10</v>
      </c>
      <c r="D2652" t="s">
        <v>1316</v>
      </c>
      <c r="E2652" t="s">
        <v>115</v>
      </c>
    </row>
    <row r="2653" spans="1:5" x14ac:dyDescent="0.25">
      <c r="A2653" s="2" t="s">
        <v>1317</v>
      </c>
      <c r="B2653" s="2">
        <v>2651</v>
      </c>
      <c r="C2653" t="s">
        <v>14</v>
      </c>
      <c r="D2653" t="s">
        <v>1316</v>
      </c>
      <c r="E2653" t="s">
        <v>115</v>
      </c>
    </row>
    <row r="2654" spans="1:5" x14ac:dyDescent="0.25">
      <c r="A2654" s="2" t="str">
        <f>HYPERLINK("spreadsheet/2652.xlsx", "2652.xlsx")</f>
        <v>2652.xlsx</v>
      </c>
      <c r="B2654" s="2">
        <v>2652</v>
      </c>
      <c r="C2654" t="s">
        <v>5</v>
      </c>
      <c r="D2654" t="s">
        <v>1318</v>
      </c>
      <c r="E2654" t="s">
        <v>115</v>
      </c>
    </row>
    <row r="2655" spans="1:5" x14ac:dyDescent="0.25">
      <c r="A2655" s="2" t="s">
        <v>1319</v>
      </c>
      <c r="B2655" s="2">
        <v>2653</v>
      </c>
      <c r="C2655" t="s">
        <v>10</v>
      </c>
      <c r="D2655" t="s">
        <v>1318</v>
      </c>
      <c r="E2655" t="s">
        <v>115</v>
      </c>
    </row>
    <row r="2656" spans="1:5" x14ac:dyDescent="0.25">
      <c r="A2656" s="2" t="str">
        <f>HYPERLINK("spreadsheet/2654.xlsx", "2654.xlsx")</f>
        <v>2654.xlsx</v>
      </c>
      <c r="B2656" s="2">
        <v>2654</v>
      </c>
      <c r="C2656" t="s">
        <v>14</v>
      </c>
      <c r="D2656" t="s">
        <v>1318</v>
      </c>
      <c r="E2656" t="s">
        <v>115</v>
      </c>
    </row>
    <row r="2657" spans="1:5" x14ac:dyDescent="0.25">
      <c r="A2657" s="2" t="str">
        <f>HYPERLINK("spreadsheet/2655.xlsx", "2655.xlsx")</f>
        <v>2655.xlsx</v>
      </c>
      <c r="B2657" s="2">
        <v>2655</v>
      </c>
      <c r="C2657" t="s">
        <v>15</v>
      </c>
      <c r="D2657" t="s">
        <v>1318</v>
      </c>
      <c r="E2657" t="s">
        <v>115</v>
      </c>
    </row>
    <row r="2658" spans="1:5" x14ac:dyDescent="0.25">
      <c r="A2658" s="2" t="str">
        <f>HYPERLINK("spreadsheet/2656.xlsx", "2656.xlsx")</f>
        <v>2656.xlsx</v>
      </c>
      <c r="B2658" s="2">
        <v>2656</v>
      </c>
      <c r="C2658" t="s">
        <v>5</v>
      </c>
      <c r="D2658" t="s">
        <v>1320</v>
      </c>
      <c r="E2658" t="s">
        <v>154</v>
      </c>
    </row>
    <row r="2659" spans="1:5" x14ac:dyDescent="0.25">
      <c r="A2659" s="2" t="str">
        <f>HYPERLINK("spreadsheet/2657.xlsx", "2657.xlsx")</f>
        <v>2657.xlsx</v>
      </c>
      <c r="B2659" s="2">
        <v>2657</v>
      </c>
      <c r="C2659" t="s">
        <v>10</v>
      </c>
      <c r="D2659" t="s">
        <v>1320</v>
      </c>
      <c r="E2659" t="s">
        <v>154</v>
      </c>
    </row>
    <row r="2660" spans="1:5" x14ac:dyDescent="0.25">
      <c r="A2660" s="2" t="str">
        <f>HYPERLINK("spreadsheet/2658.xlsx", "2658.xlsx")</f>
        <v>2658.xlsx</v>
      </c>
      <c r="B2660" s="2">
        <v>2658</v>
      </c>
      <c r="C2660" t="s">
        <v>14</v>
      </c>
      <c r="D2660" t="s">
        <v>1320</v>
      </c>
      <c r="E2660" t="s">
        <v>154</v>
      </c>
    </row>
    <row r="2661" spans="1:5" x14ac:dyDescent="0.25">
      <c r="A2661" s="2" t="str">
        <f>HYPERLINK("spreadsheet/2659.xlsx", "2659.xlsx")</f>
        <v>2659.xlsx</v>
      </c>
      <c r="B2661" s="2">
        <v>2659</v>
      </c>
      <c r="C2661" t="s">
        <v>15</v>
      </c>
      <c r="D2661" t="s">
        <v>1320</v>
      </c>
      <c r="E2661" t="s">
        <v>154</v>
      </c>
    </row>
    <row r="2662" spans="1:5" x14ac:dyDescent="0.25">
      <c r="A2662" s="2" t="str">
        <f>HYPERLINK("spreadsheet/2660.xlsx", "2660.xlsx")</f>
        <v>2660.xlsx</v>
      </c>
      <c r="B2662" s="2">
        <v>2660</v>
      </c>
      <c r="C2662" t="s">
        <v>22</v>
      </c>
      <c r="D2662" t="s">
        <v>1320</v>
      </c>
      <c r="E2662" t="s">
        <v>154</v>
      </c>
    </row>
    <row r="2663" spans="1:5" x14ac:dyDescent="0.25">
      <c r="A2663" s="2" t="str">
        <f>HYPERLINK("spreadsheet/2661.xlsx", "2661.xlsx")</f>
        <v>2661.xlsx</v>
      </c>
      <c r="B2663" s="2">
        <v>2661</v>
      </c>
      <c r="C2663" t="s">
        <v>5</v>
      </c>
      <c r="D2663" t="s">
        <v>1321</v>
      </c>
      <c r="E2663" t="s">
        <v>115</v>
      </c>
    </row>
    <row r="2664" spans="1:5" x14ac:dyDescent="0.25">
      <c r="A2664" s="2" t="str">
        <f>HYPERLINK("spreadsheet/2662.xlsx", "2662.xlsx")</f>
        <v>2662.xlsx</v>
      </c>
      <c r="B2664" s="2">
        <v>2662</v>
      </c>
      <c r="C2664" t="s">
        <v>5</v>
      </c>
      <c r="D2664" t="s">
        <v>1322</v>
      </c>
      <c r="E2664" t="s">
        <v>115</v>
      </c>
    </row>
    <row r="2665" spans="1:5" x14ac:dyDescent="0.25">
      <c r="A2665" s="2" t="str">
        <f>HYPERLINK("spreadsheet/2663.xlsx", "2663.xlsx")</f>
        <v>2663.xlsx</v>
      </c>
      <c r="B2665" s="2">
        <v>2663</v>
      </c>
      <c r="C2665" t="s">
        <v>10</v>
      </c>
      <c r="D2665" t="s">
        <v>1322</v>
      </c>
      <c r="E2665" t="s">
        <v>115</v>
      </c>
    </row>
    <row r="2666" spans="1:5" x14ac:dyDescent="0.25">
      <c r="A2666" s="2" t="str">
        <f>HYPERLINK("spreadsheet/2664.xlsx", "2664.xlsx")</f>
        <v>2664.xlsx</v>
      </c>
      <c r="B2666" s="2">
        <v>2664</v>
      </c>
      <c r="C2666" t="s">
        <v>14</v>
      </c>
      <c r="D2666" t="s">
        <v>1322</v>
      </c>
      <c r="E2666" t="s">
        <v>115</v>
      </c>
    </row>
    <row r="2667" spans="1:5" x14ac:dyDescent="0.25">
      <c r="A2667" s="2" t="str">
        <f>HYPERLINK("spreadsheet/2665.xlsx", "2665.xlsx")</f>
        <v>2665.xlsx</v>
      </c>
      <c r="B2667" s="2">
        <v>2665</v>
      </c>
      <c r="C2667" t="s">
        <v>5</v>
      </c>
      <c r="D2667" t="s">
        <v>1323</v>
      </c>
      <c r="E2667" t="s">
        <v>902</v>
      </c>
    </row>
    <row r="2668" spans="1:5" x14ac:dyDescent="0.25">
      <c r="A2668" s="2" t="str">
        <f>HYPERLINK("spreadsheet/2666.xlsx", "2666.xlsx")</f>
        <v>2666.xlsx</v>
      </c>
      <c r="B2668" s="2">
        <v>2666</v>
      </c>
      <c r="C2668" t="s">
        <v>10</v>
      </c>
      <c r="D2668" t="s">
        <v>1323</v>
      </c>
      <c r="E2668" t="s">
        <v>902</v>
      </c>
    </row>
    <row r="2669" spans="1:5" x14ac:dyDescent="0.25">
      <c r="A2669" s="2" t="str">
        <f>HYPERLINK("spreadsheet/2667.xlsx", "2667.xlsx")</f>
        <v>2667.xlsx</v>
      </c>
      <c r="B2669" s="2">
        <v>2667</v>
      </c>
      <c r="C2669" t="s">
        <v>14</v>
      </c>
      <c r="D2669" t="s">
        <v>1323</v>
      </c>
      <c r="E2669" t="s">
        <v>902</v>
      </c>
    </row>
    <row r="2670" spans="1:5" x14ac:dyDescent="0.25">
      <c r="A2670" s="2" t="s">
        <v>1324</v>
      </c>
      <c r="B2670" s="2">
        <v>2668</v>
      </c>
      <c r="C2670" t="s">
        <v>5</v>
      </c>
      <c r="D2670" t="s">
        <v>1325</v>
      </c>
      <c r="E2670" t="s">
        <v>115</v>
      </c>
    </row>
    <row r="2671" spans="1:5" x14ac:dyDescent="0.25">
      <c r="A2671" s="2" t="s">
        <v>1326</v>
      </c>
      <c r="B2671" s="2">
        <v>2669</v>
      </c>
      <c r="C2671" t="s">
        <v>10</v>
      </c>
      <c r="D2671" t="s">
        <v>1325</v>
      </c>
      <c r="E2671" t="s">
        <v>115</v>
      </c>
    </row>
    <row r="2672" spans="1:5" x14ac:dyDescent="0.25">
      <c r="A2672" s="2" t="s">
        <v>1327</v>
      </c>
      <c r="B2672" s="2">
        <v>2670</v>
      </c>
      <c r="C2672" t="s">
        <v>14</v>
      </c>
      <c r="D2672" t="s">
        <v>1325</v>
      </c>
      <c r="E2672" t="s">
        <v>115</v>
      </c>
    </row>
    <row r="2673" spans="1:5" x14ac:dyDescent="0.25">
      <c r="A2673" s="2" t="str">
        <f>HYPERLINK("spreadsheet/2671.xlsx", "2671.xlsx")</f>
        <v>2671.xlsx</v>
      </c>
      <c r="B2673" s="2">
        <v>2671</v>
      </c>
      <c r="C2673" t="s">
        <v>5</v>
      </c>
      <c r="D2673" t="s">
        <v>1328</v>
      </c>
      <c r="E2673" t="s">
        <v>150</v>
      </c>
    </row>
    <row r="2674" spans="1:5" x14ac:dyDescent="0.25">
      <c r="A2674" s="2" t="str">
        <f>HYPERLINK("spreadsheet/2672.xlsx", "2672.xlsx")</f>
        <v>2672.xlsx</v>
      </c>
      <c r="B2674" s="2">
        <v>2672</v>
      </c>
      <c r="C2674" t="s">
        <v>14</v>
      </c>
      <c r="D2674" t="s">
        <v>1328</v>
      </c>
      <c r="E2674" t="s">
        <v>150</v>
      </c>
    </row>
    <row r="2675" spans="1:5" x14ac:dyDescent="0.25">
      <c r="A2675" s="2" t="str">
        <f>HYPERLINK("spreadsheet/2673.xlsx", "2673.xlsx")</f>
        <v>2673.xlsx</v>
      </c>
      <c r="B2675" s="2">
        <v>2673</v>
      </c>
      <c r="C2675" t="s">
        <v>15</v>
      </c>
      <c r="D2675" t="s">
        <v>1328</v>
      </c>
      <c r="E2675" t="s">
        <v>150</v>
      </c>
    </row>
    <row r="2676" spans="1:5" x14ac:dyDescent="0.25">
      <c r="A2676" s="2" t="str">
        <f>HYPERLINK("spreadsheet/2674.xlsx", "2674.xlsx")</f>
        <v>2674.xlsx</v>
      </c>
      <c r="B2676" s="2">
        <v>2674</v>
      </c>
      <c r="C2676" t="s">
        <v>22</v>
      </c>
      <c r="D2676" t="s">
        <v>1328</v>
      </c>
      <c r="E2676" t="s">
        <v>150</v>
      </c>
    </row>
    <row r="2677" spans="1:5" x14ac:dyDescent="0.25">
      <c r="A2677" s="2" t="str">
        <f>HYPERLINK("spreadsheet/2675.xlsx", "2675.xlsx")</f>
        <v>2675.xlsx</v>
      </c>
      <c r="B2677" s="2">
        <v>2675</v>
      </c>
      <c r="C2677" t="s">
        <v>24</v>
      </c>
      <c r="D2677" t="s">
        <v>1328</v>
      </c>
      <c r="E2677" t="s">
        <v>150</v>
      </c>
    </row>
    <row r="2678" spans="1:5" x14ac:dyDescent="0.25">
      <c r="A2678" s="2" t="s">
        <v>1329</v>
      </c>
      <c r="B2678" s="2">
        <v>2676</v>
      </c>
      <c r="C2678" t="s">
        <v>60</v>
      </c>
      <c r="D2678" t="s">
        <v>1328</v>
      </c>
      <c r="E2678" t="s">
        <v>150</v>
      </c>
    </row>
    <row r="2679" spans="1:5" x14ac:dyDescent="0.25">
      <c r="A2679" s="2" t="str">
        <f>HYPERLINK("spreadsheet/2677.xlsx", "2677.xlsx")</f>
        <v>2677.xlsx</v>
      </c>
      <c r="B2679" s="2">
        <v>2677</v>
      </c>
      <c r="C2679" t="s">
        <v>45</v>
      </c>
      <c r="D2679" t="s">
        <v>1328</v>
      </c>
      <c r="E2679" t="s">
        <v>150</v>
      </c>
    </row>
    <row r="2680" spans="1:5" x14ac:dyDescent="0.25">
      <c r="A2680" s="2" t="str">
        <f>HYPERLINK("spreadsheet/2678.xlsx", "2678.xlsx")</f>
        <v>2678.xlsx</v>
      </c>
      <c r="B2680" s="2">
        <v>2678</v>
      </c>
      <c r="C2680" t="s">
        <v>5</v>
      </c>
      <c r="D2680" t="s">
        <v>1330</v>
      </c>
      <c r="E2680" t="s">
        <v>164</v>
      </c>
    </row>
    <row r="2681" spans="1:5" x14ac:dyDescent="0.25">
      <c r="A2681" s="2" t="str">
        <f>HYPERLINK("spreadsheet/2679.xlsx", "2679.xlsx")</f>
        <v>2679.xlsx</v>
      </c>
      <c r="B2681" s="2">
        <v>2679</v>
      </c>
      <c r="C2681" t="s">
        <v>10</v>
      </c>
      <c r="D2681" t="s">
        <v>1330</v>
      </c>
      <c r="E2681" t="s">
        <v>164</v>
      </c>
    </row>
    <row r="2682" spans="1:5" x14ac:dyDescent="0.25">
      <c r="A2682" s="2" t="str">
        <f>HYPERLINK("spreadsheet/2680.xlsx", "2680.xlsx")</f>
        <v>2680.xlsx</v>
      </c>
      <c r="B2682" s="2">
        <v>2680</v>
      </c>
      <c r="C2682" t="s">
        <v>5</v>
      </c>
      <c r="D2682" t="s">
        <v>1331</v>
      </c>
      <c r="E2682" t="s">
        <v>160</v>
      </c>
    </row>
    <row r="2683" spans="1:5" x14ac:dyDescent="0.25">
      <c r="A2683" s="2" t="str">
        <f>HYPERLINK("spreadsheet/2681.xlsx", "2681.xlsx")</f>
        <v>2681.xlsx</v>
      </c>
      <c r="B2683" s="2">
        <v>2681</v>
      </c>
      <c r="C2683" t="s">
        <v>10</v>
      </c>
      <c r="D2683" t="s">
        <v>1331</v>
      </c>
      <c r="E2683" t="s">
        <v>160</v>
      </c>
    </row>
    <row r="2684" spans="1:5" x14ac:dyDescent="0.25">
      <c r="A2684" s="2" t="str">
        <f>HYPERLINK("spreadsheet/2682.xlsx", "2682.xlsx")</f>
        <v>2682.xlsx</v>
      </c>
      <c r="B2684" s="2">
        <v>2682</v>
      </c>
      <c r="C2684" t="s">
        <v>14</v>
      </c>
      <c r="D2684" t="s">
        <v>1331</v>
      </c>
      <c r="E2684" t="s">
        <v>160</v>
      </c>
    </row>
    <row r="2685" spans="1:5" x14ac:dyDescent="0.25">
      <c r="A2685" s="2" t="s">
        <v>1332</v>
      </c>
      <c r="B2685" s="2">
        <v>2683</v>
      </c>
      <c r="C2685" t="s">
        <v>15</v>
      </c>
      <c r="D2685" t="s">
        <v>1331</v>
      </c>
      <c r="E2685" t="s">
        <v>160</v>
      </c>
    </row>
    <row r="2686" spans="1:5" x14ac:dyDescent="0.25">
      <c r="A2686" s="2" t="str">
        <f>HYPERLINK("spreadsheet/2684.xlsx", "2684.xlsx")</f>
        <v>2684.xlsx</v>
      </c>
      <c r="B2686" s="2">
        <v>2684</v>
      </c>
      <c r="C2686" t="s">
        <v>22</v>
      </c>
      <c r="D2686" t="s">
        <v>1331</v>
      </c>
      <c r="E2686" t="s">
        <v>160</v>
      </c>
    </row>
    <row r="2687" spans="1:5" x14ac:dyDescent="0.25">
      <c r="A2687" s="2" t="str">
        <f>HYPERLINK("spreadsheet/2685.xlsx", "2685.xlsx")</f>
        <v>2685.xlsx</v>
      </c>
      <c r="B2687" s="2">
        <v>2685</v>
      </c>
      <c r="C2687" t="s">
        <v>24</v>
      </c>
      <c r="D2687" t="s">
        <v>1331</v>
      </c>
      <c r="E2687" t="s">
        <v>160</v>
      </c>
    </row>
    <row r="2688" spans="1:5" x14ac:dyDescent="0.25">
      <c r="A2688" s="2" t="str">
        <f>HYPERLINK("spreadsheet/2686.xlsx", "2686.xlsx")</f>
        <v>2686.xlsx</v>
      </c>
      <c r="B2688" s="2">
        <v>2686</v>
      </c>
      <c r="C2688" t="s">
        <v>60</v>
      </c>
      <c r="D2688" t="s">
        <v>1331</v>
      </c>
      <c r="E2688" t="s">
        <v>160</v>
      </c>
    </row>
    <row r="2689" spans="1:5" x14ac:dyDescent="0.25">
      <c r="A2689" s="2" t="s">
        <v>1333</v>
      </c>
      <c r="B2689" s="2">
        <v>2687</v>
      </c>
      <c r="C2689" t="s">
        <v>44</v>
      </c>
      <c r="D2689" t="s">
        <v>1331</v>
      </c>
      <c r="E2689" t="s">
        <v>160</v>
      </c>
    </row>
    <row r="2690" spans="1:5" x14ac:dyDescent="0.25">
      <c r="A2690" s="2" t="str">
        <f>HYPERLINK("spreadsheet/2688.xlsx", "2688.xlsx")</f>
        <v>2688.xlsx</v>
      </c>
      <c r="B2690" s="2">
        <v>2688</v>
      </c>
      <c r="C2690" t="s">
        <v>45</v>
      </c>
      <c r="D2690" t="s">
        <v>1331</v>
      </c>
      <c r="E2690" t="s">
        <v>160</v>
      </c>
    </row>
    <row r="2691" spans="1:5" x14ac:dyDescent="0.25">
      <c r="A2691" s="2" t="str">
        <f>HYPERLINK("spreadsheet/2689.xlsx", "2689.xlsx")</f>
        <v>2689.xlsx</v>
      </c>
      <c r="B2691" s="2">
        <v>2689</v>
      </c>
      <c r="C2691" t="s">
        <v>46</v>
      </c>
      <c r="D2691" t="s">
        <v>1331</v>
      </c>
      <c r="E2691" t="s">
        <v>160</v>
      </c>
    </row>
    <row r="2692" spans="1:5" x14ac:dyDescent="0.25">
      <c r="A2692" s="2" t="str">
        <f>HYPERLINK("spreadsheet/2690.xlsx", "2690.xlsx")</f>
        <v>2690.xlsx</v>
      </c>
      <c r="B2692" s="2">
        <v>2690</v>
      </c>
      <c r="C2692" t="s">
        <v>47</v>
      </c>
      <c r="D2692" t="s">
        <v>1331</v>
      </c>
      <c r="E2692" t="s">
        <v>160</v>
      </c>
    </row>
    <row r="2693" spans="1:5" x14ac:dyDescent="0.25">
      <c r="A2693" s="2" t="s">
        <v>1334</v>
      </c>
      <c r="B2693" s="2">
        <v>2691</v>
      </c>
      <c r="C2693" t="s">
        <v>48</v>
      </c>
      <c r="D2693" t="s">
        <v>1331</v>
      </c>
      <c r="E2693" t="s">
        <v>160</v>
      </c>
    </row>
    <row r="2694" spans="1:5" x14ac:dyDescent="0.25">
      <c r="A2694" s="2" t="s">
        <v>1335</v>
      </c>
      <c r="B2694" s="2">
        <v>2692</v>
      </c>
      <c r="C2694" t="s">
        <v>5</v>
      </c>
      <c r="D2694" t="s">
        <v>1336</v>
      </c>
      <c r="E2694" t="s">
        <v>126</v>
      </c>
    </row>
    <row r="2695" spans="1:5" x14ac:dyDescent="0.25">
      <c r="A2695" s="2" t="s">
        <v>1337</v>
      </c>
      <c r="B2695" s="2">
        <v>2693</v>
      </c>
      <c r="C2695" t="s">
        <v>10</v>
      </c>
      <c r="D2695" t="s">
        <v>1336</v>
      </c>
      <c r="E2695" t="s">
        <v>126</v>
      </c>
    </row>
    <row r="2696" spans="1:5" x14ac:dyDescent="0.25">
      <c r="A2696" s="2" t="str">
        <f>HYPERLINK("spreadsheet/2694.xlsx", "2694.xlsx")</f>
        <v>2694.xlsx</v>
      </c>
      <c r="B2696" s="2">
        <v>2694</v>
      </c>
      <c r="C2696" t="s">
        <v>14</v>
      </c>
      <c r="D2696" t="s">
        <v>1336</v>
      </c>
      <c r="E2696" t="s">
        <v>126</v>
      </c>
    </row>
    <row r="2697" spans="1:5" x14ac:dyDescent="0.25">
      <c r="A2697" s="2" t="str">
        <f>HYPERLINK("spreadsheet/2695.xlsx", "2695.xlsx")</f>
        <v>2695.xlsx</v>
      </c>
      <c r="B2697" s="2">
        <v>2695</v>
      </c>
      <c r="C2697" t="s">
        <v>15</v>
      </c>
      <c r="D2697" t="s">
        <v>1336</v>
      </c>
      <c r="E2697" t="s">
        <v>126</v>
      </c>
    </row>
    <row r="2698" spans="1:5" x14ac:dyDescent="0.25">
      <c r="A2698" s="2" t="str">
        <f>HYPERLINK("spreadsheet/2696.xlsx", "2696.xlsx")</f>
        <v>2696.xlsx</v>
      </c>
      <c r="B2698" s="2">
        <v>2696</v>
      </c>
      <c r="C2698" t="s">
        <v>22</v>
      </c>
      <c r="D2698" t="s">
        <v>1336</v>
      </c>
      <c r="E2698" t="s">
        <v>126</v>
      </c>
    </row>
    <row r="2699" spans="1:5" x14ac:dyDescent="0.25">
      <c r="A2699" s="2" t="str">
        <f>HYPERLINK("spreadsheet/2697.xlsx", "2697.xlsx")</f>
        <v>2697.xlsx</v>
      </c>
      <c r="B2699" s="2">
        <v>2697</v>
      </c>
      <c r="C2699" t="s">
        <v>24</v>
      </c>
      <c r="D2699" t="s">
        <v>1336</v>
      </c>
      <c r="E2699" t="s">
        <v>126</v>
      </c>
    </row>
    <row r="2700" spans="1:5" x14ac:dyDescent="0.25">
      <c r="A2700" s="2" t="s">
        <v>1338</v>
      </c>
      <c r="B2700" s="2">
        <v>2698</v>
      </c>
      <c r="C2700" t="s">
        <v>5</v>
      </c>
      <c r="D2700" t="s">
        <v>1339</v>
      </c>
      <c r="E2700" t="s">
        <v>134</v>
      </c>
    </row>
    <row r="2701" spans="1:5" x14ac:dyDescent="0.25">
      <c r="A2701" s="2" t="s">
        <v>1340</v>
      </c>
      <c r="B2701" s="2">
        <v>2699</v>
      </c>
      <c r="C2701" t="s">
        <v>10</v>
      </c>
      <c r="D2701" t="s">
        <v>1339</v>
      </c>
      <c r="E2701" t="s">
        <v>134</v>
      </c>
    </row>
    <row r="2702" spans="1:5" x14ac:dyDescent="0.25">
      <c r="A2702" s="2" t="s">
        <v>1341</v>
      </c>
      <c r="B2702" s="2">
        <v>2700</v>
      </c>
      <c r="C2702" t="s">
        <v>14</v>
      </c>
      <c r="D2702" t="s">
        <v>1339</v>
      </c>
      <c r="E2702" t="s">
        <v>134</v>
      </c>
    </row>
    <row r="2703" spans="1:5" x14ac:dyDescent="0.25">
      <c r="A2703" s="2" t="str">
        <f>HYPERLINK("spreadsheet/2701.xlsx", "2701.xlsx")</f>
        <v>2701.xlsx</v>
      </c>
      <c r="B2703" s="2">
        <v>2701</v>
      </c>
      <c r="C2703" t="s">
        <v>5</v>
      </c>
      <c r="D2703" t="s">
        <v>1342</v>
      </c>
      <c r="E2703" t="s">
        <v>150</v>
      </c>
    </row>
    <row r="2704" spans="1:5" x14ac:dyDescent="0.25">
      <c r="A2704" s="2" t="str">
        <f>HYPERLINK("spreadsheet/2702.xlsx", "2702.xlsx")</f>
        <v>2702.xlsx</v>
      </c>
      <c r="B2704" s="2">
        <v>2702</v>
      </c>
      <c r="C2704" t="s">
        <v>10</v>
      </c>
      <c r="D2704" t="s">
        <v>1342</v>
      </c>
      <c r="E2704" t="s">
        <v>150</v>
      </c>
    </row>
    <row r="2705" spans="1:5" x14ac:dyDescent="0.25">
      <c r="A2705" s="2" t="str">
        <f>HYPERLINK("spreadsheet/2703.xlsx", "2703.xlsx")</f>
        <v>2703.xlsx</v>
      </c>
      <c r="B2705" s="2">
        <v>2703</v>
      </c>
      <c r="C2705" t="s">
        <v>14</v>
      </c>
      <c r="D2705" t="s">
        <v>1342</v>
      </c>
      <c r="E2705" t="s">
        <v>150</v>
      </c>
    </row>
    <row r="2706" spans="1:5" x14ac:dyDescent="0.25">
      <c r="A2706" s="2" t="s">
        <v>1343</v>
      </c>
      <c r="B2706" s="2">
        <v>2704</v>
      </c>
      <c r="C2706" t="s">
        <v>15</v>
      </c>
      <c r="D2706" t="s">
        <v>1342</v>
      </c>
      <c r="E2706" t="s">
        <v>150</v>
      </c>
    </row>
    <row r="2707" spans="1:5" x14ac:dyDescent="0.25">
      <c r="A2707" s="2" t="s">
        <v>1344</v>
      </c>
      <c r="B2707" s="2">
        <v>2705</v>
      </c>
      <c r="C2707" t="s">
        <v>22</v>
      </c>
      <c r="D2707" t="s">
        <v>1342</v>
      </c>
      <c r="E2707" t="s">
        <v>150</v>
      </c>
    </row>
    <row r="2708" spans="1:5" x14ac:dyDescent="0.25">
      <c r="A2708" s="2" t="str">
        <f>HYPERLINK("spreadsheet/2706.xlsx", "2706.xlsx")</f>
        <v>2706.xlsx</v>
      </c>
      <c r="B2708" s="2">
        <v>2706</v>
      </c>
      <c r="C2708" t="s">
        <v>5</v>
      </c>
      <c r="D2708" t="s">
        <v>1345</v>
      </c>
      <c r="E2708" t="s">
        <v>115</v>
      </c>
    </row>
    <row r="2709" spans="1:5" x14ac:dyDescent="0.25">
      <c r="A2709" s="2" t="str">
        <f>HYPERLINK("spreadsheet/2707.xlsx", "2707.xlsx")</f>
        <v>2707.xlsx</v>
      </c>
      <c r="B2709" s="2">
        <v>2707</v>
      </c>
      <c r="C2709" t="s">
        <v>5</v>
      </c>
      <c r="D2709" t="s">
        <v>1346</v>
      </c>
      <c r="E2709" t="s">
        <v>164</v>
      </c>
    </row>
    <row r="2710" spans="1:5" x14ac:dyDescent="0.25">
      <c r="A2710" s="2" t="str">
        <f>HYPERLINK("spreadsheet/2708.xlsx", "2708.xlsx")</f>
        <v>2708.xlsx</v>
      </c>
      <c r="B2710" s="2">
        <v>2708</v>
      </c>
      <c r="C2710" t="s">
        <v>10</v>
      </c>
      <c r="D2710" t="s">
        <v>1346</v>
      </c>
      <c r="E2710" t="s">
        <v>164</v>
      </c>
    </row>
    <row r="2711" spans="1:5" x14ac:dyDescent="0.25">
      <c r="A2711" s="2" t="str">
        <f>HYPERLINK("spreadsheet/2709.xlsx", "2709.xlsx")</f>
        <v>2709.xlsx</v>
      </c>
      <c r="B2711" s="2">
        <v>2709</v>
      </c>
      <c r="C2711" t="s">
        <v>14</v>
      </c>
      <c r="D2711" t="s">
        <v>1346</v>
      </c>
      <c r="E2711" t="s">
        <v>164</v>
      </c>
    </row>
    <row r="2712" spans="1:5" x14ac:dyDescent="0.25">
      <c r="A2712" s="2" t="str">
        <f>HYPERLINK("spreadsheet/2710.xlsx", "2710.xlsx")</f>
        <v>2710.xlsx</v>
      </c>
      <c r="B2712" s="2">
        <v>2710</v>
      </c>
      <c r="C2712" t="s">
        <v>5</v>
      </c>
      <c r="D2712" t="s">
        <v>1347</v>
      </c>
      <c r="E2712" t="s">
        <v>288</v>
      </c>
    </row>
    <row r="2713" spans="1:5" x14ac:dyDescent="0.25">
      <c r="A2713" s="2" t="str">
        <f>HYPERLINK("spreadsheet/2711.xlsx", "2711.xlsx")</f>
        <v>2711.xlsx</v>
      </c>
      <c r="B2713" s="2">
        <v>2711</v>
      </c>
      <c r="C2713" t="s">
        <v>10</v>
      </c>
      <c r="D2713" t="s">
        <v>1347</v>
      </c>
      <c r="E2713" t="s">
        <v>288</v>
      </c>
    </row>
    <row r="2714" spans="1:5" x14ac:dyDescent="0.25">
      <c r="A2714" s="2" t="str">
        <f>HYPERLINK("spreadsheet/2712.xlsx", "2712.xlsx")</f>
        <v>2712.xlsx</v>
      </c>
      <c r="B2714" s="2">
        <v>2712</v>
      </c>
      <c r="C2714" t="s">
        <v>5</v>
      </c>
      <c r="D2714" t="s">
        <v>1348</v>
      </c>
      <c r="E2714" t="s">
        <v>115</v>
      </c>
    </row>
    <row r="2715" spans="1:5" x14ac:dyDescent="0.25">
      <c r="A2715" s="2" t="str">
        <f>HYPERLINK("spreadsheet/2713.xlsx", "2713.xlsx")</f>
        <v>2713.xlsx</v>
      </c>
      <c r="B2715" s="2">
        <v>2713</v>
      </c>
      <c r="C2715" t="s">
        <v>10</v>
      </c>
      <c r="D2715" t="s">
        <v>1348</v>
      </c>
      <c r="E2715" t="s">
        <v>115</v>
      </c>
    </row>
    <row r="2716" spans="1:5" x14ac:dyDescent="0.25">
      <c r="A2716" s="2" t="str">
        <f>HYPERLINK("spreadsheet/2714.xlsx", "2714.xlsx")</f>
        <v>2714.xlsx</v>
      </c>
      <c r="B2716" s="2">
        <v>2714</v>
      </c>
      <c r="C2716" t="s">
        <v>14</v>
      </c>
      <c r="D2716" t="s">
        <v>1348</v>
      </c>
      <c r="E2716" t="s">
        <v>115</v>
      </c>
    </row>
    <row r="2717" spans="1:5" x14ac:dyDescent="0.25">
      <c r="A2717" s="2" t="str">
        <f>HYPERLINK("spreadsheet/2715.xlsx", "2715.xlsx")</f>
        <v>2715.xlsx</v>
      </c>
      <c r="B2717" s="2">
        <v>2715</v>
      </c>
      <c r="C2717" t="s">
        <v>15</v>
      </c>
      <c r="D2717" t="s">
        <v>1348</v>
      </c>
      <c r="E2717" t="s">
        <v>115</v>
      </c>
    </row>
    <row r="2718" spans="1:5" x14ac:dyDescent="0.25">
      <c r="A2718" s="2" t="str">
        <f>HYPERLINK("spreadsheet/2716.xlsx", "2716.xlsx")</f>
        <v>2716.xlsx</v>
      </c>
      <c r="B2718" s="2">
        <v>2716</v>
      </c>
      <c r="C2718" t="s">
        <v>22</v>
      </c>
      <c r="D2718" t="s">
        <v>1348</v>
      </c>
      <c r="E2718" t="s">
        <v>115</v>
      </c>
    </row>
    <row r="2719" spans="1:5" x14ac:dyDescent="0.25">
      <c r="A2719" s="2" t="str">
        <f>HYPERLINK("spreadsheet/2717.xlsx", "2717.xlsx")</f>
        <v>2717.xlsx</v>
      </c>
      <c r="B2719" s="2">
        <v>2717</v>
      </c>
      <c r="C2719" t="s">
        <v>24</v>
      </c>
      <c r="D2719" t="s">
        <v>1348</v>
      </c>
      <c r="E2719" t="s">
        <v>115</v>
      </c>
    </row>
    <row r="2720" spans="1:5" x14ac:dyDescent="0.25">
      <c r="A2720" s="2" t="str">
        <f>HYPERLINK("spreadsheet/2718.xlsx", "2718.xlsx")</f>
        <v>2718.xlsx</v>
      </c>
      <c r="B2720" s="2">
        <v>2718</v>
      </c>
      <c r="C2720" t="s">
        <v>60</v>
      </c>
      <c r="D2720" t="s">
        <v>1348</v>
      </c>
      <c r="E2720" t="s">
        <v>115</v>
      </c>
    </row>
    <row r="2721" spans="1:5" x14ac:dyDescent="0.25">
      <c r="A2721" s="2" t="str">
        <f>HYPERLINK("spreadsheet/2719.xlsx", "2719.xlsx")</f>
        <v>2719.xlsx</v>
      </c>
      <c r="B2721" s="2">
        <v>2719</v>
      </c>
      <c r="C2721" t="s">
        <v>850</v>
      </c>
      <c r="D2721" t="s">
        <v>1349</v>
      </c>
      <c r="E2721" t="s">
        <v>115</v>
      </c>
    </row>
    <row r="2722" spans="1:5" x14ac:dyDescent="0.25">
      <c r="A2722" s="2" t="str">
        <f>HYPERLINK("spreadsheet/2720.xlsx", "2720.xlsx")</f>
        <v>2720.xlsx</v>
      </c>
      <c r="B2722" s="2">
        <v>2720</v>
      </c>
      <c r="C2722" t="s">
        <v>10</v>
      </c>
      <c r="D2722" t="s">
        <v>1349</v>
      </c>
      <c r="E2722" t="s">
        <v>115</v>
      </c>
    </row>
    <row r="2723" spans="1:5" x14ac:dyDescent="0.25">
      <c r="A2723" s="2" t="str">
        <f>HYPERLINK("spreadsheet/2721.xlsx", "2721.xlsx")</f>
        <v>2721.xlsx</v>
      </c>
      <c r="B2723" s="2">
        <v>2721</v>
      </c>
      <c r="C2723" t="s">
        <v>5</v>
      </c>
      <c r="D2723" t="s">
        <v>1350</v>
      </c>
      <c r="E2723" t="s">
        <v>218</v>
      </c>
    </row>
    <row r="2724" spans="1:5" x14ac:dyDescent="0.25">
      <c r="A2724" s="2" t="str">
        <f>HYPERLINK("spreadsheet/2722.xlsx", "2722.xlsx")</f>
        <v>2722.xlsx</v>
      </c>
      <c r="B2724" s="2">
        <v>2722</v>
      </c>
      <c r="C2724" t="s">
        <v>14</v>
      </c>
      <c r="D2724" t="s">
        <v>1350</v>
      </c>
      <c r="E2724" t="s">
        <v>218</v>
      </c>
    </row>
    <row r="2725" spans="1:5" x14ac:dyDescent="0.25">
      <c r="A2725" s="2" t="str">
        <f>HYPERLINK("spreadsheet/2723.xlsx", "2723.xlsx")</f>
        <v>2723.xlsx</v>
      </c>
      <c r="B2725" s="2">
        <v>2723</v>
      </c>
      <c r="C2725" t="s">
        <v>15</v>
      </c>
      <c r="D2725" t="s">
        <v>1350</v>
      </c>
      <c r="E2725" t="s">
        <v>218</v>
      </c>
    </row>
    <row r="2726" spans="1:5" x14ac:dyDescent="0.25">
      <c r="A2726" s="2" t="str">
        <f>HYPERLINK("spreadsheet/2724.xlsx", "2724.xlsx")</f>
        <v>2724.xlsx</v>
      </c>
      <c r="B2726" s="2">
        <v>2724</v>
      </c>
      <c r="C2726" t="s">
        <v>22</v>
      </c>
      <c r="D2726" t="s">
        <v>1350</v>
      </c>
      <c r="E2726" t="s">
        <v>218</v>
      </c>
    </row>
    <row r="2727" spans="1:5" x14ac:dyDescent="0.25">
      <c r="A2727" s="2" t="str">
        <f>HYPERLINK("spreadsheet/2725.xlsx", "2725.xlsx")</f>
        <v>2725.xlsx</v>
      </c>
      <c r="B2727" s="2">
        <v>2725</v>
      </c>
      <c r="C2727" t="s">
        <v>24</v>
      </c>
      <c r="D2727" t="s">
        <v>1350</v>
      </c>
      <c r="E2727" t="s">
        <v>218</v>
      </c>
    </row>
    <row r="2728" spans="1:5" x14ac:dyDescent="0.25">
      <c r="A2728" s="2" t="str">
        <f>HYPERLINK("spreadsheet/2726.xlsx", "2726.xlsx")</f>
        <v>2726.xlsx</v>
      </c>
      <c r="B2728" s="2">
        <v>2726</v>
      </c>
      <c r="C2728" t="s">
        <v>5</v>
      </c>
      <c r="D2728" t="s">
        <v>1351</v>
      </c>
      <c r="E2728" t="s">
        <v>115</v>
      </c>
    </row>
    <row r="2729" spans="1:5" x14ac:dyDescent="0.25">
      <c r="A2729" s="2" t="str">
        <f>HYPERLINK("spreadsheet/2727.xlsx", "2727.xlsx")</f>
        <v>2727.xlsx</v>
      </c>
      <c r="B2729" s="2">
        <v>2727</v>
      </c>
      <c r="C2729" t="s">
        <v>10</v>
      </c>
      <c r="D2729" t="s">
        <v>1351</v>
      </c>
      <c r="E2729" t="s">
        <v>115</v>
      </c>
    </row>
    <row r="2730" spans="1:5" x14ac:dyDescent="0.25">
      <c r="A2730" s="2" t="str">
        <f>HYPERLINK("spreadsheet/2728.xlsx", "2728.xlsx")</f>
        <v>2728.xlsx</v>
      </c>
      <c r="B2730" s="2">
        <v>2728</v>
      </c>
      <c r="C2730" t="s">
        <v>5</v>
      </c>
      <c r="D2730" t="s">
        <v>1352</v>
      </c>
      <c r="E2730" t="s">
        <v>115</v>
      </c>
    </row>
    <row r="2731" spans="1:5" x14ac:dyDescent="0.25">
      <c r="A2731" s="2" t="str">
        <f>HYPERLINK("spreadsheet/2729.xlsx", "2729.xlsx")</f>
        <v>2729.xlsx</v>
      </c>
      <c r="B2731" s="2">
        <v>2729</v>
      </c>
      <c r="C2731" t="s">
        <v>10</v>
      </c>
      <c r="D2731" t="s">
        <v>1352</v>
      </c>
      <c r="E2731" t="s">
        <v>115</v>
      </c>
    </row>
    <row r="2732" spans="1:5" x14ac:dyDescent="0.25">
      <c r="A2732" s="2" t="str">
        <f>HYPERLINK("spreadsheet/2730.xlsx", "2730.xlsx")</f>
        <v>2730.xlsx</v>
      </c>
      <c r="B2732" s="2">
        <v>2730</v>
      </c>
      <c r="C2732" t="s">
        <v>14</v>
      </c>
      <c r="D2732" t="s">
        <v>1352</v>
      </c>
      <c r="E2732" t="s">
        <v>115</v>
      </c>
    </row>
    <row r="2733" spans="1:5" x14ac:dyDescent="0.25">
      <c r="A2733" s="2" t="str">
        <f>HYPERLINK("spreadsheet/2731.xlsx", "2731.xlsx")</f>
        <v>2731.xlsx</v>
      </c>
      <c r="B2733" s="2">
        <v>2731</v>
      </c>
      <c r="C2733" t="s">
        <v>15</v>
      </c>
      <c r="D2733" t="s">
        <v>1352</v>
      </c>
      <c r="E2733" t="s">
        <v>115</v>
      </c>
    </row>
    <row r="2734" spans="1:5" x14ac:dyDescent="0.25">
      <c r="A2734" s="2" t="str">
        <f>HYPERLINK("spreadsheet/2732.xlsx", "2732.xlsx")</f>
        <v>2732.xlsx</v>
      </c>
      <c r="B2734" s="2">
        <v>2732</v>
      </c>
      <c r="C2734" t="s">
        <v>22</v>
      </c>
      <c r="D2734" t="s">
        <v>1352</v>
      </c>
      <c r="E2734" t="s">
        <v>115</v>
      </c>
    </row>
    <row r="2735" spans="1:5" x14ac:dyDescent="0.25">
      <c r="A2735" s="2" t="str">
        <f>HYPERLINK("spreadsheet/2733.xlsx", "2733.xlsx")</f>
        <v>2733.xlsx</v>
      </c>
      <c r="B2735" s="2">
        <v>2733</v>
      </c>
      <c r="C2735" t="s">
        <v>10</v>
      </c>
      <c r="D2735" t="s">
        <v>74</v>
      </c>
      <c r="E2735" t="s">
        <v>71</v>
      </c>
    </row>
    <row r="2736" spans="1:5" x14ac:dyDescent="0.25">
      <c r="A2736" s="2" t="str">
        <f>HYPERLINK("spreadsheet/2734.xlsx", "2734.xlsx")</f>
        <v>2734.xlsx</v>
      </c>
      <c r="B2736" s="2">
        <v>2734</v>
      </c>
      <c r="C2736" t="s">
        <v>5</v>
      </c>
      <c r="D2736" t="s">
        <v>1353</v>
      </c>
      <c r="E2736" t="s">
        <v>164</v>
      </c>
    </row>
    <row r="2737" spans="1:5" x14ac:dyDescent="0.25">
      <c r="A2737" s="2" t="str">
        <f>HYPERLINK("spreadsheet/2735.xlsx", "2735.xlsx")</f>
        <v>2735.xlsx</v>
      </c>
      <c r="B2737" s="2">
        <v>2735</v>
      </c>
      <c r="C2737" t="s">
        <v>10</v>
      </c>
      <c r="D2737" t="s">
        <v>1353</v>
      </c>
      <c r="E2737" t="s">
        <v>164</v>
      </c>
    </row>
    <row r="2738" spans="1:5" x14ac:dyDescent="0.25">
      <c r="A2738" s="2" t="str">
        <f>HYPERLINK("spreadsheet/2736.xlsx", "2736.xlsx")</f>
        <v>2736.xlsx</v>
      </c>
      <c r="B2738" s="2">
        <v>2736</v>
      </c>
      <c r="C2738" t="s">
        <v>14</v>
      </c>
      <c r="D2738" t="s">
        <v>1353</v>
      </c>
      <c r="E2738" t="s">
        <v>164</v>
      </c>
    </row>
    <row r="2739" spans="1:5" x14ac:dyDescent="0.25">
      <c r="A2739" s="2" t="str">
        <f>HYPERLINK("spreadsheet/2737.xlsx", "2737.xlsx")</f>
        <v>2737.xlsx</v>
      </c>
      <c r="B2739" s="2">
        <v>2737</v>
      </c>
      <c r="C2739" t="s">
        <v>5</v>
      </c>
      <c r="D2739" t="s">
        <v>1354</v>
      </c>
      <c r="E2739" t="s">
        <v>164</v>
      </c>
    </row>
    <row r="2740" spans="1:5" x14ac:dyDescent="0.25">
      <c r="A2740" s="2" t="str">
        <f>HYPERLINK("spreadsheet/2738.xlsx", "2738.xlsx")</f>
        <v>2738.xlsx</v>
      </c>
      <c r="B2740" s="2">
        <v>2738</v>
      </c>
      <c r="C2740" t="s">
        <v>10</v>
      </c>
      <c r="D2740" t="s">
        <v>1354</v>
      </c>
      <c r="E2740" t="s">
        <v>164</v>
      </c>
    </row>
    <row r="2741" spans="1:5" x14ac:dyDescent="0.25">
      <c r="A2741" s="2" t="str">
        <f>HYPERLINK("spreadsheet/2739.xlsx", "2739.xlsx")</f>
        <v>2739.xlsx</v>
      </c>
      <c r="B2741" s="2">
        <v>2739</v>
      </c>
      <c r="C2741" t="s">
        <v>14</v>
      </c>
      <c r="D2741" t="s">
        <v>1354</v>
      </c>
      <c r="E2741" t="s">
        <v>164</v>
      </c>
    </row>
    <row r="2742" spans="1:5" x14ac:dyDescent="0.25">
      <c r="A2742" s="2" t="s">
        <v>1355</v>
      </c>
      <c r="B2742" s="2">
        <v>2740</v>
      </c>
      <c r="C2742" t="s">
        <v>15</v>
      </c>
      <c r="D2742" t="s">
        <v>1354</v>
      </c>
      <c r="E2742" t="s">
        <v>164</v>
      </c>
    </row>
    <row r="2743" spans="1:5" x14ac:dyDescent="0.25">
      <c r="A2743" s="2" t="s">
        <v>1356</v>
      </c>
      <c r="B2743" s="2">
        <v>2741</v>
      </c>
      <c r="C2743" t="s">
        <v>22</v>
      </c>
      <c r="D2743" t="s">
        <v>1354</v>
      </c>
      <c r="E2743" t="s">
        <v>164</v>
      </c>
    </row>
    <row r="2744" spans="1:5" x14ac:dyDescent="0.25">
      <c r="A2744" s="2" t="s">
        <v>1357</v>
      </c>
      <c r="B2744" s="2">
        <v>2742</v>
      </c>
      <c r="C2744" t="s">
        <v>24</v>
      </c>
      <c r="D2744" t="s">
        <v>1354</v>
      </c>
      <c r="E2744" t="s">
        <v>164</v>
      </c>
    </row>
    <row r="2745" spans="1:5" x14ac:dyDescent="0.25">
      <c r="A2745" s="2" t="str">
        <f>HYPERLINK("spreadsheet/2743.xlsx", "2743.xlsx")</f>
        <v>2743.xlsx</v>
      </c>
      <c r="B2745" s="2">
        <v>2743</v>
      </c>
      <c r="C2745" t="s">
        <v>60</v>
      </c>
      <c r="D2745" t="s">
        <v>1354</v>
      </c>
      <c r="E2745" t="s">
        <v>164</v>
      </c>
    </row>
    <row r="2746" spans="1:5" x14ac:dyDescent="0.25">
      <c r="A2746" s="2" t="str">
        <f>HYPERLINK("spreadsheet/2744.xlsx", "2744.xlsx")</f>
        <v>2744.xlsx</v>
      </c>
      <c r="B2746" s="2">
        <v>2744</v>
      </c>
      <c r="C2746" t="s">
        <v>44</v>
      </c>
      <c r="D2746" t="s">
        <v>1354</v>
      </c>
      <c r="E2746" t="s">
        <v>164</v>
      </c>
    </row>
    <row r="2747" spans="1:5" x14ac:dyDescent="0.25">
      <c r="A2747" s="2" t="str">
        <f>HYPERLINK("spreadsheet/2745.xlsx", "2745.xlsx")</f>
        <v>2745.xlsx</v>
      </c>
      <c r="B2747" s="2">
        <v>2745</v>
      </c>
      <c r="C2747" t="s">
        <v>45</v>
      </c>
      <c r="D2747" t="s">
        <v>1354</v>
      </c>
      <c r="E2747" t="s">
        <v>164</v>
      </c>
    </row>
    <row r="2748" spans="1:5" x14ac:dyDescent="0.25">
      <c r="A2748" s="2" t="str">
        <f>HYPERLINK("spreadsheet/2746.xlsx", "2746.xlsx")</f>
        <v>2746.xlsx</v>
      </c>
      <c r="B2748" s="2">
        <v>2746</v>
      </c>
      <c r="C2748" t="s">
        <v>46</v>
      </c>
      <c r="D2748" t="s">
        <v>1354</v>
      </c>
      <c r="E2748" t="s">
        <v>164</v>
      </c>
    </row>
    <row r="2749" spans="1:5" x14ac:dyDescent="0.25">
      <c r="A2749" s="2" t="str">
        <f>HYPERLINK("spreadsheet/2747.xlsx", "2747.xlsx")</f>
        <v>2747.xlsx</v>
      </c>
      <c r="B2749" s="2">
        <v>2747</v>
      </c>
      <c r="C2749" t="s">
        <v>47</v>
      </c>
      <c r="D2749" t="s">
        <v>1354</v>
      </c>
      <c r="E2749" t="s">
        <v>164</v>
      </c>
    </row>
    <row r="2750" spans="1:5" x14ac:dyDescent="0.25">
      <c r="A2750" s="2" t="str">
        <f>HYPERLINK("spreadsheet/2748.xlsx", "2748.xlsx")</f>
        <v>2748.xlsx</v>
      </c>
      <c r="B2750" s="2">
        <v>2748</v>
      </c>
      <c r="C2750" t="s">
        <v>48</v>
      </c>
      <c r="D2750" t="s">
        <v>1354</v>
      </c>
      <c r="E2750" t="s">
        <v>164</v>
      </c>
    </row>
    <row r="2751" spans="1:5" x14ac:dyDescent="0.25">
      <c r="A2751" s="2" t="str">
        <f>HYPERLINK("spreadsheet/2749.xlsx", "2749.xlsx")</f>
        <v>2749.xlsx</v>
      </c>
      <c r="B2751" s="2">
        <v>2749</v>
      </c>
      <c r="C2751" t="s">
        <v>49</v>
      </c>
      <c r="D2751" t="s">
        <v>1354</v>
      </c>
      <c r="E2751" t="s">
        <v>164</v>
      </c>
    </row>
    <row r="2752" spans="1:5" x14ac:dyDescent="0.25">
      <c r="A2752" s="2" t="s">
        <v>1358</v>
      </c>
      <c r="B2752" s="2">
        <v>2750</v>
      </c>
      <c r="C2752" t="s">
        <v>50</v>
      </c>
      <c r="D2752" t="s">
        <v>1354</v>
      </c>
      <c r="E2752" t="s">
        <v>164</v>
      </c>
    </row>
    <row r="2753" spans="1:5" x14ac:dyDescent="0.25">
      <c r="A2753" s="2" t="str">
        <f>HYPERLINK("spreadsheet/2751.xlsx", "2751.xlsx")</f>
        <v>2751.xlsx</v>
      </c>
      <c r="B2753" s="2">
        <v>2751</v>
      </c>
      <c r="C2753" t="s">
        <v>51</v>
      </c>
      <c r="D2753" t="s">
        <v>1354</v>
      </c>
      <c r="E2753" t="s">
        <v>164</v>
      </c>
    </row>
    <row r="2754" spans="1:5" x14ac:dyDescent="0.25">
      <c r="A2754" s="2" t="str">
        <f>HYPERLINK("spreadsheet/2752.xlsx", "2752.xlsx")</f>
        <v>2752.xlsx</v>
      </c>
      <c r="B2754" s="2">
        <v>2752</v>
      </c>
      <c r="C2754" t="s">
        <v>52</v>
      </c>
      <c r="D2754" t="s">
        <v>1354</v>
      </c>
      <c r="E2754" t="s">
        <v>164</v>
      </c>
    </row>
    <row r="2755" spans="1:5" x14ac:dyDescent="0.25">
      <c r="A2755" s="2" t="str">
        <f>HYPERLINK("spreadsheet/2753.xlsx", "2753.xlsx")</f>
        <v>2753.xlsx</v>
      </c>
      <c r="B2755" s="2">
        <v>2753</v>
      </c>
      <c r="C2755" t="s">
        <v>53</v>
      </c>
      <c r="D2755" t="s">
        <v>1354</v>
      </c>
      <c r="E2755" t="s">
        <v>164</v>
      </c>
    </row>
    <row r="2756" spans="1:5" x14ac:dyDescent="0.25">
      <c r="A2756" s="2" t="str">
        <f>HYPERLINK("spreadsheet/2754.xlsx", "2754.xlsx")</f>
        <v>2754.xlsx</v>
      </c>
      <c r="B2756" s="2">
        <v>2754</v>
      </c>
      <c r="C2756" t="s">
        <v>54</v>
      </c>
      <c r="D2756" t="s">
        <v>1354</v>
      </c>
      <c r="E2756" t="s">
        <v>164</v>
      </c>
    </row>
    <row r="2757" spans="1:5" x14ac:dyDescent="0.25">
      <c r="A2757" s="2" t="str">
        <f>HYPERLINK("spreadsheet/2755.xlsx", "2755.xlsx")</f>
        <v>2755.xlsx</v>
      </c>
      <c r="B2757" s="2">
        <v>2755</v>
      </c>
      <c r="C2757" t="s">
        <v>55</v>
      </c>
      <c r="D2757" t="s">
        <v>1354</v>
      </c>
      <c r="E2757" t="s">
        <v>164</v>
      </c>
    </row>
    <row r="2758" spans="1:5" x14ac:dyDescent="0.25">
      <c r="A2758" s="2" t="str">
        <f>HYPERLINK("spreadsheet/2756.xlsx", "2756.xlsx")</f>
        <v>2756.xlsx</v>
      </c>
      <c r="B2758" s="2">
        <v>2756</v>
      </c>
      <c r="C2758" t="s">
        <v>56</v>
      </c>
      <c r="D2758" t="s">
        <v>1354</v>
      </c>
      <c r="E2758" t="s">
        <v>164</v>
      </c>
    </row>
    <row r="2759" spans="1:5" x14ac:dyDescent="0.25">
      <c r="A2759" s="2" t="str">
        <f>HYPERLINK("spreadsheet/2757.xlsx", "2757.xlsx")</f>
        <v>2757.xlsx</v>
      </c>
      <c r="B2759" s="2">
        <v>2757</v>
      </c>
      <c r="C2759" t="s">
        <v>5</v>
      </c>
      <c r="D2759" t="s">
        <v>1359</v>
      </c>
      <c r="E2759" t="s">
        <v>332</v>
      </c>
    </row>
    <row r="2760" spans="1:5" x14ac:dyDescent="0.25">
      <c r="A2760" s="2" t="str">
        <f>HYPERLINK("spreadsheet/2758.xlsx", "2758.xlsx")</f>
        <v>2758.xlsx</v>
      </c>
      <c r="B2760" s="2">
        <v>2758</v>
      </c>
      <c r="C2760" t="s">
        <v>10</v>
      </c>
      <c r="D2760" t="s">
        <v>1359</v>
      </c>
      <c r="E2760" t="s">
        <v>332</v>
      </c>
    </row>
    <row r="2761" spans="1:5" x14ac:dyDescent="0.25">
      <c r="A2761" s="2" t="str">
        <f>HYPERLINK("spreadsheet/2759.xlsx", "2759.xlsx")</f>
        <v>2759.xlsx</v>
      </c>
      <c r="B2761" s="2">
        <v>2759</v>
      </c>
      <c r="C2761" t="s">
        <v>14</v>
      </c>
      <c r="D2761" t="s">
        <v>1359</v>
      </c>
      <c r="E2761" t="s">
        <v>332</v>
      </c>
    </row>
    <row r="2762" spans="1:5" x14ac:dyDescent="0.25">
      <c r="A2762" s="2" t="s">
        <v>1360</v>
      </c>
      <c r="B2762" s="2">
        <v>2760</v>
      </c>
      <c r="C2762" t="s">
        <v>5</v>
      </c>
      <c r="D2762" t="s">
        <v>1361</v>
      </c>
      <c r="E2762" t="s">
        <v>120</v>
      </c>
    </row>
    <row r="2763" spans="1:5" x14ac:dyDescent="0.25">
      <c r="A2763" s="2" t="s">
        <v>1362</v>
      </c>
      <c r="B2763" s="2">
        <v>2761</v>
      </c>
      <c r="C2763" t="s">
        <v>10</v>
      </c>
      <c r="D2763" t="s">
        <v>1361</v>
      </c>
      <c r="E2763" t="s">
        <v>120</v>
      </c>
    </row>
    <row r="2764" spans="1:5" x14ac:dyDescent="0.25">
      <c r="A2764" s="2" t="s">
        <v>1363</v>
      </c>
      <c r="B2764" s="2">
        <v>2762</v>
      </c>
      <c r="C2764" t="s">
        <v>5</v>
      </c>
      <c r="D2764" t="s">
        <v>1364</v>
      </c>
      <c r="E2764" t="s">
        <v>115</v>
      </c>
    </row>
    <row r="2765" spans="1:5" x14ac:dyDescent="0.25">
      <c r="A2765" s="2" t="str">
        <f>HYPERLINK("spreadsheet/2763.xlsx", "2763.xlsx")</f>
        <v>2763.xlsx</v>
      </c>
      <c r="B2765" s="2">
        <v>2763</v>
      </c>
      <c r="C2765" t="s">
        <v>5</v>
      </c>
      <c r="D2765" t="s">
        <v>1365</v>
      </c>
      <c r="E2765" t="s">
        <v>150</v>
      </c>
    </row>
    <row r="2766" spans="1:5" x14ac:dyDescent="0.25">
      <c r="A2766" s="2" t="str">
        <f>HYPERLINK("spreadsheet/2764.xlsx", "2764.xlsx")</f>
        <v>2764.xlsx</v>
      </c>
      <c r="B2766" s="2">
        <v>2764</v>
      </c>
      <c r="C2766" t="s">
        <v>14</v>
      </c>
      <c r="D2766" t="s">
        <v>1365</v>
      </c>
      <c r="E2766" t="s">
        <v>150</v>
      </c>
    </row>
    <row r="2767" spans="1:5" x14ac:dyDescent="0.25">
      <c r="A2767" s="2" t="str">
        <f>HYPERLINK("spreadsheet/2765.xlsx", "2765.xlsx")</f>
        <v>2765.xlsx</v>
      </c>
      <c r="B2767" s="2">
        <v>2765</v>
      </c>
      <c r="C2767" t="s">
        <v>15</v>
      </c>
      <c r="D2767" t="s">
        <v>1365</v>
      </c>
      <c r="E2767" t="s">
        <v>150</v>
      </c>
    </row>
    <row r="2768" spans="1:5" x14ac:dyDescent="0.25">
      <c r="A2768" s="2" t="str">
        <f>HYPERLINK("spreadsheet/2766.xlsx", "2766.xlsx")</f>
        <v>2766.xlsx</v>
      </c>
      <c r="B2768" s="2">
        <v>2766</v>
      </c>
      <c r="C2768" t="s">
        <v>22</v>
      </c>
      <c r="D2768" t="s">
        <v>1365</v>
      </c>
      <c r="E2768" t="s">
        <v>150</v>
      </c>
    </row>
    <row r="2769" spans="1:5" x14ac:dyDescent="0.25">
      <c r="A2769" s="2" t="str">
        <f>HYPERLINK("spreadsheet/2767.xlsx", "2767.xlsx")</f>
        <v>2767.xlsx</v>
      </c>
      <c r="B2769" s="2">
        <v>2767</v>
      </c>
      <c r="C2769" t="s">
        <v>60</v>
      </c>
      <c r="D2769" t="s">
        <v>1365</v>
      </c>
      <c r="E2769" t="s">
        <v>150</v>
      </c>
    </row>
    <row r="2770" spans="1:5" x14ac:dyDescent="0.25">
      <c r="A2770" s="2" t="str">
        <f>HYPERLINK("spreadsheet/2768.xlsx", "2768.xlsx")</f>
        <v>2768.xlsx</v>
      </c>
      <c r="B2770" s="2">
        <v>2768</v>
      </c>
      <c r="C2770" t="s">
        <v>44</v>
      </c>
      <c r="D2770" t="s">
        <v>1365</v>
      </c>
      <c r="E2770" t="s">
        <v>150</v>
      </c>
    </row>
    <row r="2771" spans="1:5" x14ac:dyDescent="0.25">
      <c r="A2771" s="2" t="str">
        <f>HYPERLINK("spreadsheet/2769.xlsx", "2769.xlsx")</f>
        <v>2769.xlsx</v>
      </c>
      <c r="B2771" s="2">
        <v>2769</v>
      </c>
      <c r="C2771" t="s">
        <v>45</v>
      </c>
      <c r="D2771" t="s">
        <v>1365</v>
      </c>
      <c r="E2771" t="s">
        <v>150</v>
      </c>
    </row>
    <row r="2772" spans="1:5" x14ac:dyDescent="0.25">
      <c r="A2772" s="2" t="str">
        <f>HYPERLINK("spreadsheet/2770.xlsx", "2770.xlsx")</f>
        <v>2770.xlsx</v>
      </c>
      <c r="B2772" s="2">
        <v>2770</v>
      </c>
      <c r="C2772" t="s">
        <v>46</v>
      </c>
      <c r="D2772" t="s">
        <v>1365</v>
      </c>
      <c r="E2772" t="s">
        <v>150</v>
      </c>
    </row>
    <row r="2773" spans="1:5" x14ac:dyDescent="0.25">
      <c r="A2773" s="2" t="s">
        <v>1366</v>
      </c>
      <c r="B2773" s="2">
        <v>2771</v>
      </c>
      <c r="C2773" t="s">
        <v>47</v>
      </c>
      <c r="D2773" t="s">
        <v>1365</v>
      </c>
      <c r="E2773" t="s">
        <v>150</v>
      </c>
    </row>
    <row r="2774" spans="1:5" x14ac:dyDescent="0.25">
      <c r="A2774" s="2" t="str">
        <f>HYPERLINK("spreadsheet/2772.xlsx", "2772.xlsx")</f>
        <v>2772.xlsx</v>
      </c>
      <c r="B2774" s="2">
        <v>2772</v>
      </c>
      <c r="C2774" t="s">
        <v>5</v>
      </c>
      <c r="D2774" t="s">
        <v>1367</v>
      </c>
      <c r="E2774" t="s">
        <v>115</v>
      </c>
    </row>
    <row r="2775" spans="1:5" x14ac:dyDescent="0.25">
      <c r="A2775" s="2" t="str">
        <f>HYPERLINK("spreadsheet/2773.xlsx", "2773.xlsx")</f>
        <v>2773.xlsx</v>
      </c>
      <c r="B2775" s="2">
        <v>2773</v>
      </c>
      <c r="C2775" t="s">
        <v>10</v>
      </c>
      <c r="D2775" t="s">
        <v>1367</v>
      </c>
      <c r="E2775" t="s">
        <v>115</v>
      </c>
    </row>
    <row r="2776" spans="1:5" x14ac:dyDescent="0.25">
      <c r="A2776" s="2" t="str">
        <f>HYPERLINK("spreadsheet/2774.xlsx", "2774.xlsx")</f>
        <v>2774.xlsx</v>
      </c>
      <c r="B2776" s="2">
        <v>2774</v>
      </c>
      <c r="C2776" t="s">
        <v>5</v>
      </c>
      <c r="D2776" t="s">
        <v>1368</v>
      </c>
      <c r="E2776" t="s">
        <v>150</v>
      </c>
    </row>
    <row r="2777" spans="1:5" x14ac:dyDescent="0.25">
      <c r="A2777" s="2" t="str">
        <f>HYPERLINK("spreadsheet/2775.xlsx", "2775.xlsx")</f>
        <v>2775.xlsx</v>
      </c>
      <c r="B2777" s="2">
        <v>2775</v>
      </c>
      <c r="C2777" t="s">
        <v>10</v>
      </c>
      <c r="D2777" t="s">
        <v>1368</v>
      </c>
      <c r="E2777" t="s">
        <v>150</v>
      </c>
    </row>
    <row r="2778" spans="1:5" x14ac:dyDescent="0.25">
      <c r="A2778" s="2" t="str">
        <f>HYPERLINK("spreadsheet/2776.xlsx", "2776.xlsx")</f>
        <v>2776.xlsx</v>
      </c>
      <c r="B2778" s="2">
        <v>2776</v>
      </c>
      <c r="C2778" t="s">
        <v>14</v>
      </c>
      <c r="D2778" t="s">
        <v>1368</v>
      </c>
      <c r="E2778" t="s">
        <v>150</v>
      </c>
    </row>
    <row r="2779" spans="1:5" x14ac:dyDescent="0.25">
      <c r="A2779" s="2" t="str">
        <f>HYPERLINK("spreadsheet/2777.xlsx", "2777.xlsx")</f>
        <v>2777.xlsx</v>
      </c>
      <c r="B2779" s="2">
        <v>2777</v>
      </c>
      <c r="C2779" t="s">
        <v>15</v>
      </c>
      <c r="D2779" t="s">
        <v>1368</v>
      </c>
      <c r="E2779" t="s">
        <v>150</v>
      </c>
    </row>
    <row r="2780" spans="1:5" x14ac:dyDescent="0.25">
      <c r="A2780" s="2" t="str">
        <f>HYPERLINK("spreadsheet/2778.xlsx", "2778.xlsx")</f>
        <v>2778.xlsx</v>
      </c>
      <c r="B2780" s="2">
        <v>2778</v>
      </c>
      <c r="C2780" t="s">
        <v>22</v>
      </c>
      <c r="D2780" t="s">
        <v>1368</v>
      </c>
      <c r="E2780" t="s">
        <v>150</v>
      </c>
    </row>
    <row r="2781" spans="1:5" x14ac:dyDescent="0.25">
      <c r="A2781" s="2" t="str">
        <f>HYPERLINK("spreadsheet/2779.xlsx", "2779.xlsx")</f>
        <v>2779.xlsx</v>
      </c>
      <c r="B2781" s="2">
        <v>2779</v>
      </c>
      <c r="C2781" t="s">
        <v>24</v>
      </c>
      <c r="D2781" t="s">
        <v>1368</v>
      </c>
      <c r="E2781" t="s">
        <v>150</v>
      </c>
    </row>
    <row r="2782" spans="1:5" x14ac:dyDescent="0.25">
      <c r="A2782" s="2" t="str">
        <f>HYPERLINK("spreadsheet/2780.xlsx", "2780.xlsx")</f>
        <v>2780.xlsx</v>
      </c>
      <c r="B2782" s="2">
        <v>2780</v>
      </c>
      <c r="C2782" t="s">
        <v>5</v>
      </c>
      <c r="D2782" t="s">
        <v>1369</v>
      </c>
      <c r="E2782" t="s">
        <v>154</v>
      </c>
    </row>
    <row r="2783" spans="1:5" x14ac:dyDescent="0.25">
      <c r="A2783" s="2" t="str">
        <f>HYPERLINK("spreadsheet/2781.xlsx", "2781.xlsx")</f>
        <v>2781.xlsx</v>
      </c>
      <c r="B2783" s="2">
        <v>2781</v>
      </c>
      <c r="C2783" t="s">
        <v>10</v>
      </c>
      <c r="D2783" t="s">
        <v>1369</v>
      </c>
      <c r="E2783" t="s">
        <v>154</v>
      </c>
    </row>
    <row r="2784" spans="1:5" x14ac:dyDescent="0.25">
      <c r="A2784" s="2" t="str">
        <f>HYPERLINK("spreadsheet/2782.xlsx", "2782.xlsx")</f>
        <v>2782.xlsx</v>
      </c>
      <c r="B2784" s="2">
        <v>2782</v>
      </c>
      <c r="C2784" t="s">
        <v>14</v>
      </c>
      <c r="D2784" t="s">
        <v>1369</v>
      </c>
      <c r="E2784" t="s">
        <v>154</v>
      </c>
    </row>
    <row r="2785" spans="1:5" x14ac:dyDescent="0.25">
      <c r="A2785" s="2" t="str">
        <f>HYPERLINK("spreadsheet/2783.xlsx", "2783.xlsx")</f>
        <v>2783.xlsx</v>
      </c>
      <c r="B2785" s="2">
        <v>2783</v>
      </c>
      <c r="C2785" t="s">
        <v>15</v>
      </c>
      <c r="D2785" t="s">
        <v>1369</v>
      </c>
      <c r="E2785" t="s">
        <v>154</v>
      </c>
    </row>
    <row r="2786" spans="1:5" x14ac:dyDescent="0.25">
      <c r="A2786" s="2" t="str">
        <f>HYPERLINK("spreadsheet/2784.xlsx", "2784.xlsx")</f>
        <v>2784.xlsx</v>
      </c>
      <c r="B2786" s="2">
        <v>2784</v>
      </c>
      <c r="C2786" t="s">
        <v>22</v>
      </c>
      <c r="D2786" t="s">
        <v>1369</v>
      </c>
      <c r="E2786" t="s">
        <v>154</v>
      </c>
    </row>
    <row r="2787" spans="1:5" x14ac:dyDescent="0.25">
      <c r="A2787" s="2" t="s">
        <v>1370</v>
      </c>
      <c r="B2787" s="2">
        <v>2785</v>
      </c>
      <c r="C2787" t="s">
        <v>10</v>
      </c>
      <c r="D2787" t="s">
        <v>1371</v>
      </c>
      <c r="E2787" t="s">
        <v>134</v>
      </c>
    </row>
    <row r="2788" spans="1:5" x14ac:dyDescent="0.25">
      <c r="A2788" s="2" t="str">
        <f>HYPERLINK("spreadsheet/2786.xlsx", "2786.xlsx")</f>
        <v>2786.xlsx</v>
      </c>
      <c r="B2788" s="2">
        <v>2786</v>
      </c>
      <c r="C2788" t="s">
        <v>5</v>
      </c>
      <c r="D2788" t="s">
        <v>1372</v>
      </c>
      <c r="E2788" t="s">
        <v>115</v>
      </c>
    </row>
    <row r="2789" spans="1:5" x14ac:dyDescent="0.25">
      <c r="A2789" s="2" t="s">
        <v>1373</v>
      </c>
      <c r="B2789" s="2">
        <v>2787</v>
      </c>
      <c r="C2789" t="s">
        <v>10</v>
      </c>
      <c r="D2789" t="s">
        <v>1372</v>
      </c>
      <c r="E2789" t="s">
        <v>115</v>
      </c>
    </row>
    <row r="2790" spans="1:5" x14ac:dyDescent="0.25">
      <c r="A2790" s="2" t="s">
        <v>1374</v>
      </c>
      <c r="B2790" s="2">
        <v>2788</v>
      </c>
      <c r="C2790" t="s">
        <v>14</v>
      </c>
      <c r="D2790" t="s">
        <v>1372</v>
      </c>
      <c r="E2790" t="s">
        <v>115</v>
      </c>
    </row>
    <row r="2791" spans="1:5" x14ac:dyDescent="0.25">
      <c r="A2791" s="2" t="s">
        <v>1375</v>
      </c>
      <c r="B2791" s="2">
        <v>2789</v>
      </c>
      <c r="C2791" t="s">
        <v>15</v>
      </c>
      <c r="D2791" t="s">
        <v>1372</v>
      </c>
      <c r="E2791" t="s">
        <v>115</v>
      </c>
    </row>
    <row r="2792" spans="1:5" x14ac:dyDescent="0.25">
      <c r="A2792" s="2" t="str">
        <f>HYPERLINK("spreadsheet/2790.xlsx", "2790.xlsx")</f>
        <v>2790.xlsx</v>
      </c>
      <c r="B2792" s="2">
        <v>2790</v>
      </c>
      <c r="C2792" t="s">
        <v>14</v>
      </c>
      <c r="D2792" t="s">
        <v>1376</v>
      </c>
      <c r="E2792" t="s">
        <v>124</v>
      </c>
    </row>
    <row r="2793" spans="1:5" x14ac:dyDescent="0.25">
      <c r="A2793" s="2" t="str">
        <f>HYPERLINK("spreadsheet/2791.xlsx", "2791.xlsx")</f>
        <v>2791.xlsx</v>
      </c>
      <c r="B2793" s="2">
        <v>2791</v>
      </c>
      <c r="C2793" t="s">
        <v>15</v>
      </c>
      <c r="D2793" t="s">
        <v>1376</v>
      </c>
      <c r="E2793" t="s">
        <v>124</v>
      </c>
    </row>
    <row r="2794" spans="1:5" x14ac:dyDescent="0.25">
      <c r="A2794" s="2" t="str">
        <f>HYPERLINK("spreadsheet/2792.xlsx", "2792.xlsx")</f>
        <v>2792.xlsx</v>
      </c>
      <c r="B2794" s="2">
        <v>2792</v>
      </c>
      <c r="C2794" t="s">
        <v>5</v>
      </c>
      <c r="D2794" t="s">
        <v>1377</v>
      </c>
      <c r="E2794" t="s">
        <v>145</v>
      </c>
    </row>
    <row r="2795" spans="1:5" x14ac:dyDescent="0.25">
      <c r="A2795" s="2" t="str">
        <f>HYPERLINK("spreadsheet/2793.xlsx", "2793.xlsx")</f>
        <v>2793.xlsx</v>
      </c>
      <c r="B2795" s="2">
        <v>2793</v>
      </c>
      <c r="C2795" t="s">
        <v>5</v>
      </c>
      <c r="D2795" t="s">
        <v>1378</v>
      </c>
      <c r="E2795" t="s">
        <v>134</v>
      </c>
    </row>
    <row r="2796" spans="1:5" x14ac:dyDescent="0.25">
      <c r="A2796" s="2" t="str">
        <f>HYPERLINK("spreadsheet/2794.xlsx", "2794.xlsx")</f>
        <v>2794.xlsx</v>
      </c>
      <c r="B2796" s="2">
        <v>2794</v>
      </c>
      <c r="C2796" t="s">
        <v>10</v>
      </c>
      <c r="D2796" t="s">
        <v>1378</v>
      </c>
      <c r="E2796" t="s">
        <v>134</v>
      </c>
    </row>
    <row r="2797" spans="1:5" x14ac:dyDescent="0.25">
      <c r="A2797" s="2" t="str">
        <f>HYPERLINK("spreadsheet/2795.xlsx", "2795.xlsx")</f>
        <v>2795.xlsx</v>
      </c>
      <c r="B2797" s="2">
        <v>2795</v>
      </c>
      <c r="C2797" t="s">
        <v>14</v>
      </c>
      <c r="D2797" t="s">
        <v>1378</v>
      </c>
      <c r="E2797" t="s">
        <v>134</v>
      </c>
    </row>
    <row r="2798" spans="1:5" x14ac:dyDescent="0.25">
      <c r="A2798" s="2" t="str">
        <f>HYPERLINK("spreadsheet/2796.xlsx", "2796.xlsx")</f>
        <v>2796.xlsx</v>
      </c>
      <c r="B2798" s="2">
        <v>2796</v>
      </c>
      <c r="C2798" t="s">
        <v>5</v>
      </c>
      <c r="D2798" t="s">
        <v>1379</v>
      </c>
      <c r="E2798" t="s">
        <v>150</v>
      </c>
    </row>
    <row r="2799" spans="1:5" x14ac:dyDescent="0.25">
      <c r="A2799" s="2" t="str">
        <f>HYPERLINK("spreadsheet/2797.xlsx", "2797.xlsx")</f>
        <v>2797.xlsx</v>
      </c>
      <c r="B2799" s="2">
        <v>2797</v>
      </c>
      <c r="C2799" t="s">
        <v>10</v>
      </c>
      <c r="D2799" t="s">
        <v>1379</v>
      </c>
      <c r="E2799" t="s">
        <v>150</v>
      </c>
    </row>
    <row r="2800" spans="1:5" x14ac:dyDescent="0.25">
      <c r="A2800" s="2" t="str">
        <f>HYPERLINK("spreadsheet/2798.xlsx", "2798.xlsx")</f>
        <v>2798.xlsx</v>
      </c>
      <c r="B2800" s="2">
        <v>2798</v>
      </c>
      <c r="C2800" t="s">
        <v>14</v>
      </c>
      <c r="D2800" t="s">
        <v>1379</v>
      </c>
      <c r="E2800" t="s">
        <v>150</v>
      </c>
    </row>
    <row r="2801" spans="1:5" x14ac:dyDescent="0.25">
      <c r="A2801" s="2" t="str">
        <f>HYPERLINK("spreadsheet/2799.xlsx", "2799.xlsx")</f>
        <v>2799.xlsx</v>
      </c>
      <c r="B2801" s="2">
        <v>2799</v>
      </c>
      <c r="C2801" t="s">
        <v>15</v>
      </c>
      <c r="D2801" t="s">
        <v>1379</v>
      </c>
      <c r="E2801" t="s">
        <v>150</v>
      </c>
    </row>
    <row r="2802" spans="1:5" x14ac:dyDescent="0.25">
      <c r="A2802" s="2" t="s">
        <v>1380</v>
      </c>
      <c r="B2802" s="2">
        <v>2800</v>
      </c>
      <c r="C2802" t="s">
        <v>22</v>
      </c>
      <c r="D2802" t="s">
        <v>1379</v>
      </c>
      <c r="E2802" t="s">
        <v>150</v>
      </c>
    </row>
    <row r="2803" spans="1:5" x14ac:dyDescent="0.25">
      <c r="A2803" s="2" t="str">
        <f>HYPERLINK("spreadsheet/2801.xlsx", "2801.xlsx")</f>
        <v>2801.xlsx</v>
      </c>
      <c r="B2803" s="2">
        <v>2801</v>
      </c>
      <c r="C2803" t="s">
        <v>24</v>
      </c>
      <c r="D2803" t="s">
        <v>1379</v>
      </c>
      <c r="E2803" t="s">
        <v>150</v>
      </c>
    </row>
    <row r="2804" spans="1:5" x14ac:dyDescent="0.25">
      <c r="A2804" s="2" t="str">
        <f>HYPERLINK("spreadsheet/2802.xlsx", "2802.xlsx")</f>
        <v>2802.xlsx</v>
      </c>
      <c r="B2804" s="2">
        <v>2802</v>
      </c>
      <c r="C2804" t="s">
        <v>60</v>
      </c>
      <c r="D2804" t="s">
        <v>1379</v>
      </c>
      <c r="E2804" t="s">
        <v>150</v>
      </c>
    </row>
    <row r="2805" spans="1:5" x14ac:dyDescent="0.25">
      <c r="A2805" s="2" t="str">
        <f>HYPERLINK("spreadsheet/2803.xlsx", "2803.xlsx")</f>
        <v>2803.xlsx</v>
      </c>
      <c r="B2805" s="2">
        <v>2803</v>
      </c>
      <c r="C2805" t="s">
        <v>44</v>
      </c>
      <c r="D2805" t="s">
        <v>1379</v>
      </c>
      <c r="E2805" t="s">
        <v>150</v>
      </c>
    </row>
    <row r="2806" spans="1:5" x14ac:dyDescent="0.25">
      <c r="A2806" s="2" t="str">
        <f>HYPERLINK("spreadsheet/2804.xlsx", "2804.xlsx")</f>
        <v>2804.xlsx</v>
      </c>
      <c r="B2806" s="2">
        <v>2804</v>
      </c>
      <c r="C2806" t="s">
        <v>1381</v>
      </c>
      <c r="D2806" t="s">
        <v>1379</v>
      </c>
      <c r="E2806" t="s">
        <v>150</v>
      </c>
    </row>
    <row r="2807" spans="1:5" x14ac:dyDescent="0.25">
      <c r="A2807" s="2" t="str">
        <f>HYPERLINK("spreadsheet/2805.xlsx", "2805.xlsx")</f>
        <v>2805.xlsx</v>
      </c>
      <c r="B2807" s="2">
        <v>2805</v>
      </c>
      <c r="C2807" t="s">
        <v>1382</v>
      </c>
      <c r="D2807" t="s">
        <v>1379</v>
      </c>
      <c r="E2807" t="s">
        <v>150</v>
      </c>
    </row>
    <row r="2808" spans="1:5" x14ac:dyDescent="0.25">
      <c r="A2808" s="2" t="s">
        <v>1383</v>
      </c>
      <c r="B2808" s="2">
        <v>2806</v>
      </c>
      <c r="C2808" t="s">
        <v>47</v>
      </c>
      <c r="D2808" t="s">
        <v>1379</v>
      </c>
      <c r="E2808" t="s">
        <v>150</v>
      </c>
    </row>
    <row r="2809" spans="1:5" x14ac:dyDescent="0.25">
      <c r="A2809" s="2" t="s">
        <v>1384</v>
      </c>
      <c r="B2809" s="2">
        <v>2807</v>
      </c>
      <c r="C2809" t="s">
        <v>48</v>
      </c>
      <c r="D2809" t="s">
        <v>1379</v>
      </c>
      <c r="E2809" t="s">
        <v>150</v>
      </c>
    </row>
    <row r="2810" spans="1:5" x14ac:dyDescent="0.25">
      <c r="A2810" s="2" t="str">
        <f>HYPERLINK("spreadsheet/2808.xlsx", "2808.xlsx")</f>
        <v>2808.xlsx</v>
      </c>
      <c r="B2810" s="2">
        <v>2808</v>
      </c>
      <c r="C2810" t="s">
        <v>49</v>
      </c>
      <c r="D2810" t="s">
        <v>1379</v>
      </c>
      <c r="E2810" t="s">
        <v>150</v>
      </c>
    </row>
    <row r="2811" spans="1:5" x14ac:dyDescent="0.25">
      <c r="A2811" s="2" t="str">
        <f>HYPERLINK("spreadsheet/2809.xlsx", "2809.xlsx")</f>
        <v>2809.xlsx</v>
      </c>
      <c r="B2811" s="2">
        <v>2809</v>
      </c>
      <c r="C2811" t="s">
        <v>5</v>
      </c>
      <c r="D2811" t="s">
        <v>1385</v>
      </c>
      <c r="E2811" t="s">
        <v>150</v>
      </c>
    </row>
    <row r="2812" spans="1:5" x14ac:dyDescent="0.25">
      <c r="A2812" s="2" t="s">
        <v>1386</v>
      </c>
      <c r="B2812" s="2">
        <v>2810</v>
      </c>
      <c r="C2812" t="s">
        <v>10</v>
      </c>
      <c r="D2812" t="s">
        <v>1385</v>
      </c>
      <c r="E2812" t="s">
        <v>150</v>
      </c>
    </row>
    <row r="2813" spans="1:5" x14ac:dyDescent="0.25">
      <c r="A2813" s="2" t="s">
        <v>1387</v>
      </c>
      <c r="B2813" s="2">
        <v>2811</v>
      </c>
      <c r="C2813" t="s">
        <v>14</v>
      </c>
      <c r="D2813" t="s">
        <v>1385</v>
      </c>
      <c r="E2813" t="s">
        <v>150</v>
      </c>
    </row>
    <row r="2814" spans="1:5" x14ac:dyDescent="0.25">
      <c r="A2814" s="2" t="s">
        <v>1388</v>
      </c>
      <c r="B2814" s="2">
        <v>2812</v>
      </c>
      <c r="C2814" t="s">
        <v>15</v>
      </c>
      <c r="D2814" t="s">
        <v>1385</v>
      </c>
      <c r="E2814" t="s">
        <v>150</v>
      </c>
    </row>
    <row r="2815" spans="1:5" x14ac:dyDescent="0.25">
      <c r="A2815" s="2" t="s">
        <v>1389</v>
      </c>
      <c r="B2815" s="2">
        <v>2813</v>
      </c>
      <c r="C2815" t="s">
        <v>22</v>
      </c>
      <c r="D2815" t="s">
        <v>1385</v>
      </c>
      <c r="E2815" t="s">
        <v>150</v>
      </c>
    </row>
    <row r="2816" spans="1:5" x14ac:dyDescent="0.25">
      <c r="A2816" s="2" t="s">
        <v>1390</v>
      </c>
      <c r="B2816" s="2">
        <v>2814</v>
      </c>
      <c r="C2816" t="s">
        <v>24</v>
      </c>
      <c r="D2816" t="s">
        <v>1385</v>
      </c>
      <c r="E2816" t="s">
        <v>150</v>
      </c>
    </row>
    <row r="2817" spans="1:5" x14ac:dyDescent="0.25">
      <c r="A2817" s="2" t="s">
        <v>1391</v>
      </c>
      <c r="B2817" s="2">
        <v>2815</v>
      </c>
      <c r="C2817" t="s">
        <v>60</v>
      </c>
      <c r="D2817" t="s">
        <v>1385</v>
      </c>
      <c r="E2817" t="s">
        <v>150</v>
      </c>
    </row>
    <row r="2818" spans="1:5" x14ac:dyDescent="0.25">
      <c r="A2818" s="2" t="s">
        <v>1392</v>
      </c>
      <c r="B2818" s="2">
        <v>2816</v>
      </c>
      <c r="C2818" t="s">
        <v>44</v>
      </c>
      <c r="D2818" t="s">
        <v>1385</v>
      </c>
      <c r="E2818" t="s">
        <v>150</v>
      </c>
    </row>
    <row r="2819" spans="1:5" x14ac:dyDescent="0.25">
      <c r="A2819" s="2" t="s">
        <v>1393</v>
      </c>
      <c r="B2819" s="2">
        <v>2817</v>
      </c>
      <c r="C2819" t="s">
        <v>45</v>
      </c>
      <c r="D2819" t="s">
        <v>1385</v>
      </c>
      <c r="E2819" t="s">
        <v>150</v>
      </c>
    </row>
    <row r="2820" spans="1:5" x14ac:dyDescent="0.25">
      <c r="A2820" s="2" t="s">
        <v>1394</v>
      </c>
      <c r="B2820" s="2">
        <v>2818</v>
      </c>
      <c r="C2820" t="s">
        <v>46</v>
      </c>
      <c r="D2820" t="s">
        <v>1385</v>
      </c>
      <c r="E2820" t="s">
        <v>150</v>
      </c>
    </row>
    <row r="2821" spans="1:5" x14ac:dyDescent="0.25">
      <c r="A2821" s="2" t="s">
        <v>1395</v>
      </c>
      <c r="B2821" s="2">
        <v>2819</v>
      </c>
      <c r="C2821" t="s">
        <v>47</v>
      </c>
      <c r="D2821" t="s">
        <v>1385</v>
      </c>
      <c r="E2821" t="s">
        <v>150</v>
      </c>
    </row>
    <row r="2822" spans="1:5" x14ac:dyDescent="0.25">
      <c r="A2822" s="2" t="s">
        <v>1396</v>
      </c>
      <c r="B2822" s="2">
        <v>2820</v>
      </c>
      <c r="C2822" t="s">
        <v>48</v>
      </c>
      <c r="D2822" t="s">
        <v>1385</v>
      </c>
      <c r="E2822" t="s">
        <v>150</v>
      </c>
    </row>
    <row r="2823" spans="1:5" x14ac:dyDescent="0.25">
      <c r="A2823" s="2" t="s">
        <v>1397</v>
      </c>
      <c r="B2823" s="2">
        <v>2821</v>
      </c>
      <c r="C2823" t="s">
        <v>49</v>
      </c>
      <c r="D2823" t="s">
        <v>1385</v>
      </c>
      <c r="E2823" t="s">
        <v>150</v>
      </c>
    </row>
    <row r="2824" spans="1:5" x14ac:dyDescent="0.25">
      <c r="A2824" s="2" t="s">
        <v>1398</v>
      </c>
      <c r="B2824" s="2">
        <v>2822</v>
      </c>
      <c r="C2824" t="s">
        <v>50</v>
      </c>
      <c r="D2824" t="s">
        <v>1385</v>
      </c>
      <c r="E2824" t="s">
        <v>150</v>
      </c>
    </row>
    <row r="2825" spans="1:5" x14ac:dyDescent="0.25">
      <c r="A2825" s="2" t="s">
        <v>1399</v>
      </c>
      <c r="B2825" s="2">
        <v>2823</v>
      </c>
      <c r="C2825" t="s">
        <v>5</v>
      </c>
      <c r="D2825" t="s">
        <v>1400</v>
      </c>
      <c r="E2825" t="s">
        <v>134</v>
      </c>
    </row>
    <row r="2826" spans="1:5" x14ac:dyDescent="0.25">
      <c r="A2826" s="2" t="s">
        <v>1401</v>
      </c>
      <c r="B2826" s="2">
        <v>2824</v>
      </c>
      <c r="C2826" t="s">
        <v>10</v>
      </c>
      <c r="D2826" t="s">
        <v>1400</v>
      </c>
      <c r="E2826" t="s">
        <v>134</v>
      </c>
    </row>
    <row r="2827" spans="1:5" x14ac:dyDescent="0.25">
      <c r="A2827" s="2" t="s">
        <v>1402</v>
      </c>
      <c r="B2827" s="2">
        <v>2825</v>
      </c>
      <c r="C2827" t="s">
        <v>15</v>
      </c>
      <c r="D2827" t="s">
        <v>1400</v>
      </c>
      <c r="E2827" t="s">
        <v>134</v>
      </c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  <hyperlink ref="D73" r:id="rId72" xr:uid="{00000000-0004-0000-0000-000047000000}"/>
    <hyperlink ref="D74" r:id="rId73" xr:uid="{00000000-0004-0000-0000-000048000000}"/>
    <hyperlink ref="D75" r:id="rId74" xr:uid="{00000000-0004-0000-0000-000049000000}"/>
    <hyperlink ref="D76" r:id="rId75" xr:uid="{00000000-0004-0000-0000-00004A000000}"/>
    <hyperlink ref="D77" r:id="rId76" xr:uid="{00000000-0004-0000-0000-00004B000000}"/>
    <hyperlink ref="D78" r:id="rId77" xr:uid="{00000000-0004-0000-0000-00004C000000}"/>
    <hyperlink ref="D79" r:id="rId78" xr:uid="{00000000-0004-0000-0000-00004D000000}"/>
    <hyperlink ref="D80" r:id="rId79" xr:uid="{00000000-0004-0000-0000-00004E000000}"/>
    <hyperlink ref="D81" r:id="rId80" xr:uid="{00000000-0004-0000-0000-00004F000000}"/>
    <hyperlink ref="D82" r:id="rId81" xr:uid="{00000000-0004-0000-0000-000050000000}"/>
    <hyperlink ref="D83" r:id="rId82" xr:uid="{00000000-0004-0000-0000-000051000000}"/>
    <hyperlink ref="D84" r:id="rId83" xr:uid="{00000000-0004-0000-0000-000052000000}"/>
    <hyperlink ref="D85" r:id="rId84" xr:uid="{00000000-0004-0000-0000-000053000000}"/>
    <hyperlink ref="D86" r:id="rId85" xr:uid="{00000000-0004-0000-0000-000054000000}"/>
    <hyperlink ref="D87" r:id="rId86" xr:uid="{00000000-0004-0000-0000-000055000000}"/>
    <hyperlink ref="D88" r:id="rId87" xr:uid="{00000000-0004-0000-0000-000056000000}"/>
    <hyperlink ref="D89" r:id="rId88" xr:uid="{00000000-0004-0000-0000-000057000000}"/>
    <hyperlink ref="D90" r:id="rId89" xr:uid="{00000000-0004-0000-0000-000058000000}"/>
    <hyperlink ref="D91" r:id="rId90" xr:uid="{00000000-0004-0000-0000-000059000000}"/>
    <hyperlink ref="D92" r:id="rId91" xr:uid="{00000000-0004-0000-0000-00005A000000}"/>
    <hyperlink ref="D93" r:id="rId92" xr:uid="{00000000-0004-0000-0000-00005B000000}"/>
    <hyperlink ref="D94" r:id="rId93" xr:uid="{00000000-0004-0000-0000-00005C000000}"/>
    <hyperlink ref="D95" r:id="rId94" xr:uid="{00000000-0004-0000-0000-00005D000000}"/>
    <hyperlink ref="D96" r:id="rId95" xr:uid="{00000000-0004-0000-0000-00005E000000}"/>
    <hyperlink ref="D97" r:id="rId96" xr:uid="{00000000-0004-0000-0000-00005F000000}"/>
    <hyperlink ref="D98" r:id="rId97" xr:uid="{00000000-0004-0000-0000-000060000000}"/>
    <hyperlink ref="D99" r:id="rId98" xr:uid="{00000000-0004-0000-0000-000061000000}"/>
    <hyperlink ref="D100" r:id="rId99" xr:uid="{00000000-0004-0000-0000-000062000000}"/>
    <hyperlink ref="D101" r:id="rId100" xr:uid="{00000000-0004-0000-0000-000063000000}"/>
    <hyperlink ref="D102" r:id="rId101" xr:uid="{00000000-0004-0000-0000-000064000000}"/>
    <hyperlink ref="D103" r:id="rId102" xr:uid="{00000000-0004-0000-0000-000065000000}"/>
    <hyperlink ref="D104" r:id="rId103" xr:uid="{00000000-0004-0000-0000-000066000000}"/>
    <hyperlink ref="D105" r:id="rId104" xr:uid="{00000000-0004-0000-0000-000067000000}"/>
    <hyperlink ref="D106" r:id="rId105" xr:uid="{00000000-0004-0000-0000-000068000000}"/>
    <hyperlink ref="D107" r:id="rId106" xr:uid="{00000000-0004-0000-0000-000069000000}"/>
    <hyperlink ref="D108" r:id="rId107" xr:uid="{00000000-0004-0000-0000-00006A000000}"/>
    <hyperlink ref="D109" r:id="rId108" xr:uid="{00000000-0004-0000-0000-00006B000000}"/>
    <hyperlink ref="D110" r:id="rId109" xr:uid="{00000000-0004-0000-0000-00006C000000}"/>
    <hyperlink ref="D111" r:id="rId110" xr:uid="{00000000-0004-0000-0000-00006D000000}"/>
    <hyperlink ref="D112" r:id="rId111" xr:uid="{00000000-0004-0000-0000-00006E000000}"/>
    <hyperlink ref="D113" r:id="rId112" xr:uid="{00000000-0004-0000-0000-00006F000000}"/>
    <hyperlink ref="D114" r:id="rId113" xr:uid="{00000000-0004-0000-0000-000070000000}"/>
    <hyperlink ref="D115" r:id="rId114" xr:uid="{00000000-0004-0000-0000-000071000000}"/>
    <hyperlink ref="D116" r:id="rId115" xr:uid="{00000000-0004-0000-0000-000072000000}"/>
    <hyperlink ref="D117" r:id="rId116" xr:uid="{00000000-0004-0000-0000-000073000000}"/>
    <hyperlink ref="D118" r:id="rId117" xr:uid="{00000000-0004-0000-0000-000074000000}"/>
    <hyperlink ref="D119" r:id="rId118" xr:uid="{00000000-0004-0000-0000-000075000000}"/>
    <hyperlink ref="D120" r:id="rId119" xr:uid="{00000000-0004-0000-0000-000076000000}"/>
    <hyperlink ref="D121" r:id="rId120" xr:uid="{00000000-0004-0000-0000-000077000000}"/>
    <hyperlink ref="D122" r:id="rId121" xr:uid="{00000000-0004-0000-0000-000078000000}"/>
    <hyperlink ref="D123" r:id="rId122" xr:uid="{00000000-0004-0000-0000-000079000000}"/>
    <hyperlink ref="D124" r:id="rId123" xr:uid="{00000000-0004-0000-0000-00007A000000}"/>
    <hyperlink ref="D125" r:id="rId124" xr:uid="{00000000-0004-0000-0000-00007B000000}"/>
    <hyperlink ref="D126" r:id="rId125" xr:uid="{00000000-0004-0000-0000-00007C000000}"/>
    <hyperlink ref="D127" r:id="rId126" xr:uid="{00000000-0004-0000-0000-00007D000000}"/>
    <hyperlink ref="D128" r:id="rId127" xr:uid="{00000000-0004-0000-0000-00007E000000}"/>
    <hyperlink ref="D129" r:id="rId128" xr:uid="{00000000-0004-0000-0000-00007F000000}"/>
    <hyperlink ref="D130" r:id="rId129" xr:uid="{00000000-0004-0000-0000-000080000000}"/>
    <hyperlink ref="D131" r:id="rId130" xr:uid="{00000000-0004-0000-0000-000081000000}"/>
    <hyperlink ref="D132" r:id="rId131" xr:uid="{00000000-0004-0000-0000-000082000000}"/>
    <hyperlink ref="D133" r:id="rId132" xr:uid="{00000000-0004-0000-0000-000083000000}"/>
    <hyperlink ref="D134" r:id="rId133" xr:uid="{00000000-0004-0000-0000-000084000000}"/>
    <hyperlink ref="D135" r:id="rId134" xr:uid="{00000000-0004-0000-0000-000085000000}"/>
    <hyperlink ref="D136" r:id="rId135" xr:uid="{00000000-0004-0000-0000-000086000000}"/>
    <hyperlink ref="D137" r:id="rId136" xr:uid="{00000000-0004-0000-0000-000087000000}"/>
    <hyperlink ref="D138" r:id="rId137" xr:uid="{00000000-0004-0000-0000-000088000000}"/>
    <hyperlink ref="D139" r:id="rId138" xr:uid="{00000000-0004-0000-0000-000089000000}"/>
    <hyperlink ref="D140" r:id="rId139" xr:uid="{00000000-0004-0000-0000-00008A000000}"/>
    <hyperlink ref="D141" r:id="rId140" xr:uid="{00000000-0004-0000-0000-00008B000000}"/>
    <hyperlink ref="D142" r:id="rId141" xr:uid="{00000000-0004-0000-0000-00008C000000}"/>
    <hyperlink ref="D143" r:id="rId142" xr:uid="{00000000-0004-0000-0000-00008D000000}"/>
    <hyperlink ref="D144" r:id="rId143" xr:uid="{00000000-0004-0000-0000-00008E000000}"/>
    <hyperlink ref="D145" r:id="rId144" xr:uid="{00000000-0004-0000-0000-00008F000000}"/>
    <hyperlink ref="D146" r:id="rId145" xr:uid="{00000000-0004-0000-0000-000090000000}"/>
    <hyperlink ref="D147" r:id="rId146" xr:uid="{00000000-0004-0000-0000-000091000000}"/>
    <hyperlink ref="D148" r:id="rId147" xr:uid="{00000000-0004-0000-0000-000092000000}"/>
    <hyperlink ref="D149" r:id="rId148" xr:uid="{00000000-0004-0000-0000-000093000000}"/>
    <hyperlink ref="D150" r:id="rId149" xr:uid="{00000000-0004-0000-0000-000094000000}"/>
    <hyperlink ref="D151" r:id="rId150" xr:uid="{00000000-0004-0000-0000-000095000000}"/>
    <hyperlink ref="D152" r:id="rId151" xr:uid="{00000000-0004-0000-0000-000096000000}"/>
    <hyperlink ref="D153" r:id="rId152" xr:uid="{00000000-0004-0000-0000-000097000000}"/>
    <hyperlink ref="D154" r:id="rId153" xr:uid="{00000000-0004-0000-0000-000098000000}"/>
    <hyperlink ref="D155" r:id="rId154" xr:uid="{00000000-0004-0000-0000-000099000000}"/>
    <hyperlink ref="D156" r:id="rId155" xr:uid="{00000000-0004-0000-0000-00009A000000}"/>
    <hyperlink ref="D157" r:id="rId156" xr:uid="{00000000-0004-0000-0000-00009B000000}"/>
    <hyperlink ref="D158" r:id="rId157" xr:uid="{00000000-0004-0000-0000-00009C000000}"/>
    <hyperlink ref="D159" r:id="rId158" xr:uid="{00000000-0004-0000-0000-00009D000000}"/>
    <hyperlink ref="D160" r:id="rId159" xr:uid="{00000000-0004-0000-0000-00009E000000}"/>
    <hyperlink ref="D161" r:id="rId160" xr:uid="{00000000-0004-0000-0000-00009F000000}"/>
    <hyperlink ref="D162" r:id="rId161" xr:uid="{00000000-0004-0000-0000-0000A0000000}"/>
    <hyperlink ref="D163" r:id="rId162" xr:uid="{00000000-0004-0000-0000-0000A1000000}"/>
    <hyperlink ref="D164" r:id="rId163" xr:uid="{00000000-0004-0000-0000-0000A2000000}"/>
    <hyperlink ref="D165" r:id="rId164" xr:uid="{00000000-0004-0000-0000-0000A3000000}"/>
    <hyperlink ref="D166" r:id="rId165" xr:uid="{00000000-0004-0000-0000-0000A4000000}"/>
    <hyperlink ref="D167" r:id="rId166" xr:uid="{00000000-0004-0000-0000-0000A5000000}"/>
    <hyperlink ref="D168" r:id="rId167" xr:uid="{00000000-0004-0000-0000-0000A6000000}"/>
    <hyperlink ref="D169" r:id="rId168" xr:uid="{00000000-0004-0000-0000-0000A7000000}"/>
    <hyperlink ref="D170" r:id="rId169" xr:uid="{00000000-0004-0000-0000-0000A8000000}"/>
    <hyperlink ref="D171" r:id="rId170" xr:uid="{00000000-0004-0000-0000-0000A9000000}"/>
    <hyperlink ref="D172" r:id="rId171" xr:uid="{00000000-0004-0000-0000-0000AA000000}"/>
    <hyperlink ref="D173" r:id="rId172" xr:uid="{00000000-0004-0000-0000-0000AB000000}"/>
    <hyperlink ref="D174" r:id="rId173" xr:uid="{00000000-0004-0000-0000-0000AC000000}"/>
    <hyperlink ref="D175" r:id="rId174" xr:uid="{00000000-0004-0000-0000-0000AD000000}"/>
    <hyperlink ref="D176" r:id="rId175" xr:uid="{00000000-0004-0000-0000-0000AE000000}"/>
    <hyperlink ref="D177" r:id="rId176" xr:uid="{00000000-0004-0000-0000-0000AF000000}"/>
    <hyperlink ref="D178" r:id="rId177" xr:uid="{00000000-0004-0000-0000-0000B0000000}"/>
    <hyperlink ref="D179" r:id="rId178" xr:uid="{00000000-0004-0000-0000-0000B1000000}"/>
    <hyperlink ref="D180" r:id="rId179" xr:uid="{00000000-0004-0000-0000-0000B2000000}"/>
    <hyperlink ref="D181" r:id="rId180" xr:uid="{00000000-0004-0000-0000-0000B3000000}"/>
    <hyperlink ref="D182" r:id="rId181" xr:uid="{00000000-0004-0000-0000-0000B4000000}"/>
    <hyperlink ref="D183" r:id="rId182" xr:uid="{00000000-0004-0000-0000-0000B5000000}"/>
    <hyperlink ref="D184" r:id="rId183" xr:uid="{00000000-0004-0000-0000-0000B6000000}"/>
    <hyperlink ref="D185" r:id="rId184" xr:uid="{00000000-0004-0000-0000-0000B7000000}"/>
    <hyperlink ref="D186" r:id="rId185" xr:uid="{00000000-0004-0000-0000-0000B8000000}"/>
    <hyperlink ref="D187" r:id="rId186" xr:uid="{00000000-0004-0000-0000-0000B9000000}"/>
    <hyperlink ref="D188" r:id="rId187" xr:uid="{00000000-0004-0000-0000-0000BA000000}"/>
    <hyperlink ref="D189" r:id="rId188" xr:uid="{00000000-0004-0000-0000-0000BB000000}"/>
    <hyperlink ref="D190" r:id="rId189" xr:uid="{00000000-0004-0000-0000-0000BC000000}"/>
    <hyperlink ref="D191" r:id="rId190" xr:uid="{00000000-0004-0000-0000-0000BD000000}"/>
    <hyperlink ref="D192" r:id="rId191" xr:uid="{00000000-0004-0000-0000-0000BE000000}"/>
    <hyperlink ref="D193" r:id="rId192" xr:uid="{00000000-0004-0000-0000-0000BF000000}"/>
    <hyperlink ref="D194" r:id="rId193" xr:uid="{00000000-0004-0000-0000-0000C0000000}"/>
    <hyperlink ref="D195" r:id="rId194" xr:uid="{00000000-0004-0000-0000-0000C1000000}"/>
    <hyperlink ref="D196" r:id="rId195" xr:uid="{00000000-0004-0000-0000-0000C2000000}"/>
    <hyperlink ref="D197" r:id="rId196" xr:uid="{00000000-0004-0000-0000-0000C3000000}"/>
    <hyperlink ref="D198" r:id="rId197" xr:uid="{00000000-0004-0000-0000-0000C4000000}"/>
    <hyperlink ref="D199" r:id="rId198" xr:uid="{00000000-0004-0000-0000-0000C5000000}"/>
    <hyperlink ref="D200" r:id="rId199" xr:uid="{00000000-0004-0000-0000-0000C6000000}"/>
    <hyperlink ref="D201" r:id="rId200" xr:uid="{00000000-0004-0000-0000-0000C7000000}"/>
    <hyperlink ref="D202" r:id="rId201" xr:uid="{00000000-0004-0000-0000-0000C8000000}"/>
    <hyperlink ref="D203" r:id="rId202" xr:uid="{00000000-0004-0000-0000-0000C9000000}"/>
    <hyperlink ref="D204" r:id="rId203" xr:uid="{00000000-0004-0000-0000-0000CA000000}"/>
    <hyperlink ref="D205" r:id="rId204" xr:uid="{00000000-0004-0000-0000-0000CB000000}"/>
    <hyperlink ref="D206" r:id="rId205" xr:uid="{00000000-0004-0000-0000-0000CC000000}"/>
    <hyperlink ref="D207" r:id="rId206" xr:uid="{00000000-0004-0000-0000-0000CD000000}"/>
    <hyperlink ref="D208" r:id="rId207" xr:uid="{00000000-0004-0000-0000-0000CE000000}"/>
    <hyperlink ref="D209" r:id="rId208" xr:uid="{00000000-0004-0000-0000-0000CF000000}"/>
    <hyperlink ref="D210" r:id="rId209" xr:uid="{00000000-0004-0000-0000-0000D0000000}"/>
    <hyperlink ref="D211" r:id="rId210" xr:uid="{00000000-0004-0000-0000-0000D1000000}"/>
    <hyperlink ref="D212" r:id="rId211" xr:uid="{00000000-0004-0000-0000-0000D2000000}"/>
    <hyperlink ref="D213" r:id="rId212" xr:uid="{00000000-0004-0000-0000-0000D3000000}"/>
    <hyperlink ref="D214" r:id="rId213" xr:uid="{00000000-0004-0000-0000-0000D4000000}"/>
    <hyperlink ref="D215" r:id="rId214" xr:uid="{00000000-0004-0000-0000-0000D5000000}"/>
    <hyperlink ref="D216" r:id="rId215" xr:uid="{00000000-0004-0000-0000-0000D6000000}"/>
    <hyperlink ref="D217" r:id="rId216" xr:uid="{00000000-0004-0000-0000-0000D7000000}"/>
    <hyperlink ref="D218" r:id="rId217" xr:uid="{00000000-0004-0000-0000-0000D8000000}"/>
    <hyperlink ref="D219" r:id="rId218" xr:uid="{00000000-0004-0000-0000-0000D9000000}"/>
    <hyperlink ref="D220" r:id="rId219" xr:uid="{00000000-0004-0000-0000-0000DA000000}"/>
    <hyperlink ref="D221" r:id="rId220" xr:uid="{00000000-0004-0000-0000-0000DB000000}"/>
    <hyperlink ref="D222" r:id="rId221" xr:uid="{00000000-0004-0000-0000-0000DC000000}"/>
    <hyperlink ref="D223" r:id="rId222" xr:uid="{00000000-0004-0000-0000-0000DD000000}"/>
    <hyperlink ref="D224" r:id="rId223" xr:uid="{00000000-0004-0000-0000-0000DE000000}"/>
    <hyperlink ref="D225" r:id="rId224" xr:uid="{00000000-0004-0000-0000-0000DF000000}"/>
    <hyperlink ref="D226" r:id="rId225" xr:uid="{00000000-0004-0000-0000-0000E0000000}"/>
    <hyperlink ref="D227" r:id="rId226" xr:uid="{00000000-0004-0000-0000-0000E1000000}"/>
    <hyperlink ref="D228" r:id="rId227" xr:uid="{00000000-0004-0000-0000-0000E2000000}"/>
    <hyperlink ref="D229" r:id="rId228" xr:uid="{00000000-0004-0000-0000-0000E3000000}"/>
    <hyperlink ref="D230" r:id="rId229" xr:uid="{00000000-0004-0000-0000-0000E4000000}"/>
    <hyperlink ref="D231" r:id="rId230" xr:uid="{00000000-0004-0000-0000-0000E5000000}"/>
    <hyperlink ref="D232" r:id="rId231" xr:uid="{00000000-0004-0000-0000-0000E6000000}"/>
    <hyperlink ref="D233" r:id="rId232" xr:uid="{00000000-0004-0000-0000-0000E7000000}"/>
    <hyperlink ref="D234" r:id="rId233" xr:uid="{00000000-0004-0000-0000-0000E8000000}"/>
    <hyperlink ref="D235" r:id="rId234" xr:uid="{00000000-0004-0000-0000-0000E9000000}"/>
    <hyperlink ref="D236" r:id="rId235" xr:uid="{00000000-0004-0000-0000-0000EA000000}"/>
    <hyperlink ref="D237" r:id="rId236" xr:uid="{00000000-0004-0000-0000-0000EB000000}"/>
    <hyperlink ref="D238" r:id="rId237" xr:uid="{00000000-0004-0000-0000-0000EC000000}"/>
    <hyperlink ref="D239" r:id="rId238" xr:uid="{00000000-0004-0000-0000-0000ED000000}"/>
    <hyperlink ref="D240" r:id="rId239" xr:uid="{00000000-0004-0000-0000-0000EE000000}"/>
    <hyperlink ref="D241" r:id="rId240" xr:uid="{00000000-0004-0000-0000-0000EF000000}"/>
    <hyperlink ref="D242" r:id="rId241" xr:uid="{00000000-0004-0000-0000-0000F0000000}"/>
    <hyperlink ref="D243" r:id="rId242" xr:uid="{00000000-0004-0000-0000-0000F1000000}"/>
    <hyperlink ref="D244" r:id="rId243" xr:uid="{00000000-0004-0000-0000-0000F2000000}"/>
    <hyperlink ref="D245" r:id="rId244" xr:uid="{00000000-0004-0000-0000-0000F3000000}"/>
    <hyperlink ref="D246" r:id="rId245" xr:uid="{00000000-0004-0000-0000-0000F4000000}"/>
    <hyperlink ref="D247" r:id="rId246" xr:uid="{00000000-0004-0000-0000-0000F5000000}"/>
    <hyperlink ref="D248" r:id="rId247" xr:uid="{00000000-0004-0000-0000-0000F6000000}"/>
    <hyperlink ref="D249" r:id="rId248" xr:uid="{00000000-0004-0000-0000-0000F7000000}"/>
    <hyperlink ref="D250" r:id="rId249" xr:uid="{00000000-0004-0000-0000-0000F8000000}"/>
    <hyperlink ref="D251" r:id="rId250" xr:uid="{00000000-0004-0000-0000-0000F9000000}"/>
    <hyperlink ref="D252" r:id="rId251" xr:uid="{00000000-0004-0000-0000-0000FA000000}"/>
    <hyperlink ref="D253" r:id="rId252" xr:uid="{00000000-0004-0000-0000-0000FB000000}"/>
    <hyperlink ref="D254" r:id="rId253" xr:uid="{00000000-0004-0000-0000-0000FC000000}"/>
    <hyperlink ref="D255" r:id="rId254" xr:uid="{00000000-0004-0000-0000-0000FD000000}"/>
    <hyperlink ref="D256" r:id="rId255" xr:uid="{00000000-0004-0000-0000-0000FE000000}"/>
    <hyperlink ref="D257" r:id="rId256" xr:uid="{00000000-0004-0000-0000-0000FF000000}"/>
    <hyperlink ref="D258" r:id="rId257" xr:uid="{00000000-0004-0000-0000-000000010000}"/>
    <hyperlink ref="D259" r:id="rId258" xr:uid="{00000000-0004-0000-0000-000001010000}"/>
    <hyperlink ref="D260" r:id="rId259" xr:uid="{00000000-0004-0000-0000-000002010000}"/>
    <hyperlink ref="D261" r:id="rId260" xr:uid="{00000000-0004-0000-0000-000003010000}"/>
    <hyperlink ref="D262" r:id="rId261" xr:uid="{00000000-0004-0000-0000-000004010000}"/>
    <hyperlink ref="D263" r:id="rId262" xr:uid="{00000000-0004-0000-0000-000005010000}"/>
    <hyperlink ref="D264" r:id="rId263" xr:uid="{00000000-0004-0000-0000-000006010000}"/>
    <hyperlink ref="D265" r:id="rId264" xr:uid="{00000000-0004-0000-0000-000007010000}"/>
    <hyperlink ref="D266" r:id="rId265" xr:uid="{00000000-0004-0000-0000-000008010000}"/>
    <hyperlink ref="D267" r:id="rId266" xr:uid="{00000000-0004-0000-0000-000009010000}"/>
    <hyperlink ref="D268" r:id="rId267" xr:uid="{00000000-0004-0000-0000-00000A010000}"/>
    <hyperlink ref="D269" r:id="rId268" xr:uid="{00000000-0004-0000-0000-00000B010000}"/>
    <hyperlink ref="D270" r:id="rId269" xr:uid="{00000000-0004-0000-0000-00000C010000}"/>
    <hyperlink ref="D271" r:id="rId270" xr:uid="{00000000-0004-0000-0000-00000D010000}"/>
    <hyperlink ref="D272" r:id="rId271" xr:uid="{00000000-0004-0000-0000-00000E010000}"/>
    <hyperlink ref="D273" r:id="rId272" xr:uid="{00000000-0004-0000-0000-00000F010000}"/>
    <hyperlink ref="D274" r:id="rId273" xr:uid="{00000000-0004-0000-0000-000010010000}"/>
    <hyperlink ref="D275" r:id="rId274" xr:uid="{00000000-0004-0000-0000-000011010000}"/>
    <hyperlink ref="D276" r:id="rId275" xr:uid="{00000000-0004-0000-0000-000012010000}"/>
    <hyperlink ref="D277" r:id="rId276" xr:uid="{00000000-0004-0000-0000-000013010000}"/>
    <hyperlink ref="D278" r:id="rId277" xr:uid="{00000000-0004-0000-0000-000014010000}"/>
    <hyperlink ref="D279" r:id="rId278" xr:uid="{00000000-0004-0000-0000-000015010000}"/>
    <hyperlink ref="D280" r:id="rId279" xr:uid="{00000000-0004-0000-0000-000016010000}"/>
    <hyperlink ref="D281" r:id="rId280" xr:uid="{00000000-0004-0000-0000-000017010000}"/>
    <hyperlink ref="D282" r:id="rId281" xr:uid="{00000000-0004-0000-0000-000018010000}"/>
    <hyperlink ref="D283" r:id="rId282" xr:uid="{00000000-0004-0000-0000-000019010000}"/>
    <hyperlink ref="D284" r:id="rId283" xr:uid="{00000000-0004-0000-0000-00001A010000}"/>
    <hyperlink ref="D285" r:id="rId284" xr:uid="{00000000-0004-0000-0000-00001B010000}"/>
    <hyperlink ref="D286" r:id="rId285" xr:uid="{00000000-0004-0000-0000-00001C010000}"/>
    <hyperlink ref="D287" r:id="rId286" xr:uid="{00000000-0004-0000-0000-00001D010000}"/>
    <hyperlink ref="D288" r:id="rId287" xr:uid="{00000000-0004-0000-0000-00001E010000}"/>
    <hyperlink ref="D289" r:id="rId288" xr:uid="{00000000-0004-0000-0000-00001F010000}"/>
    <hyperlink ref="D290" r:id="rId289" xr:uid="{00000000-0004-0000-0000-000020010000}"/>
    <hyperlink ref="D291" r:id="rId290" xr:uid="{00000000-0004-0000-0000-000021010000}"/>
    <hyperlink ref="D292" r:id="rId291" xr:uid="{00000000-0004-0000-0000-000022010000}"/>
    <hyperlink ref="D293" r:id="rId292" xr:uid="{00000000-0004-0000-0000-000023010000}"/>
    <hyperlink ref="D294" r:id="rId293" xr:uid="{00000000-0004-0000-0000-000024010000}"/>
    <hyperlink ref="D295" r:id="rId294" xr:uid="{00000000-0004-0000-0000-000025010000}"/>
    <hyperlink ref="D296" r:id="rId295" xr:uid="{00000000-0004-0000-0000-000026010000}"/>
    <hyperlink ref="D297" r:id="rId296" xr:uid="{00000000-0004-0000-0000-000027010000}"/>
    <hyperlink ref="D298" r:id="rId297" xr:uid="{00000000-0004-0000-0000-000028010000}"/>
    <hyperlink ref="D299" r:id="rId298" xr:uid="{00000000-0004-0000-0000-000029010000}"/>
    <hyperlink ref="D300" r:id="rId299" xr:uid="{00000000-0004-0000-0000-00002A010000}"/>
    <hyperlink ref="D301" r:id="rId300" xr:uid="{00000000-0004-0000-0000-00002B010000}"/>
    <hyperlink ref="D302" r:id="rId301" xr:uid="{00000000-0004-0000-0000-00002C010000}"/>
    <hyperlink ref="D303" r:id="rId302" xr:uid="{00000000-0004-0000-0000-00002D010000}"/>
    <hyperlink ref="D304" r:id="rId303" xr:uid="{00000000-0004-0000-0000-00002E010000}"/>
    <hyperlink ref="D305" r:id="rId304" xr:uid="{00000000-0004-0000-0000-00002F010000}"/>
    <hyperlink ref="D306" r:id="rId305" xr:uid="{00000000-0004-0000-0000-000030010000}"/>
    <hyperlink ref="D307" r:id="rId306" xr:uid="{00000000-0004-0000-0000-000031010000}"/>
    <hyperlink ref="D308" r:id="rId307" xr:uid="{00000000-0004-0000-0000-000032010000}"/>
    <hyperlink ref="D309" r:id="rId308" xr:uid="{00000000-0004-0000-0000-000033010000}"/>
    <hyperlink ref="D310" r:id="rId309" xr:uid="{00000000-0004-0000-0000-000034010000}"/>
    <hyperlink ref="D311" r:id="rId310" xr:uid="{00000000-0004-0000-0000-000035010000}"/>
    <hyperlink ref="D312" r:id="rId311" xr:uid="{00000000-0004-0000-0000-000036010000}"/>
    <hyperlink ref="D313" r:id="rId312" xr:uid="{00000000-0004-0000-0000-000037010000}"/>
    <hyperlink ref="D314" r:id="rId313" xr:uid="{00000000-0004-0000-0000-000038010000}"/>
    <hyperlink ref="D315" r:id="rId314" xr:uid="{00000000-0004-0000-0000-000039010000}"/>
    <hyperlink ref="D316" r:id="rId315" xr:uid="{00000000-0004-0000-0000-00003A010000}"/>
    <hyperlink ref="D317" r:id="rId316" xr:uid="{00000000-0004-0000-0000-00003B010000}"/>
    <hyperlink ref="D318" r:id="rId317" xr:uid="{00000000-0004-0000-0000-00003C010000}"/>
    <hyperlink ref="D319" r:id="rId318" xr:uid="{00000000-0004-0000-0000-00003D010000}"/>
    <hyperlink ref="D320" r:id="rId319" xr:uid="{00000000-0004-0000-0000-00003E010000}"/>
    <hyperlink ref="D321" r:id="rId320" xr:uid="{00000000-0004-0000-0000-00003F010000}"/>
    <hyperlink ref="D322" r:id="rId321" xr:uid="{00000000-0004-0000-0000-000040010000}"/>
    <hyperlink ref="D323" r:id="rId322" xr:uid="{00000000-0004-0000-0000-000041010000}"/>
    <hyperlink ref="D324" r:id="rId323" xr:uid="{00000000-0004-0000-0000-000042010000}"/>
    <hyperlink ref="D325" r:id="rId324" xr:uid="{00000000-0004-0000-0000-000043010000}"/>
    <hyperlink ref="D326" r:id="rId325" xr:uid="{00000000-0004-0000-0000-000044010000}"/>
    <hyperlink ref="D327" r:id="rId326" xr:uid="{00000000-0004-0000-0000-000045010000}"/>
    <hyperlink ref="D328" r:id="rId327" xr:uid="{00000000-0004-0000-0000-000046010000}"/>
    <hyperlink ref="D329" r:id="rId328" xr:uid="{00000000-0004-0000-0000-000047010000}"/>
    <hyperlink ref="D330" r:id="rId329" xr:uid="{00000000-0004-0000-0000-000048010000}"/>
    <hyperlink ref="D331" r:id="rId330" xr:uid="{00000000-0004-0000-0000-000049010000}"/>
    <hyperlink ref="D332" r:id="rId331" xr:uid="{00000000-0004-0000-0000-00004A010000}"/>
    <hyperlink ref="D333" r:id="rId332" xr:uid="{00000000-0004-0000-0000-00004B010000}"/>
    <hyperlink ref="D334" r:id="rId333" xr:uid="{00000000-0004-0000-0000-00004C010000}"/>
    <hyperlink ref="D335" r:id="rId334" xr:uid="{00000000-0004-0000-0000-00004D010000}"/>
    <hyperlink ref="D336" r:id="rId335" xr:uid="{00000000-0004-0000-0000-00004E010000}"/>
    <hyperlink ref="D337" r:id="rId336" xr:uid="{00000000-0004-0000-0000-00004F010000}"/>
    <hyperlink ref="D338" r:id="rId337" xr:uid="{00000000-0004-0000-0000-000050010000}"/>
    <hyperlink ref="D339" r:id="rId338" xr:uid="{00000000-0004-0000-0000-000051010000}"/>
    <hyperlink ref="D340" r:id="rId339" xr:uid="{00000000-0004-0000-0000-000052010000}"/>
    <hyperlink ref="D341" r:id="rId340" xr:uid="{00000000-0004-0000-0000-000053010000}"/>
    <hyperlink ref="D342" r:id="rId341" xr:uid="{00000000-0004-0000-0000-000054010000}"/>
    <hyperlink ref="D343" r:id="rId342" xr:uid="{00000000-0004-0000-0000-000055010000}"/>
    <hyperlink ref="D344" r:id="rId343" xr:uid="{00000000-0004-0000-0000-000056010000}"/>
    <hyperlink ref="D345" r:id="rId344" xr:uid="{00000000-0004-0000-0000-000057010000}"/>
    <hyperlink ref="D346" r:id="rId345" xr:uid="{00000000-0004-0000-0000-000058010000}"/>
    <hyperlink ref="D347" r:id="rId346" xr:uid="{00000000-0004-0000-0000-000059010000}"/>
    <hyperlink ref="D348" r:id="rId347" xr:uid="{00000000-0004-0000-0000-00005A010000}"/>
    <hyperlink ref="D349" r:id="rId348" xr:uid="{00000000-0004-0000-0000-00005B010000}"/>
    <hyperlink ref="D350" r:id="rId349" xr:uid="{00000000-0004-0000-0000-00005C010000}"/>
    <hyperlink ref="D351" r:id="rId350" xr:uid="{00000000-0004-0000-0000-00005D010000}"/>
    <hyperlink ref="D352" r:id="rId351" xr:uid="{00000000-0004-0000-0000-00005E010000}"/>
    <hyperlink ref="D353" r:id="rId352" xr:uid="{00000000-0004-0000-0000-00005F010000}"/>
    <hyperlink ref="D354" r:id="rId353" xr:uid="{00000000-0004-0000-0000-000060010000}"/>
    <hyperlink ref="D355" r:id="rId354" xr:uid="{00000000-0004-0000-0000-000061010000}"/>
    <hyperlink ref="D356" r:id="rId355" xr:uid="{00000000-0004-0000-0000-000062010000}"/>
    <hyperlink ref="D357" r:id="rId356" xr:uid="{00000000-0004-0000-0000-000063010000}"/>
    <hyperlink ref="D358" r:id="rId357" xr:uid="{00000000-0004-0000-0000-000064010000}"/>
    <hyperlink ref="D359" r:id="rId358" xr:uid="{00000000-0004-0000-0000-000065010000}"/>
    <hyperlink ref="D360" r:id="rId359" xr:uid="{00000000-0004-0000-0000-000066010000}"/>
    <hyperlink ref="D361" r:id="rId360" xr:uid="{00000000-0004-0000-0000-000067010000}"/>
    <hyperlink ref="D362" r:id="rId361" xr:uid="{00000000-0004-0000-0000-000068010000}"/>
    <hyperlink ref="D363" r:id="rId362" xr:uid="{00000000-0004-0000-0000-000069010000}"/>
    <hyperlink ref="D364" r:id="rId363" xr:uid="{00000000-0004-0000-0000-00006A010000}"/>
    <hyperlink ref="D365" r:id="rId364" xr:uid="{00000000-0004-0000-0000-00006B010000}"/>
    <hyperlink ref="D366" r:id="rId365" xr:uid="{00000000-0004-0000-0000-00006C010000}"/>
    <hyperlink ref="D367" r:id="rId366" xr:uid="{00000000-0004-0000-0000-00006D010000}"/>
    <hyperlink ref="D368" r:id="rId367" xr:uid="{00000000-0004-0000-0000-00006E010000}"/>
    <hyperlink ref="D369" r:id="rId368" xr:uid="{00000000-0004-0000-0000-00006F010000}"/>
    <hyperlink ref="D370" r:id="rId369" xr:uid="{00000000-0004-0000-0000-000070010000}"/>
    <hyperlink ref="D371" r:id="rId370" xr:uid="{00000000-0004-0000-0000-000071010000}"/>
    <hyperlink ref="D372" r:id="rId371" xr:uid="{00000000-0004-0000-0000-000072010000}"/>
    <hyperlink ref="D373" r:id="rId372" xr:uid="{00000000-0004-0000-0000-000073010000}"/>
    <hyperlink ref="D374" r:id="rId373" xr:uid="{00000000-0004-0000-0000-000074010000}"/>
    <hyperlink ref="D375" r:id="rId374" xr:uid="{00000000-0004-0000-0000-000075010000}"/>
    <hyperlink ref="D376" r:id="rId375" xr:uid="{00000000-0004-0000-0000-000076010000}"/>
    <hyperlink ref="D377" r:id="rId376" xr:uid="{00000000-0004-0000-0000-000077010000}"/>
    <hyperlink ref="D378" r:id="rId377" xr:uid="{00000000-0004-0000-0000-000078010000}"/>
    <hyperlink ref="D379" r:id="rId378" xr:uid="{00000000-0004-0000-0000-000079010000}"/>
    <hyperlink ref="D380" r:id="rId379" xr:uid="{00000000-0004-0000-0000-00007A010000}"/>
    <hyperlink ref="D381" r:id="rId380" xr:uid="{00000000-0004-0000-0000-00007B010000}"/>
    <hyperlink ref="D382" r:id="rId381" xr:uid="{00000000-0004-0000-0000-00007C010000}"/>
    <hyperlink ref="D383" r:id="rId382" xr:uid="{00000000-0004-0000-0000-00007D010000}"/>
    <hyperlink ref="D384" r:id="rId383" xr:uid="{00000000-0004-0000-0000-00007E010000}"/>
    <hyperlink ref="D385" r:id="rId384" xr:uid="{00000000-0004-0000-0000-00007F010000}"/>
    <hyperlink ref="D386" r:id="rId385" xr:uid="{00000000-0004-0000-0000-000080010000}"/>
    <hyperlink ref="D387" r:id="rId386" xr:uid="{00000000-0004-0000-0000-000081010000}"/>
    <hyperlink ref="D388" r:id="rId387" xr:uid="{00000000-0004-0000-0000-000082010000}"/>
    <hyperlink ref="D389" r:id="rId388" xr:uid="{00000000-0004-0000-0000-000083010000}"/>
    <hyperlink ref="D390" r:id="rId389" xr:uid="{00000000-0004-0000-0000-000084010000}"/>
    <hyperlink ref="D391" r:id="rId390" xr:uid="{00000000-0004-0000-0000-000085010000}"/>
    <hyperlink ref="D392" r:id="rId391" xr:uid="{00000000-0004-0000-0000-000086010000}"/>
    <hyperlink ref="D393" r:id="rId392" xr:uid="{00000000-0004-0000-0000-000087010000}"/>
    <hyperlink ref="D394" r:id="rId393" xr:uid="{00000000-0004-0000-0000-000088010000}"/>
    <hyperlink ref="D395" r:id="rId394" xr:uid="{00000000-0004-0000-0000-000089010000}"/>
    <hyperlink ref="D396" r:id="rId395" xr:uid="{00000000-0004-0000-0000-00008A010000}"/>
    <hyperlink ref="D397" r:id="rId396" xr:uid="{00000000-0004-0000-0000-00008B010000}"/>
    <hyperlink ref="D398" r:id="rId397" xr:uid="{00000000-0004-0000-0000-00008C010000}"/>
    <hyperlink ref="D399" r:id="rId398" xr:uid="{00000000-0004-0000-0000-00008D010000}"/>
    <hyperlink ref="D400" r:id="rId399" xr:uid="{00000000-0004-0000-0000-00008E010000}"/>
    <hyperlink ref="D401" r:id="rId400" xr:uid="{00000000-0004-0000-0000-00008F010000}"/>
    <hyperlink ref="D402" r:id="rId401" xr:uid="{00000000-0004-0000-0000-000090010000}"/>
    <hyperlink ref="D403" r:id="rId402" xr:uid="{00000000-0004-0000-0000-000091010000}"/>
    <hyperlink ref="D404" r:id="rId403" xr:uid="{00000000-0004-0000-0000-000092010000}"/>
    <hyperlink ref="D405" r:id="rId404" xr:uid="{00000000-0004-0000-0000-000093010000}"/>
    <hyperlink ref="D406" r:id="rId405" xr:uid="{00000000-0004-0000-0000-000094010000}"/>
    <hyperlink ref="D407" r:id="rId406" xr:uid="{00000000-0004-0000-0000-000095010000}"/>
    <hyperlink ref="D408" r:id="rId407" xr:uid="{00000000-0004-0000-0000-000096010000}"/>
    <hyperlink ref="D409" r:id="rId408" xr:uid="{00000000-0004-0000-0000-000097010000}"/>
    <hyperlink ref="D410" r:id="rId409" xr:uid="{00000000-0004-0000-0000-000098010000}"/>
    <hyperlink ref="D411" r:id="rId410" xr:uid="{00000000-0004-0000-0000-000099010000}"/>
    <hyperlink ref="D412" r:id="rId411" xr:uid="{00000000-0004-0000-0000-00009A010000}"/>
    <hyperlink ref="D413" r:id="rId412" xr:uid="{00000000-0004-0000-0000-00009B010000}"/>
    <hyperlink ref="D414" r:id="rId413" xr:uid="{00000000-0004-0000-0000-00009C010000}"/>
    <hyperlink ref="D415" r:id="rId414" xr:uid="{00000000-0004-0000-0000-00009D010000}"/>
    <hyperlink ref="D416" r:id="rId415" xr:uid="{00000000-0004-0000-0000-00009E010000}"/>
    <hyperlink ref="D417" r:id="rId416" xr:uid="{00000000-0004-0000-0000-00009F010000}"/>
    <hyperlink ref="D418" r:id="rId417" xr:uid="{00000000-0004-0000-0000-0000A0010000}"/>
    <hyperlink ref="D419" r:id="rId418" xr:uid="{00000000-0004-0000-0000-0000A1010000}"/>
    <hyperlink ref="D420" r:id="rId419" xr:uid="{00000000-0004-0000-0000-0000A2010000}"/>
    <hyperlink ref="D421" r:id="rId420" xr:uid="{00000000-0004-0000-0000-0000A3010000}"/>
    <hyperlink ref="D422" r:id="rId421" xr:uid="{00000000-0004-0000-0000-0000A4010000}"/>
    <hyperlink ref="D423" r:id="rId422" xr:uid="{00000000-0004-0000-0000-0000A5010000}"/>
    <hyperlink ref="D424" r:id="rId423" xr:uid="{00000000-0004-0000-0000-0000A6010000}"/>
    <hyperlink ref="D425" r:id="rId424" xr:uid="{00000000-0004-0000-0000-0000A7010000}"/>
    <hyperlink ref="D426" r:id="rId425" xr:uid="{00000000-0004-0000-0000-0000A8010000}"/>
    <hyperlink ref="D427" r:id="rId426" xr:uid="{00000000-0004-0000-0000-0000A9010000}"/>
    <hyperlink ref="D428" r:id="rId427" xr:uid="{00000000-0004-0000-0000-0000AA010000}"/>
    <hyperlink ref="D429" r:id="rId428" xr:uid="{00000000-0004-0000-0000-0000AB010000}"/>
    <hyperlink ref="D430" r:id="rId429" xr:uid="{00000000-0004-0000-0000-0000AC010000}"/>
    <hyperlink ref="D431" r:id="rId430" xr:uid="{00000000-0004-0000-0000-0000AD010000}"/>
    <hyperlink ref="D432" r:id="rId431" xr:uid="{00000000-0004-0000-0000-0000AE010000}"/>
    <hyperlink ref="D433" r:id="rId432" xr:uid="{00000000-0004-0000-0000-0000AF010000}"/>
    <hyperlink ref="D434" r:id="rId433" xr:uid="{00000000-0004-0000-0000-0000B0010000}"/>
    <hyperlink ref="D435" r:id="rId434" xr:uid="{00000000-0004-0000-0000-0000B1010000}"/>
    <hyperlink ref="D436" r:id="rId435" xr:uid="{00000000-0004-0000-0000-0000B2010000}"/>
    <hyperlink ref="D437" r:id="rId436" xr:uid="{00000000-0004-0000-0000-0000B3010000}"/>
    <hyperlink ref="D438" r:id="rId437" xr:uid="{00000000-0004-0000-0000-0000B4010000}"/>
    <hyperlink ref="D439" r:id="rId438" xr:uid="{00000000-0004-0000-0000-0000B5010000}"/>
    <hyperlink ref="D440" r:id="rId439" xr:uid="{00000000-0004-0000-0000-0000B6010000}"/>
    <hyperlink ref="D441" r:id="rId440" xr:uid="{00000000-0004-0000-0000-0000B7010000}"/>
    <hyperlink ref="D442" r:id="rId441" xr:uid="{00000000-0004-0000-0000-0000B8010000}"/>
    <hyperlink ref="D443" r:id="rId442" xr:uid="{00000000-0004-0000-0000-0000B9010000}"/>
    <hyperlink ref="D444" r:id="rId443" xr:uid="{00000000-0004-0000-0000-0000BA010000}"/>
    <hyperlink ref="D445" r:id="rId444" xr:uid="{00000000-0004-0000-0000-0000BB010000}"/>
    <hyperlink ref="D446" r:id="rId445" xr:uid="{00000000-0004-0000-0000-0000BC010000}"/>
    <hyperlink ref="D447" r:id="rId446" xr:uid="{00000000-0004-0000-0000-0000BD010000}"/>
    <hyperlink ref="D448" r:id="rId447" xr:uid="{00000000-0004-0000-0000-0000BE010000}"/>
    <hyperlink ref="D449" r:id="rId448" xr:uid="{00000000-0004-0000-0000-0000BF010000}"/>
    <hyperlink ref="D450" r:id="rId449" xr:uid="{00000000-0004-0000-0000-0000C0010000}"/>
    <hyperlink ref="D451" r:id="rId450" xr:uid="{00000000-0004-0000-0000-0000C1010000}"/>
    <hyperlink ref="D452" r:id="rId451" xr:uid="{00000000-0004-0000-0000-0000C2010000}"/>
    <hyperlink ref="D453" r:id="rId452" xr:uid="{00000000-0004-0000-0000-0000C3010000}"/>
    <hyperlink ref="D454" r:id="rId453" xr:uid="{00000000-0004-0000-0000-0000C4010000}"/>
    <hyperlink ref="D455" r:id="rId454" xr:uid="{00000000-0004-0000-0000-0000C5010000}"/>
    <hyperlink ref="D456" r:id="rId455" xr:uid="{00000000-0004-0000-0000-0000C6010000}"/>
    <hyperlink ref="D457" r:id="rId456" xr:uid="{00000000-0004-0000-0000-0000C7010000}"/>
    <hyperlink ref="D458" r:id="rId457" xr:uid="{00000000-0004-0000-0000-0000C8010000}"/>
    <hyperlink ref="D459" r:id="rId458" xr:uid="{00000000-0004-0000-0000-0000C9010000}"/>
    <hyperlink ref="D460" r:id="rId459" xr:uid="{00000000-0004-0000-0000-0000CA010000}"/>
    <hyperlink ref="D461" r:id="rId460" xr:uid="{00000000-0004-0000-0000-0000CB010000}"/>
    <hyperlink ref="D462" r:id="rId461" xr:uid="{00000000-0004-0000-0000-0000CC010000}"/>
    <hyperlink ref="D463" r:id="rId462" xr:uid="{00000000-0004-0000-0000-0000CD010000}"/>
    <hyperlink ref="D464" r:id="rId463" xr:uid="{00000000-0004-0000-0000-0000CE010000}"/>
    <hyperlink ref="D465" r:id="rId464" xr:uid="{00000000-0004-0000-0000-0000CF010000}"/>
    <hyperlink ref="D466" r:id="rId465" xr:uid="{00000000-0004-0000-0000-0000D0010000}"/>
    <hyperlink ref="D467" r:id="rId466" xr:uid="{00000000-0004-0000-0000-0000D1010000}"/>
    <hyperlink ref="D468" r:id="rId467" xr:uid="{00000000-0004-0000-0000-0000D2010000}"/>
    <hyperlink ref="D469" r:id="rId468" xr:uid="{00000000-0004-0000-0000-0000D3010000}"/>
    <hyperlink ref="D470" r:id="rId469" xr:uid="{00000000-0004-0000-0000-0000D4010000}"/>
    <hyperlink ref="D471" r:id="rId470" xr:uid="{00000000-0004-0000-0000-0000D5010000}"/>
    <hyperlink ref="D472" r:id="rId471" xr:uid="{00000000-0004-0000-0000-0000D6010000}"/>
    <hyperlink ref="D473" r:id="rId472" xr:uid="{00000000-0004-0000-0000-0000D7010000}"/>
    <hyperlink ref="D474" r:id="rId473" xr:uid="{00000000-0004-0000-0000-0000D8010000}"/>
    <hyperlink ref="D475" r:id="rId474" xr:uid="{00000000-0004-0000-0000-0000D9010000}"/>
    <hyperlink ref="D476" r:id="rId475" xr:uid="{00000000-0004-0000-0000-0000DA010000}"/>
    <hyperlink ref="D477" r:id="rId476" xr:uid="{00000000-0004-0000-0000-0000DB010000}"/>
    <hyperlink ref="D478" r:id="rId477" xr:uid="{00000000-0004-0000-0000-0000DC010000}"/>
    <hyperlink ref="D479" r:id="rId478" xr:uid="{00000000-0004-0000-0000-0000DD010000}"/>
    <hyperlink ref="D480" r:id="rId479" xr:uid="{00000000-0004-0000-0000-0000DE010000}"/>
    <hyperlink ref="D481" r:id="rId480" xr:uid="{00000000-0004-0000-0000-0000DF010000}"/>
    <hyperlink ref="D482" r:id="rId481" xr:uid="{00000000-0004-0000-0000-0000E0010000}"/>
    <hyperlink ref="D483" r:id="rId482" xr:uid="{00000000-0004-0000-0000-0000E1010000}"/>
    <hyperlink ref="D484" r:id="rId483" xr:uid="{00000000-0004-0000-0000-0000E2010000}"/>
    <hyperlink ref="D485" r:id="rId484" xr:uid="{00000000-0004-0000-0000-0000E3010000}"/>
    <hyperlink ref="D486" r:id="rId485" xr:uid="{00000000-0004-0000-0000-0000E4010000}"/>
    <hyperlink ref="D487" r:id="rId486" xr:uid="{00000000-0004-0000-0000-0000E5010000}"/>
    <hyperlink ref="D488" r:id="rId487" xr:uid="{00000000-0004-0000-0000-0000E6010000}"/>
    <hyperlink ref="D489" r:id="rId488" xr:uid="{00000000-0004-0000-0000-0000E7010000}"/>
    <hyperlink ref="D490" r:id="rId489" xr:uid="{00000000-0004-0000-0000-0000E8010000}"/>
    <hyperlink ref="D491" r:id="rId490" xr:uid="{00000000-0004-0000-0000-0000E9010000}"/>
    <hyperlink ref="D492" r:id="rId491" xr:uid="{00000000-0004-0000-0000-0000EA010000}"/>
    <hyperlink ref="D493" r:id="rId492" xr:uid="{00000000-0004-0000-0000-0000EB010000}"/>
    <hyperlink ref="D494" r:id="rId493" xr:uid="{00000000-0004-0000-0000-0000EC010000}"/>
    <hyperlink ref="D495" r:id="rId494" xr:uid="{00000000-0004-0000-0000-0000ED010000}"/>
    <hyperlink ref="D496" r:id="rId495" xr:uid="{00000000-0004-0000-0000-0000EE010000}"/>
    <hyperlink ref="D497" r:id="rId496" xr:uid="{00000000-0004-0000-0000-0000EF010000}"/>
    <hyperlink ref="D498" r:id="rId497" xr:uid="{00000000-0004-0000-0000-0000F0010000}"/>
    <hyperlink ref="D499" r:id="rId498" xr:uid="{00000000-0004-0000-0000-0000F1010000}"/>
    <hyperlink ref="D500" r:id="rId499" xr:uid="{00000000-0004-0000-0000-0000F2010000}"/>
    <hyperlink ref="D501" r:id="rId500" xr:uid="{00000000-0004-0000-0000-0000F3010000}"/>
    <hyperlink ref="D502" r:id="rId501" xr:uid="{00000000-0004-0000-0000-0000F4010000}"/>
    <hyperlink ref="D503" r:id="rId502" xr:uid="{00000000-0004-0000-0000-0000F5010000}"/>
    <hyperlink ref="D504" r:id="rId503" xr:uid="{00000000-0004-0000-0000-0000F6010000}"/>
    <hyperlink ref="D505" r:id="rId504" xr:uid="{00000000-0004-0000-0000-0000F7010000}"/>
    <hyperlink ref="D506" r:id="rId505" xr:uid="{00000000-0004-0000-0000-0000F8010000}"/>
    <hyperlink ref="D507" r:id="rId506" xr:uid="{00000000-0004-0000-0000-0000F9010000}"/>
    <hyperlink ref="D508" r:id="rId507" xr:uid="{00000000-0004-0000-0000-0000FA010000}"/>
    <hyperlink ref="D509" r:id="rId508" xr:uid="{00000000-0004-0000-0000-0000FB010000}"/>
    <hyperlink ref="D510" r:id="rId509" xr:uid="{00000000-0004-0000-0000-0000FC010000}"/>
    <hyperlink ref="D511" r:id="rId510" xr:uid="{00000000-0004-0000-0000-0000FD010000}"/>
    <hyperlink ref="D512" r:id="rId511" xr:uid="{00000000-0004-0000-0000-0000FE010000}"/>
    <hyperlink ref="D513" r:id="rId512" xr:uid="{00000000-0004-0000-0000-0000FF010000}"/>
    <hyperlink ref="D514" r:id="rId513" xr:uid="{00000000-0004-0000-0000-000000020000}"/>
    <hyperlink ref="D515" r:id="rId514" xr:uid="{00000000-0004-0000-0000-000001020000}"/>
    <hyperlink ref="D516" r:id="rId515" xr:uid="{00000000-0004-0000-0000-000002020000}"/>
    <hyperlink ref="D517" r:id="rId516" xr:uid="{00000000-0004-0000-0000-000003020000}"/>
    <hyperlink ref="D518" r:id="rId517" xr:uid="{00000000-0004-0000-0000-000004020000}"/>
    <hyperlink ref="D519" r:id="rId518" xr:uid="{00000000-0004-0000-0000-000005020000}"/>
    <hyperlink ref="D520" r:id="rId519" xr:uid="{00000000-0004-0000-0000-000006020000}"/>
    <hyperlink ref="D521" r:id="rId520" xr:uid="{00000000-0004-0000-0000-000007020000}"/>
    <hyperlink ref="D522" r:id="rId521" xr:uid="{00000000-0004-0000-0000-000008020000}"/>
    <hyperlink ref="D523" r:id="rId522" xr:uid="{00000000-0004-0000-0000-000009020000}"/>
    <hyperlink ref="D524" r:id="rId523" xr:uid="{00000000-0004-0000-0000-00000A020000}"/>
    <hyperlink ref="D525" r:id="rId524" xr:uid="{00000000-0004-0000-0000-00000B020000}"/>
    <hyperlink ref="D526" r:id="rId525" xr:uid="{00000000-0004-0000-0000-00000C020000}"/>
    <hyperlink ref="D527" r:id="rId526" xr:uid="{00000000-0004-0000-0000-00000D020000}"/>
    <hyperlink ref="D528" r:id="rId527" xr:uid="{00000000-0004-0000-0000-00000E020000}"/>
    <hyperlink ref="D529" r:id="rId528" xr:uid="{00000000-0004-0000-0000-00000F020000}"/>
    <hyperlink ref="D530" r:id="rId529" xr:uid="{00000000-0004-0000-0000-000010020000}"/>
    <hyperlink ref="D531" r:id="rId530" xr:uid="{00000000-0004-0000-0000-000011020000}"/>
    <hyperlink ref="D532" r:id="rId531" xr:uid="{00000000-0004-0000-0000-000012020000}"/>
    <hyperlink ref="D533" r:id="rId532" xr:uid="{00000000-0004-0000-0000-000013020000}"/>
    <hyperlink ref="D534" r:id="rId533" xr:uid="{00000000-0004-0000-0000-000014020000}"/>
    <hyperlink ref="D535" r:id="rId534" xr:uid="{00000000-0004-0000-0000-000015020000}"/>
    <hyperlink ref="D536" r:id="rId535" xr:uid="{00000000-0004-0000-0000-000016020000}"/>
    <hyperlink ref="D537" r:id="rId536" xr:uid="{00000000-0004-0000-0000-000017020000}"/>
    <hyperlink ref="D538" r:id="rId537" xr:uid="{00000000-0004-0000-0000-000018020000}"/>
    <hyperlink ref="D539" r:id="rId538" xr:uid="{00000000-0004-0000-0000-000019020000}"/>
    <hyperlink ref="D540" r:id="rId539" xr:uid="{00000000-0004-0000-0000-00001A020000}"/>
    <hyperlink ref="D541" r:id="rId540" xr:uid="{00000000-0004-0000-0000-00001B020000}"/>
    <hyperlink ref="D542" r:id="rId541" xr:uid="{00000000-0004-0000-0000-00001C020000}"/>
    <hyperlink ref="D543" r:id="rId542" xr:uid="{00000000-0004-0000-0000-00001D020000}"/>
    <hyperlink ref="D544" r:id="rId543" xr:uid="{00000000-0004-0000-0000-00001E020000}"/>
    <hyperlink ref="D545" r:id="rId544" xr:uid="{00000000-0004-0000-0000-00001F020000}"/>
    <hyperlink ref="D546" r:id="rId545" xr:uid="{00000000-0004-0000-0000-000020020000}"/>
    <hyperlink ref="D547" r:id="rId546" xr:uid="{00000000-0004-0000-0000-000021020000}"/>
    <hyperlink ref="D548" r:id="rId547" xr:uid="{00000000-0004-0000-0000-000022020000}"/>
    <hyperlink ref="D549" r:id="rId548" xr:uid="{00000000-0004-0000-0000-000023020000}"/>
    <hyperlink ref="D550" r:id="rId549" xr:uid="{00000000-0004-0000-0000-000024020000}"/>
    <hyperlink ref="D551" r:id="rId550" xr:uid="{00000000-0004-0000-0000-000025020000}"/>
    <hyperlink ref="D552" r:id="rId551" xr:uid="{00000000-0004-0000-0000-000026020000}"/>
    <hyperlink ref="D553" r:id="rId552" xr:uid="{00000000-0004-0000-0000-000027020000}"/>
    <hyperlink ref="D554" r:id="rId553" xr:uid="{00000000-0004-0000-0000-000028020000}"/>
    <hyperlink ref="D555" r:id="rId554" xr:uid="{00000000-0004-0000-0000-000029020000}"/>
    <hyperlink ref="D556" r:id="rId555" xr:uid="{00000000-0004-0000-0000-00002A020000}"/>
    <hyperlink ref="D557" r:id="rId556" xr:uid="{00000000-0004-0000-0000-00002B020000}"/>
    <hyperlink ref="D558" r:id="rId557" xr:uid="{00000000-0004-0000-0000-00002C020000}"/>
    <hyperlink ref="D559" r:id="rId558" xr:uid="{00000000-0004-0000-0000-00002D020000}"/>
    <hyperlink ref="D560" r:id="rId559" xr:uid="{00000000-0004-0000-0000-00002E020000}"/>
    <hyperlink ref="D561" r:id="rId560" xr:uid="{00000000-0004-0000-0000-00002F020000}"/>
    <hyperlink ref="D562" r:id="rId561" xr:uid="{00000000-0004-0000-0000-000030020000}"/>
    <hyperlink ref="D563" r:id="rId562" xr:uid="{00000000-0004-0000-0000-000031020000}"/>
    <hyperlink ref="D564" r:id="rId563" xr:uid="{00000000-0004-0000-0000-000032020000}"/>
    <hyperlink ref="D565" r:id="rId564" xr:uid="{00000000-0004-0000-0000-000033020000}"/>
    <hyperlink ref="D566" r:id="rId565" xr:uid="{00000000-0004-0000-0000-000034020000}"/>
    <hyperlink ref="D567" r:id="rId566" xr:uid="{00000000-0004-0000-0000-000035020000}"/>
    <hyperlink ref="D568" r:id="rId567" xr:uid="{00000000-0004-0000-0000-000036020000}"/>
    <hyperlink ref="D569" r:id="rId568" xr:uid="{00000000-0004-0000-0000-000037020000}"/>
    <hyperlink ref="D570" r:id="rId569" xr:uid="{00000000-0004-0000-0000-000038020000}"/>
    <hyperlink ref="D571" r:id="rId570" xr:uid="{00000000-0004-0000-0000-000039020000}"/>
    <hyperlink ref="D572" r:id="rId571" xr:uid="{00000000-0004-0000-0000-00003A020000}"/>
    <hyperlink ref="D573" r:id="rId572" xr:uid="{00000000-0004-0000-0000-00003B020000}"/>
    <hyperlink ref="D574" r:id="rId573" xr:uid="{00000000-0004-0000-0000-00003C020000}"/>
    <hyperlink ref="D575" r:id="rId574" xr:uid="{00000000-0004-0000-0000-00003D020000}"/>
    <hyperlink ref="D576" r:id="rId575" xr:uid="{00000000-0004-0000-0000-00003E020000}"/>
    <hyperlink ref="D577" r:id="rId576" xr:uid="{00000000-0004-0000-0000-00003F020000}"/>
    <hyperlink ref="D578" r:id="rId577" xr:uid="{00000000-0004-0000-0000-000040020000}"/>
    <hyperlink ref="D579" r:id="rId578" xr:uid="{00000000-0004-0000-0000-000041020000}"/>
    <hyperlink ref="D580" r:id="rId579" xr:uid="{00000000-0004-0000-0000-000042020000}"/>
    <hyperlink ref="D581" r:id="rId580" xr:uid="{00000000-0004-0000-0000-000043020000}"/>
    <hyperlink ref="D582" r:id="rId581" xr:uid="{00000000-0004-0000-0000-000044020000}"/>
    <hyperlink ref="D583" r:id="rId582" xr:uid="{00000000-0004-0000-0000-000045020000}"/>
    <hyperlink ref="D584" r:id="rId583" xr:uid="{00000000-0004-0000-0000-000046020000}"/>
    <hyperlink ref="D585" r:id="rId584" xr:uid="{00000000-0004-0000-0000-000047020000}"/>
    <hyperlink ref="D586" r:id="rId585" xr:uid="{00000000-0004-0000-0000-000048020000}"/>
    <hyperlink ref="D587" r:id="rId586" xr:uid="{00000000-0004-0000-0000-000049020000}"/>
    <hyperlink ref="D588" r:id="rId587" xr:uid="{00000000-0004-0000-0000-00004A020000}"/>
    <hyperlink ref="D589" r:id="rId588" xr:uid="{00000000-0004-0000-0000-00004B020000}"/>
    <hyperlink ref="D590" r:id="rId589" xr:uid="{00000000-0004-0000-0000-00004C020000}"/>
    <hyperlink ref="D591" r:id="rId590" xr:uid="{00000000-0004-0000-0000-00004D020000}"/>
    <hyperlink ref="D592" r:id="rId591" xr:uid="{00000000-0004-0000-0000-00004E020000}"/>
    <hyperlink ref="D593" r:id="rId592" xr:uid="{00000000-0004-0000-0000-00004F020000}"/>
    <hyperlink ref="D594" r:id="rId593" xr:uid="{00000000-0004-0000-0000-000050020000}"/>
    <hyperlink ref="D595" r:id="rId594" xr:uid="{00000000-0004-0000-0000-000051020000}"/>
    <hyperlink ref="D596" r:id="rId595" xr:uid="{00000000-0004-0000-0000-000052020000}"/>
    <hyperlink ref="D597" r:id="rId596" xr:uid="{00000000-0004-0000-0000-000053020000}"/>
    <hyperlink ref="D598" r:id="rId597" xr:uid="{00000000-0004-0000-0000-000054020000}"/>
    <hyperlink ref="D599" r:id="rId598" xr:uid="{00000000-0004-0000-0000-000055020000}"/>
    <hyperlink ref="D600" r:id="rId599" xr:uid="{00000000-0004-0000-0000-000056020000}"/>
    <hyperlink ref="D601" r:id="rId600" xr:uid="{00000000-0004-0000-0000-000057020000}"/>
    <hyperlink ref="D602" r:id="rId601" xr:uid="{00000000-0004-0000-0000-000058020000}"/>
    <hyperlink ref="D603" r:id="rId602" xr:uid="{00000000-0004-0000-0000-000059020000}"/>
    <hyperlink ref="D604" r:id="rId603" xr:uid="{00000000-0004-0000-0000-00005A020000}"/>
    <hyperlink ref="D605" r:id="rId604" xr:uid="{00000000-0004-0000-0000-00005B020000}"/>
    <hyperlink ref="D606" r:id="rId605" xr:uid="{00000000-0004-0000-0000-00005C020000}"/>
    <hyperlink ref="D607" r:id="rId606" xr:uid="{00000000-0004-0000-0000-00005D020000}"/>
    <hyperlink ref="D608" r:id="rId607" xr:uid="{00000000-0004-0000-0000-00005E020000}"/>
    <hyperlink ref="D609" r:id="rId608" xr:uid="{00000000-0004-0000-0000-00005F020000}"/>
    <hyperlink ref="D610" r:id="rId609" xr:uid="{00000000-0004-0000-0000-000060020000}"/>
    <hyperlink ref="D611" r:id="rId610" xr:uid="{00000000-0004-0000-0000-000061020000}"/>
    <hyperlink ref="D612" r:id="rId611" xr:uid="{00000000-0004-0000-0000-000062020000}"/>
    <hyperlink ref="D613" r:id="rId612" xr:uid="{00000000-0004-0000-0000-000063020000}"/>
    <hyperlink ref="D614" r:id="rId613" xr:uid="{00000000-0004-0000-0000-000064020000}"/>
    <hyperlink ref="D615" r:id="rId614" xr:uid="{00000000-0004-0000-0000-000065020000}"/>
    <hyperlink ref="D616" r:id="rId615" xr:uid="{00000000-0004-0000-0000-000066020000}"/>
    <hyperlink ref="D617" r:id="rId616" xr:uid="{00000000-0004-0000-0000-000067020000}"/>
    <hyperlink ref="D618" r:id="rId617" xr:uid="{00000000-0004-0000-0000-000068020000}"/>
    <hyperlink ref="D619" r:id="rId618" xr:uid="{00000000-0004-0000-0000-000069020000}"/>
    <hyperlink ref="D620" r:id="rId619" xr:uid="{00000000-0004-0000-0000-00006A020000}"/>
    <hyperlink ref="D621" r:id="rId620" xr:uid="{00000000-0004-0000-0000-00006B020000}"/>
    <hyperlink ref="D622" r:id="rId621" xr:uid="{00000000-0004-0000-0000-00006C020000}"/>
    <hyperlink ref="D623" r:id="rId622" xr:uid="{00000000-0004-0000-0000-00006D020000}"/>
    <hyperlink ref="D624" r:id="rId623" xr:uid="{00000000-0004-0000-0000-00006E020000}"/>
    <hyperlink ref="D625" r:id="rId624" xr:uid="{00000000-0004-0000-0000-00006F020000}"/>
    <hyperlink ref="D626" r:id="rId625" xr:uid="{00000000-0004-0000-0000-000070020000}"/>
    <hyperlink ref="D627" r:id="rId626" xr:uid="{00000000-0004-0000-0000-000071020000}"/>
    <hyperlink ref="D628" r:id="rId627" xr:uid="{00000000-0004-0000-0000-000072020000}"/>
    <hyperlink ref="D629" r:id="rId628" xr:uid="{00000000-0004-0000-0000-000073020000}"/>
    <hyperlink ref="D630" r:id="rId629" xr:uid="{00000000-0004-0000-0000-000074020000}"/>
    <hyperlink ref="D631" r:id="rId630" xr:uid="{00000000-0004-0000-0000-000075020000}"/>
    <hyperlink ref="D632" r:id="rId631" xr:uid="{00000000-0004-0000-0000-000076020000}"/>
    <hyperlink ref="D633" r:id="rId632" xr:uid="{00000000-0004-0000-0000-000077020000}"/>
    <hyperlink ref="D634" r:id="rId633" xr:uid="{00000000-0004-0000-0000-000078020000}"/>
    <hyperlink ref="D635" r:id="rId634" xr:uid="{00000000-0004-0000-0000-000079020000}"/>
    <hyperlink ref="D636" r:id="rId635" xr:uid="{00000000-0004-0000-0000-00007A020000}"/>
    <hyperlink ref="D637" r:id="rId636" xr:uid="{00000000-0004-0000-0000-00007B020000}"/>
    <hyperlink ref="D638" r:id="rId637" xr:uid="{00000000-0004-0000-0000-00007C020000}"/>
    <hyperlink ref="D639" r:id="rId638" xr:uid="{00000000-0004-0000-0000-00007D020000}"/>
    <hyperlink ref="D640" r:id="rId639" xr:uid="{00000000-0004-0000-0000-00007E020000}"/>
    <hyperlink ref="D641" r:id="rId640" xr:uid="{00000000-0004-0000-0000-00007F020000}"/>
    <hyperlink ref="D642" r:id="rId641" xr:uid="{00000000-0004-0000-0000-000080020000}"/>
    <hyperlink ref="D643" r:id="rId642" xr:uid="{00000000-0004-0000-0000-000081020000}"/>
    <hyperlink ref="D644" r:id="rId643" xr:uid="{00000000-0004-0000-0000-000082020000}"/>
    <hyperlink ref="D645" r:id="rId644" xr:uid="{00000000-0004-0000-0000-000083020000}"/>
    <hyperlink ref="D646" r:id="rId645" xr:uid="{00000000-0004-0000-0000-000084020000}"/>
    <hyperlink ref="D647" r:id="rId646" xr:uid="{00000000-0004-0000-0000-000085020000}"/>
    <hyperlink ref="D648" r:id="rId647" xr:uid="{00000000-0004-0000-0000-000086020000}"/>
    <hyperlink ref="D649" r:id="rId648" xr:uid="{00000000-0004-0000-0000-000087020000}"/>
    <hyperlink ref="D650" r:id="rId649" xr:uid="{00000000-0004-0000-0000-000088020000}"/>
    <hyperlink ref="D651" r:id="rId650" xr:uid="{00000000-0004-0000-0000-000089020000}"/>
    <hyperlink ref="D652" r:id="rId651" xr:uid="{00000000-0004-0000-0000-00008A020000}"/>
    <hyperlink ref="D653" r:id="rId652" xr:uid="{00000000-0004-0000-0000-00008B020000}"/>
    <hyperlink ref="D654" r:id="rId653" xr:uid="{00000000-0004-0000-0000-00008C020000}"/>
    <hyperlink ref="D655" r:id="rId654" xr:uid="{00000000-0004-0000-0000-00008D020000}"/>
    <hyperlink ref="D656" r:id="rId655" xr:uid="{00000000-0004-0000-0000-00008E020000}"/>
    <hyperlink ref="D657" r:id="rId656" xr:uid="{00000000-0004-0000-0000-00008F020000}"/>
    <hyperlink ref="D658" r:id="rId657" xr:uid="{00000000-0004-0000-0000-000090020000}"/>
    <hyperlink ref="D659" r:id="rId658" xr:uid="{00000000-0004-0000-0000-000091020000}"/>
    <hyperlink ref="D660" r:id="rId659" xr:uid="{00000000-0004-0000-0000-000092020000}"/>
    <hyperlink ref="D661" r:id="rId660" xr:uid="{00000000-0004-0000-0000-000093020000}"/>
    <hyperlink ref="D662" r:id="rId661" xr:uid="{00000000-0004-0000-0000-000094020000}"/>
    <hyperlink ref="D663" r:id="rId662" xr:uid="{00000000-0004-0000-0000-000095020000}"/>
    <hyperlink ref="D664" r:id="rId663" xr:uid="{00000000-0004-0000-0000-000096020000}"/>
    <hyperlink ref="D665" r:id="rId664" xr:uid="{00000000-0004-0000-0000-000097020000}"/>
    <hyperlink ref="D666" r:id="rId665" xr:uid="{00000000-0004-0000-0000-000098020000}"/>
    <hyperlink ref="D667" r:id="rId666" xr:uid="{00000000-0004-0000-0000-000099020000}"/>
    <hyperlink ref="D668" r:id="rId667" xr:uid="{00000000-0004-0000-0000-00009A020000}"/>
    <hyperlink ref="D669" r:id="rId668" xr:uid="{00000000-0004-0000-0000-00009B020000}"/>
    <hyperlink ref="D670" r:id="rId669" xr:uid="{00000000-0004-0000-0000-00009C020000}"/>
    <hyperlink ref="D671" r:id="rId670" xr:uid="{00000000-0004-0000-0000-00009D020000}"/>
    <hyperlink ref="D672" r:id="rId671" xr:uid="{00000000-0004-0000-0000-00009E020000}"/>
    <hyperlink ref="D673" r:id="rId672" xr:uid="{00000000-0004-0000-0000-00009F020000}"/>
    <hyperlink ref="D674" r:id="rId673" xr:uid="{00000000-0004-0000-0000-0000A0020000}"/>
    <hyperlink ref="D675" r:id="rId674" xr:uid="{00000000-0004-0000-0000-0000A1020000}"/>
    <hyperlink ref="D676" r:id="rId675" xr:uid="{00000000-0004-0000-0000-0000A2020000}"/>
    <hyperlink ref="D677" r:id="rId676" xr:uid="{00000000-0004-0000-0000-0000A3020000}"/>
    <hyperlink ref="D678" r:id="rId677" xr:uid="{00000000-0004-0000-0000-0000A4020000}"/>
    <hyperlink ref="D679" r:id="rId678" xr:uid="{00000000-0004-0000-0000-0000A5020000}"/>
    <hyperlink ref="D680" r:id="rId679" xr:uid="{00000000-0004-0000-0000-0000A6020000}"/>
    <hyperlink ref="D681" r:id="rId680" xr:uid="{00000000-0004-0000-0000-0000A7020000}"/>
    <hyperlink ref="D682" r:id="rId681" xr:uid="{00000000-0004-0000-0000-0000A8020000}"/>
    <hyperlink ref="D683" r:id="rId682" xr:uid="{00000000-0004-0000-0000-0000A9020000}"/>
    <hyperlink ref="D684" r:id="rId683" xr:uid="{00000000-0004-0000-0000-0000AA020000}"/>
    <hyperlink ref="D685" r:id="rId684" xr:uid="{00000000-0004-0000-0000-0000AB020000}"/>
    <hyperlink ref="D686" r:id="rId685" xr:uid="{00000000-0004-0000-0000-0000AC020000}"/>
    <hyperlink ref="D687" r:id="rId686" xr:uid="{00000000-0004-0000-0000-0000AD020000}"/>
    <hyperlink ref="D688" r:id="rId687" xr:uid="{00000000-0004-0000-0000-0000AE020000}"/>
    <hyperlink ref="D689" r:id="rId688" xr:uid="{00000000-0004-0000-0000-0000AF020000}"/>
    <hyperlink ref="D690" r:id="rId689" xr:uid="{00000000-0004-0000-0000-0000B0020000}"/>
    <hyperlink ref="D691" r:id="rId690" xr:uid="{00000000-0004-0000-0000-0000B1020000}"/>
    <hyperlink ref="D692" r:id="rId691" xr:uid="{00000000-0004-0000-0000-0000B2020000}"/>
    <hyperlink ref="D693" r:id="rId692" xr:uid="{00000000-0004-0000-0000-0000B3020000}"/>
    <hyperlink ref="D694" r:id="rId693" xr:uid="{00000000-0004-0000-0000-0000B4020000}"/>
    <hyperlink ref="D695" r:id="rId694" xr:uid="{00000000-0004-0000-0000-0000B5020000}"/>
    <hyperlink ref="D696" r:id="rId695" xr:uid="{00000000-0004-0000-0000-0000B6020000}"/>
    <hyperlink ref="D697" r:id="rId696" xr:uid="{00000000-0004-0000-0000-0000B7020000}"/>
    <hyperlink ref="D698" r:id="rId697" xr:uid="{00000000-0004-0000-0000-0000B8020000}"/>
    <hyperlink ref="D699" r:id="rId698" xr:uid="{00000000-0004-0000-0000-0000B9020000}"/>
    <hyperlink ref="D700" r:id="rId699" xr:uid="{00000000-0004-0000-0000-0000BA020000}"/>
    <hyperlink ref="D701" r:id="rId700" xr:uid="{00000000-0004-0000-0000-0000BB020000}"/>
    <hyperlink ref="D702" r:id="rId701" xr:uid="{00000000-0004-0000-0000-0000BC020000}"/>
    <hyperlink ref="D703" r:id="rId702" xr:uid="{00000000-0004-0000-0000-0000BD020000}"/>
    <hyperlink ref="D704" r:id="rId703" xr:uid="{00000000-0004-0000-0000-0000BE020000}"/>
    <hyperlink ref="D705" r:id="rId704" xr:uid="{00000000-0004-0000-0000-0000BF020000}"/>
    <hyperlink ref="D706" r:id="rId705" xr:uid="{00000000-0004-0000-0000-0000C0020000}"/>
    <hyperlink ref="D707" r:id="rId706" xr:uid="{00000000-0004-0000-0000-0000C1020000}"/>
    <hyperlink ref="D708" r:id="rId707" xr:uid="{00000000-0004-0000-0000-0000C2020000}"/>
    <hyperlink ref="D709" r:id="rId708" xr:uid="{00000000-0004-0000-0000-0000C3020000}"/>
    <hyperlink ref="D710" r:id="rId709" xr:uid="{00000000-0004-0000-0000-0000C4020000}"/>
    <hyperlink ref="D711" r:id="rId710" xr:uid="{00000000-0004-0000-0000-0000C5020000}"/>
    <hyperlink ref="D712" r:id="rId711" xr:uid="{00000000-0004-0000-0000-0000C6020000}"/>
    <hyperlink ref="D713" r:id="rId712" xr:uid="{00000000-0004-0000-0000-0000C7020000}"/>
    <hyperlink ref="D714" r:id="rId713" xr:uid="{00000000-0004-0000-0000-0000C8020000}"/>
    <hyperlink ref="D715" r:id="rId714" xr:uid="{00000000-0004-0000-0000-0000C9020000}"/>
    <hyperlink ref="D716" r:id="rId715" xr:uid="{00000000-0004-0000-0000-0000CA020000}"/>
    <hyperlink ref="D717" r:id="rId716" xr:uid="{00000000-0004-0000-0000-0000CB020000}"/>
    <hyperlink ref="D718" r:id="rId717" xr:uid="{00000000-0004-0000-0000-0000CC020000}"/>
    <hyperlink ref="D719" r:id="rId718" xr:uid="{00000000-0004-0000-0000-0000CD020000}"/>
    <hyperlink ref="D720" r:id="rId719" xr:uid="{00000000-0004-0000-0000-0000CE020000}"/>
    <hyperlink ref="D721" r:id="rId720" xr:uid="{00000000-0004-0000-0000-0000CF020000}"/>
    <hyperlink ref="D722" r:id="rId721" xr:uid="{00000000-0004-0000-0000-0000D0020000}"/>
    <hyperlink ref="D723" r:id="rId722" xr:uid="{00000000-0004-0000-0000-0000D1020000}"/>
    <hyperlink ref="D724" r:id="rId723" xr:uid="{00000000-0004-0000-0000-0000D2020000}"/>
    <hyperlink ref="D725" r:id="rId724" xr:uid="{00000000-0004-0000-0000-0000D3020000}"/>
    <hyperlink ref="D726" r:id="rId725" xr:uid="{00000000-0004-0000-0000-0000D4020000}"/>
    <hyperlink ref="D727" r:id="rId726" xr:uid="{00000000-0004-0000-0000-0000D5020000}"/>
    <hyperlink ref="D728" r:id="rId727" xr:uid="{00000000-0004-0000-0000-0000D6020000}"/>
    <hyperlink ref="D729" r:id="rId728" xr:uid="{00000000-0004-0000-0000-0000D7020000}"/>
    <hyperlink ref="D730" r:id="rId729" xr:uid="{00000000-0004-0000-0000-0000D8020000}"/>
    <hyperlink ref="D731" r:id="rId730" xr:uid="{00000000-0004-0000-0000-0000D9020000}"/>
    <hyperlink ref="D732" r:id="rId731" xr:uid="{00000000-0004-0000-0000-0000DA020000}"/>
    <hyperlink ref="D733" r:id="rId732" xr:uid="{00000000-0004-0000-0000-0000DB020000}"/>
    <hyperlink ref="D734" r:id="rId733" xr:uid="{00000000-0004-0000-0000-0000DC020000}"/>
    <hyperlink ref="D735" r:id="rId734" xr:uid="{00000000-0004-0000-0000-0000DD020000}"/>
    <hyperlink ref="D736" r:id="rId735" xr:uid="{00000000-0004-0000-0000-0000DE020000}"/>
    <hyperlink ref="D737" r:id="rId736" xr:uid="{00000000-0004-0000-0000-0000DF020000}"/>
    <hyperlink ref="D738" r:id="rId737" xr:uid="{00000000-0004-0000-0000-0000E0020000}"/>
    <hyperlink ref="D739" r:id="rId738" xr:uid="{00000000-0004-0000-0000-0000E1020000}"/>
    <hyperlink ref="D740" r:id="rId739" xr:uid="{00000000-0004-0000-0000-0000E2020000}"/>
    <hyperlink ref="D741" r:id="rId740" xr:uid="{00000000-0004-0000-0000-0000E3020000}"/>
    <hyperlink ref="D742" r:id="rId741" xr:uid="{00000000-0004-0000-0000-0000E4020000}"/>
    <hyperlink ref="D743" r:id="rId742" xr:uid="{00000000-0004-0000-0000-0000E5020000}"/>
    <hyperlink ref="D744" r:id="rId743" xr:uid="{00000000-0004-0000-0000-0000E6020000}"/>
    <hyperlink ref="D745" r:id="rId744" xr:uid="{00000000-0004-0000-0000-0000E7020000}"/>
    <hyperlink ref="D746" r:id="rId745" xr:uid="{00000000-0004-0000-0000-0000E8020000}"/>
    <hyperlink ref="D747" r:id="rId746" xr:uid="{00000000-0004-0000-0000-0000E9020000}"/>
    <hyperlink ref="D748" r:id="rId747" xr:uid="{00000000-0004-0000-0000-0000EA020000}"/>
    <hyperlink ref="D749" r:id="rId748" xr:uid="{00000000-0004-0000-0000-0000EB020000}"/>
    <hyperlink ref="D750" r:id="rId749" xr:uid="{00000000-0004-0000-0000-0000EC020000}"/>
    <hyperlink ref="D751" r:id="rId750" xr:uid="{00000000-0004-0000-0000-0000ED020000}"/>
    <hyperlink ref="D752" r:id="rId751" xr:uid="{00000000-0004-0000-0000-0000EE020000}"/>
    <hyperlink ref="D753" r:id="rId752" xr:uid="{00000000-0004-0000-0000-0000EF020000}"/>
    <hyperlink ref="D754" r:id="rId753" xr:uid="{00000000-0004-0000-0000-0000F0020000}"/>
    <hyperlink ref="D755" r:id="rId754" xr:uid="{00000000-0004-0000-0000-0000F1020000}"/>
    <hyperlink ref="D756" r:id="rId755" xr:uid="{00000000-0004-0000-0000-0000F2020000}"/>
    <hyperlink ref="D757" r:id="rId756" xr:uid="{00000000-0004-0000-0000-0000F3020000}"/>
    <hyperlink ref="D758" r:id="rId757" xr:uid="{00000000-0004-0000-0000-0000F4020000}"/>
    <hyperlink ref="D759" r:id="rId758" xr:uid="{00000000-0004-0000-0000-0000F5020000}"/>
    <hyperlink ref="D760" r:id="rId759" xr:uid="{00000000-0004-0000-0000-0000F6020000}"/>
    <hyperlink ref="D761" r:id="rId760" xr:uid="{00000000-0004-0000-0000-0000F7020000}"/>
    <hyperlink ref="D762" r:id="rId761" xr:uid="{00000000-0004-0000-0000-0000F8020000}"/>
    <hyperlink ref="D763" r:id="rId762" xr:uid="{00000000-0004-0000-0000-0000F9020000}"/>
    <hyperlink ref="D764" r:id="rId763" xr:uid="{00000000-0004-0000-0000-0000FA020000}"/>
    <hyperlink ref="D765" r:id="rId764" xr:uid="{00000000-0004-0000-0000-0000FB020000}"/>
    <hyperlink ref="D766" r:id="rId765" xr:uid="{00000000-0004-0000-0000-0000FC020000}"/>
    <hyperlink ref="D767" r:id="rId766" xr:uid="{00000000-0004-0000-0000-0000FD020000}"/>
    <hyperlink ref="D768" r:id="rId767" xr:uid="{00000000-0004-0000-0000-0000FE020000}"/>
    <hyperlink ref="D769" r:id="rId768" xr:uid="{00000000-0004-0000-0000-0000FF020000}"/>
    <hyperlink ref="D770" r:id="rId769" xr:uid="{00000000-0004-0000-0000-000000030000}"/>
    <hyperlink ref="D771" r:id="rId770" xr:uid="{00000000-0004-0000-0000-000001030000}"/>
    <hyperlink ref="D772" r:id="rId771" xr:uid="{00000000-0004-0000-0000-000002030000}"/>
    <hyperlink ref="D773" r:id="rId772" xr:uid="{00000000-0004-0000-0000-000003030000}"/>
    <hyperlink ref="D774" r:id="rId773" xr:uid="{00000000-0004-0000-0000-000004030000}"/>
    <hyperlink ref="D775" r:id="rId774" xr:uid="{00000000-0004-0000-0000-000005030000}"/>
    <hyperlink ref="D776" r:id="rId775" xr:uid="{00000000-0004-0000-0000-000006030000}"/>
    <hyperlink ref="D777" r:id="rId776" xr:uid="{00000000-0004-0000-0000-000007030000}"/>
    <hyperlink ref="D778" r:id="rId777" xr:uid="{00000000-0004-0000-0000-000008030000}"/>
    <hyperlink ref="D779" r:id="rId778" xr:uid="{00000000-0004-0000-0000-000009030000}"/>
    <hyperlink ref="D780" r:id="rId779" xr:uid="{00000000-0004-0000-0000-00000A030000}"/>
    <hyperlink ref="D781" r:id="rId780" xr:uid="{00000000-0004-0000-0000-00000B030000}"/>
    <hyperlink ref="D782" r:id="rId781" xr:uid="{00000000-0004-0000-0000-00000C030000}"/>
    <hyperlink ref="D783" r:id="rId782" xr:uid="{00000000-0004-0000-0000-00000D030000}"/>
    <hyperlink ref="D784" r:id="rId783" xr:uid="{00000000-0004-0000-0000-00000E030000}"/>
    <hyperlink ref="D785" r:id="rId784" xr:uid="{00000000-0004-0000-0000-00000F030000}"/>
    <hyperlink ref="D786" r:id="rId785" xr:uid="{00000000-0004-0000-0000-000010030000}"/>
    <hyperlink ref="D787" r:id="rId786" xr:uid="{00000000-0004-0000-0000-000011030000}"/>
    <hyperlink ref="D788" r:id="rId787" xr:uid="{00000000-0004-0000-0000-000012030000}"/>
    <hyperlink ref="D789" r:id="rId788" xr:uid="{00000000-0004-0000-0000-000013030000}"/>
    <hyperlink ref="D790" r:id="rId789" xr:uid="{00000000-0004-0000-0000-000014030000}"/>
    <hyperlink ref="D791" r:id="rId790" xr:uid="{00000000-0004-0000-0000-000015030000}"/>
    <hyperlink ref="D792" r:id="rId791" xr:uid="{00000000-0004-0000-0000-000016030000}"/>
    <hyperlink ref="D793" r:id="rId792" xr:uid="{00000000-0004-0000-0000-000017030000}"/>
    <hyperlink ref="D794" r:id="rId793" xr:uid="{00000000-0004-0000-0000-000018030000}"/>
    <hyperlink ref="D795" r:id="rId794" xr:uid="{00000000-0004-0000-0000-000019030000}"/>
    <hyperlink ref="D796" r:id="rId795" xr:uid="{00000000-0004-0000-0000-00001A030000}"/>
    <hyperlink ref="D797" r:id="rId796" xr:uid="{00000000-0004-0000-0000-00001B030000}"/>
    <hyperlink ref="D798" r:id="rId797" xr:uid="{00000000-0004-0000-0000-00001C030000}"/>
    <hyperlink ref="D799" r:id="rId798" xr:uid="{00000000-0004-0000-0000-00001D030000}"/>
    <hyperlink ref="D800" r:id="rId799" xr:uid="{00000000-0004-0000-0000-00001E030000}"/>
    <hyperlink ref="D801" r:id="rId800" xr:uid="{00000000-0004-0000-0000-00001F030000}"/>
    <hyperlink ref="D802" r:id="rId801" xr:uid="{00000000-0004-0000-0000-000020030000}"/>
    <hyperlink ref="D803" r:id="rId802" xr:uid="{00000000-0004-0000-0000-000021030000}"/>
    <hyperlink ref="D804" r:id="rId803" xr:uid="{00000000-0004-0000-0000-000022030000}"/>
    <hyperlink ref="D805" r:id="rId804" xr:uid="{00000000-0004-0000-0000-000023030000}"/>
    <hyperlink ref="D806" r:id="rId805" xr:uid="{00000000-0004-0000-0000-000024030000}"/>
    <hyperlink ref="D807" r:id="rId806" xr:uid="{00000000-0004-0000-0000-000025030000}"/>
    <hyperlink ref="D808" r:id="rId807" xr:uid="{00000000-0004-0000-0000-000026030000}"/>
    <hyperlink ref="D809" r:id="rId808" xr:uid="{00000000-0004-0000-0000-000027030000}"/>
    <hyperlink ref="D810" r:id="rId809" xr:uid="{00000000-0004-0000-0000-000028030000}"/>
    <hyperlink ref="D811" r:id="rId810" xr:uid="{00000000-0004-0000-0000-000029030000}"/>
    <hyperlink ref="D812" r:id="rId811" xr:uid="{00000000-0004-0000-0000-00002A030000}"/>
    <hyperlink ref="D813" r:id="rId812" xr:uid="{00000000-0004-0000-0000-00002B030000}"/>
    <hyperlink ref="D814" r:id="rId813" xr:uid="{00000000-0004-0000-0000-00002C030000}"/>
    <hyperlink ref="D815" r:id="rId814" xr:uid="{00000000-0004-0000-0000-00002D030000}"/>
    <hyperlink ref="D816" r:id="rId815" xr:uid="{00000000-0004-0000-0000-00002E030000}"/>
    <hyperlink ref="D817" r:id="rId816" xr:uid="{00000000-0004-0000-0000-00002F030000}"/>
    <hyperlink ref="D818" r:id="rId817" xr:uid="{00000000-0004-0000-0000-000030030000}"/>
    <hyperlink ref="D819" r:id="rId818" xr:uid="{00000000-0004-0000-0000-000031030000}"/>
    <hyperlink ref="D820" r:id="rId819" xr:uid="{00000000-0004-0000-0000-000032030000}"/>
    <hyperlink ref="D821" r:id="rId820" xr:uid="{00000000-0004-0000-0000-000033030000}"/>
    <hyperlink ref="D822" r:id="rId821" xr:uid="{00000000-0004-0000-0000-000034030000}"/>
    <hyperlink ref="D823" r:id="rId822" xr:uid="{00000000-0004-0000-0000-000035030000}"/>
    <hyperlink ref="D824" r:id="rId823" xr:uid="{00000000-0004-0000-0000-000036030000}"/>
    <hyperlink ref="D825" r:id="rId824" xr:uid="{00000000-0004-0000-0000-000037030000}"/>
    <hyperlink ref="D826" r:id="rId825" xr:uid="{00000000-0004-0000-0000-000038030000}"/>
    <hyperlink ref="D827" r:id="rId826" xr:uid="{00000000-0004-0000-0000-000039030000}"/>
    <hyperlink ref="D828" r:id="rId827" xr:uid="{00000000-0004-0000-0000-00003A030000}"/>
    <hyperlink ref="D829" r:id="rId828" xr:uid="{00000000-0004-0000-0000-00003B030000}"/>
    <hyperlink ref="D830" r:id="rId829" xr:uid="{00000000-0004-0000-0000-00003C030000}"/>
    <hyperlink ref="D831" r:id="rId830" xr:uid="{00000000-0004-0000-0000-00003D030000}"/>
    <hyperlink ref="D832" r:id="rId831" xr:uid="{00000000-0004-0000-0000-00003E030000}"/>
    <hyperlink ref="D833" r:id="rId832" xr:uid="{00000000-0004-0000-0000-00003F030000}"/>
    <hyperlink ref="D834" r:id="rId833" xr:uid="{00000000-0004-0000-0000-000040030000}"/>
    <hyperlink ref="D835" r:id="rId834" xr:uid="{00000000-0004-0000-0000-000041030000}"/>
    <hyperlink ref="D836" r:id="rId835" xr:uid="{00000000-0004-0000-0000-000042030000}"/>
    <hyperlink ref="D837" r:id="rId836" xr:uid="{00000000-0004-0000-0000-000043030000}"/>
    <hyperlink ref="D838" r:id="rId837" xr:uid="{00000000-0004-0000-0000-000044030000}"/>
    <hyperlink ref="D839" r:id="rId838" xr:uid="{00000000-0004-0000-0000-000045030000}"/>
    <hyperlink ref="D840" r:id="rId839" xr:uid="{00000000-0004-0000-0000-000046030000}"/>
    <hyperlink ref="D841" r:id="rId840" xr:uid="{00000000-0004-0000-0000-000047030000}"/>
    <hyperlink ref="D842" r:id="rId841" xr:uid="{00000000-0004-0000-0000-000048030000}"/>
    <hyperlink ref="D843" r:id="rId842" xr:uid="{00000000-0004-0000-0000-000049030000}"/>
    <hyperlink ref="D844" r:id="rId843" xr:uid="{00000000-0004-0000-0000-00004A030000}"/>
    <hyperlink ref="D845" r:id="rId844" xr:uid="{00000000-0004-0000-0000-00004B030000}"/>
    <hyperlink ref="D846" r:id="rId845" xr:uid="{00000000-0004-0000-0000-00004C030000}"/>
    <hyperlink ref="D847" r:id="rId846" xr:uid="{00000000-0004-0000-0000-00004D030000}"/>
    <hyperlink ref="D848" r:id="rId847" xr:uid="{00000000-0004-0000-0000-00004E030000}"/>
    <hyperlink ref="D849" r:id="rId848" xr:uid="{00000000-0004-0000-0000-00004F030000}"/>
    <hyperlink ref="D850" r:id="rId849" xr:uid="{00000000-0004-0000-0000-000050030000}"/>
    <hyperlink ref="D851" r:id="rId850" xr:uid="{00000000-0004-0000-0000-000051030000}"/>
    <hyperlink ref="D852" r:id="rId851" xr:uid="{00000000-0004-0000-0000-000052030000}"/>
    <hyperlink ref="D853" r:id="rId852" xr:uid="{00000000-0004-0000-0000-000053030000}"/>
    <hyperlink ref="D854" r:id="rId853" xr:uid="{00000000-0004-0000-0000-000054030000}"/>
    <hyperlink ref="D855" r:id="rId854" xr:uid="{00000000-0004-0000-0000-000055030000}"/>
    <hyperlink ref="D856" r:id="rId855" xr:uid="{00000000-0004-0000-0000-000056030000}"/>
    <hyperlink ref="D857" r:id="rId856" xr:uid="{00000000-0004-0000-0000-000057030000}"/>
    <hyperlink ref="D858" r:id="rId857" xr:uid="{00000000-0004-0000-0000-000058030000}"/>
    <hyperlink ref="D859" r:id="rId858" xr:uid="{00000000-0004-0000-0000-000059030000}"/>
    <hyperlink ref="D860" r:id="rId859" xr:uid="{00000000-0004-0000-0000-00005A030000}"/>
    <hyperlink ref="D861" r:id="rId860" xr:uid="{00000000-0004-0000-0000-00005B030000}"/>
    <hyperlink ref="D862" r:id="rId861" xr:uid="{00000000-0004-0000-0000-00005C030000}"/>
    <hyperlink ref="D863" r:id="rId862" xr:uid="{00000000-0004-0000-0000-00005D030000}"/>
    <hyperlink ref="D864" r:id="rId863" xr:uid="{00000000-0004-0000-0000-00005E030000}"/>
    <hyperlink ref="D865" r:id="rId864" xr:uid="{00000000-0004-0000-0000-00005F030000}"/>
    <hyperlink ref="D866" r:id="rId865" xr:uid="{00000000-0004-0000-0000-000060030000}"/>
    <hyperlink ref="D867" r:id="rId866" xr:uid="{00000000-0004-0000-0000-000061030000}"/>
    <hyperlink ref="D868" r:id="rId867" xr:uid="{00000000-0004-0000-0000-000062030000}"/>
    <hyperlink ref="D869" r:id="rId868" xr:uid="{00000000-0004-0000-0000-000063030000}"/>
    <hyperlink ref="D870" r:id="rId869" xr:uid="{00000000-0004-0000-0000-000064030000}"/>
    <hyperlink ref="D871" r:id="rId870" xr:uid="{00000000-0004-0000-0000-000065030000}"/>
    <hyperlink ref="D872" r:id="rId871" xr:uid="{00000000-0004-0000-0000-000066030000}"/>
    <hyperlink ref="D873" r:id="rId872" xr:uid="{00000000-0004-0000-0000-000067030000}"/>
    <hyperlink ref="D874" r:id="rId873" xr:uid="{00000000-0004-0000-0000-000068030000}"/>
    <hyperlink ref="D875" r:id="rId874" xr:uid="{00000000-0004-0000-0000-000069030000}"/>
    <hyperlink ref="D876" r:id="rId875" xr:uid="{00000000-0004-0000-0000-00006A030000}"/>
    <hyperlink ref="D877" r:id="rId876" xr:uid="{00000000-0004-0000-0000-00006B030000}"/>
    <hyperlink ref="D878" r:id="rId877" xr:uid="{00000000-0004-0000-0000-00006C030000}"/>
    <hyperlink ref="D879" r:id="rId878" xr:uid="{00000000-0004-0000-0000-00006D030000}"/>
    <hyperlink ref="D880" r:id="rId879" xr:uid="{00000000-0004-0000-0000-00006E030000}"/>
    <hyperlink ref="D881" r:id="rId880" xr:uid="{00000000-0004-0000-0000-00006F030000}"/>
    <hyperlink ref="D882" r:id="rId881" xr:uid="{00000000-0004-0000-0000-000070030000}"/>
    <hyperlink ref="D883" r:id="rId882" xr:uid="{00000000-0004-0000-0000-000071030000}"/>
    <hyperlink ref="D884" r:id="rId883" xr:uid="{00000000-0004-0000-0000-000072030000}"/>
    <hyperlink ref="D885" r:id="rId884" xr:uid="{00000000-0004-0000-0000-000073030000}"/>
    <hyperlink ref="D886" r:id="rId885" xr:uid="{00000000-0004-0000-0000-000074030000}"/>
    <hyperlink ref="D887" r:id="rId886" xr:uid="{00000000-0004-0000-0000-000075030000}"/>
    <hyperlink ref="D888" r:id="rId887" xr:uid="{00000000-0004-0000-0000-000076030000}"/>
    <hyperlink ref="D889" r:id="rId888" xr:uid="{00000000-0004-0000-0000-000077030000}"/>
    <hyperlink ref="D890" r:id="rId889" xr:uid="{00000000-0004-0000-0000-000078030000}"/>
    <hyperlink ref="D891" r:id="rId890" xr:uid="{00000000-0004-0000-0000-000079030000}"/>
    <hyperlink ref="D892" r:id="rId891" xr:uid="{00000000-0004-0000-0000-00007A030000}"/>
    <hyperlink ref="D893" r:id="rId892" xr:uid="{00000000-0004-0000-0000-00007B030000}"/>
    <hyperlink ref="D894" r:id="rId893" xr:uid="{00000000-0004-0000-0000-00007C030000}"/>
    <hyperlink ref="D895" r:id="rId894" xr:uid="{00000000-0004-0000-0000-00007D030000}"/>
    <hyperlink ref="D896" r:id="rId895" xr:uid="{00000000-0004-0000-0000-00007E030000}"/>
    <hyperlink ref="D897" r:id="rId896" xr:uid="{00000000-0004-0000-0000-00007F030000}"/>
    <hyperlink ref="D898" r:id="rId897" xr:uid="{00000000-0004-0000-0000-000080030000}"/>
    <hyperlink ref="D899" r:id="rId898" xr:uid="{00000000-0004-0000-0000-000081030000}"/>
    <hyperlink ref="D900" r:id="rId899" xr:uid="{00000000-0004-0000-0000-000082030000}"/>
    <hyperlink ref="D901" r:id="rId900" xr:uid="{00000000-0004-0000-0000-000083030000}"/>
    <hyperlink ref="D902" r:id="rId901" xr:uid="{00000000-0004-0000-0000-000084030000}"/>
    <hyperlink ref="D903" r:id="rId902" xr:uid="{00000000-0004-0000-0000-000085030000}"/>
    <hyperlink ref="D904" r:id="rId903" xr:uid="{00000000-0004-0000-0000-000086030000}"/>
    <hyperlink ref="D905" r:id="rId904" xr:uid="{00000000-0004-0000-0000-000087030000}"/>
    <hyperlink ref="D906" r:id="rId905" xr:uid="{00000000-0004-0000-0000-000088030000}"/>
    <hyperlink ref="D907" r:id="rId906" xr:uid="{00000000-0004-0000-0000-000089030000}"/>
    <hyperlink ref="D908" r:id="rId907" xr:uid="{00000000-0004-0000-0000-00008A030000}"/>
    <hyperlink ref="D909" r:id="rId908" xr:uid="{00000000-0004-0000-0000-00008B030000}"/>
    <hyperlink ref="D910" r:id="rId909" xr:uid="{00000000-0004-0000-0000-00008C030000}"/>
    <hyperlink ref="D911" r:id="rId910" xr:uid="{00000000-0004-0000-0000-00008D030000}"/>
    <hyperlink ref="D912" r:id="rId911" xr:uid="{00000000-0004-0000-0000-00008E030000}"/>
    <hyperlink ref="D913" r:id="rId912" xr:uid="{00000000-0004-0000-0000-00008F030000}"/>
    <hyperlink ref="D914" r:id="rId913" xr:uid="{00000000-0004-0000-0000-000090030000}"/>
    <hyperlink ref="D915" r:id="rId914" xr:uid="{00000000-0004-0000-0000-000091030000}"/>
    <hyperlink ref="D916" r:id="rId915" xr:uid="{00000000-0004-0000-0000-000092030000}"/>
    <hyperlink ref="D917" r:id="rId916" xr:uid="{00000000-0004-0000-0000-000093030000}"/>
    <hyperlink ref="D918" r:id="rId917" xr:uid="{00000000-0004-0000-0000-000094030000}"/>
    <hyperlink ref="D919" r:id="rId918" xr:uid="{00000000-0004-0000-0000-000095030000}"/>
    <hyperlink ref="D920" r:id="rId919" xr:uid="{00000000-0004-0000-0000-000096030000}"/>
    <hyperlink ref="D921" r:id="rId920" xr:uid="{00000000-0004-0000-0000-000097030000}"/>
    <hyperlink ref="D922" r:id="rId921" xr:uid="{00000000-0004-0000-0000-000098030000}"/>
    <hyperlink ref="D923" r:id="rId922" xr:uid="{00000000-0004-0000-0000-000099030000}"/>
    <hyperlink ref="D924" r:id="rId923" xr:uid="{00000000-0004-0000-0000-00009A030000}"/>
    <hyperlink ref="D925" r:id="rId924" xr:uid="{00000000-0004-0000-0000-00009B030000}"/>
    <hyperlink ref="D926" r:id="rId925" xr:uid="{00000000-0004-0000-0000-00009C030000}"/>
    <hyperlink ref="D927" r:id="rId926" xr:uid="{00000000-0004-0000-0000-00009D030000}"/>
    <hyperlink ref="D928" r:id="rId927" xr:uid="{00000000-0004-0000-0000-00009E030000}"/>
    <hyperlink ref="D929" r:id="rId928" xr:uid="{00000000-0004-0000-0000-00009F030000}"/>
    <hyperlink ref="D930" r:id="rId929" xr:uid="{00000000-0004-0000-0000-0000A0030000}"/>
    <hyperlink ref="D931" r:id="rId930" xr:uid="{00000000-0004-0000-0000-0000A1030000}"/>
    <hyperlink ref="D932" r:id="rId931" xr:uid="{00000000-0004-0000-0000-0000A2030000}"/>
    <hyperlink ref="D933" r:id="rId932" xr:uid="{00000000-0004-0000-0000-0000A3030000}"/>
    <hyperlink ref="D934" r:id="rId933" xr:uid="{00000000-0004-0000-0000-0000A4030000}"/>
    <hyperlink ref="D935" r:id="rId934" xr:uid="{00000000-0004-0000-0000-0000A5030000}"/>
    <hyperlink ref="D936" r:id="rId935" xr:uid="{00000000-0004-0000-0000-0000A6030000}"/>
    <hyperlink ref="D937" r:id="rId936" xr:uid="{00000000-0004-0000-0000-0000A7030000}"/>
    <hyperlink ref="D938" r:id="rId937" xr:uid="{00000000-0004-0000-0000-0000A8030000}"/>
    <hyperlink ref="D939" r:id="rId938" xr:uid="{00000000-0004-0000-0000-0000A9030000}"/>
    <hyperlink ref="D940" r:id="rId939" xr:uid="{00000000-0004-0000-0000-0000AA030000}"/>
    <hyperlink ref="D941" r:id="rId940" xr:uid="{00000000-0004-0000-0000-0000AB030000}"/>
    <hyperlink ref="D942" r:id="rId941" xr:uid="{00000000-0004-0000-0000-0000AC030000}"/>
    <hyperlink ref="D943" r:id="rId942" xr:uid="{00000000-0004-0000-0000-0000AD030000}"/>
    <hyperlink ref="D944" r:id="rId943" xr:uid="{00000000-0004-0000-0000-0000AE030000}"/>
    <hyperlink ref="D945" r:id="rId944" xr:uid="{00000000-0004-0000-0000-0000AF030000}"/>
    <hyperlink ref="D946" r:id="rId945" xr:uid="{00000000-0004-0000-0000-0000B0030000}"/>
    <hyperlink ref="D947" r:id="rId946" xr:uid="{00000000-0004-0000-0000-0000B1030000}"/>
    <hyperlink ref="D948" r:id="rId947" xr:uid="{00000000-0004-0000-0000-0000B2030000}"/>
    <hyperlink ref="D949" r:id="rId948" xr:uid="{00000000-0004-0000-0000-0000B3030000}"/>
    <hyperlink ref="D950" r:id="rId949" xr:uid="{00000000-0004-0000-0000-0000B4030000}"/>
    <hyperlink ref="D951" r:id="rId950" xr:uid="{00000000-0004-0000-0000-0000B5030000}"/>
    <hyperlink ref="D952" r:id="rId951" xr:uid="{00000000-0004-0000-0000-0000B6030000}"/>
    <hyperlink ref="D953" r:id="rId952" xr:uid="{00000000-0004-0000-0000-0000B7030000}"/>
    <hyperlink ref="D954" r:id="rId953" xr:uid="{00000000-0004-0000-0000-0000B8030000}"/>
    <hyperlink ref="D955" r:id="rId954" xr:uid="{00000000-0004-0000-0000-0000B9030000}"/>
    <hyperlink ref="D956" r:id="rId955" xr:uid="{00000000-0004-0000-0000-0000BA030000}"/>
    <hyperlink ref="D957" r:id="rId956" xr:uid="{00000000-0004-0000-0000-0000BB030000}"/>
    <hyperlink ref="D958" r:id="rId957" xr:uid="{00000000-0004-0000-0000-0000BC030000}"/>
    <hyperlink ref="D959" r:id="rId958" xr:uid="{00000000-0004-0000-0000-0000BD030000}"/>
    <hyperlink ref="D960" r:id="rId959" xr:uid="{00000000-0004-0000-0000-0000BE030000}"/>
    <hyperlink ref="D961" r:id="rId960" xr:uid="{00000000-0004-0000-0000-0000BF030000}"/>
    <hyperlink ref="D962" r:id="rId961" xr:uid="{00000000-0004-0000-0000-0000C0030000}"/>
    <hyperlink ref="D963" r:id="rId962" xr:uid="{00000000-0004-0000-0000-0000C1030000}"/>
    <hyperlink ref="D964" r:id="rId963" xr:uid="{00000000-0004-0000-0000-0000C2030000}"/>
    <hyperlink ref="D965" r:id="rId964" xr:uid="{00000000-0004-0000-0000-0000C3030000}"/>
    <hyperlink ref="D966" r:id="rId965" xr:uid="{00000000-0004-0000-0000-0000C4030000}"/>
    <hyperlink ref="D967" r:id="rId966" xr:uid="{00000000-0004-0000-0000-0000C5030000}"/>
    <hyperlink ref="D968" r:id="rId967" xr:uid="{00000000-0004-0000-0000-0000C6030000}"/>
    <hyperlink ref="D969" r:id="rId968" xr:uid="{00000000-0004-0000-0000-0000C7030000}"/>
    <hyperlink ref="D970" r:id="rId969" xr:uid="{00000000-0004-0000-0000-0000C8030000}"/>
    <hyperlink ref="D971" r:id="rId970" xr:uid="{00000000-0004-0000-0000-0000C9030000}"/>
    <hyperlink ref="D972" r:id="rId971" xr:uid="{00000000-0004-0000-0000-0000CA030000}"/>
    <hyperlink ref="D973" r:id="rId972" xr:uid="{00000000-0004-0000-0000-0000CB030000}"/>
    <hyperlink ref="D974" r:id="rId973" xr:uid="{00000000-0004-0000-0000-0000CC030000}"/>
    <hyperlink ref="D975" r:id="rId974" xr:uid="{00000000-0004-0000-0000-0000CD030000}"/>
    <hyperlink ref="D976" r:id="rId975" xr:uid="{00000000-0004-0000-0000-0000CE030000}"/>
    <hyperlink ref="D977" r:id="rId976" xr:uid="{00000000-0004-0000-0000-0000CF030000}"/>
    <hyperlink ref="D978" r:id="rId977" xr:uid="{00000000-0004-0000-0000-0000D0030000}"/>
    <hyperlink ref="D979" r:id="rId978" xr:uid="{00000000-0004-0000-0000-0000D1030000}"/>
    <hyperlink ref="D980" r:id="rId979" xr:uid="{00000000-0004-0000-0000-0000D2030000}"/>
    <hyperlink ref="D981" r:id="rId980" xr:uid="{00000000-0004-0000-0000-0000D3030000}"/>
    <hyperlink ref="D982" r:id="rId981" xr:uid="{00000000-0004-0000-0000-0000D4030000}"/>
    <hyperlink ref="D983" r:id="rId982" xr:uid="{00000000-0004-0000-0000-0000D5030000}"/>
    <hyperlink ref="D984" r:id="rId983" xr:uid="{00000000-0004-0000-0000-0000D6030000}"/>
    <hyperlink ref="D985" r:id="rId984" xr:uid="{00000000-0004-0000-0000-0000D7030000}"/>
    <hyperlink ref="D986" r:id="rId985" xr:uid="{00000000-0004-0000-0000-0000D8030000}"/>
    <hyperlink ref="D987" r:id="rId986" xr:uid="{00000000-0004-0000-0000-0000D9030000}"/>
    <hyperlink ref="D988" r:id="rId987" xr:uid="{00000000-0004-0000-0000-0000DA030000}"/>
    <hyperlink ref="D989" r:id="rId988" xr:uid="{00000000-0004-0000-0000-0000DB030000}"/>
    <hyperlink ref="D990" r:id="rId989" xr:uid="{00000000-0004-0000-0000-0000DC030000}"/>
    <hyperlink ref="D991" r:id="rId990" xr:uid="{00000000-0004-0000-0000-0000DD030000}"/>
    <hyperlink ref="D992" r:id="rId991" xr:uid="{00000000-0004-0000-0000-0000DE030000}"/>
    <hyperlink ref="D993" r:id="rId992" xr:uid="{00000000-0004-0000-0000-0000DF030000}"/>
    <hyperlink ref="D994" r:id="rId993" xr:uid="{00000000-0004-0000-0000-0000E0030000}"/>
    <hyperlink ref="D995" r:id="rId994" xr:uid="{00000000-0004-0000-0000-0000E1030000}"/>
    <hyperlink ref="D996" r:id="rId995" xr:uid="{00000000-0004-0000-0000-0000E2030000}"/>
    <hyperlink ref="D997" r:id="rId996" xr:uid="{00000000-0004-0000-0000-0000E3030000}"/>
    <hyperlink ref="D998" r:id="rId997" xr:uid="{00000000-0004-0000-0000-0000E4030000}"/>
    <hyperlink ref="D999" r:id="rId998" xr:uid="{00000000-0004-0000-0000-0000E5030000}"/>
    <hyperlink ref="D1000" r:id="rId999" xr:uid="{00000000-0004-0000-0000-0000E6030000}"/>
    <hyperlink ref="D1001" r:id="rId1000" xr:uid="{00000000-0004-0000-0000-0000E7030000}"/>
    <hyperlink ref="D1002" r:id="rId1001" xr:uid="{00000000-0004-0000-0000-0000E8030000}"/>
    <hyperlink ref="D1003" r:id="rId1002" xr:uid="{00000000-0004-0000-0000-0000E9030000}"/>
    <hyperlink ref="D1004" r:id="rId1003" xr:uid="{00000000-0004-0000-0000-0000EA030000}"/>
    <hyperlink ref="D1005" r:id="rId1004" xr:uid="{00000000-0004-0000-0000-0000EB030000}"/>
    <hyperlink ref="D1006" r:id="rId1005" xr:uid="{00000000-0004-0000-0000-0000EC030000}"/>
    <hyperlink ref="D1007" r:id="rId1006" xr:uid="{00000000-0004-0000-0000-0000ED030000}"/>
    <hyperlink ref="D1008" r:id="rId1007" xr:uid="{00000000-0004-0000-0000-0000EE030000}"/>
    <hyperlink ref="D1009" r:id="rId1008" xr:uid="{00000000-0004-0000-0000-0000EF030000}"/>
    <hyperlink ref="D1010" r:id="rId1009" xr:uid="{00000000-0004-0000-0000-0000F0030000}"/>
    <hyperlink ref="D1011" r:id="rId1010" xr:uid="{00000000-0004-0000-0000-0000F1030000}"/>
    <hyperlink ref="D1012" r:id="rId1011" xr:uid="{00000000-0004-0000-0000-0000F2030000}"/>
    <hyperlink ref="D1013" r:id="rId1012" xr:uid="{00000000-0004-0000-0000-0000F3030000}"/>
    <hyperlink ref="D1014" r:id="rId1013" xr:uid="{00000000-0004-0000-0000-0000F4030000}"/>
    <hyperlink ref="D1015" r:id="rId1014" xr:uid="{00000000-0004-0000-0000-0000F5030000}"/>
    <hyperlink ref="D1016" r:id="rId1015" xr:uid="{00000000-0004-0000-0000-0000F6030000}"/>
    <hyperlink ref="D1017" r:id="rId1016" xr:uid="{00000000-0004-0000-0000-0000F7030000}"/>
    <hyperlink ref="D1018" r:id="rId1017" xr:uid="{00000000-0004-0000-0000-0000F8030000}"/>
    <hyperlink ref="D1019" r:id="rId1018" xr:uid="{00000000-0004-0000-0000-0000F9030000}"/>
    <hyperlink ref="D1020" r:id="rId1019" xr:uid="{00000000-0004-0000-0000-0000FA030000}"/>
    <hyperlink ref="D1021" r:id="rId1020" xr:uid="{00000000-0004-0000-0000-0000FB030000}"/>
    <hyperlink ref="D1022" r:id="rId1021" xr:uid="{00000000-0004-0000-0000-0000FC030000}"/>
    <hyperlink ref="D1023" r:id="rId1022" xr:uid="{00000000-0004-0000-0000-0000FD030000}"/>
    <hyperlink ref="D1024" r:id="rId1023" xr:uid="{00000000-0004-0000-0000-0000FE030000}"/>
    <hyperlink ref="D1025" r:id="rId1024" xr:uid="{00000000-0004-0000-0000-0000FF030000}"/>
    <hyperlink ref="D1026" r:id="rId1025" xr:uid="{00000000-0004-0000-0000-000000040000}"/>
    <hyperlink ref="D1027" r:id="rId1026" xr:uid="{00000000-0004-0000-0000-000001040000}"/>
    <hyperlink ref="D1028" r:id="rId1027" xr:uid="{00000000-0004-0000-0000-000002040000}"/>
    <hyperlink ref="D1029" r:id="rId1028" xr:uid="{00000000-0004-0000-0000-000003040000}"/>
    <hyperlink ref="D1030" r:id="rId1029" xr:uid="{00000000-0004-0000-0000-000004040000}"/>
    <hyperlink ref="D1031" r:id="rId1030" xr:uid="{00000000-0004-0000-0000-000005040000}"/>
    <hyperlink ref="D1032" r:id="rId1031" xr:uid="{00000000-0004-0000-0000-000006040000}"/>
    <hyperlink ref="D1033" r:id="rId1032" xr:uid="{00000000-0004-0000-0000-000007040000}"/>
    <hyperlink ref="D1034" r:id="rId1033" xr:uid="{00000000-0004-0000-0000-000008040000}"/>
    <hyperlink ref="D1035" r:id="rId1034" xr:uid="{00000000-0004-0000-0000-000009040000}"/>
    <hyperlink ref="D1036" r:id="rId1035" xr:uid="{00000000-0004-0000-0000-00000A040000}"/>
    <hyperlink ref="D1037" r:id="rId1036" xr:uid="{00000000-0004-0000-0000-00000B040000}"/>
    <hyperlink ref="D1038" r:id="rId1037" xr:uid="{00000000-0004-0000-0000-00000C040000}"/>
    <hyperlink ref="D1039" r:id="rId1038" xr:uid="{00000000-0004-0000-0000-00000D040000}"/>
    <hyperlink ref="D1040" r:id="rId1039" xr:uid="{00000000-0004-0000-0000-00000E040000}"/>
    <hyperlink ref="D1041" r:id="rId1040" xr:uid="{00000000-0004-0000-0000-00000F040000}"/>
    <hyperlink ref="D1042" r:id="rId1041" xr:uid="{00000000-0004-0000-0000-000010040000}"/>
    <hyperlink ref="D1043" r:id="rId1042" xr:uid="{00000000-0004-0000-0000-000011040000}"/>
    <hyperlink ref="D1044" r:id="rId1043" xr:uid="{00000000-0004-0000-0000-000012040000}"/>
    <hyperlink ref="D1045" r:id="rId1044" xr:uid="{00000000-0004-0000-0000-000013040000}"/>
    <hyperlink ref="D1046" r:id="rId1045" xr:uid="{00000000-0004-0000-0000-000014040000}"/>
    <hyperlink ref="D1047" r:id="rId1046" xr:uid="{00000000-0004-0000-0000-000015040000}"/>
    <hyperlink ref="D1048" r:id="rId1047" xr:uid="{00000000-0004-0000-0000-000016040000}"/>
    <hyperlink ref="D1049" r:id="rId1048" xr:uid="{00000000-0004-0000-0000-000017040000}"/>
    <hyperlink ref="D1050" r:id="rId1049" xr:uid="{00000000-0004-0000-0000-000018040000}"/>
    <hyperlink ref="D1051" r:id="rId1050" xr:uid="{00000000-0004-0000-0000-000019040000}"/>
    <hyperlink ref="D1052" r:id="rId1051" xr:uid="{00000000-0004-0000-0000-00001A040000}"/>
    <hyperlink ref="D1053" r:id="rId1052" xr:uid="{00000000-0004-0000-0000-00001B040000}"/>
    <hyperlink ref="D1054" r:id="rId1053" xr:uid="{00000000-0004-0000-0000-00001C040000}"/>
    <hyperlink ref="D1055" r:id="rId1054" xr:uid="{00000000-0004-0000-0000-00001D040000}"/>
    <hyperlink ref="D1056" r:id="rId1055" xr:uid="{00000000-0004-0000-0000-00001E040000}"/>
    <hyperlink ref="D1057" r:id="rId1056" xr:uid="{00000000-0004-0000-0000-00001F040000}"/>
    <hyperlink ref="D1058" r:id="rId1057" xr:uid="{00000000-0004-0000-0000-000020040000}"/>
    <hyperlink ref="D1059" r:id="rId1058" xr:uid="{00000000-0004-0000-0000-000021040000}"/>
    <hyperlink ref="D1060" r:id="rId1059" xr:uid="{00000000-0004-0000-0000-000022040000}"/>
    <hyperlink ref="D1061" r:id="rId1060" xr:uid="{00000000-0004-0000-0000-000023040000}"/>
    <hyperlink ref="D1062" r:id="rId1061" xr:uid="{00000000-0004-0000-0000-000024040000}"/>
    <hyperlink ref="D1063" r:id="rId1062" xr:uid="{00000000-0004-0000-0000-000025040000}"/>
    <hyperlink ref="D1064" r:id="rId1063" xr:uid="{00000000-0004-0000-0000-000026040000}"/>
    <hyperlink ref="D1065" r:id="rId1064" xr:uid="{00000000-0004-0000-0000-000027040000}"/>
    <hyperlink ref="D1066" r:id="rId1065" xr:uid="{00000000-0004-0000-0000-000028040000}"/>
    <hyperlink ref="D1067" r:id="rId1066" xr:uid="{00000000-0004-0000-0000-000029040000}"/>
    <hyperlink ref="D1068" r:id="rId1067" xr:uid="{00000000-0004-0000-0000-00002A040000}"/>
    <hyperlink ref="D1069" r:id="rId1068" xr:uid="{00000000-0004-0000-0000-00002B040000}"/>
    <hyperlink ref="D1070" r:id="rId1069" xr:uid="{00000000-0004-0000-0000-00002C040000}"/>
    <hyperlink ref="D1071" r:id="rId1070" xr:uid="{00000000-0004-0000-0000-00002D040000}"/>
    <hyperlink ref="D1072" r:id="rId1071" xr:uid="{00000000-0004-0000-0000-00002E040000}"/>
    <hyperlink ref="D1073" r:id="rId1072" xr:uid="{00000000-0004-0000-0000-00002F040000}"/>
    <hyperlink ref="D1074" r:id="rId1073" xr:uid="{00000000-0004-0000-0000-000030040000}"/>
    <hyperlink ref="D1075" r:id="rId1074" xr:uid="{00000000-0004-0000-0000-000031040000}"/>
    <hyperlink ref="D1076" r:id="rId1075" xr:uid="{00000000-0004-0000-0000-000032040000}"/>
    <hyperlink ref="D1077" r:id="rId1076" xr:uid="{00000000-0004-0000-0000-000033040000}"/>
    <hyperlink ref="D1078" r:id="rId1077" xr:uid="{00000000-0004-0000-0000-000034040000}"/>
    <hyperlink ref="D1079" r:id="rId1078" xr:uid="{00000000-0004-0000-0000-000035040000}"/>
    <hyperlink ref="D1080" r:id="rId1079" xr:uid="{00000000-0004-0000-0000-000036040000}"/>
    <hyperlink ref="D1081" r:id="rId1080" xr:uid="{00000000-0004-0000-0000-000037040000}"/>
    <hyperlink ref="D1082" r:id="rId1081" xr:uid="{00000000-0004-0000-0000-000038040000}"/>
    <hyperlink ref="D1083" r:id="rId1082" xr:uid="{00000000-0004-0000-0000-000039040000}"/>
    <hyperlink ref="D1084" r:id="rId1083" xr:uid="{00000000-0004-0000-0000-00003A040000}"/>
    <hyperlink ref="D1085" r:id="rId1084" xr:uid="{00000000-0004-0000-0000-00003B040000}"/>
    <hyperlink ref="D1086" r:id="rId1085" xr:uid="{00000000-0004-0000-0000-00003C040000}"/>
    <hyperlink ref="D1087" r:id="rId1086" xr:uid="{00000000-0004-0000-0000-00003D040000}"/>
    <hyperlink ref="D1088" r:id="rId1087" xr:uid="{00000000-0004-0000-0000-00003E040000}"/>
    <hyperlink ref="D1089" r:id="rId1088" xr:uid="{00000000-0004-0000-0000-00003F040000}"/>
    <hyperlink ref="D1090" r:id="rId1089" xr:uid="{00000000-0004-0000-0000-000040040000}"/>
    <hyperlink ref="D1091" r:id="rId1090" xr:uid="{00000000-0004-0000-0000-000041040000}"/>
    <hyperlink ref="D1092" r:id="rId1091" xr:uid="{00000000-0004-0000-0000-000042040000}"/>
    <hyperlink ref="D1093" r:id="rId1092" xr:uid="{00000000-0004-0000-0000-000043040000}"/>
    <hyperlink ref="D1094" r:id="rId1093" xr:uid="{00000000-0004-0000-0000-000044040000}"/>
    <hyperlink ref="D1095" r:id="rId1094" xr:uid="{00000000-0004-0000-0000-000045040000}"/>
    <hyperlink ref="D1096" r:id="rId1095" xr:uid="{00000000-0004-0000-0000-000046040000}"/>
    <hyperlink ref="D1097" r:id="rId1096" xr:uid="{00000000-0004-0000-0000-000047040000}"/>
    <hyperlink ref="D1098" r:id="rId1097" xr:uid="{00000000-0004-0000-0000-000048040000}"/>
    <hyperlink ref="D1099" r:id="rId1098" xr:uid="{00000000-0004-0000-0000-000049040000}"/>
    <hyperlink ref="D1100" r:id="rId1099" xr:uid="{00000000-0004-0000-0000-00004A040000}"/>
    <hyperlink ref="D1101" r:id="rId1100" xr:uid="{00000000-0004-0000-0000-00004B040000}"/>
    <hyperlink ref="D1102" r:id="rId1101" xr:uid="{00000000-0004-0000-0000-00004C040000}"/>
    <hyperlink ref="D1103" r:id="rId1102" xr:uid="{00000000-0004-0000-0000-00004D040000}"/>
    <hyperlink ref="D1104" r:id="rId1103" xr:uid="{00000000-0004-0000-0000-00004E040000}"/>
    <hyperlink ref="D1105" r:id="rId1104" xr:uid="{00000000-0004-0000-0000-00004F040000}"/>
    <hyperlink ref="D1106" r:id="rId1105" xr:uid="{00000000-0004-0000-0000-000050040000}"/>
    <hyperlink ref="D1107" r:id="rId1106" xr:uid="{00000000-0004-0000-0000-000051040000}"/>
    <hyperlink ref="D1108" r:id="rId1107" xr:uid="{00000000-0004-0000-0000-000052040000}"/>
    <hyperlink ref="D1109" r:id="rId1108" xr:uid="{00000000-0004-0000-0000-000053040000}"/>
    <hyperlink ref="D1110" r:id="rId1109" xr:uid="{00000000-0004-0000-0000-000054040000}"/>
    <hyperlink ref="D1111" r:id="rId1110" xr:uid="{00000000-0004-0000-0000-000055040000}"/>
    <hyperlink ref="D1112" r:id="rId1111" xr:uid="{00000000-0004-0000-0000-000056040000}"/>
    <hyperlink ref="D1113" r:id="rId1112" xr:uid="{00000000-0004-0000-0000-000057040000}"/>
    <hyperlink ref="D1114" r:id="rId1113" xr:uid="{00000000-0004-0000-0000-000058040000}"/>
    <hyperlink ref="D1115" r:id="rId1114" xr:uid="{00000000-0004-0000-0000-000059040000}"/>
    <hyperlink ref="D1116" r:id="rId1115" xr:uid="{00000000-0004-0000-0000-00005A040000}"/>
    <hyperlink ref="D1117" r:id="rId1116" xr:uid="{00000000-0004-0000-0000-00005B040000}"/>
    <hyperlink ref="D1118" r:id="rId1117" xr:uid="{00000000-0004-0000-0000-00005C040000}"/>
    <hyperlink ref="D1119" r:id="rId1118" xr:uid="{00000000-0004-0000-0000-00005D040000}"/>
    <hyperlink ref="D1120" r:id="rId1119" xr:uid="{00000000-0004-0000-0000-00005E040000}"/>
    <hyperlink ref="D1121" r:id="rId1120" xr:uid="{00000000-0004-0000-0000-00005F040000}"/>
    <hyperlink ref="D1122" r:id="rId1121" xr:uid="{00000000-0004-0000-0000-000060040000}"/>
    <hyperlink ref="D1123" r:id="rId1122" xr:uid="{00000000-0004-0000-0000-000061040000}"/>
    <hyperlink ref="D1124" r:id="rId1123" xr:uid="{00000000-0004-0000-0000-000062040000}"/>
    <hyperlink ref="D1125" r:id="rId1124" xr:uid="{00000000-0004-0000-0000-000063040000}"/>
    <hyperlink ref="D1126" r:id="rId1125" xr:uid="{00000000-0004-0000-0000-000064040000}"/>
    <hyperlink ref="D1127" r:id="rId1126" xr:uid="{00000000-0004-0000-0000-000065040000}"/>
    <hyperlink ref="D1128" r:id="rId1127" xr:uid="{00000000-0004-0000-0000-000066040000}"/>
    <hyperlink ref="D1129" r:id="rId1128" xr:uid="{00000000-0004-0000-0000-000067040000}"/>
    <hyperlink ref="D1130" r:id="rId1129" xr:uid="{00000000-0004-0000-0000-000068040000}"/>
    <hyperlink ref="D1131" r:id="rId1130" xr:uid="{00000000-0004-0000-0000-000069040000}"/>
    <hyperlink ref="D1132" r:id="rId1131" xr:uid="{00000000-0004-0000-0000-00006A040000}"/>
    <hyperlink ref="D1133" r:id="rId1132" xr:uid="{00000000-0004-0000-0000-00006B040000}"/>
    <hyperlink ref="D1134" r:id="rId1133" xr:uid="{00000000-0004-0000-0000-00006C040000}"/>
    <hyperlink ref="D1135" r:id="rId1134" xr:uid="{00000000-0004-0000-0000-00006D040000}"/>
    <hyperlink ref="D1136" r:id="rId1135" xr:uid="{00000000-0004-0000-0000-00006E040000}"/>
    <hyperlink ref="D1137" r:id="rId1136" xr:uid="{00000000-0004-0000-0000-00006F040000}"/>
    <hyperlink ref="D1138" r:id="rId1137" xr:uid="{00000000-0004-0000-0000-000070040000}"/>
    <hyperlink ref="D1139" r:id="rId1138" xr:uid="{00000000-0004-0000-0000-000071040000}"/>
    <hyperlink ref="D1140" r:id="rId1139" xr:uid="{00000000-0004-0000-0000-000072040000}"/>
    <hyperlink ref="D1141" r:id="rId1140" xr:uid="{00000000-0004-0000-0000-000073040000}"/>
    <hyperlink ref="D1142" r:id="rId1141" xr:uid="{00000000-0004-0000-0000-000074040000}"/>
    <hyperlink ref="D1143" r:id="rId1142" xr:uid="{00000000-0004-0000-0000-000075040000}"/>
    <hyperlink ref="D1144" r:id="rId1143" xr:uid="{00000000-0004-0000-0000-000076040000}"/>
    <hyperlink ref="D1145" r:id="rId1144" xr:uid="{00000000-0004-0000-0000-000077040000}"/>
    <hyperlink ref="D1146" r:id="rId1145" xr:uid="{00000000-0004-0000-0000-000078040000}"/>
    <hyperlink ref="D1147" r:id="rId1146" xr:uid="{00000000-0004-0000-0000-000079040000}"/>
    <hyperlink ref="D1148" r:id="rId1147" xr:uid="{00000000-0004-0000-0000-00007A040000}"/>
    <hyperlink ref="D1149" r:id="rId1148" xr:uid="{00000000-0004-0000-0000-00007B040000}"/>
    <hyperlink ref="D1150" r:id="rId1149" xr:uid="{00000000-0004-0000-0000-00007C040000}"/>
    <hyperlink ref="D1151" r:id="rId1150" xr:uid="{00000000-0004-0000-0000-00007D040000}"/>
    <hyperlink ref="D1152" r:id="rId1151" xr:uid="{00000000-0004-0000-0000-00007E040000}"/>
    <hyperlink ref="D1153" r:id="rId1152" xr:uid="{00000000-0004-0000-0000-00007F040000}"/>
    <hyperlink ref="D1154" r:id="rId1153" xr:uid="{00000000-0004-0000-0000-000080040000}"/>
    <hyperlink ref="D1155" r:id="rId1154" xr:uid="{00000000-0004-0000-0000-000081040000}"/>
    <hyperlink ref="D1156" r:id="rId1155" xr:uid="{00000000-0004-0000-0000-000082040000}"/>
    <hyperlink ref="D1157" r:id="rId1156" xr:uid="{00000000-0004-0000-0000-000083040000}"/>
    <hyperlink ref="D1158" r:id="rId1157" xr:uid="{00000000-0004-0000-0000-000084040000}"/>
    <hyperlink ref="D1159" r:id="rId1158" xr:uid="{00000000-0004-0000-0000-000085040000}"/>
    <hyperlink ref="D1160" r:id="rId1159" xr:uid="{00000000-0004-0000-0000-000086040000}"/>
    <hyperlink ref="D1161" r:id="rId1160" xr:uid="{00000000-0004-0000-0000-000087040000}"/>
    <hyperlink ref="D1162" r:id="rId1161" xr:uid="{00000000-0004-0000-0000-000088040000}"/>
    <hyperlink ref="D1163" r:id="rId1162" xr:uid="{00000000-0004-0000-0000-000089040000}"/>
    <hyperlink ref="D1164" r:id="rId1163" xr:uid="{00000000-0004-0000-0000-00008A040000}"/>
    <hyperlink ref="D1165" r:id="rId1164" xr:uid="{00000000-0004-0000-0000-00008B040000}"/>
    <hyperlink ref="D1166" r:id="rId1165" xr:uid="{00000000-0004-0000-0000-00008C040000}"/>
    <hyperlink ref="D1167" r:id="rId1166" xr:uid="{00000000-0004-0000-0000-00008D040000}"/>
    <hyperlink ref="D1168" r:id="rId1167" xr:uid="{00000000-0004-0000-0000-00008E040000}"/>
    <hyperlink ref="D1169" r:id="rId1168" xr:uid="{00000000-0004-0000-0000-00008F040000}"/>
    <hyperlink ref="D1170" r:id="rId1169" xr:uid="{00000000-0004-0000-0000-000090040000}"/>
    <hyperlink ref="D1171" r:id="rId1170" xr:uid="{00000000-0004-0000-0000-000091040000}"/>
    <hyperlink ref="D1172" r:id="rId1171" xr:uid="{00000000-0004-0000-0000-000092040000}"/>
    <hyperlink ref="D1173" r:id="rId1172" xr:uid="{00000000-0004-0000-0000-000093040000}"/>
    <hyperlink ref="D1174" r:id="rId1173" xr:uid="{00000000-0004-0000-0000-000094040000}"/>
    <hyperlink ref="D1175" r:id="rId1174" xr:uid="{00000000-0004-0000-0000-000095040000}"/>
    <hyperlink ref="D1176" r:id="rId1175" xr:uid="{00000000-0004-0000-0000-000096040000}"/>
    <hyperlink ref="D1177" r:id="rId1176" xr:uid="{00000000-0004-0000-0000-000097040000}"/>
    <hyperlink ref="D1178" r:id="rId1177" xr:uid="{00000000-0004-0000-0000-000098040000}"/>
    <hyperlink ref="D1179" r:id="rId1178" xr:uid="{00000000-0004-0000-0000-000099040000}"/>
    <hyperlink ref="D1180" r:id="rId1179" xr:uid="{00000000-0004-0000-0000-00009A040000}"/>
    <hyperlink ref="D1181" r:id="rId1180" xr:uid="{00000000-0004-0000-0000-00009B040000}"/>
    <hyperlink ref="D1182" r:id="rId1181" xr:uid="{00000000-0004-0000-0000-00009C040000}"/>
    <hyperlink ref="D1183" r:id="rId1182" xr:uid="{00000000-0004-0000-0000-00009D040000}"/>
    <hyperlink ref="D1184" r:id="rId1183" xr:uid="{00000000-0004-0000-0000-00009E040000}"/>
    <hyperlink ref="D1185" r:id="rId1184" xr:uid="{00000000-0004-0000-0000-00009F040000}"/>
    <hyperlink ref="D1186" r:id="rId1185" xr:uid="{00000000-0004-0000-0000-0000A0040000}"/>
    <hyperlink ref="D1187" r:id="rId1186" xr:uid="{00000000-0004-0000-0000-0000A1040000}"/>
    <hyperlink ref="D1188" r:id="rId1187" xr:uid="{00000000-0004-0000-0000-0000A2040000}"/>
    <hyperlink ref="D1189" r:id="rId1188" xr:uid="{00000000-0004-0000-0000-0000A3040000}"/>
    <hyperlink ref="D1190" r:id="rId1189" xr:uid="{00000000-0004-0000-0000-0000A4040000}"/>
    <hyperlink ref="D1191" r:id="rId1190" xr:uid="{00000000-0004-0000-0000-0000A5040000}"/>
    <hyperlink ref="D1192" r:id="rId1191" xr:uid="{00000000-0004-0000-0000-0000A6040000}"/>
    <hyperlink ref="D1193" r:id="rId1192" xr:uid="{00000000-0004-0000-0000-0000A7040000}"/>
    <hyperlink ref="D1194" r:id="rId1193" xr:uid="{00000000-0004-0000-0000-0000A8040000}"/>
    <hyperlink ref="D1195" r:id="rId1194" xr:uid="{00000000-0004-0000-0000-0000A9040000}"/>
    <hyperlink ref="D1196" r:id="rId1195" xr:uid="{00000000-0004-0000-0000-0000AA040000}"/>
    <hyperlink ref="D1197" r:id="rId1196" xr:uid="{00000000-0004-0000-0000-0000AB040000}"/>
    <hyperlink ref="D1198" r:id="rId1197" xr:uid="{00000000-0004-0000-0000-0000AC040000}"/>
    <hyperlink ref="D1199" r:id="rId1198" xr:uid="{00000000-0004-0000-0000-0000AD040000}"/>
    <hyperlink ref="D1200" r:id="rId1199" xr:uid="{00000000-0004-0000-0000-0000AE040000}"/>
    <hyperlink ref="D1201" r:id="rId1200" xr:uid="{00000000-0004-0000-0000-0000AF040000}"/>
    <hyperlink ref="D1202" r:id="rId1201" xr:uid="{00000000-0004-0000-0000-0000B0040000}"/>
    <hyperlink ref="D1203" r:id="rId1202" xr:uid="{00000000-0004-0000-0000-0000B1040000}"/>
    <hyperlink ref="D1204" r:id="rId1203" xr:uid="{00000000-0004-0000-0000-0000B2040000}"/>
    <hyperlink ref="D1205" r:id="rId1204" xr:uid="{00000000-0004-0000-0000-0000B3040000}"/>
    <hyperlink ref="D1206" r:id="rId1205" xr:uid="{00000000-0004-0000-0000-0000B4040000}"/>
    <hyperlink ref="D1207" r:id="rId1206" xr:uid="{00000000-0004-0000-0000-0000B5040000}"/>
    <hyperlink ref="D1208" r:id="rId1207" xr:uid="{00000000-0004-0000-0000-0000B6040000}"/>
    <hyperlink ref="D1209" r:id="rId1208" xr:uid="{00000000-0004-0000-0000-0000B7040000}"/>
    <hyperlink ref="D1210" r:id="rId1209" xr:uid="{00000000-0004-0000-0000-0000B8040000}"/>
    <hyperlink ref="D1211" r:id="rId1210" xr:uid="{00000000-0004-0000-0000-0000B9040000}"/>
    <hyperlink ref="D1212" r:id="rId1211" xr:uid="{00000000-0004-0000-0000-0000BA040000}"/>
    <hyperlink ref="D1213" r:id="rId1212" xr:uid="{00000000-0004-0000-0000-0000BB040000}"/>
    <hyperlink ref="D1214" r:id="rId1213" xr:uid="{00000000-0004-0000-0000-0000BC040000}"/>
    <hyperlink ref="D1215" r:id="rId1214" xr:uid="{00000000-0004-0000-0000-0000BD040000}"/>
    <hyperlink ref="D1216" r:id="rId1215" xr:uid="{00000000-0004-0000-0000-0000BE040000}"/>
    <hyperlink ref="D1217" r:id="rId1216" xr:uid="{00000000-0004-0000-0000-0000BF040000}"/>
    <hyperlink ref="D1218" r:id="rId1217" xr:uid="{00000000-0004-0000-0000-0000C0040000}"/>
    <hyperlink ref="D1219" r:id="rId1218" xr:uid="{00000000-0004-0000-0000-0000C1040000}"/>
    <hyperlink ref="D1220" r:id="rId1219" xr:uid="{00000000-0004-0000-0000-0000C2040000}"/>
    <hyperlink ref="D1221" r:id="rId1220" xr:uid="{00000000-0004-0000-0000-0000C3040000}"/>
    <hyperlink ref="D1222" r:id="rId1221" xr:uid="{00000000-0004-0000-0000-0000C4040000}"/>
    <hyperlink ref="D1223" r:id="rId1222" xr:uid="{00000000-0004-0000-0000-0000C5040000}"/>
    <hyperlink ref="D1224" r:id="rId1223" xr:uid="{00000000-0004-0000-0000-0000C6040000}"/>
    <hyperlink ref="D1225" r:id="rId1224" xr:uid="{00000000-0004-0000-0000-0000C7040000}"/>
    <hyperlink ref="D1226" r:id="rId1225" xr:uid="{00000000-0004-0000-0000-0000C8040000}"/>
    <hyperlink ref="D1227" r:id="rId1226" xr:uid="{00000000-0004-0000-0000-0000C9040000}"/>
    <hyperlink ref="D1228" r:id="rId1227" xr:uid="{00000000-0004-0000-0000-0000CA040000}"/>
    <hyperlink ref="D1229" r:id="rId1228" xr:uid="{00000000-0004-0000-0000-0000CB040000}"/>
    <hyperlink ref="D1230" r:id="rId1229" xr:uid="{00000000-0004-0000-0000-0000CC040000}"/>
    <hyperlink ref="D1231" r:id="rId1230" xr:uid="{00000000-0004-0000-0000-0000CD040000}"/>
    <hyperlink ref="D1232" r:id="rId1231" xr:uid="{00000000-0004-0000-0000-0000CE040000}"/>
    <hyperlink ref="D1233" r:id="rId1232" xr:uid="{00000000-0004-0000-0000-0000CF040000}"/>
    <hyperlink ref="D1234" r:id="rId1233" xr:uid="{00000000-0004-0000-0000-0000D0040000}"/>
    <hyperlink ref="D1235" r:id="rId1234" xr:uid="{00000000-0004-0000-0000-0000D1040000}"/>
    <hyperlink ref="D1236" r:id="rId1235" xr:uid="{00000000-0004-0000-0000-0000D2040000}"/>
    <hyperlink ref="D1237" r:id="rId1236" xr:uid="{00000000-0004-0000-0000-0000D3040000}"/>
    <hyperlink ref="D1238" r:id="rId1237" xr:uid="{00000000-0004-0000-0000-0000D4040000}"/>
    <hyperlink ref="D1239" r:id="rId1238" xr:uid="{00000000-0004-0000-0000-0000D5040000}"/>
    <hyperlink ref="D1240" r:id="rId1239" xr:uid="{00000000-0004-0000-0000-0000D6040000}"/>
    <hyperlink ref="D1241" r:id="rId1240" xr:uid="{00000000-0004-0000-0000-0000D7040000}"/>
    <hyperlink ref="D1242" r:id="rId1241" xr:uid="{00000000-0004-0000-0000-0000D8040000}"/>
    <hyperlink ref="D1243" r:id="rId1242" xr:uid="{00000000-0004-0000-0000-0000D9040000}"/>
    <hyperlink ref="D1244" r:id="rId1243" xr:uid="{00000000-0004-0000-0000-0000DA040000}"/>
    <hyperlink ref="D1245" r:id="rId1244" xr:uid="{00000000-0004-0000-0000-0000DB040000}"/>
    <hyperlink ref="D1246" r:id="rId1245" xr:uid="{00000000-0004-0000-0000-0000DC040000}"/>
    <hyperlink ref="D1247" r:id="rId1246" xr:uid="{00000000-0004-0000-0000-0000DD040000}"/>
    <hyperlink ref="D1248" r:id="rId1247" xr:uid="{00000000-0004-0000-0000-0000DE040000}"/>
    <hyperlink ref="D1249" r:id="rId1248" xr:uid="{00000000-0004-0000-0000-0000DF040000}"/>
    <hyperlink ref="D1250" r:id="rId1249" xr:uid="{00000000-0004-0000-0000-0000E0040000}"/>
    <hyperlink ref="D1251" r:id="rId1250" xr:uid="{00000000-0004-0000-0000-0000E1040000}"/>
    <hyperlink ref="D1252" r:id="rId1251" xr:uid="{00000000-0004-0000-0000-0000E2040000}"/>
    <hyperlink ref="D1253" r:id="rId1252" xr:uid="{00000000-0004-0000-0000-0000E3040000}"/>
    <hyperlink ref="D1254" r:id="rId1253" xr:uid="{00000000-0004-0000-0000-0000E4040000}"/>
    <hyperlink ref="D1255" r:id="rId1254" xr:uid="{00000000-0004-0000-0000-0000E5040000}"/>
    <hyperlink ref="D1256" r:id="rId1255" xr:uid="{00000000-0004-0000-0000-0000E6040000}"/>
    <hyperlink ref="D1257" r:id="rId1256" xr:uid="{00000000-0004-0000-0000-0000E7040000}"/>
    <hyperlink ref="D1258" r:id="rId1257" xr:uid="{00000000-0004-0000-0000-0000E8040000}"/>
    <hyperlink ref="D1259" r:id="rId1258" xr:uid="{00000000-0004-0000-0000-0000E9040000}"/>
    <hyperlink ref="D1260" r:id="rId1259" xr:uid="{00000000-0004-0000-0000-0000EA040000}"/>
    <hyperlink ref="D1261" r:id="rId1260" xr:uid="{00000000-0004-0000-0000-0000EB040000}"/>
    <hyperlink ref="D1262" r:id="rId1261" xr:uid="{00000000-0004-0000-0000-0000EC040000}"/>
    <hyperlink ref="D1263" r:id="rId1262" xr:uid="{00000000-0004-0000-0000-0000ED040000}"/>
    <hyperlink ref="D1264" r:id="rId1263" xr:uid="{00000000-0004-0000-0000-0000EE040000}"/>
    <hyperlink ref="D1265" r:id="rId1264" xr:uid="{00000000-0004-0000-0000-0000EF040000}"/>
    <hyperlink ref="D1266" r:id="rId1265" xr:uid="{00000000-0004-0000-0000-0000F0040000}"/>
    <hyperlink ref="D1267" r:id="rId1266" xr:uid="{00000000-0004-0000-0000-0000F1040000}"/>
    <hyperlink ref="D1268" r:id="rId1267" xr:uid="{00000000-0004-0000-0000-0000F2040000}"/>
    <hyperlink ref="D1269" r:id="rId1268" xr:uid="{00000000-0004-0000-0000-0000F3040000}"/>
    <hyperlink ref="D1270" r:id="rId1269" xr:uid="{00000000-0004-0000-0000-0000F4040000}"/>
    <hyperlink ref="D1271" r:id="rId1270" xr:uid="{00000000-0004-0000-0000-0000F5040000}"/>
    <hyperlink ref="D1272" r:id="rId1271" xr:uid="{00000000-0004-0000-0000-0000F6040000}"/>
    <hyperlink ref="D1273" r:id="rId1272" xr:uid="{00000000-0004-0000-0000-0000F7040000}"/>
    <hyperlink ref="D1274" r:id="rId1273" xr:uid="{00000000-0004-0000-0000-0000F8040000}"/>
    <hyperlink ref="D1275" r:id="rId1274" xr:uid="{00000000-0004-0000-0000-0000F9040000}"/>
    <hyperlink ref="D1276" r:id="rId1275" xr:uid="{00000000-0004-0000-0000-0000FA040000}"/>
    <hyperlink ref="D1277" r:id="rId1276" xr:uid="{00000000-0004-0000-0000-0000FB040000}"/>
    <hyperlink ref="D1278" r:id="rId1277" xr:uid="{00000000-0004-0000-0000-0000FC040000}"/>
    <hyperlink ref="D1279" r:id="rId1278" xr:uid="{00000000-0004-0000-0000-0000FD040000}"/>
    <hyperlink ref="D1280" r:id="rId1279" xr:uid="{00000000-0004-0000-0000-0000FE040000}"/>
    <hyperlink ref="D1281" r:id="rId1280" xr:uid="{00000000-0004-0000-0000-0000FF040000}"/>
    <hyperlink ref="D1282" r:id="rId1281" xr:uid="{00000000-0004-0000-0000-000000050000}"/>
    <hyperlink ref="D1283" r:id="rId1282" xr:uid="{00000000-0004-0000-0000-000001050000}"/>
    <hyperlink ref="D1284" r:id="rId1283" xr:uid="{00000000-0004-0000-0000-000002050000}"/>
    <hyperlink ref="D1285" r:id="rId1284" xr:uid="{00000000-0004-0000-0000-000003050000}"/>
    <hyperlink ref="D1286" r:id="rId1285" xr:uid="{00000000-0004-0000-0000-000004050000}"/>
    <hyperlink ref="D1287" r:id="rId1286" xr:uid="{00000000-0004-0000-0000-000005050000}"/>
    <hyperlink ref="D1288" r:id="rId1287" xr:uid="{00000000-0004-0000-0000-000006050000}"/>
    <hyperlink ref="D1289" r:id="rId1288" xr:uid="{00000000-0004-0000-0000-000007050000}"/>
    <hyperlink ref="D1290" r:id="rId1289" xr:uid="{00000000-0004-0000-0000-000008050000}"/>
    <hyperlink ref="D1291" r:id="rId1290" xr:uid="{00000000-0004-0000-0000-000009050000}"/>
    <hyperlink ref="D1292" r:id="rId1291" xr:uid="{00000000-0004-0000-0000-00000A050000}"/>
    <hyperlink ref="D1293" r:id="rId1292" xr:uid="{00000000-0004-0000-0000-00000B050000}"/>
    <hyperlink ref="D1294" r:id="rId1293" xr:uid="{00000000-0004-0000-0000-00000C050000}"/>
    <hyperlink ref="D1295" r:id="rId1294" xr:uid="{00000000-0004-0000-0000-00000D050000}"/>
    <hyperlink ref="D1296" r:id="rId1295" xr:uid="{00000000-0004-0000-0000-00000E050000}"/>
    <hyperlink ref="D1297" r:id="rId1296" xr:uid="{00000000-0004-0000-0000-00000F050000}"/>
    <hyperlink ref="D1298" r:id="rId1297" xr:uid="{00000000-0004-0000-0000-000010050000}"/>
    <hyperlink ref="D1299" r:id="rId1298" xr:uid="{00000000-0004-0000-0000-000011050000}"/>
    <hyperlink ref="D1300" r:id="rId1299" xr:uid="{00000000-0004-0000-0000-000012050000}"/>
    <hyperlink ref="D1301" r:id="rId1300" xr:uid="{00000000-0004-0000-0000-000013050000}"/>
    <hyperlink ref="D1302" r:id="rId1301" xr:uid="{00000000-0004-0000-0000-000014050000}"/>
    <hyperlink ref="D1303" r:id="rId1302" xr:uid="{00000000-0004-0000-0000-000015050000}"/>
    <hyperlink ref="D1304" r:id="rId1303" xr:uid="{00000000-0004-0000-0000-000016050000}"/>
    <hyperlink ref="D1305" r:id="rId1304" xr:uid="{00000000-0004-0000-0000-000017050000}"/>
    <hyperlink ref="D1306" r:id="rId1305" xr:uid="{00000000-0004-0000-0000-000018050000}"/>
    <hyperlink ref="D1307" r:id="rId1306" xr:uid="{00000000-0004-0000-0000-000019050000}"/>
    <hyperlink ref="D1308" r:id="rId1307" xr:uid="{00000000-0004-0000-0000-00001A050000}"/>
    <hyperlink ref="D1309" r:id="rId1308" xr:uid="{00000000-0004-0000-0000-00001B050000}"/>
    <hyperlink ref="D1310" r:id="rId1309" xr:uid="{00000000-0004-0000-0000-00001C050000}"/>
    <hyperlink ref="D1311" r:id="rId1310" xr:uid="{00000000-0004-0000-0000-00001D050000}"/>
    <hyperlink ref="D1312" r:id="rId1311" xr:uid="{00000000-0004-0000-0000-00001E050000}"/>
    <hyperlink ref="D1313" r:id="rId1312" xr:uid="{00000000-0004-0000-0000-00001F050000}"/>
    <hyperlink ref="D1314" r:id="rId1313" xr:uid="{00000000-0004-0000-0000-000020050000}"/>
    <hyperlink ref="D1315" r:id="rId1314" xr:uid="{00000000-0004-0000-0000-000021050000}"/>
    <hyperlink ref="D1316" r:id="rId1315" xr:uid="{00000000-0004-0000-0000-000022050000}"/>
    <hyperlink ref="D1317" r:id="rId1316" xr:uid="{00000000-0004-0000-0000-000023050000}"/>
    <hyperlink ref="D1318" r:id="rId1317" xr:uid="{00000000-0004-0000-0000-000024050000}"/>
    <hyperlink ref="D1319" r:id="rId1318" xr:uid="{00000000-0004-0000-0000-000025050000}"/>
    <hyperlink ref="D1320" r:id="rId1319" xr:uid="{00000000-0004-0000-0000-000026050000}"/>
    <hyperlink ref="D1321" r:id="rId1320" xr:uid="{00000000-0004-0000-0000-000027050000}"/>
    <hyperlink ref="D1322" r:id="rId1321" xr:uid="{00000000-0004-0000-0000-000028050000}"/>
    <hyperlink ref="D1323" r:id="rId1322" xr:uid="{00000000-0004-0000-0000-000029050000}"/>
    <hyperlink ref="D1324" r:id="rId1323" xr:uid="{00000000-0004-0000-0000-00002A050000}"/>
    <hyperlink ref="D1325" r:id="rId1324" xr:uid="{00000000-0004-0000-0000-00002B050000}"/>
    <hyperlink ref="D1326" r:id="rId1325" xr:uid="{00000000-0004-0000-0000-00002C050000}"/>
    <hyperlink ref="D1327" r:id="rId1326" xr:uid="{00000000-0004-0000-0000-00002D050000}"/>
    <hyperlink ref="D1328" r:id="rId1327" xr:uid="{00000000-0004-0000-0000-00002E050000}"/>
    <hyperlink ref="D1329" r:id="rId1328" xr:uid="{00000000-0004-0000-0000-00002F050000}"/>
    <hyperlink ref="D1330" r:id="rId1329" xr:uid="{00000000-0004-0000-0000-000030050000}"/>
    <hyperlink ref="D1331" r:id="rId1330" xr:uid="{00000000-0004-0000-0000-000031050000}"/>
    <hyperlink ref="D1332" r:id="rId1331" xr:uid="{00000000-0004-0000-0000-000032050000}"/>
    <hyperlink ref="D1333" r:id="rId1332" xr:uid="{00000000-0004-0000-0000-000033050000}"/>
    <hyperlink ref="D1334" r:id="rId1333" xr:uid="{00000000-0004-0000-0000-000034050000}"/>
    <hyperlink ref="D1335" r:id="rId1334" xr:uid="{00000000-0004-0000-0000-000035050000}"/>
    <hyperlink ref="D1336" r:id="rId1335" xr:uid="{00000000-0004-0000-0000-000036050000}"/>
    <hyperlink ref="D1337" r:id="rId1336" xr:uid="{00000000-0004-0000-0000-000037050000}"/>
    <hyperlink ref="D1338" r:id="rId1337" xr:uid="{00000000-0004-0000-0000-000038050000}"/>
    <hyperlink ref="D1339" r:id="rId1338" xr:uid="{00000000-0004-0000-0000-000039050000}"/>
    <hyperlink ref="D1340" r:id="rId1339" xr:uid="{00000000-0004-0000-0000-00003A050000}"/>
    <hyperlink ref="D1341" r:id="rId1340" xr:uid="{00000000-0004-0000-0000-00003B050000}"/>
    <hyperlink ref="D1342" r:id="rId1341" xr:uid="{00000000-0004-0000-0000-00003C050000}"/>
    <hyperlink ref="D1343" r:id="rId1342" xr:uid="{00000000-0004-0000-0000-00003D050000}"/>
    <hyperlink ref="D1344" r:id="rId1343" xr:uid="{00000000-0004-0000-0000-00003E050000}"/>
    <hyperlink ref="D1345" r:id="rId1344" xr:uid="{00000000-0004-0000-0000-00003F050000}"/>
    <hyperlink ref="D1346" r:id="rId1345" xr:uid="{00000000-0004-0000-0000-000040050000}"/>
    <hyperlink ref="D1347" r:id="rId1346" xr:uid="{00000000-0004-0000-0000-000041050000}"/>
    <hyperlink ref="D1348" r:id="rId1347" xr:uid="{00000000-0004-0000-0000-000042050000}"/>
    <hyperlink ref="D1349" r:id="rId1348" xr:uid="{00000000-0004-0000-0000-000043050000}"/>
    <hyperlink ref="D1350" r:id="rId1349" xr:uid="{00000000-0004-0000-0000-000044050000}"/>
    <hyperlink ref="D1351" r:id="rId1350" xr:uid="{00000000-0004-0000-0000-000045050000}"/>
    <hyperlink ref="D1352" r:id="rId1351" xr:uid="{00000000-0004-0000-0000-000046050000}"/>
    <hyperlink ref="D1353" r:id="rId1352" xr:uid="{00000000-0004-0000-0000-000047050000}"/>
    <hyperlink ref="D1354" r:id="rId1353" xr:uid="{00000000-0004-0000-0000-000048050000}"/>
    <hyperlink ref="D1355" r:id="rId1354" xr:uid="{00000000-0004-0000-0000-000049050000}"/>
    <hyperlink ref="D1356" r:id="rId1355" xr:uid="{00000000-0004-0000-0000-00004A050000}"/>
    <hyperlink ref="D1357" r:id="rId1356" xr:uid="{00000000-0004-0000-0000-00004B050000}"/>
    <hyperlink ref="D1358" r:id="rId1357" xr:uid="{00000000-0004-0000-0000-00004C050000}"/>
    <hyperlink ref="D1359" r:id="rId1358" xr:uid="{00000000-0004-0000-0000-00004D050000}"/>
    <hyperlink ref="D1360" r:id="rId1359" xr:uid="{00000000-0004-0000-0000-00004E050000}"/>
    <hyperlink ref="D1361" r:id="rId1360" xr:uid="{00000000-0004-0000-0000-00004F050000}"/>
    <hyperlink ref="D1362" r:id="rId1361" xr:uid="{00000000-0004-0000-0000-000050050000}"/>
    <hyperlink ref="D1363" r:id="rId1362" xr:uid="{00000000-0004-0000-0000-000051050000}"/>
    <hyperlink ref="D1364" r:id="rId1363" xr:uid="{00000000-0004-0000-0000-000052050000}"/>
    <hyperlink ref="D1365" r:id="rId1364" xr:uid="{00000000-0004-0000-0000-000053050000}"/>
    <hyperlink ref="D1366" r:id="rId1365" xr:uid="{00000000-0004-0000-0000-000054050000}"/>
    <hyperlink ref="D1367" r:id="rId1366" xr:uid="{00000000-0004-0000-0000-000055050000}"/>
    <hyperlink ref="D1368" r:id="rId1367" xr:uid="{00000000-0004-0000-0000-000056050000}"/>
    <hyperlink ref="D1369" r:id="rId1368" xr:uid="{00000000-0004-0000-0000-000057050000}"/>
    <hyperlink ref="D1370" r:id="rId1369" xr:uid="{00000000-0004-0000-0000-000058050000}"/>
    <hyperlink ref="D1371" r:id="rId1370" xr:uid="{00000000-0004-0000-0000-000059050000}"/>
    <hyperlink ref="D1372" r:id="rId1371" xr:uid="{00000000-0004-0000-0000-00005A050000}"/>
    <hyperlink ref="D1373" r:id="rId1372" xr:uid="{00000000-0004-0000-0000-00005B050000}"/>
    <hyperlink ref="D1374" r:id="rId1373" xr:uid="{00000000-0004-0000-0000-00005C050000}"/>
    <hyperlink ref="D1375" r:id="rId1374" xr:uid="{00000000-0004-0000-0000-00005D050000}"/>
    <hyperlink ref="D1376" r:id="rId1375" xr:uid="{00000000-0004-0000-0000-00005E050000}"/>
    <hyperlink ref="D1377" r:id="rId1376" xr:uid="{00000000-0004-0000-0000-00005F050000}"/>
    <hyperlink ref="D1378" r:id="rId1377" xr:uid="{00000000-0004-0000-0000-000060050000}"/>
    <hyperlink ref="D1379" r:id="rId1378" xr:uid="{00000000-0004-0000-0000-000061050000}"/>
    <hyperlink ref="D1380" r:id="rId1379" xr:uid="{00000000-0004-0000-0000-000062050000}"/>
    <hyperlink ref="D1381" r:id="rId1380" xr:uid="{00000000-0004-0000-0000-000063050000}"/>
    <hyperlink ref="D1382" r:id="rId1381" xr:uid="{00000000-0004-0000-0000-000064050000}"/>
    <hyperlink ref="D1383" r:id="rId1382" xr:uid="{00000000-0004-0000-0000-000065050000}"/>
    <hyperlink ref="D1384" r:id="rId1383" xr:uid="{00000000-0004-0000-0000-000066050000}"/>
    <hyperlink ref="D1385" r:id="rId1384" xr:uid="{00000000-0004-0000-0000-000067050000}"/>
    <hyperlink ref="D1386" r:id="rId1385" xr:uid="{00000000-0004-0000-0000-000068050000}"/>
    <hyperlink ref="D1387" r:id="rId1386" xr:uid="{00000000-0004-0000-0000-000069050000}"/>
    <hyperlink ref="D1388" r:id="rId1387" xr:uid="{00000000-0004-0000-0000-00006A050000}"/>
    <hyperlink ref="D1389" r:id="rId1388" xr:uid="{00000000-0004-0000-0000-00006B050000}"/>
    <hyperlink ref="D1390" r:id="rId1389" xr:uid="{00000000-0004-0000-0000-00006C050000}"/>
    <hyperlink ref="D1391" r:id="rId1390" xr:uid="{00000000-0004-0000-0000-00006D050000}"/>
    <hyperlink ref="D1392" r:id="rId1391" xr:uid="{00000000-0004-0000-0000-00006E050000}"/>
    <hyperlink ref="D1393" r:id="rId1392" xr:uid="{00000000-0004-0000-0000-00006F050000}"/>
    <hyperlink ref="D1394" r:id="rId1393" xr:uid="{00000000-0004-0000-0000-000070050000}"/>
    <hyperlink ref="D1395" r:id="rId1394" xr:uid="{00000000-0004-0000-0000-000071050000}"/>
    <hyperlink ref="D1396" r:id="rId1395" xr:uid="{00000000-0004-0000-0000-000072050000}"/>
    <hyperlink ref="D1397" r:id="rId1396" xr:uid="{00000000-0004-0000-0000-000073050000}"/>
    <hyperlink ref="D1398" r:id="rId1397" xr:uid="{00000000-0004-0000-0000-000074050000}"/>
    <hyperlink ref="D1399" r:id="rId1398" xr:uid="{00000000-0004-0000-0000-000075050000}"/>
    <hyperlink ref="D1400" r:id="rId1399" xr:uid="{00000000-0004-0000-0000-000076050000}"/>
    <hyperlink ref="D1401" r:id="rId1400" xr:uid="{00000000-0004-0000-0000-000077050000}"/>
    <hyperlink ref="D1402" r:id="rId1401" xr:uid="{00000000-0004-0000-0000-000078050000}"/>
    <hyperlink ref="D1403" r:id="rId1402" xr:uid="{00000000-0004-0000-0000-000079050000}"/>
    <hyperlink ref="D1404" r:id="rId1403" xr:uid="{00000000-0004-0000-0000-00007A050000}"/>
    <hyperlink ref="D1405" r:id="rId1404" xr:uid="{00000000-0004-0000-0000-00007B050000}"/>
    <hyperlink ref="D1406" r:id="rId1405" xr:uid="{00000000-0004-0000-0000-00007C050000}"/>
    <hyperlink ref="D1407" r:id="rId1406" xr:uid="{00000000-0004-0000-0000-00007D050000}"/>
    <hyperlink ref="D1408" r:id="rId1407" xr:uid="{00000000-0004-0000-0000-00007E050000}"/>
    <hyperlink ref="D1409" r:id="rId1408" xr:uid="{00000000-0004-0000-0000-00007F050000}"/>
    <hyperlink ref="D1410" r:id="rId1409" xr:uid="{00000000-0004-0000-0000-000080050000}"/>
    <hyperlink ref="D1411" r:id="rId1410" xr:uid="{00000000-0004-0000-0000-000081050000}"/>
    <hyperlink ref="D1412" r:id="rId1411" xr:uid="{00000000-0004-0000-0000-000082050000}"/>
    <hyperlink ref="D1413" r:id="rId1412" xr:uid="{00000000-0004-0000-0000-000083050000}"/>
    <hyperlink ref="D1414" r:id="rId1413" xr:uid="{00000000-0004-0000-0000-000084050000}"/>
    <hyperlink ref="D1415" r:id="rId1414" xr:uid="{00000000-0004-0000-0000-000085050000}"/>
    <hyperlink ref="D1416" r:id="rId1415" xr:uid="{00000000-0004-0000-0000-000086050000}"/>
    <hyperlink ref="D1417" r:id="rId1416" xr:uid="{00000000-0004-0000-0000-000087050000}"/>
    <hyperlink ref="D1418" r:id="rId1417" xr:uid="{00000000-0004-0000-0000-000088050000}"/>
    <hyperlink ref="D1419" r:id="rId1418" xr:uid="{00000000-0004-0000-0000-000089050000}"/>
    <hyperlink ref="D1420" r:id="rId1419" xr:uid="{00000000-0004-0000-0000-00008A050000}"/>
    <hyperlink ref="D1421" r:id="rId1420" xr:uid="{00000000-0004-0000-0000-00008B050000}"/>
    <hyperlink ref="D1422" r:id="rId1421" xr:uid="{00000000-0004-0000-0000-00008C050000}"/>
    <hyperlink ref="D1423" r:id="rId1422" xr:uid="{00000000-0004-0000-0000-00008D050000}"/>
    <hyperlink ref="D1424" r:id="rId1423" xr:uid="{00000000-0004-0000-0000-00008E050000}"/>
    <hyperlink ref="D1425" r:id="rId1424" xr:uid="{00000000-0004-0000-0000-00008F050000}"/>
    <hyperlink ref="D1426" r:id="rId1425" xr:uid="{00000000-0004-0000-0000-000090050000}"/>
    <hyperlink ref="D1427" r:id="rId1426" xr:uid="{00000000-0004-0000-0000-000091050000}"/>
    <hyperlink ref="D1428" r:id="rId1427" xr:uid="{00000000-0004-0000-0000-000092050000}"/>
    <hyperlink ref="D1429" r:id="rId1428" xr:uid="{00000000-0004-0000-0000-000093050000}"/>
    <hyperlink ref="D1430" r:id="rId1429" xr:uid="{00000000-0004-0000-0000-000094050000}"/>
    <hyperlink ref="D1431" r:id="rId1430" xr:uid="{00000000-0004-0000-0000-000095050000}"/>
    <hyperlink ref="D1432" r:id="rId1431" xr:uid="{00000000-0004-0000-0000-000096050000}"/>
    <hyperlink ref="D1433" r:id="rId1432" xr:uid="{00000000-0004-0000-0000-000097050000}"/>
    <hyperlink ref="D1434" r:id="rId1433" xr:uid="{00000000-0004-0000-0000-000098050000}"/>
    <hyperlink ref="D1435" r:id="rId1434" xr:uid="{00000000-0004-0000-0000-000099050000}"/>
    <hyperlink ref="D1436" r:id="rId1435" xr:uid="{00000000-0004-0000-0000-00009A050000}"/>
    <hyperlink ref="D1437" r:id="rId1436" xr:uid="{00000000-0004-0000-0000-00009B050000}"/>
    <hyperlink ref="D1438" r:id="rId1437" xr:uid="{00000000-0004-0000-0000-00009C050000}"/>
    <hyperlink ref="D1439" r:id="rId1438" xr:uid="{00000000-0004-0000-0000-00009D050000}"/>
    <hyperlink ref="D1440" r:id="rId1439" xr:uid="{00000000-0004-0000-0000-00009E050000}"/>
    <hyperlink ref="D1441" r:id="rId1440" xr:uid="{00000000-0004-0000-0000-00009F050000}"/>
    <hyperlink ref="D1442" r:id="rId1441" xr:uid="{00000000-0004-0000-0000-0000A0050000}"/>
    <hyperlink ref="D1443" r:id="rId1442" xr:uid="{00000000-0004-0000-0000-0000A1050000}"/>
    <hyperlink ref="D1444" r:id="rId1443" xr:uid="{00000000-0004-0000-0000-0000A2050000}"/>
    <hyperlink ref="D1445" r:id="rId1444" xr:uid="{00000000-0004-0000-0000-0000A3050000}"/>
    <hyperlink ref="D1446" r:id="rId1445" xr:uid="{00000000-0004-0000-0000-0000A4050000}"/>
    <hyperlink ref="D1447" r:id="rId1446" xr:uid="{00000000-0004-0000-0000-0000A5050000}"/>
    <hyperlink ref="D1448" r:id="rId1447" xr:uid="{00000000-0004-0000-0000-0000A6050000}"/>
    <hyperlink ref="D1449" r:id="rId1448" xr:uid="{00000000-0004-0000-0000-0000A7050000}"/>
    <hyperlink ref="D1450" r:id="rId1449" xr:uid="{00000000-0004-0000-0000-0000A8050000}"/>
    <hyperlink ref="D1451" r:id="rId1450" xr:uid="{00000000-0004-0000-0000-0000A9050000}"/>
    <hyperlink ref="D1452" r:id="rId1451" xr:uid="{00000000-0004-0000-0000-0000AA050000}"/>
    <hyperlink ref="D1453" r:id="rId1452" xr:uid="{00000000-0004-0000-0000-0000AB050000}"/>
    <hyperlink ref="D1454" r:id="rId1453" xr:uid="{00000000-0004-0000-0000-0000AC050000}"/>
    <hyperlink ref="D1455" r:id="rId1454" xr:uid="{00000000-0004-0000-0000-0000AD050000}"/>
    <hyperlink ref="D1456" r:id="rId1455" xr:uid="{00000000-0004-0000-0000-0000AE050000}"/>
    <hyperlink ref="D1457" r:id="rId1456" xr:uid="{00000000-0004-0000-0000-0000AF050000}"/>
    <hyperlink ref="D1458" r:id="rId1457" xr:uid="{00000000-0004-0000-0000-0000B0050000}"/>
    <hyperlink ref="D1459" r:id="rId1458" xr:uid="{00000000-0004-0000-0000-0000B1050000}"/>
    <hyperlink ref="D1460" r:id="rId1459" xr:uid="{00000000-0004-0000-0000-0000B2050000}"/>
    <hyperlink ref="D1461" r:id="rId1460" xr:uid="{00000000-0004-0000-0000-0000B3050000}"/>
    <hyperlink ref="D1462" r:id="rId1461" xr:uid="{00000000-0004-0000-0000-0000B4050000}"/>
    <hyperlink ref="D1463" r:id="rId1462" xr:uid="{00000000-0004-0000-0000-0000B5050000}"/>
    <hyperlink ref="D1464" r:id="rId1463" xr:uid="{00000000-0004-0000-0000-0000B6050000}"/>
    <hyperlink ref="D1465" r:id="rId1464" xr:uid="{00000000-0004-0000-0000-0000B7050000}"/>
    <hyperlink ref="D1466" r:id="rId1465" xr:uid="{00000000-0004-0000-0000-0000B8050000}"/>
    <hyperlink ref="D1467" r:id="rId1466" xr:uid="{00000000-0004-0000-0000-0000B9050000}"/>
    <hyperlink ref="D1468" r:id="rId1467" xr:uid="{00000000-0004-0000-0000-0000BA050000}"/>
    <hyperlink ref="D1469" r:id="rId1468" xr:uid="{00000000-0004-0000-0000-0000BB050000}"/>
    <hyperlink ref="D1470" r:id="rId1469" xr:uid="{00000000-0004-0000-0000-0000BC050000}"/>
    <hyperlink ref="D1471" r:id="rId1470" xr:uid="{00000000-0004-0000-0000-0000BD050000}"/>
    <hyperlink ref="D1472" r:id="rId1471" xr:uid="{00000000-0004-0000-0000-0000BE050000}"/>
    <hyperlink ref="D1473" r:id="rId1472" xr:uid="{00000000-0004-0000-0000-0000BF050000}"/>
    <hyperlink ref="D1474" r:id="rId1473" xr:uid="{00000000-0004-0000-0000-0000C0050000}"/>
    <hyperlink ref="D1475" r:id="rId1474" xr:uid="{00000000-0004-0000-0000-0000C1050000}"/>
    <hyperlink ref="D1476" r:id="rId1475" xr:uid="{00000000-0004-0000-0000-0000C2050000}"/>
    <hyperlink ref="D1477" r:id="rId1476" xr:uid="{00000000-0004-0000-0000-0000C3050000}"/>
    <hyperlink ref="D1478" r:id="rId1477" xr:uid="{00000000-0004-0000-0000-0000C4050000}"/>
    <hyperlink ref="D1479" r:id="rId1478" xr:uid="{00000000-0004-0000-0000-0000C5050000}"/>
    <hyperlink ref="D1480" r:id="rId1479" xr:uid="{00000000-0004-0000-0000-0000C6050000}"/>
    <hyperlink ref="D1481" r:id="rId1480" xr:uid="{00000000-0004-0000-0000-0000C7050000}"/>
    <hyperlink ref="D1482" r:id="rId1481" xr:uid="{00000000-0004-0000-0000-0000C8050000}"/>
    <hyperlink ref="D1483" r:id="rId1482" xr:uid="{00000000-0004-0000-0000-0000C9050000}"/>
    <hyperlink ref="D1484" r:id="rId1483" xr:uid="{00000000-0004-0000-0000-0000CA050000}"/>
    <hyperlink ref="D1485" r:id="rId1484" xr:uid="{00000000-0004-0000-0000-0000CB050000}"/>
    <hyperlink ref="D1486" r:id="rId1485" xr:uid="{00000000-0004-0000-0000-0000CC050000}"/>
    <hyperlink ref="D1487" r:id="rId1486" xr:uid="{00000000-0004-0000-0000-0000CD050000}"/>
    <hyperlink ref="D1488" r:id="rId1487" xr:uid="{00000000-0004-0000-0000-0000CE050000}"/>
    <hyperlink ref="D1489" r:id="rId1488" xr:uid="{00000000-0004-0000-0000-0000CF050000}"/>
    <hyperlink ref="D1490" r:id="rId1489" xr:uid="{00000000-0004-0000-0000-0000D0050000}"/>
    <hyperlink ref="D1491" r:id="rId1490" xr:uid="{00000000-0004-0000-0000-0000D1050000}"/>
    <hyperlink ref="D1492" r:id="rId1491" xr:uid="{00000000-0004-0000-0000-0000D2050000}"/>
    <hyperlink ref="D1493" r:id="rId1492" xr:uid="{00000000-0004-0000-0000-0000D3050000}"/>
    <hyperlink ref="D1494" r:id="rId1493" xr:uid="{00000000-0004-0000-0000-0000D4050000}"/>
    <hyperlink ref="D1495" r:id="rId1494" xr:uid="{00000000-0004-0000-0000-0000D5050000}"/>
    <hyperlink ref="D1496" r:id="rId1495" xr:uid="{00000000-0004-0000-0000-0000D6050000}"/>
    <hyperlink ref="D1497" r:id="rId1496" xr:uid="{00000000-0004-0000-0000-0000D7050000}"/>
    <hyperlink ref="D1498" r:id="rId1497" xr:uid="{00000000-0004-0000-0000-0000D8050000}"/>
    <hyperlink ref="D1499" r:id="rId1498" xr:uid="{00000000-0004-0000-0000-0000D9050000}"/>
    <hyperlink ref="D1500" r:id="rId1499" xr:uid="{00000000-0004-0000-0000-0000DA050000}"/>
    <hyperlink ref="D1501" r:id="rId1500" xr:uid="{00000000-0004-0000-0000-0000DB050000}"/>
    <hyperlink ref="D1502" r:id="rId1501" xr:uid="{00000000-0004-0000-0000-0000DC050000}"/>
    <hyperlink ref="D1503" r:id="rId1502" xr:uid="{00000000-0004-0000-0000-0000DD050000}"/>
    <hyperlink ref="D1504" r:id="rId1503" xr:uid="{00000000-0004-0000-0000-0000DE050000}"/>
    <hyperlink ref="D1505" r:id="rId1504" xr:uid="{00000000-0004-0000-0000-0000DF050000}"/>
    <hyperlink ref="D1506" r:id="rId1505" xr:uid="{00000000-0004-0000-0000-0000E0050000}"/>
    <hyperlink ref="D1507" r:id="rId1506" xr:uid="{00000000-0004-0000-0000-0000E1050000}"/>
    <hyperlink ref="D1508" r:id="rId1507" xr:uid="{00000000-0004-0000-0000-0000E2050000}"/>
    <hyperlink ref="D1509" r:id="rId1508" xr:uid="{00000000-0004-0000-0000-0000E3050000}"/>
    <hyperlink ref="D1510" r:id="rId1509" xr:uid="{00000000-0004-0000-0000-0000E4050000}"/>
    <hyperlink ref="D1511" r:id="rId1510" xr:uid="{00000000-0004-0000-0000-0000E5050000}"/>
    <hyperlink ref="D1512" r:id="rId1511" xr:uid="{00000000-0004-0000-0000-0000E6050000}"/>
    <hyperlink ref="D1513" r:id="rId1512" xr:uid="{00000000-0004-0000-0000-0000E7050000}"/>
    <hyperlink ref="D1514" r:id="rId1513" xr:uid="{00000000-0004-0000-0000-0000E8050000}"/>
    <hyperlink ref="D1515" r:id="rId1514" xr:uid="{00000000-0004-0000-0000-0000E9050000}"/>
    <hyperlink ref="D1516" r:id="rId1515" xr:uid="{00000000-0004-0000-0000-0000EA050000}"/>
    <hyperlink ref="D1517" r:id="rId1516" xr:uid="{00000000-0004-0000-0000-0000EB050000}"/>
    <hyperlink ref="D1518" r:id="rId1517" xr:uid="{00000000-0004-0000-0000-0000EC050000}"/>
    <hyperlink ref="D1519" r:id="rId1518" xr:uid="{00000000-0004-0000-0000-0000ED050000}"/>
    <hyperlink ref="D1520" r:id="rId1519" xr:uid="{00000000-0004-0000-0000-0000EE050000}"/>
    <hyperlink ref="D1521" r:id="rId1520" xr:uid="{00000000-0004-0000-0000-0000EF050000}"/>
    <hyperlink ref="D1522" r:id="rId1521" xr:uid="{00000000-0004-0000-0000-0000F0050000}"/>
    <hyperlink ref="D1523" r:id="rId1522" xr:uid="{00000000-0004-0000-0000-0000F1050000}"/>
    <hyperlink ref="D1524" r:id="rId1523" xr:uid="{00000000-0004-0000-0000-0000F2050000}"/>
    <hyperlink ref="D1525" r:id="rId1524" xr:uid="{00000000-0004-0000-0000-0000F3050000}"/>
    <hyperlink ref="D1526" r:id="rId1525" xr:uid="{00000000-0004-0000-0000-0000F4050000}"/>
    <hyperlink ref="D1527" r:id="rId1526" xr:uid="{00000000-0004-0000-0000-0000F5050000}"/>
    <hyperlink ref="D1528" r:id="rId1527" xr:uid="{00000000-0004-0000-0000-0000F6050000}"/>
    <hyperlink ref="D1529" r:id="rId1528" xr:uid="{00000000-0004-0000-0000-0000F7050000}"/>
    <hyperlink ref="D1530" r:id="rId1529" xr:uid="{00000000-0004-0000-0000-0000F8050000}"/>
    <hyperlink ref="D1531" r:id="rId1530" xr:uid="{00000000-0004-0000-0000-0000F9050000}"/>
    <hyperlink ref="D1532" r:id="rId1531" xr:uid="{00000000-0004-0000-0000-0000FA050000}"/>
    <hyperlink ref="D1533" r:id="rId1532" xr:uid="{00000000-0004-0000-0000-0000FB050000}"/>
    <hyperlink ref="D1534" r:id="rId1533" xr:uid="{00000000-0004-0000-0000-0000FC050000}"/>
    <hyperlink ref="D1535" r:id="rId1534" xr:uid="{00000000-0004-0000-0000-0000FD050000}"/>
    <hyperlink ref="D1536" r:id="rId1535" xr:uid="{00000000-0004-0000-0000-0000FE050000}"/>
    <hyperlink ref="D1537" r:id="rId1536" xr:uid="{00000000-0004-0000-0000-0000FF050000}"/>
    <hyperlink ref="D1538" r:id="rId1537" xr:uid="{00000000-0004-0000-0000-000000060000}"/>
    <hyperlink ref="D1539" r:id="rId1538" xr:uid="{00000000-0004-0000-0000-000001060000}"/>
    <hyperlink ref="D1540" r:id="rId1539" xr:uid="{00000000-0004-0000-0000-000002060000}"/>
    <hyperlink ref="D1541" r:id="rId1540" xr:uid="{00000000-0004-0000-0000-000003060000}"/>
    <hyperlink ref="D1542" r:id="rId1541" xr:uid="{00000000-0004-0000-0000-000004060000}"/>
    <hyperlink ref="D1543" r:id="rId1542" xr:uid="{00000000-0004-0000-0000-000005060000}"/>
    <hyperlink ref="D1544" r:id="rId1543" xr:uid="{00000000-0004-0000-0000-000006060000}"/>
    <hyperlink ref="D1545" r:id="rId1544" xr:uid="{00000000-0004-0000-0000-000007060000}"/>
    <hyperlink ref="D1546" r:id="rId1545" xr:uid="{00000000-0004-0000-0000-000008060000}"/>
    <hyperlink ref="D1547" r:id="rId1546" xr:uid="{00000000-0004-0000-0000-000009060000}"/>
    <hyperlink ref="D1548" r:id="rId1547" xr:uid="{00000000-0004-0000-0000-00000A060000}"/>
    <hyperlink ref="D1549" r:id="rId1548" xr:uid="{00000000-0004-0000-0000-00000B060000}"/>
    <hyperlink ref="D1550" r:id="rId1549" xr:uid="{00000000-0004-0000-0000-00000C060000}"/>
    <hyperlink ref="D1551" r:id="rId1550" xr:uid="{00000000-0004-0000-0000-00000D060000}"/>
    <hyperlink ref="D1552" r:id="rId1551" xr:uid="{00000000-0004-0000-0000-00000E060000}"/>
    <hyperlink ref="D1553" r:id="rId1552" xr:uid="{00000000-0004-0000-0000-00000F060000}"/>
    <hyperlink ref="D1554" r:id="rId1553" xr:uid="{00000000-0004-0000-0000-000010060000}"/>
    <hyperlink ref="D1555" r:id="rId1554" xr:uid="{00000000-0004-0000-0000-000011060000}"/>
    <hyperlink ref="D1556" r:id="rId1555" xr:uid="{00000000-0004-0000-0000-000012060000}"/>
    <hyperlink ref="D1557" r:id="rId1556" xr:uid="{00000000-0004-0000-0000-000013060000}"/>
    <hyperlink ref="D1558" r:id="rId1557" xr:uid="{00000000-0004-0000-0000-000014060000}"/>
    <hyperlink ref="D1559" r:id="rId1558" xr:uid="{00000000-0004-0000-0000-000015060000}"/>
    <hyperlink ref="D1560" r:id="rId1559" xr:uid="{00000000-0004-0000-0000-000016060000}"/>
    <hyperlink ref="D1561" r:id="rId1560" xr:uid="{00000000-0004-0000-0000-000017060000}"/>
    <hyperlink ref="D1562" r:id="rId1561" xr:uid="{00000000-0004-0000-0000-000018060000}"/>
    <hyperlink ref="D1563" r:id="rId1562" xr:uid="{00000000-0004-0000-0000-000019060000}"/>
    <hyperlink ref="D1564" r:id="rId1563" xr:uid="{00000000-0004-0000-0000-00001A060000}"/>
    <hyperlink ref="D1565" r:id="rId1564" xr:uid="{00000000-0004-0000-0000-00001B060000}"/>
    <hyperlink ref="D1566" r:id="rId1565" xr:uid="{00000000-0004-0000-0000-00001C060000}"/>
    <hyperlink ref="D1567" r:id="rId1566" xr:uid="{00000000-0004-0000-0000-00001D060000}"/>
    <hyperlink ref="D1568" r:id="rId1567" xr:uid="{00000000-0004-0000-0000-00001E060000}"/>
    <hyperlink ref="D1569" r:id="rId1568" xr:uid="{00000000-0004-0000-0000-00001F060000}"/>
    <hyperlink ref="D1570" r:id="rId1569" xr:uid="{00000000-0004-0000-0000-000020060000}"/>
    <hyperlink ref="D1571" r:id="rId1570" xr:uid="{00000000-0004-0000-0000-000021060000}"/>
    <hyperlink ref="D1572" r:id="rId1571" xr:uid="{00000000-0004-0000-0000-000022060000}"/>
    <hyperlink ref="D1573" r:id="rId1572" xr:uid="{00000000-0004-0000-0000-000023060000}"/>
    <hyperlink ref="D1574" r:id="rId1573" xr:uid="{00000000-0004-0000-0000-000024060000}"/>
    <hyperlink ref="D1575" r:id="rId1574" xr:uid="{00000000-0004-0000-0000-000025060000}"/>
    <hyperlink ref="D1576" r:id="rId1575" xr:uid="{00000000-0004-0000-0000-000026060000}"/>
    <hyperlink ref="D1577" r:id="rId1576" xr:uid="{00000000-0004-0000-0000-000027060000}"/>
    <hyperlink ref="D1578" r:id="rId1577" xr:uid="{00000000-0004-0000-0000-000028060000}"/>
    <hyperlink ref="D1579" r:id="rId1578" xr:uid="{00000000-0004-0000-0000-000029060000}"/>
    <hyperlink ref="D1580" r:id="rId1579" xr:uid="{00000000-0004-0000-0000-00002A060000}"/>
    <hyperlink ref="D1581" r:id="rId1580" xr:uid="{00000000-0004-0000-0000-00002B060000}"/>
    <hyperlink ref="D1582" r:id="rId1581" xr:uid="{00000000-0004-0000-0000-00002C060000}"/>
    <hyperlink ref="D1583" r:id="rId1582" xr:uid="{00000000-0004-0000-0000-00002D060000}"/>
    <hyperlink ref="D1584" r:id="rId1583" xr:uid="{00000000-0004-0000-0000-00002E060000}"/>
    <hyperlink ref="D1585" r:id="rId1584" xr:uid="{00000000-0004-0000-0000-00002F060000}"/>
    <hyperlink ref="D1586" r:id="rId1585" xr:uid="{00000000-0004-0000-0000-000030060000}"/>
    <hyperlink ref="D1587" r:id="rId1586" xr:uid="{00000000-0004-0000-0000-000031060000}"/>
    <hyperlink ref="D1588" r:id="rId1587" xr:uid="{00000000-0004-0000-0000-000032060000}"/>
    <hyperlink ref="D1589" r:id="rId1588" xr:uid="{00000000-0004-0000-0000-000033060000}"/>
    <hyperlink ref="D1590" r:id="rId1589" xr:uid="{00000000-0004-0000-0000-000034060000}"/>
    <hyperlink ref="D1591" r:id="rId1590" xr:uid="{00000000-0004-0000-0000-000035060000}"/>
    <hyperlink ref="D1592" r:id="rId1591" xr:uid="{00000000-0004-0000-0000-000036060000}"/>
    <hyperlink ref="D1593" r:id="rId1592" xr:uid="{00000000-0004-0000-0000-000037060000}"/>
    <hyperlink ref="D1594" r:id="rId1593" xr:uid="{00000000-0004-0000-0000-000038060000}"/>
    <hyperlink ref="D1595" r:id="rId1594" xr:uid="{00000000-0004-0000-0000-000039060000}"/>
    <hyperlink ref="D1596" r:id="rId1595" xr:uid="{00000000-0004-0000-0000-00003A060000}"/>
    <hyperlink ref="D1597" r:id="rId1596" xr:uid="{00000000-0004-0000-0000-00003B060000}"/>
    <hyperlink ref="D1598" r:id="rId1597" xr:uid="{00000000-0004-0000-0000-00003C060000}"/>
    <hyperlink ref="D1599" r:id="rId1598" xr:uid="{00000000-0004-0000-0000-00003D060000}"/>
    <hyperlink ref="D1600" r:id="rId1599" xr:uid="{00000000-0004-0000-0000-00003E060000}"/>
    <hyperlink ref="D1601" r:id="rId1600" xr:uid="{00000000-0004-0000-0000-00003F060000}"/>
    <hyperlink ref="D1602" r:id="rId1601" xr:uid="{00000000-0004-0000-0000-000040060000}"/>
    <hyperlink ref="D1603" r:id="rId1602" xr:uid="{00000000-0004-0000-0000-000041060000}"/>
    <hyperlink ref="D1604" r:id="rId1603" xr:uid="{00000000-0004-0000-0000-000042060000}"/>
    <hyperlink ref="D1605" r:id="rId1604" xr:uid="{00000000-0004-0000-0000-000043060000}"/>
    <hyperlink ref="D1606" r:id="rId1605" xr:uid="{00000000-0004-0000-0000-000044060000}"/>
    <hyperlink ref="D1607" r:id="rId1606" xr:uid="{00000000-0004-0000-0000-000045060000}"/>
    <hyperlink ref="D1608" r:id="rId1607" xr:uid="{00000000-0004-0000-0000-000046060000}"/>
    <hyperlink ref="D1609" r:id="rId1608" xr:uid="{00000000-0004-0000-0000-000047060000}"/>
    <hyperlink ref="D1610" r:id="rId1609" xr:uid="{00000000-0004-0000-0000-000048060000}"/>
    <hyperlink ref="D1611" r:id="rId1610" xr:uid="{00000000-0004-0000-0000-000049060000}"/>
    <hyperlink ref="D1612" r:id="rId1611" xr:uid="{00000000-0004-0000-0000-00004A060000}"/>
    <hyperlink ref="D1613" r:id="rId1612" xr:uid="{00000000-0004-0000-0000-00004B060000}"/>
    <hyperlink ref="D1614" r:id="rId1613" xr:uid="{00000000-0004-0000-0000-00004C060000}"/>
    <hyperlink ref="D1615" r:id="rId1614" xr:uid="{00000000-0004-0000-0000-00004D060000}"/>
    <hyperlink ref="D1616" r:id="rId1615" xr:uid="{00000000-0004-0000-0000-00004E060000}"/>
    <hyperlink ref="D1617" r:id="rId1616" xr:uid="{00000000-0004-0000-0000-00004F060000}"/>
    <hyperlink ref="D1618" r:id="rId1617" xr:uid="{00000000-0004-0000-0000-000050060000}"/>
    <hyperlink ref="D1619" r:id="rId1618" xr:uid="{00000000-0004-0000-0000-000051060000}"/>
    <hyperlink ref="D1620" r:id="rId1619" xr:uid="{00000000-0004-0000-0000-000052060000}"/>
    <hyperlink ref="D1621" r:id="rId1620" xr:uid="{00000000-0004-0000-0000-000053060000}"/>
    <hyperlink ref="D1622" r:id="rId1621" xr:uid="{00000000-0004-0000-0000-000054060000}"/>
    <hyperlink ref="D1623" r:id="rId1622" xr:uid="{00000000-0004-0000-0000-000055060000}"/>
    <hyperlink ref="D1624" r:id="rId1623" xr:uid="{00000000-0004-0000-0000-000056060000}"/>
    <hyperlink ref="D1625" r:id="rId1624" xr:uid="{00000000-0004-0000-0000-000057060000}"/>
    <hyperlink ref="D1626" r:id="rId1625" xr:uid="{00000000-0004-0000-0000-000058060000}"/>
    <hyperlink ref="D1627" r:id="rId1626" xr:uid="{00000000-0004-0000-0000-000059060000}"/>
    <hyperlink ref="D1628" r:id="rId1627" xr:uid="{00000000-0004-0000-0000-00005A060000}"/>
    <hyperlink ref="D1629" r:id="rId1628" xr:uid="{00000000-0004-0000-0000-00005B060000}"/>
    <hyperlink ref="D1630" r:id="rId1629" xr:uid="{00000000-0004-0000-0000-00005C060000}"/>
    <hyperlink ref="D1631" r:id="rId1630" xr:uid="{00000000-0004-0000-0000-00005D060000}"/>
    <hyperlink ref="D1632" r:id="rId1631" xr:uid="{00000000-0004-0000-0000-00005E060000}"/>
    <hyperlink ref="D1633" r:id="rId1632" xr:uid="{00000000-0004-0000-0000-00005F060000}"/>
    <hyperlink ref="D1634" r:id="rId1633" xr:uid="{00000000-0004-0000-0000-000060060000}"/>
    <hyperlink ref="D1635" r:id="rId1634" xr:uid="{00000000-0004-0000-0000-000061060000}"/>
    <hyperlink ref="D1636" r:id="rId1635" xr:uid="{00000000-0004-0000-0000-000062060000}"/>
    <hyperlink ref="D1637" r:id="rId1636" xr:uid="{00000000-0004-0000-0000-000063060000}"/>
    <hyperlink ref="D1638" r:id="rId1637" xr:uid="{00000000-0004-0000-0000-000064060000}"/>
    <hyperlink ref="D1639" r:id="rId1638" xr:uid="{00000000-0004-0000-0000-000065060000}"/>
    <hyperlink ref="D1640" r:id="rId1639" xr:uid="{00000000-0004-0000-0000-000066060000}"/>
    <hyperlink ref="D1641" r:id="rId1640" xr:uid="{00000000-0004-0000-0000-000067060000}"/>
    <hyperlink ref="D1642" r:id="rId1641" xr:uid="{00000000-0004-0000-0000-000068060000}"/>
    <hyperlink ref="D1643" r:id="rId1642" xr:uid="{00000000-0004-0000-0000-000069060000}"/>
    <hyperlink ref="D1644" r:id="rId1643" xr:uid="{00000000-0004-0000-0000-00006A060000}"/>
    <hyperlink ref="D1645" r:id="rId1644" xr:uid="{00000000-0004-0000-0000-00006B060000}"/>
    <hyperlink ref="D1646" r:id="rId1645" xr:uid="{00000000-0004-0000-0000-00006C060000}"/>
    <hyperlink ref="D1647" r:id="rId1646" xr:uid="{00000000-0004-0000-0000-00006D060000}"/>
    <hyperlink ref="D1648" r:id="rId1647" xr:uid="{00000000-0004-0000-0000-00006E060000}"/>
    <hyperlink ref="D1649" r:id="rId1648" xr:uid="{00000000-0004-0000-0000-00006F060000}"/>
    <hyperlink ref="D1650" r:id="rId1649" xr:uid="{00000000-0004-0000-0000-000070060000}"/>
    <hyperlink ref="D1651" r:id="rId1650" xr:uid="{00000000-0004-0000-0000-000071060000}"/>
    <hyperlink ref="D1652" r:id="rId1651" xr:uid="{00000000-0004-0000-0000-000072060000}"/>
    <hyperlink ref="D1653" r:id="rId1652" xr:uid="{00000000-0004-0000-0000-000073060000}"/>
    <hyperlink ref="D1654" r:id="rId1653" xr:uid="{00000000-0004-0000-0000-000074060000}"/>
    <hyperlink ref="D1655" r:id="rId1654" xr:uid="{00000000-0004-0000-0000-000075060000}"/>
    <hyperlink ref="D1656" r:id="rId1655" xr:uid="{00000000-0004-0000-0000-000076060000}"/>
    <hyperlink ref="D1657" r:id="rId1656" xr:uid="{00000000-0004-0000-0000-000077060000}"/>
    <hyperlink ref="D1658" r:id="rId1657" xr:uid="{00000000-0004-0000-0000-000078060000}"/>
    <hyperlink ref="D1659" r:id="rId1658" xr:uid="{00000000-0004-0000-0000-000079060000}"/>
    <hyperlink ref="D1660" r:id="rId1659" xr:uid="{00000000-0004-0000-0000-00007A060000}"/>
    <hyperlink ref="D1661" r:id="rId1660" xr:uid="{00000000-0004-0000-0000-00007B060000}"/>
    <hyperlink ref="D1662" r:id="rId1661" xr:uid="{00000000-0004-0000-0000-00007C060000}"/>
    <hyperlink ref="D1663" r:id="rId1662" xr:uid="{00000000-0004-0000-0000-00007D060000}"/>
    <hyperlink ref="D1664" r:id="rId1663" xr:uid="{00000000-0004-0000-0000-00007E060000}"/>
    <hyperlink ref="D1665" r:id="rId1664" xr:uid="{00000000-0004-0000-0000-00007F060000}"/>
    <hyperlink ref="D1666" r:id="rId1665" xr:uid="{00000000-0004-0000-0000-000080060000}"/>
    <hyperlink ref="D1667" r:id="rId1666" xr:uid="{00000000-0004-0000-0000-000081060000}"/>
    <hyperlink ref="D1668" r:id="rId1667" xr:uid="{00000000-0004-0000-0000-000082060000}"/>
    <hyperlink ref="D1669" r:id="rId1668" xr:uid="{00000000-0004-0000-0000-000083060000}"/>
    <hyperlink ref="D1670" r:id="rId1669" xr:uid="{00000000-0004-0000-0000-000084060000}"/>
    <hyperlink ref="D1671" r:id="rId1670" xr:uid="{00000000-0004-0000-0000-000085060000}"/>
    <hyperlink ref="D1672" r:id="rId1671" xr:uid="{00000000-0004-0000-0000-000086060000}"/>
    <hyperlink ref="D1673" r:id="rId1672" xr:uid="{00000000-0004-0000-0000-000087060000}"/>
    <hyperlink ref="D1674" r:id="rId1673" xr:uid="{00000000-0004-0000-0000-000088060000}"/>
    <hyperlink ref="D1675" r:id="rId1674" xr:uid="{00000000-0004-0000-0000-000089060000}"/>
    <hyperlink ref="D1676" r:id="rId1675" xr:uid="{00000000-0004-0000-0000-00008A060000}"/>
    <hyperlink ref="D1677" r:id="rId1676" xr:uid="{00000000-0004-0000-0000-00008B060000}"/>
    <hyperlink ref="D1678" r:id="rId1677" xr:uid="{00000000-0004-0000-0000-00008C060000}"/>
    <hyperlink ref="D1679" r:id="rId1678" xr:uid="{00000000-0004-0000-0000-00008D060000}"/>
    <hyperlink ref="D1680" r:id="rId1679" xr:uid="{00000000-0004-0000-0000-00008E060000}"/>
    <hyperlink ref="D1681" r:id="rId1680" xr:uid="{00000000-0004-0000-0000-00008F060000}"/>
    <hyperlink ref="D1682" r:id="rId1681" xr:uid="{00000000-0004-0000-0000-000090060000}"/>
    <hyperlink ref="D1683" r:id="rId1682" xr:uid="{00000000-0004-0000-0000-000091060000}"/>
    <hyperlink ref="D1684" r:id="rId1683" xr:uid="{00000000-0004-0000-0000-000092060000}"/>
    <hyperlink ref="D1685" r:id="rId1684" xr:uid="{00000000-0004-0000-0000-000093060000}"/>
    <hyperlink ref="D1686" r:id="rId1685" xr:uid="{00000000-0004-0000-0000-000094060000}"/>
    <hyperlink ref="D1687" r:id="rId1686" xr:uid="{00000000-0004-0000-0000-000095060000}"/>
    <hyperlink ref="D1688" r:id="rId1687" xr:uid="{00000000-0004-0000-0000-000096060000}"/>
    <hyperlink ref="D1689" r:id="rId1688" xr:uid="{00000000-0004-0000-0000-000097060000}"/>
    <hyperlink ref="D1690" r:id="rId1689" xr:uid="{00000000-0004-0000-0000-000098060000}"/>
    <hyperlink ref="D1691" r:id="rId1690" xr:uid="{00000000-0004-0000-0000-000099060000}"/>
    <hyperlink ref="D1692" r:id="rId1691" xr:uid="{00000000-0004-0000-0000-00009A060000}"/>
    <hyperlink ref="D1693" r:id="rId1692" xr:uid="{00000000-0004-0000-0000-00009B060000}"/>
    <hyperlink ref="D1694" r:id="rId1693" xr:uid="{00000000-0004-0000-0000-00009C060000}"/>
    <hyperlink ref="D1695" r:id="rId1694" xr:uid="{00000000-0004-0000-0000-00009D060000}"/>
    <hyperlink ref="D1696" r:id="rId1695" xr:uid="{00000000-0004-0000-0000-00009E060000}"/>
    <hyperlink ref="D1697" r:id="rId1696" xr:uid="{00000000-0004-0000-0000-00009F060000}"/>
    <hyperlink ref="D1698" r:id="rId1697" xr:uid="{00000000-0004-0000-0000-0000A0060000}"/>
    <hyperlink ref="D1699" r:id="rId1698" xr:uid="{00000000-0004-0000-0000-0000A1060000}"/>
    <hyperlink ref="D1700" r:id="rId1699" xr:uid="{00000000-0004-0000-0000-0000A2060000}"/>
    <hyperlink ref="D1701" r:id="rId1700" xr:uid="{00000000-0004-0000-0000-0000A3060000}"/>
    <hyperlink ref="D1702" r:id="rId1701" xr:uid="{00000000-0004-0000-0000-0000A4060000}"/>
    <hyperlink ref="D1703" r:id="rId1702" xr:uid="{00000000-0004-0000-0000-0000A5060000}"/>
    <hyperlink ref="D1704" r:id="rId1703" xr:uid="{00000000-0004-0000-0000-0000A6060000}"/>
    <hyperlink ref="D1705" r:id="rId1704" xr:uid="{00000000-0004-0000-0000-0000A7060000}"/>
    <hyperlink ref="D1706" r:id="rId1705" xr:uid="{00000000-0004-0000-0000-0000A8060000}"/>
    <hyperlink ref="D1707" r:id="rId1706" xr:uid="{00000000-0004-0000-0000-0000A9060000}"/>
    <hyperlink ref="D1708" r:id="rId1707" xr:uid="{00000000-0004-0000-0000-0000AA060000}"/>
    <hyperlink ref="D1709" r:id="rId1708" xr:uid="{00000000-0004-0000-0000-0000AB060000}"/>
    <hyperlink ref="D1710" r:id="rId1709" xr:uid="{00000000-0004-0000-0000-0000AC060000}"/>
    <hyperlink ref="D1711" r:id="rId1710" xr:uid="{00000000-0004-0000-0000-0000AD060000}"/>
    <hyperlink ref="D1712" r:id="rId1711" xr:uid="{00000000-0004-0000-0000-0000AE060000}"/>
    <hyperlink ref="D1713" r:id="rId1712" xr:uid="{00000000-0004-0000-0000-0000AF060000}"/>
    <hyperlink ref="D1714" r:id="rId1713" xr:uid="{00000000-0004-0000-0000-0000B0060000}"/>
    <hyperlink ref="D1715" r:id="rId1714" xr:uid="{00000000-0004-0000-0000-0000B1060000}"/>
    <hyperlink ref="D1716" r:id="rId1715" xr:uid="{00000000-0004-0000-0000-0000B2060000}"/>
    <hyperlink ref="D1717" r:id="rId1716" xr:uid="{00000000-0004-0000-0000-0000B3060000}"/>
    <hyperlink ref="D1718" r:id="rId1717" xr:uid="{00000000-0004-0000-0000-0000B4060000}"/>
    <hyperlink ref="D1719" r:id="rId1718" xr:uid="{00000000-0004-0000-0000-0000B5060000}"/>
    <hyperlink ref="D1720" r:id="rId1719" xr:uid="{00000000-0004-0000-0000-0000B6060000}"/>
    <hyperlink ref="D1721" r:id="rId1720" xr:uid="{00000000-0004-0000-0000-0000B7060000}"/>
    <hyperlink ref="D1722" r:id="rId1721" xr:uid="{00000000-0004-0000-0000-0000B8060000}"/>
    <hyperlink ref="D1723" r:id="rId1722" xr:uid="{00000000-0004-0000-0000-0000B9060000}"/>
    <hyperlink ref="D1724" r:id="rId1723" xr:uid="{00000000-0004-0000-0000-0000BA060000}"/>
    <hyperlink ref="D1725" r:id="rId1724" xr:uid="{00000000-0004-0000-0000-0000BB060000}"/>
    <hyperlink ref="D1726" r:id="rId1725" xr:uid="{00000000-0004-0000-0000-0000BC060000}"/>
    <hyperlink ref="D1727" r:id="rId1726" xr:uid="{00000000-0004-0000-0000-0000BD060000}"/>
    <hyperlink ref="D1728" r:id="rId1727" xr:uid="{00000000-0004-0000-0000-0000BE060000}"/>
    <hyperlink ref="D1729" r:id="rId1728" xr:uid="{00000000-0004-0000-0000-0000BF060000}"/>
    <hyperlink ref="D1730" r:id="rId1729" xr:uid="{00000000-0004-0000-0000-0000C0060000}"/>
    <hyperlink ref="D1731" r:id="rId1730" xr:uid="{00000000-0004-0000-0000-0000C1060000}"/>
    <hyperlink ref="D1732" r:id="rId1731" xr:uid="{00000000-0004-0000-0000-0000C2060000}"/>
    <hyperlink ref="D1733" r:id="rId1732" xr:uid="{00000000-0004-0000-0000-0000C3060000}"/>
    <hyperlink ref="D1734" r:id="rId1733" xr:uid="{00000000-0004-0000-0000-0000C4060000}"/>
    <hyperlink ref="D1735" r:id="rId1734" xr:uid="{00000000-0004-0000-0000-0000C5060000}"/>
    <hyperlink ref="D1736" r:id="rId1735" xr:uid="{00000000-0004-0000-0000-0000C6060000}"/>
    <hyperlink ref="D1737" r:id="rId1736" xr:uid="{00000000-0004-0000-0000-0000C7060000}"/>
    <hyperlink ref="D1738" r:id="rId1737" xr:uid="{00000000-0004-0000-0000-0000C8060000}"/>
    <hyperlink ref="D1739" r:id="rId1738" xr:uid="{00000000-0004-0000-0000-0000C9060000}"/>
    <hyperlink ref="D1740" r:id="rId1739" xr:uid="{00000000-0004-0000-0000-0000CA060000}"/>
    <hyperlink ref="D1741" r:id="rId1740" xr:uid="{00000000-0004-0000-0000-0000CB060000}"/>
    <hyperlink ref="D1742" r:id="rId1741" xr:uid="{00000000-0004-0000-0000-0000CC060000}"/>
    <hyperlink ref="D1743" r:id="rId1742" xr:uid="{00000000-0004-0000-0000-0000CD060000}"/>
    <hyperlink ref="D1744" r:id="rId1743" xr:uid="{00000000-0004-0000-0000-0000CE060000}"/>
    <hyperlink ref="D1745" r:id="rId1744" xr:uid="{00000000-0004-0000-0000-0000CF060000}"/>
    <hyperlink ref="D1746" r:id="rId1745" xr:uid="{00000000-0004-0000-0000-0000D0060000}"/>
    <hyperlink ref="D1747" r:id="rId1746" xr:uid="{00000000-0004-0000-0000-0000D1060000}"/>
    <hyperlink ref="D1748" r:id="rId1747" xr:uid="{00000000-0004-0000-0000-0000D2060000}"/>
    <hyperlink ref="D1749" r:id="rId1748" xr:uid="{00000000-0004-0000-0000-0000D3060000}"/>
    <hyperlink ref="D1750" r:id="rId1749" xr:uid="{00000000-0004-0000-0000-0000D4060000}"/>
    <hyperlink ref="D1751" r:id="rId1750" xr:uid="{00000000-0004-0000-0000-0000D5060000}"/>
    <hyperlink ref="D1752" r:id="rId1751" xr:uid="{00000000-0004-0000-0000-0000D6060000}"/>
    <hyperlink ref="D1753" r:id="rId1752" xr:uid="{00000000-0004-0000-0000-0000D7060000}"/>
    <hyperlink ref="D1754" r:id="rId1753" xr:uid="{00000000-0004-0000-0000-0000D8060000}"/>
    <hyperlink ref="D1755" r:id="rId1754" xr:uid="{00000000-0004-0000-0000-0000D9060000}"/>
    <hyperlink ref="D1756" r:id="rId1755" xr:uid="{00000000-0004-0000-0000-0000DA060000}"/>
    <hyperlink ref="D1757" r:id="rId1756" xr:uid="{00000000-0004-0000-0000-0000DB060000}"/>
    <hyperlink ref="D1758" r:id="rId1757" xr:uid="{00000000-0004-0000-0000-0000DC060000}"/>
    <hyperlink ref="D1759" r:id="rId1758" xr:uid="{00000000-0004-0000-0000-0000DD060000}"/>
    <hyperlink ref="D1760" r:id="rId1759" xr:uid="{00000000-0004-0000-0000-0000DE060000}"/>
    <hyperlink ref="D1761" r:id="rId1760" xr:uid="{00000000-0004-0000-0000-0000DF060000}"/>
    <hyperlink ref="D1762" r:id="rId1761" xr:uid="{00000000-0004-0000-0000-0000E0060000}"/>
    <hyperlink ref="D1763" r:id="rId1762" xr:uid="{00000000-0004-0000-0000-0000E1060000}"/>
    <hyperlink ref="D1764" r:id="rId1763" xr:uid="{00000000-0004-0000-0000-0000E2060000}"/>
    <hyperlink ref="D1765" r:id="rId1764" xr:uid="{00000000-0004-0000-0000-0000E3060000}"/>
    <hyperlink ref="D1766" r:id="rId1765" xr:uid="{00000000-0004-0000-0000-0000E4060000}"/>
    <hyperlink ref="D1767" r:id="rId1766" xr:uid="{00000000-0004-0000-0000-0000E5060000}"/>
    <hyperlink ref="D1768" r:id="rId1767" xr:uid="{00000000-0004-0000-0000-0000E6060000}"/>
    <hyperlink ref="D1769" r:id="rId1768" xr:uid="{00000000-0004-0000-0000-0000E7060000}"/>
    <hyperlink ref="D1770" r:id="rId1769" xr:uid="{00000000-0004-0000-0000-0000E8060000}"/>
    <hyperlink ref="D1771" r:id="rId1770" xr:uid="{00000000-0004-0000-0000-0000E9060000}"/>
    <hyperlink ref="D1772" r:id="rId1771" xr:uid="{00000000-0004-0000-0000-0000EA060000}"/>
    <hyperlink ref="D1773" r:id="rId1772" xr:uid="{00000000-0004-0000-0000-0000EB060000}"/>
    <hyperlink ref="D1774" r:id="rId1773" xr:uid="{00000000-0004-0000-0000-0000EC060000}"/>
    <hyperlink ref="D1775" r:id="rId1774" xr:uid="{00000000-0004-0000-0000-0000ED060000}"/>
    <hyperlink ref="D1776" r:id="rId1775" xr:uid="{00000000-0004-0000-0000-0000EE060000}"/>
    <hyperlink ref="D1777" r:id="rId1776" xr:uid="{00000000-0004-0000-0000-0000EF060000}"/>
    <hyperlink ref="D1778" r:id="rId1777" xr:uid="{00000000-0004-0000-0000-0000F0060000}"/>
    <hyperlink ref="D1779" r:id="rId1778" xr:uid="{00000000-0004-0000-0000-0000F1060000}"/>
    <hyperlink ref="D1780" r:id="rId1779" xr:uid="{00000000-0004-0000-0000-0000F2060000}"/>
    <hyperlink ref="D1781" r:id="rId1780" xr:uid="{00000000-0004-0000-0000-0000F3060000}"/>
    <hyperlink ref="D1782" r:id="rId1781" xr:uid="{00000000-0004-0000-0000-0000F4060000}"/>
    <hyperlink ref="D1783" r:id="rId1782" xr:uid="{00000000-0004-0000-0000-0000F5060000}"/>
    <hyperlink ref="D1784" r:id="rId1783" xr:uid="{00000000-0004-0000-0000-0000F6060000}"/>
    <hyperlink ref="D1785" r:id="rId1784" xr:uid="{00000000-0004-0000-0000-0000F7060000}"/>
    <hyperlink ref="D1786" r:id="rId1785" xr:uid="{00000000-0004-0000-0000-0000F8060000}"/>
    <hyperlink ref="D1787" r:id="rId1786" xr:uid="{00000000-0004-0000-0000-0000F9060000}"/>
    <hyperlink ref="D1788" r:id="rId1787" xr:uid="{00000000-0004-0000-0000-0000FA060000}"/>
    <hyperlink ref="D1789" r:id="rId1788" xr:uid="{00000000-0004-0000-0000-0000FB060000}"/>
    <hyperlink ref="D1790" r:id="rId1789" xr:uid="{00000000-0004-0000-0000-0000FC060000}"/>
    <hyperlink ref="D1791" r:id="rId1790" xr:uid="{00000000-0004-0000-0000-0000FD060000}"/>
    <hyperlink ref="D1792" r:id="rId1791" xr:uid="{00000000-0004-0000-0000-0000FE060000}"/>
    <hyperlink ref="D1793" r:id="rId1792" xr:uid="{00000000-0004-0000-0000-0000FF060000}"/>
    <hyperlink ref="D1794" r:id="rId1793" xr:uid="{00000000-0004-0000-0000-000000070000}"/>
    <hyperlink ref="D1795" r:id="rId1794" xr:uid="{00000000-0004-0000-0000-000001070000}"/>
    <hyperlink ref="D1796" r:id="rId1795" xr:uid="{00000000-0004-0000-0000-000002070000}"/>
    <hyperlink ref="D1797" r:id="rId1796" xr:uid="{00000000-0004-0000-0000-000003070000}"/>
    <hyperlink ref="D1798" r:id="rId1797" xr:uid="{00000000-0004-0000-0000-000004070000}"/>
    <hyperlink ref="D1799" r:id="rId1798" xr:uid="{00000000-0004-0000-0000-000005070000}"/>
    <hyperlink ref="D1800" r:id="rId1799" xr:uid="{00000000-0004-0000-0000-000006070000}"/>
    <hyperlink ref="D1801" r:id="rId1800" xr:uid="{00000000-0004-0000-0000-000007070000}"/>
    <hyperlink ref="D1802" r:id="rId1801" xr:uid="{00000000-0004-0000-0000-000008070000}"/>
    <hyperlink ref="D1803" r:id="rId1802" xr:uid="{00000000-0004-0000-0000-000009070000}"/>
    <hyperlink ref="D1804" r:id="rId1803" xr:uid="{00000000-0004-0000-0000-00000A070000}"/>
    <hyperlink ref="D1805" r:id="rId1804" xr:uid="{00000000-0004-0000-0000-00000B070000}"/>
    <hyperlink ref="D1806" r:id="rId1805" xr:uid="{00000000-0004-0000-0000-00000C070000}"/>
    <hyperlink ref="D1807" r:id="rId1806" xr:uid="{00000000-0004-0000-0000-00000D070000}"/>
    <hyperlink ref="D1808" r:id="rId1807" xr:uid="{00000000-0004-0000-0000-00000E070000}"/>
    <hyperlink ref="D1809" r:id="rId1808" xr:uid="{00000000-0004-0000-0000-00000F070000}"/>
    <hyperlink ref="D1810" r:id="rId1809" xr:uid="{00000000-0004-0000-0000-000010070000}"/>
    <hyperlink ref="D1811" r:id="rId1810" xr:uid="{00000000-0004-0000-0000-000011070000}"/>
    <hyperlink ref="D1812" r:id="rId1811" xr:uid="{00000000-0004-0000-0000-000012070000}"/>
    <hyperlink ref="D1813" r:id="rId1812" xr:uid="{00000000-0004-0000-0000-000013070000}"/>
    <hyperlink ref="D1814" r:id="rId1813" xr:uid="{00000000-0004-0000-0000-000014070000}"/>
    <hyperlink ref="D1815" r:id="rId1814" xr:uid="{00000000-0004-0000-0000-000015070000}"/>
    <hyperlink ref="D1816" r:id="rId1815" xr:uid="{00000000-0004-0000-0000-000016070000}"/>
    <hyperlink ref="D1817" r:id="rId1816" xr:uid="{00000000-0004-0000-0000-000017070000}"/>
    <hyperlink ref="D1818" r:id="rId1817" xr:uid="{00000000-0004-0000-0000-000018070000}"/>
    <hyperlink ref="D1819" r:id="rId1818" xr:uid="{00000000-0004-0000-0000-000019070000}"/>
    <hyperlink ref="D1820" r:id="rId1819" xr:uid="{00000000-0004-0000-0000-00001A070000}"/>
    <hyperlink ref="D1821" r:id="rId1820" xr:uid="{00000000-0004-0000-0000-00001B070000}"/>
    <hyperlink ref="D1822" r:id="rId1821" xr:uid="{00000000-0004-0000-0000-00001C070000}"/>
    <hyperlink ref="D1823" r:id="rId1822" xr:uid="{00000000-0004-0000-0000-00001D070000}"/>
    <hyperlink ref="D1824" r:id="rId1823" xr:uid="{00000000-0004-0000-0000-00001E070000}"/>
    <hyperlink ref="D1825" r:id="rId1824" xr:uid="{00000000-0004-0000-0000-00001F070000}"/>
    <hyperlink ref="D1826" r:id="rId1825" xr:uid="{00000000-0004-0000-0000-000020070000}"/>
    <hyperlink ref="D1827" r:id="rId1826" xr:uid="{00000000-0004-0000-0000-000021070000}"/>
    <hyperlink ref="D1828" r:id="rId1827" xr:uid="{00000000-0004-0000-0000-000022070000}"/>
    <hyperlink ref="D1829" r:id="rId1828" xr:uid="{00000000-0004-0000-0000-000023070000}"/>
    <hyperlink ref="D1830" r:id="rId1829" xr:uid="{00000000-0004-0000-0000-000024070000}"/>
    <hyperlink ref="D1831" r:id="rId1830" xr:uid="{00000000-0004-0000-0000-000025070000}"/>
    <hyperlink ref="D1832" r:id="rId1831" xr:uid="{00000000-0004-0000-0000-000026070000}"/>
    <hyperlink ref="D1833" r:id="rId1832" xr:uid="{00000000-0004-0000-0000-000027070000}"/>
    <hyperlink ref="D1834" r:id="rId1833" xr:uid="{00000000-0004-0000-0000-000028070000}"/>
    <hyperlink ref="D1835" r:id="rId1834" xr:uid="{00000000-0004-0000-0000-000029070000}"/>
    <hyperlink ref="D1836" r:id="rId1835" xr:uid="{00000000-0004-0000-0000-00002A070000}"/>
    <hyperlink ref="D1837" r:id="rId1836" xr:uid="{00000000-0004-0000-0000-00002B070000}"/>
    <hyperlink ref="D1838" r:id="rId1837" xr:uid="{00000000-0004-0000-0000-00002C070000}"/>
    <hyperlink ref="D1839" r:id="rId1838" xr:uid="{00000000-0004-0000-0000-00002D070000}"/>
    <hyperlink ref="D1840" r:id="rId1839" xr:uid="{00000000-0004-0000-0000-00002E070000}"/>
    <hyperlink ref="D1841" r:id="rId1840" xr:uid="{00000000-0004-0000-0000-00002F070000}"/>
    <hyperlink ref="D1842" r:id="rId1841" xr:uid="{00000000-0004-0000-0000-000030070000}"/>
    <hyperlink ref="D1843" r:id="rId1842" xr:uid="{00000000-0004-0000-0000-000031070000}"/>
    <hyperlink ref="D1844" r:id="rId1843" xr:uid="{00000000-0004-0000-0000-000032070000}"/>
    <hyperlink ref="D1845" r:id="rId1844" xr:uid="{00000000-0004-0000-0000-000033070000}"/>
    <hyperlink ref="D1846" r:id="rId1845" xr:uid="{00000000-0004-0000-0000-000034070000}"/>
    <hyperlink ref="D1847" r:id="rId1846" xr:uid="{00000000-0004-0000-0000-000035070000}"/>
    <hyperlink ref="D1848" r:id="rId1847" xr:uid="{00000000-0004-0000-0000-000036070000}"/>
    <hyperlink ref="D1849" r:id="rId1848" xr:uid="{00000000-0004-0000-0000-000037070000}"/>
    <hyperlink ref="D1850" r:id="rId1849" xr:uid="{00000000-0004-0000-0000-000038070000}"/>
    <hyperlink ref="D1851" r:id="rId1850" xr:uid="{00000000-0004-0000-0000-000039070000}"/>
    <hyperlink ref="D1852" r:id="rId1851" xr:uid="{00000000-0004-0000-0000-00003A070000}"/>
    <hyperlink ref="D1853" r:id="rId1852" xr:uid="{00000000-0004-0000-0000-00003B070000}"/>
    <hyperlink ref="D1854" r:id="rId1853" xr:uid="{00000000-0004-0000-0000-00003C070000}"/>
    <hyperlink ref="D1855" r:id="rId1854" xr:uid="{00000000-0004-0000-0000-00003D070000}"/>
    <hyperlink ref="D1856" r:id="rId1855" xr:uid="{00000000-0004-0000-0000-00003E070000}"/>
    <hyperlink ref="D1857" r:id="rId1856" xr:uid="{00000000-0004-0000-0000-00003F070000}"/>
    <hyperlink ref="D1858" r:id="rId1857" xr:uid="{00000000-0004-0000-0000-000040070000}"/>
    <hyperlink ref="D1859" r:id="rId1858" xr:uid="{00000000-0004-0000-0000-000041070000}"/>
    <hyperlink ref="D1860" r:id="rId1859" xr:uid="{00000000-0004-0000-0000-000042070000}"/>
    <hyperlink ref="D1861" r:id="rId1860" xr:uid="{00000000-0004-0000-0000-000043070000}"/>
    <hyperlink ref="D1862" r:id="rId1861" xr:uid="{00000000-0004-0000-0000-000044070000}"/>
    <hyperlink ref="D1863" r:id="rId1862" xr:uid="{00000000-0004-0000-0000-000045070000}"/>
    <hyperlink ref="D1864" r:id="rId1863" xr:uid="{00000000-0004-0000-0000-000046070000}"/>
    <hyperlink ref="D1865" r:id="rId1864" xr:uid="{00000000-0004-0000-0000-000047070000}"/>
    <hyperlink ref="D1866" r:id="rId1865" xr:uid="{00000000-0004-0000-0000-000048070000}"/>
    <hyperlink ref="D1867" r:id="rId1866" xr:uid="{00000000-0004-0000-0000-000049070000}"/>
    <hyperlink ref="D1868" r:id="rId1867" xr:uid="{00000000-0004-0000-0000-00004A070000}"/>
    <hyperlink ref="D1869" r:id="rId1868" xr:uid="{00000000-0004-0000-0000-00004B070000}"/>
    <hyperlink ref="D1870" r:id="rId1869" xr:uid="{00000000-0004-0000-0000-00004C070000}"/>
    <hyperlink ref="D1871" r:id="rId1870" xr:uid="{00000000-0004-0000-0000-00004D070000}"/>
    <hyperlink ref="D1872" r:id="rId1871" xr:uid="{00000000-0004-0000-0000-00004E070000}"/>
    <hyperlink ref="D1873" r:id="rId1872" xr:uid="{00000000-0004-0000-0000-00004F070000}"/>
    <hyperlink ref="D1874" r:id="rId1873" xr:uid="{00000000-0004-0000-0000-000050070000}"/>
    <hyperlink ref="D1875" r:id="rId1874" xr:uid="{00000000-0004-0000-0000-000051070000}"/>
    <hyperlink ref="D1876" r:id="rId1875" xr:uid="{00000000-0004-0000-0000-000052070000}"/>
    <hyperlink ref="D1877" r:id="rId1876" xr:uid="{00000000-0004-0000-0000-000053070000}"/>
    <hyperlink ref="D1878" r:id="rId1877" xr:uid="{00000000-0004-0000-0000-000054070000}"/>
    <hyperlink ref="D1879" r:id="rId1878" xr:uid="{00000000-0004-0000-0000-000055070000}"/>
    <hyperlink ref="D1880" r:id="rId1879" xr:uid="{00000000-0004-0000-0000-000056070000}"/>
    <hyperlink ref="D1881" r:id="rId1880" xr:uid="{00000000-0004-0000-0000-000057070000}"/>
    <hyperlink ref="D1882" r:id="rId1881" xr:uid="{00000000-0004-0000-0000-000058070000}"/>
    <hyperlink ref="D1883" r:id="rId1882" xr:uid="{00000000-0004-0000-0000-000059070000}"/>
    <hyperlink ref="D1884" r:id="rId1883" xr:uid="{00000000-0004-0000-0000-00005A070000}"/>
    <hyperlink ref="D1885" r:id="rId1884" xr:uid="{00000000-0004-0000-0000-00005B070000}"/>
    <hyperlink ref="D1886" r:id="rId1885" xr:uid="{00000000-0004-0000-0000-00005C070000}"/>
    <hyperlink ref="D1887" r:id="rId1886" xr:uid="{00000000-0004-0000-0000-00005D070000}"/>
    <hyperlink ref="D1888" r:id="rId1887" xr:uid="{00000000-0004-0000-0000-00005E070000}"/>
    <hyperlink ref="D1889" r:id="rId1888" xr:uid="{00000000-0004-0000-0000-00005F070000}"/>
    <hyperlink ref="D1890" r:id="rId1889" xr:uid="{00000000-0004-0000-0000-000060070000}"/>
    <hyperlink ref="D1891" r:id="rId1890" xr:uid="{00000000-0004-0000-0000-000061070000}"/>
    <hyperlink ref="D1892" r:id="rId1891" xr:uid="{00000000-0004-0000-0000-000062070000}"/>
    <hyperlink ref="D1893" r:id="rId1892" xr:uid="{00000000-0004-0000-0000-000063070000}"/>
    <hyperlink ref="D1894" r:id="rId1893" xr:uid="{00000000-0004-0000-0000-000064070000}"/>
    <hyperlink ref="D1895" r:id="rId1894" xr:uid="{00000000-0004-0000-0000-000065070000}"/>
    <hyperlink ref="D1896" r:id="rId1895" xr:uid="{00000000-0004-0000-0000-000066070000}"/>
    <hyperlink ref="D1897" r:id="rId1896" xr:uid="{00000000-0004-0000-0000-000067070000}"/>
    <hyperlink ref="D1898" r:id="rId1897" xr:uid="{00000000-0004-0000-0000-000068070000}"/>
    <hyperlink ref="D1899" r:id="rId1898" xr:uid="{00000000-0004-0000-0000-000069070000}"/>
    <hyperlink ref="D1900" r:id="rId1899" xr:uid="{00000000-0004-0000-0000-00006A070000}"/>
    <hyperlink ref="D1901" r:id="rId1900" xr:uid="{00000000-0004-0000-0000-00006B070000}"/>
    <hyperlink ref="D1902" r:id="rId1901" xr:uid="{00000000-0004-0000-0000-00006C070000}"/>
    <hyperlink ref="D1903" r:id="rId1902" xr:uid="{00000000-0004-0000-0000-00006D070000}"/>
    <hyperlink ref="D1904" r:id="rId1903" xr:uid="{00000000-0004-0000-0000-00006E070000}"/>
    <hyperlink ref="D1905" r:id="rId1904" xr:uid="{00000000-0004-0000-0000-00006F070000}"/>
    <hyperlink ref="D1906" r:id="rId1905" xr:uid="{00000000-0004-0000-0000-000070070000}"/>
    <hyperlink ref="D1907" r:id="rId1906" xr:uid="{00000000-0004-0000-0000-000071070000}"/>
    <hyperlink ref="D1908" r:id="rId1907" xr:uid="{00000000-0004-0000-0000-000072070000}"/>
    <hyperlink ref="D1909" r:id="rId1908" xr:uid="{00000000-0004-0000-0000-000073070000}"/>
    <hyperlink ref="D1910" r:id="rId1909" xr:uid="{00000000-0004-0000-0000-000074070000}"/>
    <hyperlink ref="D1911" r:id="rId1910" xr:uid="{00000000-0004-0000-0000-000075070000}"/>
    <hyperlink ref="D1912" r:id="rId1911" xr:uid="{00000000-0004-0000-0000-000076070000}"/>
    <hyperlink ref="D1913" r:id="rId1912" xr:uid="{00000000-0004-0000-0000-000077070000}"/>
    <hyperlink ref="D1914" r:id="rId1913" xr:uid="{00000000-0004-0000-0000-000078070000}"/>
    <hyperlink ref="D1915" r:id="rId1914" xr:uid="{00000000-0004-0000-0000-000079070000}"/>
    <hyperlink ref="D1916" r:id="rId1915" xr:uid="{00000000-0004-0000-0000-00007A070000}"/>
    <hyperlink ref="D1917" r:id="rId1916" xr:uid="{00000000-0004-0000-0000-00007B070000}"/>
    <hyperlink ref="D1918" r:id="rId1917" xr:uid="{00000000-0004-0000-0000-00007C070000}"/>
    <hyperlink ref="D1919" r:id="rId1918" xr:uid="{00000000-0004-0000-0000-00007D070000}"/>
    <hyperlink ref="D1920" r:id="rId1919" xr:uid="{00000000-0004-0000-0000-00007E070000}"/>
    <hyperlink ref="D1921" r:id="rId1920" xr:uid="{00000000-0004-0000-0000-00007F070000}"/>
    <hyperlink ref="D1922" r:id="rId1921" xr:uid="{00000000-0004-0000-0000-000080070000}"/>
    <hyperlink ref="D1923" r:id="rId1922" xr:uid="{00000000-0004-0000-0000-000081070000}"/>
    <hyperlink ref="D1924" r:id="rId1923" xr:uid="{00000000-0004-0000-0000-000082070000}"/>
    <hyperlink ref="D1925" r:id="rId1924" xr:uid="{00000000-0004-0000-0000-000083070000}"/>
    <hyperlink ref="D1926" r:id="rId1925" xr:uid="{00000000-0004-0000-0000-000084070000}"/>
    <hyperlink ref="D1927" r:id="rId1926" xr:uid="{00000000-0004-0000-0000-000085070000}"/>
    <hyperlink ref="D1928" r:id="rId1927" xr:uid="{00000000-0004-0000-0000-000086070000}"/>
    <hyperlink ref="D1929" r:id="rId1928" xr:uid="{00000000-0004-0000-0000-000087070000}"/>
    <hyperlink ref="D1930" r:id="rId1929" xr:uid="{00000000-0004-0000-0000-000088070000}"/>
    <hyperlink ref="D1931" r:id="rId1930" xr:uid="{00000000-0004-0000-0000-000089070000}"/>
    <hyperlink ref="D1932" r:id="rId1931" xr:uid="{00000000-0004-0000-0000-00008A070000}"/>
    <hyperlink ref="D1933" r:id="rId1932" xr:uid="{00000000-0004-0000-0000-00008B070000}"/>
    <hyperlink ref="D1934" r:id="rId1933" xr:uid="{00000000-0004-0000-0000-00008C070000}"/>
    <hyperlink ref="D1935" r:id="rId1934" xr:uid="{00000000-0004-0000-0000-00008D070000}"/>
    <hyperlink ref="D1936" r:id="rId1935" xr:uid="{00000000-0004-0000-0000-00008E070000}"/>
    <hyperlink ref="D1937" r:id="rId1936" xr:uid="{00000000-0004-0000-0000-00008F070000}"/>
    <hyperlink ref="D1938" r:id="rId1937" xr:uid="{00000000-0004-0000-0000-000090070000}"/>
    <hyperlink ref="D1939" r:id="rId1938" xr:uid="{00000000-0004-0000-0000-000091070000}"/>
    <hyperlink ref="D1940" r:id="rId1939" xr:uid="{00000000-0004-0000-0000-000092070000}"/>
    <hyperlink ref="D1941" r:id="rId1940" xr:uid="{00000000-0004-0000-0000-000093070000}"/>
    <hyperlink ref="D1942" r:id="rId1941" xr:uid="{00000000-0004-0000-0000-000094070000}"/>
    <hyperlink ref="D1943" r:id="rId1942" xr:uid="{00000000-0004-0000-0000-000095070000}"/>
    <hyperlink ref="D1944" r:id="rId1943" xr:uid="{00000000-0004-0000-0000-000096070000}"/>
    <hyperlink ref="D1945" r:id="rId1944" xr:uid="{00000000-0004-0000-0000-000097070000}"/>
    <hyperlink ref="D1946" r:id="rId1945" xr:uid="{00000000-0004-0000-0000-000098070000}"/>
    <hyperlink ref="D1947" r:id="rId1946" xr:uid="{00000000-0004-0000-0000-000099070000}"/>
    <hyperlink ref="D1948" r:id="rId1947" xr:uid="{00000000-0004-0000-0000-00009A070000}"/>
    <hyperlink ref="D1949" r:id="rId1948" xr:uid="{00000000-0004-0000-0000-00009B070000}"/>
    <hyperlink ref="D1950" r:id="rId1949" xr:uid="{00000000-0004-0000-0000-00009C070000}"/>
    <hyperlink ref="D1951" r:id="rId1950" xr:uid="{00000000-0004-0000-0000-00009D070000}"/>
    <hyperlink ref="D1952" r:id="rId1951" xr:uid="{00000000-0004-0000-0000-00009E070000}"/>
    <hyperlink ref="D1953" r:id="rId1952" xr:uid="{00000000-0004-0000-0000-00009F070000}"/>
    <hyperlink ref="D1954" r:id="rId1953" xr:uid="{00000000-0004-0000-0000-0000A0070000}"/>
    <hyperlink ref="D1955" r:id="rId1954" xr:uid="{00000000-0004-0000-0000-0000A1070000}"/>
    <hyperlink ref="D1956" r:id="rId1955" xr:uid="{00000000-0004-0000-0000-0000A2070000}"/>
    <hyperlink ref="D1957" r:id="rId1956" xr:uid="{00000000-0004-0000-0000-0000A3070000}"/>
    <hyperlink ref="D1958" r:id="rId1957" xr:uid="{00000000-0004-0000-0000-0000A4070000}"/>
    <hyperlink ref="D1959" r:id="rId1958" xr:uid="{00000000-0004-0000-0000-0000A5070000}"/>
    <hyperlink ref="D1960" r:id="rId1959" xr:uid="{00000000-0004-0000-0000-0000A6070000}"/>
    <hyperlink ref="D1961" r:id="rId1960" xr:uid="{00000000-0004-0000-0000-0000A7070000}"/>
    <hyperlink ref="D1962" r:id="rId1961" xr:uid="{00000000-0004-0000-0000-0000A8070000}"/>
    <hyperlink ref="D1963" r:id="rId1962" xr:uid="{00000000-0004-0000-0000-0000A9070000}"/>
    <hyperlink ref="D1964" r:id="rId1963" xr:uid="{00000000-0004-0000-0000-0000AA070000}"/>
    <hyperlink ref="D1965" r:id="rId1964" xr:uid="{00000000-0004-0000-0000-0000AB070000}"/>
    <hyperlink ref="D1966" r:id="rId1965" xr:uid="{00000000-0004-0000-0000-0000AC070000}"/>
    <hyperlink ref="D1967" r:id="rId1966" xr:uid="{00000000-0004-0000-0000-0000AD070000}"/>
    <hyperlink ref="D1968" r:id="rId1967" xr:uid="{00000000-0004-0000-0000-0000AE070000}"/>
    <hyperlink ref="D1969" r:id="rId1968" xr:uid="{00000000-0004-0000-0000-0000AF070000}"/>
    <hyperlink ref="D1970" r:id="rId1969" xr:uid="{00000000-0004-0000-0000-0000B0070000}"/>
    <hyperlink ref="D1971" r:id="rId1970" xr:uid="{00000000-0004-0000-0000-0000B1070000}"/>
    <hyperlink ref="D1972" r:id="rId1971" xr:uid="{00000000-0004-0000-0000-0000B2070000}"/>
    <hyperlink ref="D1973" r:id="rId1972" xr:uid="{00000000-0004-0000-0000-0000B3070000}"/>
    <hyperlink ref="D1974" r:id="rId1973" xr:uid="{00000000-0004-0000-0000-0000B4070000}"/>
    <hyperlink ref="D1975" r:id="rId1974" xr:uid="{00000000-0004-0000-0000-0000B5070000}"/>
    <hyperlink ref="D1976" r:id="rId1975" xr:uid="{00000000-0004-0000-0000-0000B6070000}"/>
    <hyperlink ref="D1977" r:id="rId1976" xr:uid="{00000000-0004-0000-0000-0000B7070000}"/>
    <hyperlink ref="D1978" r:id="rId1977" xr:uid="{00000000-0004-0000-0000-0000B8070000}"/>
    <hyperlink ref="D1979" r:id="rId1978" xr:uid="{00000000-0004-0000-0000-0000B9070000}"/>
    <hyperlink ref="D1980" r:id="rId1979" xr:uid="{00000000-0004-0000-0000-0000BA070000}"/>
    <hyperlink ref="D1981" r:id="rId1980" xr:uid="{00000000-0004-0000-0000-0000BB070000}"/>
    <hyperlink ref="D1982" r:id="rId1981" xr:uid="{00000000-0004-0000-0000-0000BC070000}"/>
    <hyperlink ref="D1983" r:id="rId1982" xr:uid="{00000000-0004-0000-0000-0000BD070000}"/>
    <hyperlink ref="D1984" r:id="rId1983" xr:uid="{00000000-0004-0000-0000-0000BE070000}"/>
    <hyperlink ref="D1985" r:id="rId1984" xr:uid="{00000000-0004-0000-0000-0000BF070000}"/>
    <hyperlink ref="D1986" r:id="rId1985" xr:uid="{00000000-0004-0000-0000-0000C0070000}"/>
    <hyperlink ref="D1987" r:id="rId1986" xr:uid="{00000000-0004-0000-0000-0000C1070000}"/>
    <hyperlink ref="D1988" r:id="rId1987" xr:uid="{00000000-0004-0000-0000-0000C2070000}"/>
    <hyperlink ref="D1989" r:id="rId1988" xr:uid="{00000000-0004-0000-0000-0000C3070000}"/>
    <hyperlink ref="D1990" r:id="rId1989" xr:uid="{00000000-0004-0000-0000-0000C4070000}"/>
    <hyperlink ref="D1991" r:id="rId1990" xr:uid="{00000000-0004-0000-0000-0000C5070000}"/>
    <hyperlink ref="D1992" r:id="rId1991" xr:uid="{00000000-0004-0000-0000-0000C6070000}"/>
    <hyperlink ref="D1993" r:id="rId1992" xr:uid="{00000000-0004-0000-0000-0000C7070000}"/>
    <hyperlink ref="D1994" r:id="rId1993" xr:uid="{00000000-0004-0000-0000-0000C8070000}"/>
    <hyperlink ref="D1995" r:id="rId1994" xr:uid="{00000000-0004-0000-0000-0000C9070000}"/>
    <hyperlink ref="D1996" r:id="rId1995" xr:uid="{00000000-0004-0000-0000-0000CA070000}"/>
    <hyperlink ref="D1997" r:id="rId1996" xr:uid="{00000000-0004-0000-0000-0000CB070000}"/>
    <hyperlink ref="D1998" r:id="rId1997" xr:uid="{00000000-0004-0000-0000-0000CC070000}"/>
    <hyperlink ref="D1999" r:id="rId1998" xr:uid="{00000000-0004-0000-0000-0000CD070000}"/>
    <hyperlink ref="D2000" r:id="rId1999" xr:uid="{00000000-0004-0000-0000-0000CE070000}"/>
    <hyperlink ref="D2001" r:id="rId2000" xr:uid="{00000000-0004-0000-0000-0000CF070000}"/>
    <hyperlink ref="D2002" r:id="rId2001" xr:uid="{00000000-0004-0000-0000-0000D0070000}"/>
    <hyperlink ref="D2003" r:id="rId2002" xr:uid="{00000000-0004-0000-0000-0000D1070000}"/>
    <hyperlink ref="D2004" r:id="rId2003" xr:uid="{00000000-0004-0000-0000-0000D2070000}"/>
    <hyperlink ref="D2005" r:id="rId2004" xr:uid="{00000000-0004-0000-0000-0000D3070000}"/>
    <hyperlink ref="D2006" r:id="rId2005" xr:uid="{00000000-0004-0000-0000-0000D4070000}"/>
    <hyperlink ref="D2007" r:id="rId2006" xr:uid="{00000000-0004-0000-0000-0000D5070000}"/>
    <hyperlink ref="D2008" r:id="rId2007" xr:uid="{00000000-0004-0000-0000-0000D6070000}"/>
    <hyperlink ref="D2009" r:id="rId2008" xr:uid="{00000000-0004-0000-0000-0000D7070000}"/>
    <hyperlink ref="D2010" r:id="rId2009" xr:uid="{00000000-0004-0000-0000-0000D8070000}"/>
    <hyperlink ref="D2011" r:id="rId2010" xr:uid="{00000000-0004-0000-0000-0000D9070000}"/>
    <hyperlink ref="D2012" r:id="rId2011" xr:uid="{00000000-0004-0000-0000-0000DA070000}"/>
    <hyperlink ref="D2013" r:id="rId2012" xr:uid="{00000000-0004-0000-0000-0000DB070000}"/>
    <hyperlink ref="D2014" r:id="rId2013" xr:uid="{00000000-0004-0000-0000-0000DC070000}"/>
    <hyperlink ref="D2015" r:id="rId2014" xr:uid="{00000000-0004-0000-0000-0000DD070000}"/>
    <hyperlink ref="D2016" r:id="rId2015" xr:uid="{00000000-0004-0000-0000-0000DE070000}"/>
    <hyperlink ref="D2017" r:id="rId2016" xr:uid="{00000000-0004-0000-0000-0000DF070000}"/>
    <hyperlink ref="D2018" r:id="rId2017" xr:uid="{00000000-0004-0000-0000-0000E0070000}"/>
    <hyperlink ref="D2019" r:id="rId2018" xr:uid="{00000000-0004-0000-0000-0000E1070000}"/>
    <hyperlink ref="D2020" r:id="rId2019" xr:uid="{00000000-0004-0000-0000-0000E2070000}"/>
    <hyperlink ref="D2021" r:id="rId2020" xr:uid="{00000000-0004-0000-0000-0000E3070000}"/>
    <hyperlink ref="D2022" r:id="rId2021" xr:uid="{00000000-0004-0000-0000-0000E4070000}"/>
    <hyperlink ref="D2023" r:id="rId2022" xr:uid="{00000000-0004-0000-0000-0000E5070000}"/>
    <hyperlink ref="D2024" r:id="rId2023" xr:uid="{00000000-0004-0000-0000-0000E6070000}"/>
    <hyperlink ref="D2025" r:id="rId2024" xr:uid="{00000000-0004-0000-0000-0000E7070000}"/>
    <hyperlink ref="D2026" r:id="rId2025" xr:uid="{00000000-0004-0000-0000-0000E8070000}"/>
    <hyperlink ref="D2027" r:id="rId2026" xr:uid="{00000000-0004-0000-0000-0000E9070000}"/>
    <hyperlink ref="D2028" r:id="rId2027" xr:uid="{00000000-0004-0000-0000-0000EA070000}"/>
    <hyperlink ref="D2029" r:id="rId2028" xr:uid="{00000000-0004-0000-0000-0000EB070000}"/>
    <hyperlink ref="D2030" r:id="rId2029" xr:uid="{00000000-0004-0000-0000-0000EC070000}"/>
    <hyperlink ref="D2031" r:id="rId2030" xr:uid="{00000000-0004-0000-0000-0000ED070000}"/>
    <hyperlink ref="D2032" r:id="rId2031" xr:uid="{00000000-0004-0000-0000-0000EE070000}"/>
    <hyperlink ref="D2033" r:id="rId2032" xr:uid="{00000000-0004-0000-0000-0000EF070000}"/>
    <hyperlink ref="D2034" r:id="rId2033" xr:uid="{00000000-0004-0000-0000-0000F0070000}"/>
    <hyperlink ref="D2035" r:id="rId2034" xr:uid="{00000000-0004-0000-0000-0000F1070000}"/>
    <hyperlink ref="D2036" r:id="rId2035" xr:uid="{00000000-0004-0000-0000-0000F2070000}"/>
    <hyperlink ref="D2037" r:id="rId2036" xr:uid="{00000000-0004-0000-0000-0000F3070000}"/>
    <hyperlink ref="D2038" r:id="rId2037" xr:uid="{00000000-0004-0000-0000-0000F4070000}"/>
    <hyperlink ref="D2039" r:id="rId2038" xr:uid="{00000000-0004-0000-0000-0000F5070000}"/>
    <hyperlink ref="D2040" r:id="rId2039" xr:uid="{00000000-0004-0000-0000-0000F6070000}"/>
    <hyperlink ref="D2041" r:id="rId2040" xr:uid="{00000000-0004-0000-0000-0000F7070000}"/>
    <hyperlink ref="D2042" r:id="rId2041" xr:uid="{00000000-0004-0000-0000-0000F8070000}"/>
    <hyperlink ref="D2043" r:id="rId2042" xr:uid="{00000000-0004-0000-0000-0000F9070000}"/>
    <hyperlink ref="D2044" r:id="rId2043" xr:uid="{00000000-0004-0000-0000-0000FA070000}"/>
    <hyperlink ref="D2045" r:id="rId2044" xr:uid="{00000000-0004-0000-0000-0000FB070000}"/>
    <hyperlink ref="D2046" r:id="rId2045" xr:uid="{00000000-0004-0000-0000-0000FC070000}"/>
    <hyperlink ref="D2047" r:id="rId2046" xr:uid="{00000000-0004-0000-0000-0000FD070000}"/>
    <hyperlink ref="D2048" r:id="rId2047" xr:uid="{00000000-0004-0000-0000-0000FE070000}"/>
    <hyperlink ref="D2049" r:id="rId2048" xr:uid="{00000000-0004-0000-0000-0000FF070000}"/>
    <hyperlink ref="D2050" r:id="rId2049" xr:uid="{00000000-0004-0000-0000-000000080000}"/>
    <hyperlink ref="D2051" r:id="rId2050" xr:uid="{00000000-0004-0000-0000-000001080000}"/>
    <hyperlink ref="D2052" r:id="rId2051" xr:uid="{00000000-0004-0000-0000-000002080000}"/>
    <hyperlink ref="D2053" r:id="rId2052" xr:uid="{00000000-0004-0000-0000-000003080000}"/>
    <hyperlink ref="D2054" r:id="rId2053" xr:uid="{00000000-0004-0000-0000-000004080000}"/>
    <hyperlink ref="D2055" r:id="rId2054" xr:uid="{00000000-0004-0000-0000-000005080000}"/>
    <hyperlink ref="D2056" r:id="rId2055" xr:uid="{00000000-0004-0000-0000-000006080000}"/>
    <hyperlink ref="D2057" r:id="rId2056" xr:uid="{00000000-0004-0000-0000-000007080000}"/>
    <hyperlink ref="D2058" r:id="rId2057" xr:uid="{00000000-0004-0000-0000-000008080000}"/>
    <hyperlink ref="D2059" r:id="rId2058" xr:uid="{00000000-0004-0000-0000-000009080000}"/>
    <hyperlink ref="D2060" r:id="rId2059" xr:uid="{00000000-0004-0000-0000-00000A080000}"/>
    <hyperlink ref="D2061" r:id="rId2060" xr:uid="{00000000-0004-0000-0000-00000B080000}"/>
    <hyperlink ref="D2062" r:id="rId2061" xr:uid="{00000000-0004-0000-0000-00000C080000}"/>
    <hyperlink ref="D2063" r:id="rId2062" xr:uid="{00000000-0004-0000-0000-00000D080000}"/>
    <hyperlink ref="D2064" r:id="rId2063" xr:uid="{00000000-0004-0000-0000-00000E080000}"/>
    <hyperlink ref="D2065" r:id="rId2064" xr:uid="{00000000-0004-0000-0000-00000F080000}"/>
    <hyperlink ref="D2066" r:id="rId2065" xr:uid="{00000000-0004-0000-0000-000010080000}"/>
    <hyperlink ref="D2067" r:id="rId2066" xr:uid="{00000000-0004-0000-0000-000011080000}"/>
    <hyperlink ref="D2068" r:id="rId2067" xr:uid="{00000000-0004-0000-0000-000012080000}"/>
    <hyperlink ref="D2069" r:id="rId2068" xr:uid="{00000000-0004-0000-0000-000013080000}"/>
    <hyperlink ref="D2070" r:id="rId2069" xr:uid="{00000000-0004-0000-0000-000014080000}"/>
    <hyperlink ref="D2071" r:id="rId2070" xr:uid="{00000000-0004-0000-0000-000015080000}"/>
    <hyperlink ref="D2072" r:id="rId2071" xr:uid="{00000000-0004-0000-0000-000016080000}"/>
    <hyperlink ref="D2073" r:id="rId2072" xr:uid="{00000000-0004-0000-0000-000017080000}"/>
    <hyperlink ref="D2074" r:id="rId2073" xr:uid="{00000000-0004-0000-0000-000018080000}"/>
    <hyperlink ref="D2075" r:id="rId2074" xr:uid="{00000000-0004-0000-0000-000019080000}"/>
    <hyperlink ref="D2076" r:id="rId2075" xr:uid="{00000000-0004-0000-0000-00001A080000}"/>
    <hyperlink ref="D2077" r:id="rId2076" xr:uid="{00000000-0004-0000-0000-00001B080000}"/>
    <hyperlink ref="D2078" r:id="rId2077" xr:uid="{00000000-0004-0000-0000-00001C080000}"/>
    <hyperlink ref="D2079" r:id="rId2078" xr:uid="{00000000-0004-0000-0000-00001D080000}"/>
    <hyperlink ref="D2080" r:id="rId2079" xr:uid="{00000000-0004-0000-0000-00001E080000}"/>
    <hyperlink ref="D2081" r:id="rId2080" xr:uid="{00000000-0004-0000-0000-00001F080000}"/>
    <hyperlink ref="D2082" r:id="rId2081" xr:uid="{00000000-0004-0000-0000-000020080000}"/>
    <hyperlink ref="D2083" r:id="rId2082" xr:uid="{00000000-0004-0000-0000-000021080000}"/>
    <hyperlink ref="D2084" r:id="rId2083" xr:uid="{00000000-0004-0000-0000-000022080000}"/>
    <hyperlink ref="D2085" r:id="rId2084" xr:uid="{00000000-0004-0000-0000-000023080000}"/>
    <hyperlink ref="D2086" r:id="rId2085" xr:uid="{00000000-0004-0000-0000-000024080000}"/>
    <hyperlink ref="D2087" r:id="rId2086" xr:uid="{00000000-0004-0000-0000-000025080000}"/>
    <hyperlink ref="D2088" r:id="rId2087" xr:uid="{00000000-0004-0000-0000-000026080000}"/>
    <hyperlink ref="D2089" r:id="rId2088" xr:uid="{00000000-0004-0000-0000-000027080000}"/>
    <hyperlink ref="D2090" r:id="rId2089" xr:uid="{00000000-0004-0000-0000-000028080000}"/>
    <hyperlink ref="D2091" r:id="rId2090" xr:uid="{00000000-0004-0000-0000-000029080000}"/>
    <hyperlink ref="D2092" r:id="rId2091" xr:uid="{00000000-0004-0000-0000-00002A080000}"/>
    <hyperlink ref="D2093" r:id="rId2092" xr:uid="{00000000-0004-0000-0000-00002B080000}"/>
    <hyperlink ref="D2094" r:id="rId2093" xr:uid="{00000000-0004-0000-0000-00002C080000}"/>
    <hyperlink ref="D2095" r:id="rId2094" xr:uid="{00000000-0004-0000-0000-00002D080000}"/>
    <hyperlink ref="D2096" r:id="rId2095" xr:uid="{00000000-0004-0000-0000-00002E080000}"/>
    <hyperlink ref="D2097" r:id="rId2096" xr:uid="{00000000-0004-0000-0000-00002F080000}"/>
    <hyperlink ref="D2098" r:id="rId2097" xr:uid="{00000000-0004-0000-0000-000030080000}"/>
    <hyperlink ref="D2099" r:id="rId2098" xr:uid="{00000000-0004-0000-0000-000031080000}"/>
    <hyperlink ref="D2100" r:id="rId2099" xr:uid="{00000000-0004-0000-0000-000032080000}"/>
    <hyperlink ref="D2101" r:id="rId2100" xr:uid="{00000000-0004-0000-0000-000033080000}"/>
    <hyperlink ref="D2102" r:id="rId2101" xr:uid="{00000000-0004-0000-0000-000034080000}"/>
    <hyperlink ref="D2103" r:id="rId2102" xr:uid="{00000000-0004-0000-0000-000035080000}"/>
    <hyperlink ref="D2104" r:id="rId2103" xr:uid="{00000000-0004-0000-0000-000036080000}"/>
    <hyperlink ref="D2105" r:id="rId2104" xr:uid="{00000000-0004-0000-0000-000037080000}"/>
    <hyperlink ref="D2106" r:id="rId2105" xr:uid="{00000000-0004-0000-0000-000038080000}"/>
    <hyperlink ref="D2107" r:id="rId2106" xr:uid="{00000000-0004-0000-0000-000039080000}"/>
    <hyperlink ref="D2108" r:id="rId2107" xr:uid="{00000000-0004-0000-0000-00003A080000}"/>
    <hyperlink ref="D2109" r:id="rId2108" xr:uid="{00000000-0004-0000-0000-00003B080000}"/>
    <hyperlink ref="D2110" r:id="rId2109" xr:uid="{00000000-0004-0000-0000-00003C080000}"/>
    <hyperlink ref="D2111" r:id="rId2110" xr:uid="{00000000-0004-0000-0000-00003D080000}"/>
    <hyperlink ref="D2112" r:id="rId2111" xr:uid="{00000000-0004-0000-0000-00003E080000}"/>
    <hyperlink ref="D2113" r:id="rId2112" xr:uid="{00000000-0004-0000-0000-00003F080000}"/>
    <hyperlink ref="D2114" r:id="rId2113" xr:uid="{00000000-0004-0000-0000-000040080000}"/>
    <hyperlink ref="D2115" r:id="rId2114" xr:uid="{00000000-0004-0000-0000-000041080000}"/>
    <hyperlink ref="D2116" r:id="rId2115" xr:uid="{00000000-0004-0000-0000-000042080000}"/>
    <hyperlink ref="D2117" r:id="rId2116" xr:uid="{00000000-0004-0000-0000-000043080000}"/>
    <hyperlink ref="D2118" r:id="rId2117" xr:uid="{00000000-0004-0000-0000-000044080000}"/>
    <hyperlink ref="D2119" r:id="rId2118" xr:uid="{00000000-0004-0000-0000-000045080000}"/>
    <hyperlink ref="D2120" r:id="rId2119" xr:uid="{00000000-0004-0000-0000-000046080000}"/>
    <hyperlink ref="D2121" r:id="rId2120" xr:uid="{00000000-0004-0000-0000-000047080000}"/>
    <hyperlink ref="D2122" r:id="rId2121" xr:uid="{00000000-0004-0000-0000-000048080000}"/>
    <hyperlink ref="D2123" r:id="rId2122" xr:uid="{00000000-0004-0000-0000-000049080000}"/>
    <hyperlink ref="D2124" r:id="rId2123" xr:uid="{00000000-0004-0000-0000-00004A080000}"/>
    <hyperlink ref="D2125" r:id="rId2124" xr:uid="{00000000-0004-0000-0000-00004B080000}"/>
    <hyperlink ref="D2126" r:id="rId2125" xr:uid="{00000000-0004-0000-0000-00004C080000}"/>
    <hyperlink ref="D2127" r:id="rId2126" xr:uid="{00000000-0004-0000-0000-00004D080000}"/>
    <hyperlink ref="D2128" r:id="rId2127" xr:uid="{00000000-0004-0000-0000-00004E080000}"/>
    <hyperlink ref="D2129" r:id="rId2128" xr:uid="{00000000-0004-0000-0000-00004F080000}"/>
    <hyperlink ref="D2130" r:id="rId2129" xr:uid="{00000000-0004-0000-0000-000050080000}"/>
    <hyperlink ref="D2131" r:id="rId2130" xr:uid="{00000000-0004-0000-0000-000051080000}"/>
    <hyperlink ref="D2132" r:id="rId2131" xr:uid="{00000000-0004-0000-0000-000052080000}"/>
    <hyperlink ref="D2133" r:id="rId2132" xr:uid="{00000000-0004-0000-0000-000053080000}"/>
    <hyperlink ref="D2134" r:id="rId2133" xr:uid="{00000000-0004-0000-0000-000054080000}"/>
    <hyperlink ref="D2135" r:id="rId2134" xr:uid="{00000000-0004-0000-0000-000055080000}"/>
    <hyperlink ref="D2136" r:id="rId2135" xr:uid="{00000000-0004-0000-0000-000056080000}"/>
    <hyperlink ref="D2137" r:id="rId2136" xr:uid="{00000000-0004-0000-0000-000057080000}"/>
    <hyperlink ref="D2138" r:id="rId2137" xr:uid="{00000000-0004-0000-0000-000058080000}"/>
    <hyperlink ref="D2139" r:id="rId2138" xr:uid="{00000000-0004-0000-0000-000059080000}"/>
    <hyperlink ref="D2140" r:id="rId2139" xr:uid="{00000000-0004-0000-0000-00005A080000}"/>
    <hyperlink ref="D2141" r:id="rId2140" xr:uid="{00000000-0004-0000-0000-00005B080000}"/>
    <hyperlink ref="D2142" r:id="rId2141" xr:uid="{00000000-0004-0000-0000-00005C080000}"/>
    <hyperlink ref="D2143" r:id="rId2142" xr:uid="{00000000-0004-0000-0000-00005D080000}"/>
    <hyperlink ref="D2144" r:id="rId2143" xr:uid="{00000000-0004-0000-0000-00005E080000}"/>
    <hyperlink ref="D2145" r:id="rId2144" xr:uid="{00000000-0004-0000-0000-00005F080000}"/>
    <hyperlink ref="D2146" r:id="rId2145" xr:uid="{00000000-0004-0000-0000-000060080000}"/>
    <hyperlink ref="D2147" r:id="rId2146" xr:uid="{00000000-0004-0000-0000-000061080000}"/>
    <hyperlink ref="D2148" r:id="rId2147" xr:uid="{00000000-0004-0000-0000-000062080000}"/>
    <hyperlink ref="D2149" r:id="rId2148" xr:uid="{00000000-0004-0000-0000-000063080000}"/>
    <hyperlink ref="D2150" r:id="rId2149" xr:uid="{00000000-0004-0000-0000-000064080000}"/>
    <hyperlink ref="D2151" r:id="rId2150" xr:uid="{00000000-0004-0000-0000-000065080000}"/>
    <hyperlink ref="D2152" r:id="rId2151" xr:uid="{00000000-0004-0000-0000-000066080000}"/>
    <hyperlink ref="D2153" r:id="rId2152" xr:uid="{00000000-0004-0000-0000-000067080000}"/>
    <hyperlink ref="D2154" r:id="rId2153" xr:uid="{00000000-0004-0000-0000-000068080000}"/>
    <hyperlink ref="D2155" r:id="rId2154" xr:uid="{00000000-0004-0000-0000-000069080000}"/>
    <hyperlink ref="D2156" r:id="rId2155" xr:uid="{00000000-0004-0000-0000-00006A080000}"/>
    <hyperlink ref="D2157" r:id="rId2156" xr:uid="{00000000-0004-0000-0000-00006B080000}"/>
    <hyperlink ref="D2158" r:id="rId2157" xr:uid="{00000000-0004-0000-0000-00006C080000}"/>
    <hyperlink ref="D2159" r:id="rId2158" xr:uid="{00000000-0004-0000-0000-00006D080000}"/>
    <hyperlink ref="D2160" r:id="rId2159" xr:uid="{00000000-0004-0000-0000-00006E080000}"/>
    <hyperlink ref="D2161" r:id="rId2160" xr:uid="{00000000-0004-0000-0000-00006F080000}"/>
    <hyperlink ref="D2162" r:id="rId2161" xr:uid="{00000000-0004-0000-0000-000070080000}"/>
    <hyperlink ref="D2163" r:id="rId2162" xr:uid="{00000000-0004-0000-0000-000071080000}"/>
    <hyperlink ref="D2164" r:id="rId2163" xr:uid="{00000000-0004-0000-0000-000072080000}"/>
    <hyperlink ref="D2165" r:id="rId2164" xr:uid="{00000000-0004-0000-0000-000073080000}"/>
    <hyperlink ref="D2166" r:id="rId2165" xr:uid="{00000000-0004-0000-0000-000074080000}"/>
    <hyperlink ref="D2167" r:id="rId2166" xr:uid="{00000000-0004-0000-0000-000075080000}"/>
    <hyperlink ref="D2168" r:id="rId2167" xr:uid="{00000000-0004-0000-0000-000076080000}"/>
    <hyperlink ref="D2169" r:id="rId2168" xr:uid="{00000000-0004-0000-0000-000077080000}"/>
    <hyperlink ref="D2170" r:id="rId2169" xr:uid="{00000000-0004-0000-0000-000078080000}"/>
    <hyperlink ref="D2171" r:id="rId2170" xr:uid="{00000000-0004-0000-0000-000079080000}"/>
    <hyperlink ref="D2172" r:id="rId2171" xr:uid="{00000000-0004-0000-0000-00007A080000}"/>
    <hyperlink ref="D2173" r:id="rId2172" xr:uid="{00000000-0004-0000-0000-00007B080000}"/>
    <hyperlink ref="D2174" r:id="rId2173" xr:uid="{00000000-0004-0000-0000-00007C080000}"/>
    <hyperlink ref="D2175" r:id="rId2174" xr:uid="{00000000-0004-0000-0000-00007D080000}"/>
    <hyperlink ref="D2176" r:id="rId2175" xr:uid="{00000000-0004-0000-0000-00007E080000}"/>
    <hyperlink ref="D2177" r:id="rId2176" xr:uid="{00000000-0004-0000-0000-00007F080000}"/>
    <hyperlink ref="D2178" r:id="rId2177" xr:uid="{00000000-0004-0000-0000-000080080000}"/>
    <hyperlink ref="D2179" r:id="rId2178" xr:uid="{00000000-0004-0000-0000-000081080000}"/>
    <hyperlink ref="D2180" r:id="rId2179" xr:uid="{00000000-0004-0000-0000-000082080000}"/>
    <hyperlink ref="D2181" r:id="rId2180" xr:uid="{00000000-0004-0000-0000-000083080000}"/>
    <hyperlink ref="D2182" r:id="rId2181" xr:uid="{00000000-0004-0000-0000-000084080000}"/>
    <hyperlink ref="D2183" r:id="rId2182" xr:uid="{00000000-0004-0000-0000-000085080000}"/>
    <hyperlink ref="D2184" r:id="rId2183" xr:uid="{00000000-0004-0000-0000-000086080000}"/>
    <hyperlink ref="D2185" r:id="rId2184" xr:uid="{00000000-0004-0000-0000-000087080000}"/>
    <hyperlink ref="D2186" r:id="rId2185" xr:uid="{00000000-0004-0000-0000-000088080000}"/>
    <hyperlink ref="D2187" r:id="rId2186" xr:uid="{00000000-0004-0000-0000-000089080000}"/>
    <hyperlink ref="D2188" r:id="rId2187" xr:uid="{00000000-0004-0000-0000-00008A080000}"/>
    <hyperlink ref="D2189" r:id="rId2188" xr:uid="{00000000-0004-0000-0000-00008B080000}"/>
    <hyperlink ref="D2190" r:id="rId2189" xr:uid="{00000000-0004-0000-0000-00008C080000}"/>
    <hyperlink ref="D2191" r:id="rId2190" xr:uid="{00000000-0004-0000-0000-00008D080000}"/>
    <hyperlink ref="D2192" r:id="rId2191" xr:uid="{00000000-0004-0000-0000-00008E080000}"/>
    <hyperlink ref="D2193" r:id="rId2192" xr:uid="{00000000-0004-0000-0000-00008F080000}"/>
    <hyperlink ref="D2194" r:id="rId2193" xr:uid="{00000000-0004-0000-0000-000090080000}"/>
    <hyperlink ref="D2195" r:id="rId2194" xr:uid="{00000000-0004-0000-0000-000091080000}"/>
    <hyperlink ref="D2196" r:id="rId2195" xr:uid="{00000000-0004-0000-0000-000092080000}"/>
    <hyperlink ref="D2197" r:id="rId2196" xr:uid="{00000000-0004-0000-0000-000093080000}"/>
    <hyperlink ref="D2198" r:id="rId2197" xr:uid="{00000000-0004-0000-0000-000094080000}"/>
    <hyperlink ref="D2199" r:id="rId2198" xr:uid="{00000000-0004-0000-0000-000095080000}"/>
    <hyperlink ref="D2200" r:id="rId2199" xr:uid="{00000000-0004-0000-0000-000096080000}"/>
    <hyperlink ref="D2201" r:id="rId2200" xr:uid="{00000000-0004-0000-0000-000097080000}"/>
    <hyperlink ref="D2202" r:id="rId2201" xr:uid="{00000000-0004-0000-0000-000098080000}"/>
    <hyperlink ref="D2203" r:id="rId2202" xr:uid="{00000000-0004-0000-0000-000099080000}"/>
    <hyperlink ref="D2204" r:id="rId2203" xr:uid="{00000000-0004-0000-0000-00009A080000}"/>
    <hyperlink ref="D2205" r:id="rId2204" xr:uid="{00000000-0004-0000-0000-00009B080000}"/>
    <hyperlink ref="D2206" r:id="rId2205" xr:uid="{00000000-0004-0000-0000-00009C080000}"/>
    <hyperlink ref="D2207" r:id="rId2206" xr:uid="{00000000-0004-0000-0000-00009D080000}"/>
    <hyperlink ref="D2208" r:id="rId2207" xr:uid="{00000000-0004-0000-0000-00009E080000}"/>
    <hyperlink ref="D2209" r:id="rId2208" xr:uid="{00000000-0004-0000-0000-00009F080000}"/>
    <hyperlink ref="D2210" r:id="rId2209" xr:uid="{00000000-0004-0000-0000-0000A0080000}"/>
    <hyperlink ref="D2211" r:id="rId2210" xr:uid="{00000000-0004-0000-0000-0000A1080000}"/>
    <hyperlink ref="D2212" r:id="rId2211" xr:uid="{00000000-0004-0000-0000-0000A2080000}"/>
    <hyperlink ref="D2213" r:id="rId2212" xr:uid="{00000000-0004-0000-0000-0000A3080000}"/>
    <hyperlink ref="D2214" r:id="rId2213" xr:uid="{00000000-0004-0000-0000-0000A4080000}"/>
    <hyperlink ref="D2215" r:id="rId2214" xr:uid="{00000000-0004-0000-0000-0000A5080000}"/>
    <hyperlink ref="D2216" r:id="rId2215" xr:uid="{00000000-0004-0000-0000-0000A6080000}"/>
    <hyperlink ref="D2217" r:id="rId2216" xr:uid="{00000000-0004-0000-0000-0000A7080000}"/>
    <hyperlink ref="D2218" r:id="rId2217" xr:uid="{00000000-0004-0000-0000-0000A8080000}"/>
    <hyperlink ref="D2219" r:id="rId2218" xr:uid="{00000000-0004-0000-0000-0000A9080000}"/>
    <hyperlink ref="D2220" r:id="rId2219" xr:uid="{00000000-0004-0000-0000-0000AA080000}"/>
    <hyperlink ref="D2221" r:id="rId2220" xr:uid="{00000000-0004-0000-0000-0000AB080000}"/>
    <hyperlink ref="D2222" r:id="rId2221" xr:uid="{00000000-0004-0000-0000-0000AC080000}"/>
    <hyperlink ref="D2223" r:id="rId2222" xr:uid="{00000000-0004-0000-0000-0000AD080000}"/>
    <hyperlink ref="D2224" r:id="rId2223" xr:uid="{00000000-0004-0000-0000-0000AE080000}"/>
    <hyperlink ref="D2225" r:id="rId2224" xr:uid="{00000000-0004-0000-0000-0000AF080000}"/>
    <hyperlink ref="D2226" r:id="rId2225" xr:uid="{00000000-0004-0000-0000-0000B0080000}"/>
    <hyperlink ref="D2227" r:id="rId2226" xr:uid="{00000000-0004-0000-0000-0000B1080000}"/>
    <hyperlink ref="D2228" r:id="rId2227" xr:uid="{00000000-0004-0000-0000-0000B2080000}"/>
    <hyperlink ref="D2229" r:id="rId2228" xr:uid="{00000000-0004-0000-0000-0000B3080000}"/>
    <hyperlink ref="D2230" r:id="rId2229" xr:uid="{00000000-0004-0000-0000-0000B4080000}"/>
    <hyperlink ref="D2231" r:id="rId2230" xr:uid="{00000000-0004-0000-0000-0000B5080000}"/>
    <hyperlink ref="D2232" r:id="rId2231" xr:uid="{00000000-0004-0000-0000-0000B6080000}"/>
    <hyperlink ref="D2233" r:id="rId2232" xr:uid="{00000000-0004-0000-0000-0000B7080000}"/>
    <hyperlink ref="D2234" r:id="rId2233" xr:uid="{00000000-0004-0000-0000-0000B8080000}"/>
    <hyperlink ref="D2235" r:id="rId2234" xr:uid="{00000000-0004-0000-0000-0000B9080000}"/>
    <hyperlink ref="D2236" r:id="rId2235" xr:uid="{00000000-0004-0000-0000-0000BA080000}"/>
    <hyperlink ref="D2237" r:id="rId2236" xr:uid="{00000000-0004-0000-0000-0000BB080000}"/>
    <hyperlink ref="D2238" r:id="rId2237" xr:uid="{00000000-0004-0000-0000-0000BC080000}"/>
    <hyperlink ref="D2239" r:id="rId2238" xr:uid="{00000000-0004-0000-0000-0000BD080000}"/>
    <hyperlink ref="D2240" r:id="rId2239" xr:uid="{00000000-0004-0000-0000-0000BE080000}"/>
    <hyperlink ref="D2241" r:id="rId2240" xr:uid="{00000000-0004-0000-0000-0000BF080000}"/>
    <hyperlink ref="D2242" r:id="rId2241" xr:uid="{00000000-0004-0000-0000-0000C0080000}"/>
    <hyperlink ref="D2243" r:id="rId2242" xr:uid="{00000000-0004-0000-0000-0000C1080000}"/>
    <hyperlink ref="D2244" r:id="rId2243" xr:uid="{00000000-0004-0000-0000-0000C2080000}"/>
    <hyperlink ref="D2245" r:id="rId2244" xr:uid="{00000000-0004-0000-0000-0000C3080000}"/>
    <hyperlink ref="D2246" r:id="rId2245" xr:uid="{00000000-0004-0000-0000-0000C4080000}"/>
    <hyperlink ref="D2247" r:id="rId2246" xr:uid="{00000000-0004-0000-0000-0000C5080000}"/>
    <hyperlink ref="D2248" r:id="rId2247" xr:uid="{00000000-0004-0000-0000-0000C6080000}"/>
    <hyperlink ref="D2249" r:id="rId2248" xr:uid="{00000000-0004-0000-0000-0000C7080000}"/>
    <hyperlink ref="D2250" r:id="rId2249" xr:uid="{00000000-0004-0000-0000-0000C8080000}"/>
    <hyperlink ref="D2251" r:id="rId2250" xr:uid="{00000000-0004-0000-0000-0000C9080000}"/>
    <hyperlink ref="D2252" r:id="rId2251" xr:uid="{00000000-0004-0000-0000-0000CA080000}"/>
    <hyperlink ref="D2253" r:id="rId2252" xr:uid="{00000000-0004-0000-0000-0000CB080000}"/>
    <hyperlink ref="D2254" r:id="rId2253" xr:uid="{00000000-0004-0000-0000-0000CC080000}"/>
    <hyperlink ref="D2255" r:id="rId2254" xr:uid="{00000000-0004-0000-0000-0000CD080000}"/>
    <hyperlink ref="D2256" r:id="rId2255" xr:uid="{00000000-0004-0000-0000-0000CE080000}"/>
    <hyperlink ref="D2257" r:id="rId2256" xr:uid="{00000000-0004-0000-0000-0000CF080000}"/>
    <hyperlink ref="D2258" r:id="rId2257" xr:uid="{00000000-0004-0000-0000-0000D0080000}"/>
    <hyperlink ref="D2259" r:id="rId2258" xr:uid="{00000000-0004-0000-0000-0000D1080000}"/>
    <hyperlink ref="D2260" r:id="rId2259" xr:uid="{00000000-0004-0000-0000-0000D2080000}"/>
    <hyperlink ref="D2261" r:id="rId2260" xr:uid="{00000000-0004-0000-0000-0000D3080000}"/>
    <hyperlink ref="D2262" r:id="rId2261" xr:uid="{00000000-0004-0000-0000-0000D4080000}"/>
    <hyperlink ref="D2263" r:id="rId2262" xr:uid="{00000000-0004-0000-0000-0000D5080000}"/>
    <hyperlink ref="D2264" r:id="rId2263" xr:uid="{00000000-0004-0000-0000-0000D6080000}"/>
    <hyperlink ref="D2265" r:id="rId2264" xr:uid="{00000000-0004-0000-0000-0000D7080000}"/>
    <hyperlink ref="D2266" r:id="rId2265" xr:uid="{00000000-0004-0000-0000-0000D8080000}"/>
    <hyperlink ref="D2267" r:id="rId2266" xr:uid="{00000000-0004-0000-0000-0000D9080000}"/>
    <hyperlink ref="D2268" r:id="rId2267" xr:uid="{00000000-0004-0000-0000-0000DA080000}"/>
    <hyperlink ref="D2269" r:id="rId2268" xr:uid="{00000000-0004-0000-0000-0000DB080000}"/>
    <hyperlink ref="D2270" r:id="rId2269" xr:uid="{00000000-0004-0000-0000-0000DC080000}"/>
    <hyperlink ref="D2271" r:id="rId2270" xr:uid="{00000000-0004-0000-0000-0000DD080000}"/>
    <hyperlink ref="D2272" r:id="rId2271" xr:uid="{00000000-0004-0000-0000-0000DE080000}"/>
    <hyperlink ref="D2273" r:id="rId2272" xr:uid="{00000000-0004-0000-0000-0000DF080000}"/>
    <hyperlink ref="D2274" r:id="rId2273" xr:uid="{00000000-0004-0000-0000-0000E0080000}"/>
    <hyperlink ref="D2275" r:id="rId2274" xr:uid="{00000000-0004-0000-0000-0000E1080000}"/>
    <hyperlink ref="D2276" r:id="rId2275" xr:uid="{00000000-0004-0000-0000-0000E2080000}"/>
    <hyperlink ref="D2277" r:id="rId2276" xr:uid="{00000000-0004-0000-0000-0000E3080000}"/>
    <hyperlink ref="D2278" r:id="rId2277" xr:uid="{00000000-0004-0000-0000-0000E4080000}"/>
    <hyperlink ref="D2279" r:id="rId2278" xr:uid="{00000000-0004-0000-0000-0000E5080000}"/>
    <hyperlink ref="D2280" r:id="rId2279" xr:uid="{00000000-0004-0000-0000-0000E6080000}"/>
    <hyperlink ref="D2281" r:id="rId2280" xr:uid="{00000000-0004-0000-0000-0000E7080000}"/>
    <hyperlink ref="D2282" r:id="rId2281" xr:uid="{00000000-0004-0000-0000-0000E8080000}"/>
    <hyperlink ref="D2283" r:id="rId2282" xr:uid="{00000000-0004-0000-0000-0000E9080000}"/>
    <hyperlink ref="D2284" r:id="rId2283" xr:uid="{00000000-0004-0000-0000-0000EA080000}"/>
    <hyperlink ref="D2285" r:id="rId2284" xr:uid="{00000000-0004-0000-0000-0000EB080000}"/>
    <hyperlink ref="D2286" r:id="rId2285" xr:uid="{00000000-0004-0000-0000-0000EC080000}"/>
    <hyperlink ref="D2287" r:id="rId2286" xr:uid="{00000000-0004-0000-0000-0000ED080000}"/>
    <hyperlink ref="D2288" r:id="rId2287" xr:uid="{00000000-0004-0000-0000-0000EE080000}"/>
    <hyperlink ref="D2289" r:id="rId2288" xr:uid="{00000000-0004-0000-0000-0000EF080000}"/>
    <hyperlink ref="D2290" r:id="rId2289" xr:uid="{00000000-0004-0000-0000-0000F0080000}"/>
    <hyperlink ref="D2291" r:id="rId2290" xr:uid="{00000000-0004-0000-0000-0000F1080000}"/>
    <hyperlink ref="D2292" r:id="rId2291" xr:uid="{00000000-0004-0000-0000-0000F2080000}"/>
    <hyperlink ref="D2293" r:id="rId2292" xr:uid="{00000000-0004-0000-0000-0000F3080000}"/>
    <hyperlink ref="D2294" r:id="rId2293" xr:uid="{00000000-0004-0000-0000-0000F4080000}"/>
    <hyperlink ref="D2295" r:id="rId2294" xr:uid="{00000000-0004-0000-0000-0000F5080000}"/>
    <hyperlink ref="D2296" r:id="rId2295" xr:uid="{00000000-0004-0000-0000-0000F6080000}"/>
    <hyperlink ref="D2297" r:id="rId2296" xr:uid="{00000000-0004-0000-0000-0000F7080000}"/>
    <hyperlink ref="D2298" r:id="rId2297" xr:uid="{00000000-0004-0000-0000-0000F8080000}"/>
    <hyperlink ref="D2299" r:id="rId2298" xr:uid="{00000000-0004-0000-0000-0000F9080000}"/>
    <hyperlink ref="D2300" r:id="rId2299" xr:uid="{00000000-0004-0000-0000-0000FA080000}"/>
    <hyperlink ref="D2301" r:id="rId2300" xr:uid="{00000000-0004-0000-0000-0000FB080000}"/>
    <hyperlink ref="D2302" r:id="rId2301" xr:uid="{00000000-0004-0000-0000-0000FC080000}"/>
    <hyperlink ref="D2303" r:id="rId2302" xr:uid="{00000000-0004-0000-0000-0000FD080000}"/>
    <hyperlink ref="D2304" r:id="rId2303" xr:uid="{00000000-0004-0000-0000-0000FE080000}"/>
    <hyperlink ref="D2305" r:id="rId2304" xr:uid="{00000000-0004-0000-0000-0000FF080000}"/>
    <hyperlink ref="D2306" r:id="rId2305" xr:uid="{00000000-0004-0000-0000-000000090000}"/>
    <hyperlink ref="D2307" r:id="rId2306" xr:uid="{00000000-0004-0000-0000-000001090000}"/>
    <hyperlink ref="D2308" r:id="rId2307" xr:uid="{00000000-0004-0000-0000-000002090000}"/>
    <hyperlink ref="D2309" r:id="rId2308" xr:uid="{00000000-0004-0000-0000-000003090000}"/>
    <hyperlink ref="D2310" r:id="rId2309" xr:uid="{00000000-0004-0000-0000-000004090000}"/>
    <hyperlink ref="D2311" r:id="rId2310" xr:uid="{00000000-0004-0000-0000-000005090000}"/>
    <hyperlink ref="D2312" r:id="rId2311" xr:uid="{00000000-0004-0000-0000-000006090000}"/>
    <hyperlink ref="D2313" r:id="rId2312" xr:uid="{00000000-0004-0000-0000-000007090000}"/>
    <hyperlink ref="D2314" r:id="rId2313" xr:uid="{00000000-0004-0000-0000-000008090000}"/>
    <hyperlink ref="D2315" r:id="rId2314" xr:uid="{00000000-0004-0000-0000-000009090000}"/>
    <hyperlink ref="D2316" r:id="rId2315" xr:uid="{00000000-0004-0000-0000-00000A090000}"/>
    <hyperlink ref="D2317" r:id="rId2316" xr:uid="{00000000-0004-0000-0000-00000B090000}"/>
    <hyperlink ref="D2318" r:id="rId2317" xr:uid="{00000000-0004-0000-0000-00000C090000}"/>
    <hyperlink ref="D2319" r:id="rId2318" xr:uid="{00000000-0004-0000-0000-00000D090000}"/>
    <hyperlink ref="D2320" r:id="rId2319" xr:uid="{00000000-0004-0000-0000-00000E090000}"/>
    <hyperlink ref="D2321" r:id="rId2320" xr:uid="{00000000-0004-0000-0000-00000F090000}"/>
    <hyperlink ref="D2322" r:id="rId2321" xr:uid="{00000000-0004-0000-0000-000010090000}"/>
    <hyperlink ref="D2323" r:id="rId2322" xr:uid="{00000000-0004-0000-0000-000011090000}"/>
    <hyperlink ref="D2324" r:id="rId2323" xr:uid="{00000000-0004-0000-0000-000012090000}"/>
    <hyperlink ref="D2325" r:id="rId2324" xr:uid="{00000000-0004-0000-0000-000013090000}"/>
    <hyperlink ref="D2326" r:id="rId2325" xr:uid="{00000000-0004-0000-0000-000014090000}"/>
    <hyperlink ref="D2327" r:id="rId2326" xr:uid="{00000000-0004-0000-0000-000015090000}"/>
    <hyperlink ref="D2328" r:id="rId2327" xr:uid="{00000000-0004-0000-0000-000016090000}"/>
    <hyperlink ref="D2329" r:id="rId2328" xr:uid="{00000000-0004-0000-0000-000017090000}"/>
    <hyperlink ref="D2330" r:id="rId2329" xr:uid="{00000000-0004-0000-0000-000018090000}"/>
    <hyperlink ref="D2331" r:id="rId2330" xr:uid="{00000000-0004-0000-0000-000019090000}"/>
    <hyperlink ref="D2332" r:id="rId2331" xr:uid="{00000000-0004-0000-0000-00001A090000}"/>
    <hyperlink ref="D2333" r:id="rId2332" xr:uid="{00000000-0004-0000-0000-00001B090000}"/>
    <hyperlink ref="D2334" r:id="rId2333" xr:uid="{00000000-0004-0000-0000-00001C090000}"/>
    <hyperlink ref="D2335" r:id="rId2334" xr:uid="{00000000-0004-0000-0000-00001D090000}"/>
    <hyperlink ref="D2336" r:id="rId2335" xr:uid="{00000000-0004-0000-0000-00001E090000}"/>
    <hyperlink ref="D2337" r:id="rId2336" xr:uid="{00000000-0004-0000-0000-00001F090000}"/>
    <hyperlink ref="D2338" r:id="rId2337" xr:uid="{00000000-0004-0000-0000-000020090000}"/>
    <hyperlink ref="D2339" r:id="rId2338" xr:uid="{00000000-0004-0000-0000-000021090000}"/>
    <hyperlink ref="D2340" r:id="rId2339" xr:uid="{00000000-0004-0000-0000-000022090000}"/>
    <hyperlink ref="D2341" r:id="rId2340" xr:uid="{00000000-0004-0000-0000-000023090000}"/>
    <hyperlink ref="D2342" r:id="rId2341" xr:uid="{00000000-0004-0000-0000-000024090000}"/>
    <hyperlink ref="D2343" r:id="rId2342" xr:uid="{00000000-0004-0000-0000-000025090000}"/>
    <hyperlink ref="D2344" r:id="rId2343" xr:uid="{00000000-0004-0000-0000-000026090000}"/>
    <hyperlink ref="D2345" r:id="rId2344" xr:uid="{00000000-0004-0000-0000-000027090000}"/>
    <hyperlink ref="D2346" r:id="rId2345" xr:uid="{00000000-0004-0000-0000-000028090000}"/>
    <hyperlink ref="D2347" r:id="rId2346" xr:uid="{00000000-0004-0000-0000-000029090000}"/>
    <hyperlink ref="D2348" r:id="rId2347" xr:uid="{00000000-0004-0000-0000-00002A090000}"/>
    <hyperlink ref="D2349" r:id="rId2348" xr:uid="{00000000-0004-0000-0000-00002B090000}"/>
    <hyperlink ref="D2350" r:id="rId2349" xr:uid="{00000000-0004-0000-0000-00002C090000}"/>
    <hyperlink ref="D2351" r:id="rId2350" xr:uid="{00000000-0004-0000-0000-00002D090000}"/>
    <hyperlink ref="D2352" r:id="rId2351" xr:uid="{00000000-0004-0000-0000-00002E090000}"/>
    <hyperlink ref="D2353" r:id="rId2352" xr:uid="{00000000-0004-0000-0000-00002F090000}"/>
    <hyperlink ref="D2354" r:id="rId2353" xr:uid="{00000000-0004-0000-0000-000030090000}"/>
    <hyperlink ref="D2355" r:id="rId2354" xr:uid="{00000000-0004-0000-0000-000031090000}"/>
    <hyperlink ref="D2356" r:id="rId2355" xr:uid="{00000000-0004-0000-0000-000032090000}"/>
    <hyperlink ref="D2357" r:id="rId2356" xr:uid="{00000000-0004-0000-0000-000033090000}"/>
    <hyperlink ref="D2358" r:id="rId2357" xr:uid="{00000000-0004-0000-0000-000034090000}"/>
    <hyperlink ref="D2359" r:id="rId2358" xr:uid="{00000000-0004-0000-0000-000035090000}"/>
    <hyperlink ref="D2360" r:id="rId2359" xr:uid="{00000000-0004-0000-0000-000036090000}"/>
    <hyperlink ref="D2361" r:id="rId2360" xr:uid="{00000000-0004-0000-0000-000037090000}"/>
    <hyperlink ref="D2362" r:id="rId2361" xr:uid="{00000000-0004-0000-0000-000038090000}"/>
    <hyperlink ref="D2363" r:id="rId2362" xr:uid="{00000000-0004-0000-0000-000039090000}"/>
    <hyperlink ref="D2364" r:id="rId2363" xr:uid="{00000000-0004-0000-0000-00003A090000}"/>
    <hyperlink ref="D2365" r:id="rId2364" xr:uid="{00000000-0004-0000-0000-00003B090000}"/>
    <hyperlink ref="D2366" r:id="rId2365" xr:uid="{00000000-0004-0000-0000-00003C090000}"/>
    <hyperlink ref="D2367" r:id="rId2366" xr:uid="{00000000-0004-0000-0000-00003D090000}"/>
    <hyperlink ref="D2368" r:id="rId2367" xr:uid="{00000000-0004-0000-0000-00003E090000}"/>
    <hyperlink ref="D2369" r:id="rId2368" xr:uid="{00000000-0004-0000-0000-00003F090000}"/>
    <hyperlink ref="D2370" r:id="rId2369" xr:uid="{00000000-0004-0000-0000-000040090000}"/>
    <hyperlink ref="D2371" r:id="rId2370" xr:uid="{00000000-0004-0000-0000-000041090000}"/>
    <hyperlink ref="D2372" r:id="rId2371" xr:uid="{00000000-0004-0000-0000-000042090000}"/>
    <hyperlink ref="D2373" r:id="rId2372" xr:uid="{00000000-0004-0000-0000-000043090000}"/>
    <hyperlink ref="D2374" r:id="rId2373" xr:uid="{00000000-0004-0000-0000-000044090000}"/>
    <hyperlink ref="D2375" r:id="rId2374" xr:uid="{00000000-0004-0000-0000-000045090000}"/>
    <hyperlink ref="D2376" r:id="rId2375" xr:uid="{00000000-0004-0000-0000-000046090000}"/>
    <hyperlink ref="D2377" r:id="rId2376" xr:uid="{00000000-0004-0000-0000-000047090000}"/>
    <hyperlink ref="D2378" r:id="rId2377" xr:uid="{00000000-0004-0000-0000-000048090000}"/>
    <hyperlink ref="D2379" r:id="rId2378" xr:uid="{00000000-0004-0000-0000-000049090000}"/>
    <hyperlink ref="D2380" r:id="rId2379" xr:uid="{00000000-0004-0000-0000-00004A090000}"/>
    <hyperlink ref="D2381" r:id="rId2380" xr:uid="{00000000-0004-0000-0000-00004B090000}"/>
    <hyperlink ref="D2382" r:id="rId2381" xr:uid="{00000000-0004-0000-0000-00004C090000}"/>
    <hyperlink ref="D2383" r:id="rId2382" xr:uid="{00000000-0004-0000-0000-00004D090000}"/>
    <hyperlink ref="D2384" r:id="rId2383" xr:uid="{00000000-0004-0000-0000-00004E090000}"/>
    <hyperlink ref="D2385" r:id="rId2384" xr:uid="{00000000-0004-0000-0000-00004F090000}"/>
    <hyperlink ref="D2386" r:id="rId2385" xr:uid="{00000000-0004-0000-0000-000050090000}"/>
    <hyperlink ref="D2387" r:id="rId2386" xr:uid="{00000000-0004-0000-0000-000051090000}"/>
    <hyperlink ref="D2388" r:id="rId2387" xr:uid="{00000000-0004-0000-0000-000052090000}"/>
    <hyperlink ref="D2389" r:id="rId2388" xr:uid="{00000000-0004-0000-0000-000053090000}"/>
    <hyperlink ref="D2390" r:id="rId2389" xr:uid="{00000000-0004-0000-0000-000054090000}"/>
    <hyperlink ref="D2391" r:id="rId2390" xr:uid="{00000000-0004-0000-0000-000055090000}"/>
    <hyperlink ref="D2392" r:id="rId2391" xr:uid="{00000000-0004-0000-0000-000056090000}"/>
    <hyperlink ref="D2393" r:id="rId2392" xr:uid="{00000000-0004-0000-0000-000057090000}"/>
    <hyperlink ref="D2394" r:id="rId2393" xr:uid="{00000000-0004-0000-0000-000058090000}"/>
    <hyperlink ref="D2395" r:id="rId2394" xr:uid="{00000000-0004-0000-0000-000059090000}"/>
    <hyperlink ref="D2396" r:id="rId2395" xr:uid="{00000000-0004-0000-0000-00005A090000}"/>
    <hyperlink ref="D2397" r:id="rId2396" xr:uid="{00000000-0004-0000-0000-00005B090000}"/>
    <hyperlink ref="D2398" r:id="rId2397" xr:uid="{00000000-0004-0000-0000-00005C090000}"/>
    <hyperlink ref="D2399" r:id="rId2398" xr:uid="{00000000-0004-0000-0000-00005D090000}"/>
    <hyperlink ref="D2400" r:id="rId2399" xr:uid="{00000000-0004-0000-0000-00005E090000}"/>
    <hyperlink ref="D2401" r:id="rId2400" xr:uid="{00000000-0004-0000-0000-00005F090000}"/>
    <hyperlink ref="D2402" r:id="rId2401" xr:uid="{00000000-0004-0000-0000-000060090000}"/>
    <hyperlink ref="D2403" r:id="rId2402" xr:uid="{00000000-0004-0000-0000-000061090000}"/>
    <hyperlink ref="D2404" r:id="rId2403" xr:uid="{00000000-0004-0000-0000-000062090000}"/>
    <hyperlink ref="D2405" r:id="rId2404" xr:uid="{00000000-0004-0000-0000-000063090000}"/>
    <hyperlink ref="D2406" r:id="rId2405" xr:uid="{00000000-0004-0000-0000-000064090000}"/>
    <hyperlink ref="D2407" r:id="rId2406" xr:uid="{00000000-0004-0000-0000-000065090000}"/>
    <hyperlink ref="D2408" r:id="rId2407" xr:uid="{00000000-0004-0000-0000-000066090000}"/>
    <hyperlink ref="D2409" r:id="rId2408" xr:uid="{00000000-0004-0000-0000-000067090000}"/>
    <hyperlink ref="D2410" r:id="rId2409" xr:uid="{00000000-0004-0000-0000-000068090000}"/>
    <hyperlink ref="D2411" r:id="rId2410" xr:uid="{00000000-0004-0000-0000-000069090000}"/>
    <hyperlink ref="D2412" r:id="rId2411" xr:uid="{00000000-0004-0000-0000-00006A090000}"/>
    <hyperlink ref="D2413" r:id="rId2412" xr:uid="{00000000-0004-0000-0000-00006B090000}"/>
    <hyperlink ref="D2414" r:id="rId2413" xr:uid="{00000000-0004-0000-0000-00006C090000}"/>
    <hyperlink ref="D2415" r:id="rId2414" xr:uid="{00000000-0004-0000-0000-00006D090000}"/>
    <hyperlink ref="D2416" r:id="rId2415" xr:uid="{00000000-0004-0000-0000-00006E090000}"/>
    <hyperlink ref="D2417" r:id="rId2416" xr:uid="{00000000-0004-0000-0000-00006F090000}"/>
    <hyperlink ref="D2418" r:id="rId2417" xr:uid="{00000000-0004-0000-0000-000070090000}"/>
    <hyperlink ref="D2419" r:id="rId2418" xr:uid="{00000000-0004-0000-0000-000071090000}"/>
    <hyperlink ref="D2420" r:id="rId2419" xr:uid="{00000000-0004-0000-0000-000072090000}"/>
    <hyperlink ref="D2421" r:id="rId2420" xr:uid="{00000000-0004-0000-0000-000073090000}"/>
    <hyperlink ref="D2422" r:id="rId2421" xr:uid="{00000000-0004-0000-0000-000074090000}"/>
    <hyperlink ref="D2423" r:id="rId2422" xr:uid="{00000000-0004-0000-0000-000075090000}"/>
    <hyperlink ref="D2424" r:id="rId2423" xr:uid="{00000000-0004-0000-0000-000076090000}"/>
    <hyperlink ref="D2425" r:id="rId2424" xr:uid="{00000000-0004-0000-0000-000077090000}"/>
    <hyperlink ref="D2426" r:id="rId2425" xr:uid="{00000000-0004-0000-0000-000078090000}"/>
    <hyperlink ref="D2427" r:id="rId2426" xr:uid="{00000000-0004-0000-0000-000079090000}"/>
    <hyperlink ref="D2428" r:id="rId2427" xr:uid="{00000000-0004-0000-0000-00007A090000}"/>
    <hyperlink ref="D2429" r:id="rId2428" xr:uid="{00000000-0004-0000-0000-00007B090000}"/>
    <hyperlink ref="D2430" r:id="rId2429" xr:uid="{00000000-0004-0000-0000-00007C090000}"/>
    <hyperlink ref="D2431" r:id="rId2430" xr:uid="{00000000-0004-0000-0000-00007D090000}"/>
    <hyperlink ref="D2432" r:id="rId2431" xr:uid="{00000000-0004-0000-0000-00007E090000}"/>
    <hyperlink ref="D2433" r:id="rId2432" xr:uid="{00000000-0004-0000-0000-00007F090000}"/>
    <hyperlink ref="D2434" r:id="rId2433" xr:uid="{00000000-0004-0000-0000-000080090000}"/>
    <hyperlink ref="D2435" r:id="rId2434" xr:uid="{00000000-0004-0000-0000-000081090000}"/>
    <hyperlink ref="D2436" r:id="rId2435" xr:uid="{00000000-0004-0000-0000-000082090000}"/>
    <hyperlink ref="D2437" r:id="rId2436" xr:uid="{00000000-0004-0000-0000-000083090000}"/>
    <hyperlink ref="D2438" r:id="rId2437" xr:uid="{00000000-0004-0000-0000-000084090000}"/>
    <hyperlink ref="D2439" r:id="rId2438" xr:uid="{00000000-0004-0000-0000-000085090000}"/>
    <hyperlink ref="D2440" r:id="rId2439" xr:uid="{00000000-0004-0000-0000-000086090000}"/>
    <hyperlink ref="D2441" r:id="rId2440" xr:uid="{00000000-0004-0000-0000-000087090000}"/>
    <hyperlink ref="D2442" r:id="rId2441" xr:uid="{00000000-0004-0000-0000-000088090000}"/>
    <hyperlink ref="D2443" r:id="rId2442" xr:uid="{00000000-0004-0000-0000-000089090000}"/>
    <hyperlink ref="D2444" r:id="rId2443" xr:uid="{00000000-0004-0000-0000-00008A090000}"/>
    <hyperlink ref="D2445" r:id="rId2444" xr:uid="{00000000-0004-0000-0000-00008B090000}"/>
    <hyperlink ref="D2446" r:id="rId2445" xr:uid="{00000000-0004-0000-0000-00008C090000}"/>
    <hyperlink ref="D2447" r:id="rId2446" xr:uid="{00000000-0004-0000-0000-00008D090000}"/>
    <hyperlink ref="D2448" r:id="rId2447" xr:uid="{00000000-0004-0000-0000-00008E090000}"/>
    <hyperlink ref="D2449" r:id="rId2448" xr:uid="{00000000-0004-0000-0000-00008F090000}"/>
    <hyperlink ref="D2450" r:id="rId2449" xr:uid="{00000000-0004-0000-0000-000090090000}"/>
    <hyperlink ref="D2451" r:id="rId2450" xr:uid="{00000000-0004-0000-0000-000091090000}"/>
    <hyperlink ref="D2452" r:id="rId2451" xr:uid="{00000000-0004-0000-0000-000092090000}"/>
    <hyperlink ref="D2453" r:id="rId2452" xr:uid="{00000000-0004-0000-0000-000093090000}"/>
    <hyperlink ref="D2454" r:id="rId2453" xr:uid="{00000000-0004-0000-0000-000094090000}"/>
    <hyperlink ref="D2455" r:id="rId2454" xr:uid="{00000000-0004-0000-0000-000095090000}"/>
    <hyperlink ref="D2456" r:id="rId2455" xr:uid="{00000000-0004-0000-0000-000096090000}"/>
    <hyperlink ref="D2457" r:id="rId2456" xr:uid="{00000000-0004-0000-0000-000097090000}"/>
    <hyperlink ref="D2458" r:id="rId2457" xr:uid="{00000000-0004-0000-0000-000098090000}"/>
    <hyperlink ref="D2459" r:id="rId2458" xr:uid="{00000000-0004-0000-0000-000099090000}"/>
    <hyperlink ref="D2460" r:id="rId2459" xr:uid="{00000000-0004-0000-0000-00009A090000}"/>
    <hyperlink ref="D2461" r:id="rId2460" xr:uid="{00000000-0004-0000-0000-00009B090000}"/>
    <hyperlink ref="D2462" r:id="rId2461" xr:uid="{00000000-0004-0000-0000-00009C090000}"/>
    <hyperlink ref="D2463" r:id="rId2462" xr:uid="{00000000-0004-0000-0000-00009D090000}"/>
    <hyperlink ref="D2464" r:id="rId2463" xr:uid="{00000000-0004-0000-0000-00009E090000}"/>
    <hyperlink ref="D2465" r:id="rId2464" xr:uid="{00000000-0004-0000-0000-00009F090000}"/>
    <hyperlink ref="D2466" r:id="rId2465" xr:uid="{00000000-0004-0000-0000-0000A0090000}"/>
    <hyperlink ref="D2467" r:id="rId2466" xr:uid="{00000000-0004-0000-0000-0000A1090000}"/>
    <hyperlink ref="D2468" r:id="rId2467" xr:uid="{00000000-0004-0000-0000-0000A2090000}"/>
    <hyperlink ref="D2469" r:id="rId2468" xr:uid="{00000000-0004-0000-0000-0000A3090000}"/>
    <hyperlink ref="D2470" r:id="rId2469" xr:uid="{00000000-0004-0000-0000-0000A4090000}"/>
    <hyperlink ref="D2471" r:id="rId2470" xr:uid="{00000000-0004-0000-0000-0000A5090000}"/>
    <hyperlink ref="D2472" r:id="rId2471" xr:uid="{00000000-0004-0000-0000-0000A6090000}"/>
    <hyperlink ref="D2473" r:id="rId2472" xr:uid="{00000000-0004-0000-0000-0000A7090000}"/>
    <hyperlink ref="D2474" r:id="rId2473" xr:uid="{00000000-0004-0000-0000-0000A8090000}"/>
    <hyperlink ref="D2475" r:id="rId2474" xr:uid="{00000000-0004-0000-0000-0000A9090000}"/>
    <hyperlink ref="D2476" r:id="rId2475" xr:uid="{00000000-0004-0000-0000-0000AA090000}"/>
    <hyperlink ref="D2477" r:id="rId2476" xr:uid="{00000000-0004-0000-0000-0000AB090000}"/>
    <hyperlink ref="D2478" r:id="rId2477" xr:uid="{00000000-0004-0000-0000-0000AC090000}"/>
    <hyperlink ref="D2479" r:id="rId2478" xr:uid="{00000000-0004-0000-0000-0000AD090000}"/>
    <hyperlink ref="D2480" r:id="rId2479" xr:uid="{00000000-0004-0000-0000-0000AE090000}"/>
    <hyperlink ref="D2481" r:id="rId2480" xr:uid="{00000000-0004-0000-0000-0000AF090000}"/>
    <hyperlink ref="D2482" r:id="rId2481" xr:uid="{00000000-0004-0000-0000-0000B0090000}"/>
    <hyperlink ref="D2483" r:id="rId2482" xr:uid="{00000000-0004-0000-0000-0000B1090000}"/>
    <hyperlink ref="D2484" r:id="rId2483" xr:uid="{00000000-0004-0000-0000-0000B2090000}"/>
    <hyperlink ref="D2485" r:id="rId2484" xr:uid="{00000000-0004-0000-0000-0000B3090000}"/>
    <hyperlink ref="D2486" r:id="rId2485" xr:uid="{00000000-0004-0000-0000-0000B4090000}"/>
    <hyperlink ref="D2487" r:id="rId2486" xr:uid="{00000000-0004-0000-0000-0000B5090000}"/>
    <hyperlink ref="D2488" r:id="rId2487" xr:uid="{00000000-0004-0000-0000-0000B6090000}"/>
    <hyperlink ref="D2489" r:id="rId2488" xr:uid="{00000000-0004-0000-0000-0000B7090000}"/>
    <hyperlink ref="D2490" r:id="rId2489" xr:uid="{00000000-0004-0000-0000-0000B8090000}"/>
    <hyperlink ref="D2491" r:id="rId2490" xr:uid="{00000000-0004-0000-0000-0000B9090000}"/>
    <hyperlink ref="D2492" r:id="rId2491" xr:uid="{00000000-0004-0000-0000-0000BA090000}"/>
    <hyperlink ref="D2493" r:id="rId2492" xr:uid="{00000000-0004-0000-0000-0000BB090000}"/>
    <hyperlink ref="D2494" r:id="rId2493" xr:uid="{00000000-0004-0000-0000-0000BC090000}"/>
    <hyperlink ref="D2495" r:id="rId2494" xr:uid="{00000000-0004-0000-0000-0000BD090000}"/>
    <hyperlink ref="D2496" r:id="rId2495" xr:uid="{00000000-0004-0000-0000-0000BE090000}"/>
    <hyperlink ref="D2497" r:id="rId2496" xr:uid="{00000000-0004-0000-0000-0000BF090000}"/>
    <hyperlink ref="D2498" r:id="rId2497" xr:uid="{00000000-0004-0000-0000-0000C0090000}"/>
    <hyperlink ref="D2499" r:id="rId2498" xr:uid="{00000000-0004-0000-0000-0000C1090000}"/>
    <hyperlink ref="D2500" r:id="rId2499" xr:uid="{00000000-0004-0000-0000-0000C2090000}"/>
    <hyperlink ref="D2501" r:id="rId2500" xr:uid="{00000000-0004-0000-0000-0000C3090000}"/>
    <hyperlink ref="D2502" r:id="rId2501" xr:uid="{00000000-0004-0000-0000-0000C4090000}"/>
    <hyperlink ref="D2503" r:id="rId2502" xr:uid="{00000000-0004-0000-0000-0000C5090000}"/>
    <hyperlink ref="D2504" r:id="rId2503" xr:uid="{00000000-0004-0000-0000-0000C6090000}"/>
    <hyperlink ref="D2505" r:id="rId2504" xr:uid="{00000000-0004-0000-0000-0000C7090000}"/>
    <hyperlink ref="D2506" r:id="rId2505" xr:uid="{00000000-0004-0000-0000-0000C8090000}"/>
    <hyperlink ref="D2507" r:id="rId2506" xr:uid="{00000000-0004-0000-0000-0000C9090000}"/>
    <hyperlink ref="D2508" r:id="rId2507" xr:uid="{00000000-0004-0000-0000-0000CA090000}"/>
    <hyperlink ref="D2509" r:id="rId2508" xr:uid="{00000000-0004-0000-0000-0000CB090000}"/>
    <hyperlink ref="D2510" r:id="rId2509" xr:uid="{00000000-0004-0000-0000-0000CC090000}"/>
    <hyperlink ref="D2511" r:id="rId2510" xr:uid="{00000000-0004-0000-0000-0000CD090000}"/>
    <hyperlink ref="D2512" r:id="rId2511" xr:uid="{00000000-0004-0000-0000-0000CE090000}"/>
    <hyperlink ref="D2513" r:id="rId2512" xr:uid="{00000000-0004-0000-0000-0000CF090000}"/>
    <hyperlink ref="D2514" r:id="rId2513" xr:uid="{00000000-0004-0000-0000-0000D0090000}"/>
    <hyperlink ref="D2515" r:id="rId2514" xr:uid="{00000000-0004-0000-0000-0000D1090000}"/>
    <hyperlink ref="D2516" r:id="rId2515" xr:uid="{00000000-0004-0000-0000-0000D2090000}"/>
    <hyperlink ref="D2517" r:id="rId2516" xr:uid="{00000000-0004-0000-0000-0000D3090000}"/>
    <hyperlink ref="D2518" r:id="rId2517" xr:uid="{00000000-0004-0000-0000-0000D4090000}"/>
    <hyperlink ref="D2519" r:id="rId2518" xr:uid="{00000000-0004-0000-0000-0000D5090000}"/>
    <hyperlink ref="D2520" r:id="rId2519" xr:uid="{00000000-0004-0000-0000-0000D6090000}"/>
    <hyperlink ref="D2521" r:id="rId2520" xr:uid="{00000000-0004-0000-0000-0000D7090000}"/>
    <hyperlink ref="D2522" r:id="rId2521" xr:uid="{00000000-0004-0000-0000-0000D8090000}"/>
    <hyperlink ref="D2523" r:id="rId2522" xr:uid="{00000000-0004-0000-0000-0000D9090000}"/>
    <hyperlink ref="D2524" r:id="rId2523" xr:uid="{00000000-0004-0000-0000-0000DA090000}"/>
    <hyperlink ref="D2525" r:id="rId2524" xr:uid="{00000000-0004-0000-0000-0000DB090000}"/>
    <hyperlink ref="D2526" r:id="rId2525" xr:uid="{00000000-0004-0000-0000-0000DC090000}"/>
    <hyperlink ref="D2527" r:id="rId2526" xr:uid="{00000000-0004-0000-0000-0000DD090000}"/>
    <hyperlink ref="D2528" r:id="rId2527" xr:uid="{00000000-0004-0000-0000-0000DE090000}"/>
    <hyperlink ref="D2529" r:id="rId2528" xr:uid="{00000000-0004-0000-0000-0000DF090000}"/>
    <hyperlink ref="D2530" r:id="rId2529" xr:uid="{00000000-0004-0000-0000-0000E0090000}"/>
    <hyperlink ref="D2531" r:id="rId2530" xr:uid="{00000000-0004-0000-0000-0000E1090000}"/>
    <hyperlink ref="D2532" r:id="rId2531" xr:uid="{00000000-0004-0000-0000-0000E2090000}"/>
    <hyperlink ref="D2533" r:id="rId2532" xr:uid="{00000000-0004-0000-0000-0000E3090000}"/>
    <hyperlink ref="D2534" r:id="rId2533" xr:uid="{00000000-0004-0000-0000-0000E4090000}"/>
    <hyperlink ref="D2535" r:id="rId2534" xr:uid="{00000000-0004-0000-0000-0000E5090000}"/>
    <hyperlink ref="D2536" r:id="rId2535" xr:uid="{00000000-0004-0000-0000-0000E6090000}"/>
    <hyperlink ref="D2537" r:id="rId2536" xr:uid="{00000000-0004-0000-0000-0000E7090000}"/>
    <hyperlink ref="D2538" r:id="rId2537" xr:uid="{00000000-0004-0000-0000-0000E8090000}"/>
    <hyperlink ref="D2539" r:id="rId2538" xr:uid="{00000000-0004-0000-0000-0000E9090000}"/>
    <hyperlink ref="D2540" r:id="rId2539" xr:uid="{00000000-0004-0000-0000-0000EA090000}"/>
    <hyperlink ref="D2541" r:id="rId2540" xr:uid="{00000000-0004-0000-0000-0000EB090000}"/>
    <hyperlink ref="D2542" r:id="rId2541" xr:uid="{00000000-0004-0000-0000-0000EC090000}"/>
    <hyperlink ref="D2543" r:id="rId2542" xr:uid="{00000000-0004-0000-0000-0000ED090000}"/>
    <hyperlink ref="D2544" r:id="rId2543" xr:uid="{00000000-0004-0000-0000-0000EE090000}"/>
    <hyperlink ref="D2545" r:id="rId2544" xr:uid="{00000000-0004-0000-0000-0000EF090000}"/>
    <hyperlink ref="D2546" r:id="rId2545" xr:uid="{00000000-0004-0000-0000-0000F0090000}"/>
    <hyperlink ref="D2547" r:id="rId2546" xr:uid="{00000000-0004-0000-0000-0000F1090000}"/>
    <hyperlink ref="D2548" r:id="rId2547" xr:uid="{00000000-0004-0000-0000-0000F2090000}"/>
    <hyperlink ref="D2549" r:id="rId2548" xr:uid="{00000000-0004-0000-0000-0000F3090000}"/>
    <hyperlink ref="D2550" r:id="rId2549" xr:uid="{00000000-0004-0000-0000-0000F4090000}"/>
    <hyperlink ref="D2551" r:id="rId2550" xr:uid="{00000000-0004-0000-0000-0000F5090000}"/>
    <hyperlink ref="D2552" r:id="rId2551" xr:uid="{00000000-0004-0000-0000-0000F6090000}"/>
    <hyperlink ref="D2553" r:id="rId2552" xr:uid="{00000000-0004-0000-0000-0000F7090000}"/>
    <hyperlink ref="D2554" r:id="rId2553" xr:uid="{00000000-0004-0000-0000-0000F8090000}"/>
    <hyperlink ref="D2555" r:id="rId2554" xr:uid="{00000000-0004-0000-0000-0000F9090000}"/>
    <hyperlink ref="D2556" r:id="rId2555" xr:uid="{00000000-0004-0000-0000-0000FA090000}"/>
    <hyperlink ref="D2557" r:id="rId2556" xr:uid="{00000000-0004-0000-0000-0000FB090000}"/>
    <hyperlink ref="D2558" r:id="rId2557" xr:uid="{00000000-0004-0000-0000-0000FC090000}"/>
    <hyperlink ref="D2559" r:id="rId2558" xr:uid="{00000000-0004-0000-0000-0000FD090000}"/>
    <hyperlink ref="D2560" r:id="rId2559" xr:uid="{00000000-0004-0000-0000-0000FE090000}"/>
    <hyperlink ref="D2561" r:id="rId2560" xr:uid="{00000000-0004-0000-0000-0000FF090000}"/>
    <hyperlink ref="D2562" r:id="rId2561" xr:uid="{00000000-0004-0000-0000-0000000A0000}"/>
    <hyperlink ref="D2563" r:id="rId2562" xr:uid="{00000000-0004-0000-0000-0000010A0000}"/>
    <hyperlink ref="D2564" r:id="rId2563" xr:uid="{00000000-0004-0000-0000-0000020A0000}"/>
    <hyperlink ref="D2565" r:id="rId2564" xr:uid="{00000000-0004-0000-0000-0000030A0000}"/>
    <hyperlink ref="D2566" r:id="rId2565" xr:uid="{00000000-0004-0000-0000-0000040A0000}"/>
    <hyperlink ref="D2567" r:id="rId2566" xr:uid="{00000000-0004-0000-0000-0000050A0000}"/>
    <hyperlink ref="D2568" r:id="rId2567" xr:uid="{00000000-0004-0000-0000-0000060A0000}"/>
    <hyperlink ref="D2569" r:id="rId2568" xr:uid="{00000000-0004-0000-0000-0000070A0000}"/>
    <hyperlink ref="D2570" r:id="rId2569" xr:uid="{00000000-0004-0000-0000-0000080A0000}"/>
    <hyperlink ref="D2571" r:id="rId2570" xr:uid="{00000000-0004-0000-0000-0000090A0000}"/>
    <hyperlink ref="D2572" r:id="rId2571" xr:uid="{00000000-0004-0000-0000-00000A0A0000}"/>
    <hyperlink ref="D2573" r:id="rId2572" xr:uid="{00000000-0004-0000-0000-00000B0A0000}"/>
    <hyperlink ref="D2574" r:id="rId2573" xr:uid="{00000000-0004-0000-0000-00000C0A0000}"/>
    <hyperlink ref="D2575" r:id="rId2574" xr:uid="{00000000-0004-0000-0000-00000D0A0000}"/>
    <hyperlink ref="D2576" r:id="rId2575" xr:uid="{00000000-0004-0000-0000-00000E0A0000}"/>
    <hyperlink ref="D2577" r:id="rId2576" xr:uid="{00000000-0004-0000-0000-00000F0A0000}"/>
    <hyperlink ref="D2578" r:id="rId2577" xr:uid="{00000000-0004-0000-0000-0000100A0000}"/>
    <hyperlink ref="D2579" r:id="rId2578" xr:uid="{00000000-0004-0000-0000-0000110A0000}"/>
    <hyperlink ref="D2580" r:id="rId2579" xr:uid="{00000000-0004-0000-0000-0000120A0000}"/>
    <hyperlink ref="D2581" r:id="rId2580" xr:uid="{00000000-0004-0000-0000-0000130A0000}"/>
    <hyperlink ref="D2582" r:id="rId2581" xr:uid="{00000000-0004-0000-0000-0000140A0000}"/>
    <hyperlink ref="D2583" r:id="rId2582" xr:uid="{00000000-0004-0000-0000-0000150A0000}"/>
    <hyperlink ref="D2584" r:id="rId2583" xr:uid="{00000000-0004-0000-0000-0000160A0000}"/>
    <hyperlink ref="D2585" r:id="rId2584" xr:uid="{00000000-0004-0000-0000-0000170A0000}"/>
    <hyperlink ref="D2586" r:id="rId2585" xr:uid="{00000000-0004-0000-0000-0000180A0000}"/>
    <hyperlink ref="D2587" r:id="rId2586" xr:uid="{00000000-0004-0000-0000-0000190A0000}"/>
    <hyperlink ref="D2588" r:id="rId2587" xr:uid="{00000000-0004-0000-0000-00001A0A0000}"/>
    <hyperlink ref="D2589" r:id="rId2588" xr:uid="{00000000-0004-0000-0000-00001B0A0000}"/>
    <hyperlink ref="D2590" r:id="rId2589" xr:uid="{00000000-0004-0000-0000-00001C0A0000}"/>
    <hyperlink ref="D2591" r:id="rId2590" xr:uid="{00000000-0004-0000-0000-00001D0A0000}"/>
    <hyperlink ref="D2592" r:id="rId2591" xr:uid="{00000000-0004-0000-0000-00001E0A0000}"/>
    <hyperlink ref="D2593" r:id="rId2592" xr:uid="{00000000-0004-0000-0000-00001F0A0000}"/>
    <hyperlink ref="D2594" r:id="rId2593" xr:uid="{00000000-0004-0000-0000-0000200A0000}"/>
    <hyperlink ref="D2595" r:id="rId2594" xr:uid="{00000000-0004-0000-0000-0000210A0000}"/>
    <hyperlink ref="D2596" r:id="rId2595" xr:uid="{00000000-0004-0000-0000-0000220A0000}"/>
    <hyperlink ref="D2597" r:id="rId2596" xr:uid="{00000000-0004-0000-0000-0000230A0000}"/>
    <hyperlink ref="D2598" r:id="rId2597" xr:uid="{00000000-0004-0000-0000-0000240A0000}"/>
    <hyperlink ref="D2599" r:id="rId2598" xr:uid="{00000000-0004-0000-0000-0000250A0000}"/>
    <hyperlink ref="D2600" r:id="rId2599" xr:uid="{00000000-0004-0000-0000-0000260A0000}"/>
    <hyperlink ref="D2601" r:id="rId2600" xr:uid="{00000000-0004-0000-0000-0000270A0000}"/>
    <hyperlink ref="D2602" r:id="rId2601" xr:uid="{00000000-0004-0000-0000-0000280A0000}"/>
    <hyperlink ref="D2603" r:id="rId2602" xr:uid="{00000000-0004-0000-0000-0000290A0000}"/>
    <hyperlink ref="D2604" r:id="rId2603" xr:uid="{00000000-0004-0000-0000-00002A0A0000}"/>
    <hyperlink ref="D2605" r:id="rId2604" xr:uid="{00000000-0004-0000-0000-00002B0A0000}"/>
    <hyperlink ref="D2606" r:id="rId2605" xr:uid="{00000000-0004-0000-0000-00002C0A0000}"/>
    <hyperlink ref="D2607" r:id="rId2606" xr:uid="{00000000-0004-0000-0000-00002D0A0000}"/>
    <hyperlink ref="D2608" r:id="rId2607" xr:uid="{00000000-0004-0000-0000-00002E0A0000}"/>
    <hyperlink ref="D2609" r:id="rId2608" xr:uid="{00000000-0004-0000-0000-00002F0A0000}"/>
    <hyperlink ref="D2610" r:id="rId2609" xr:uid="{00000000-0004-0000-0000-0000300A0000}"/>
    <hyperlink ref="D2611" r:id="rId2610" xr:uid="{00000000-0004-0000-0000-0000310A0000}"/>
    <hyperlink ref="D2612" r:id="rId2611" xr:uid="{00000000-0004-0000-0000-0000320A0000}"/>
    <hyperlink ref="D2613" r:id="rId2612" xr:uid="{00000000-0004-0000-0000-0000330A0000}"/>
    <hyperlink ref="D2614" r:id="rId2613" xr:uid="{00000000-0004-0000-0000-0000340A0000}"/>
    <hyperlink ref="D2615" r:id="rId2614" xr:uid="{00000000-0004-0000-0000-0000350A0000}"/>
    <hyperlink ref="D2616" r:id="rId2615" xr:uid="{00000000-0004-0000-0000-0000360A0000}"/>
    <hyperlink ref="D2617" r:id="rId2616" xr:uid="{00000000-0004-0000-0000-0000370A0000}"/>
    <hyperlink ref="D2618" r:id="rId2617" xr:uid="{00000000-0004-0000-0000-0000380A0000}"/>
    <hyperlink ref="D2619" r:id="rId2618" xr:uid="{00000000-0004-0000-0000-0000390A0000}"/>
    <hyperlink ref="D2620" r:id="rId2619" xr:uid="{00000000-0004-0000-0000-00003A0A0000}"/>
    <hyperlink ref="D2621" r:id="rId2620" xr:uid="{00000000-0004-0000-0000-00003B0A0000}"/>
    <hyperlink ref="D2622" r:id="rId2621" xr:uid="{00000000-0004-0000-0000-00003C0A0000}"/>
    <hyperlink ref="D2623" r:id="rId2622" xr:uid="{00000000-0004-0000-0000-00003D0A0000}"/>
    <hyperlink ref="D2624" r:id="rId2623" xr:uid="{00000000-0004-0000-0000-00003E0A0000}"/>
    <hyperlink ref="D2625" r:id="rId2624" xr:uid="{00000000-0004-0000-0000-00003F0A0000}"/>
    <hyperlink ref="D2626" r:id="rId2625" xr:uid="{00000000-0004-0000-0000-0000400A0000}"/>
    <hyperlink ref="D2627" r:id="rId2626" xr:uid="{00000000-0004-0000-0000-0000410A0000}"/>
    <hyperlink ref="D2628" r:id="rId2627" xr:uid="{00000000-0004-0000-0000-0000420A0000}"/>
    <hyperlink ref="D2629" r:id="rId2628" xr:uid="{00000000-0004-0000-0000-0000430A0000}"/>
    <hyperlink ref="D2630" r:id="rId2629" xr:uid="{00000000-0004-0000-0000-0000440A0000}"/>
    <hyperlink ref="D2631" r:id="rId2630" xr:uid="{00000000-0004-0000-0000-0000450A0000}"/>
    <hyperlink ref="D2632" r:id="rId2631" xr:uid="{00000000-0004-0000-0000-0000460A0000}"/>
    <hyperlink ref="D2633" r:id="rId2632" xr:uid="{00000000-0004-0000-0000-0000470A0000}"/>
    <hyperlink ref="D2634" r:id="rId2633" xr:uid="{00000000-0004-0000-0000-0000480A0000}"/>
    <hyperlink ref="D2635" r:id="rId2634" xr:uid="{00000000-0004-0000-0000-0000490A0000}"/>
    <hyperlink ref="D2636" r:id="rId2635" xr:uid="{00000000-0004-0000-0000-00004A0A0000}"/>
    <hyperlink ref="D2637" r:id="rId2636" xr:uid="{00000000-0004-0000-0000-00004B0A0000}"/>
    <hyperlink ref="D2638" r:id="rId2637" xr:uid="{00000000-0004-0000-0000-00004C0A0000}"/>
    <hyperlink ref="D2639" r:id="rId2638" xr:uid="{00000000-0004-0000-0000-00004D0A0000}"/>
    <hyperlink ref="D2640" r:id="rId2639" xr:uid="{00000000-0004-0000-0000-00004E0A0000}"/>
    <hyperlink ref="D2641" r:id="rId2640" xr:uid="{00000000-0004-0000-0000-00004F0A0000}"/>
    <hyperlink ref="D2642" r:id="rId2641" xr:uid="{00000000-0004-0000-0000-0000500A0000}"/>
    <hyperlink ref="D2643" r:id="rId2642" xr:uid="{00000000-0004-0000-0000-0000510A0000}"/>
    <hyperlink ref="D2644" r:id="rId2643" xr:uid="{00000000-0004-0000-0000-0000520A0000}"/>
    <hyperlink ref="D2645" r:id="rId2644" xr:uid="{00000000-0004-0000-0000-0000530A0000}"/>
    <hyperlink ref="D2646" r:id="rId2645" xr:uid="{00000000-0004-0000-0000-0000540A0000}"/>
    <hyperlink ref="D2647" r:id="rId2646" xr:uid="{00000000-0004-0000-0000-0000550A0000}"/>
    <hyperlink ref="D2648" r:id="rId2647" xr:uid="{00000000-0004-0000-0000-0000560A0000}"/>
    <hyperlink ref="D2649" r:id="rId2648" xr:uid="{00000000-0004-0000-0000-0000570A0000}"/>
    <hyperlink ref="D2650" r:id="rId2649" xr:uid="{00000000-0004-0000-0000-0000580A0000}"/>
    <hyperlink ref="D2651" r:id="rId2650" xr:uid="{00000000-0004-0000-0000-0000590A0000}"/>
    <hyperlink ref="D2652" r:id="rId2651" xr:uid="{00000000-0004-0000-0000-00005A0A0000}"/>
    <hyperlink ref="D2653" r:id="rId2652" xr:uid="{00000000-0004-0000-0000-00005B0A0000}"/>
    <hyperlink ref="D2654" r:id="rId2653" xr:uid="{00000000-0004-0000-0000-00005C0A0000}"/>
    <hyperlink ref="D2655" r:id="rId2654" xr:uid="{00000000-0004-0000-0000-00005D0A0000}"/>
    <hyperlink ref="D2656" r:id="rId2655" xr:uid="{00000000-0004-0000-0000-00005E0A0000}"/>
    <hyperlink ref="D2657" r:id="rId2656" xr:uid="{00000000-0004-0000-0000-00005F0A0000}"/>
    <hyperlink ref="D2658" r:id="rId2657" xr:uid="{00000000-0004-0000-0000-0000600A0000}"/>
    <hyperlink ref="D2659" r:id="rId2658" xr:uid="{00000000-0004-0000-0000-0000610A0000}"/>
    <hyperlink ref="D2660" r:id="rId2659" xr:uid="{00000000-0004-0000-0000-0000620A0000}"/>
    <hyperlink ref="D2661" r:id="rId2660" xr:uid="{00000000-0004-0000-0000-0000630A0000}"/>
    <hyperlink ref="D2662" r:id="rId2661" xr:uid="{00000000-0004-0000-0000-0000640A0000}"/>
    <hyperlink ref="D2663" r:id="rId2662" xr:uid="{00000000-0004-0000-0000-0000650A0000}"/>
    <hyperlink ref="D2664" r:id="rId2663" xr:uid="{00000000-0004-0000-0000-0000660A0000}"/>
    <hyperlink ref="D2665" r:id="rId2664" xr:uid="{00000000-0004-0000-0000-0000670A0000}"/>
    <hyperlink ref="D2666" r:id="rId2665" xr:uid="{00000000-0004-0000-0000-0000680A0000}"/>
    <hyperlink ref="D2667" r:id="rId2666" xr:uid="{00000000-0004-0000-0000-0000690A0000}"/>
    <hyperlink ref="D2668" r:id="rId2667" xr:uid="{00000000-0004-0000-0000-00006A0A0000}"/>
    <hyperlink ref="D2669" r:id="rId2668" xr:uid="{00000000-0004-0000-0000-00006B0A0000}"/>
    <hyperlink ref="D2670" r:id="rId2669" xr:uid="{00000000-0004-0000-0000-00006C0A0000}"/>
    <hyperlink ref="D2671" r:id="rId2670" xr:uid="{00000000-0004-0000-0000-00006D0A0000}"/>
    <hyperlink ref="D2672" r:id="rId2671" xr:uid="{00000000-0004-0000-0000-00006E0A0000}"/>
    <hyperlink ref="D2673" r:id="rId2672" xr:uid="{00000000-0004-0000-0000-00006F0A0000}"/>
    <hyperlink ref="D2674" r:id="rId2673" xr:uid="{00000000-0004-0000-0000-0000700A0000}"/>
    <hyperlink ref="D2675" r:id="rId2674" xr:uid="{00000000-0004-0000-0000-0000710A0000}"/>
    <hyperlink ref="D2676" r:id="rId2675" xr:uid="{00000000-0004-0000-0000-0000720A0000}"/>
    <hyperlink ref="D2677" r:id="rId2676" xr:uid="{00000000-0004-0000-0000-0000730A0000}"/>
    <hyperlink ref="D2678" r:id="rId2677" xr:uid="{00000000-0004-0000-0000-0000740A0000}"/>
    <hyperlink ref="D2679" r:id="rId2678" xr:uid="{00000000-0004-0000-0000-0000750A0000}"/>
    <hyperlink ref="D2680" r:id="rId2679" xr:uid="{00000000-0004-0000-0000-0000760A0000}"/>
    <hyperlink ref="D2681" r:id="rId2680" xr:uid="{00000000-0004-0000-0000-0000770A0000}"/>
    <hyperlink ref="D2682" r:id="rId2681" xr:uid="{00000000-0004-0000-0000-0000780A0000}"/>
    <hyperlink ref="D2683" r:id="rId2682" xr:uid="{00000000-0004-0000-0000-0000790A0000}"/>
    <hyperlink ref="D2684" r:id="rId2683" xr:uid="{00000000-0004-0000-0000-00007A0A0000}"/>
    <hyperlink ref="D2685" r:id="rId2684" xr:uid="{00000000-0004-0000-0000-00007B0A0000}"/>
    <hyperlink ref="D2686" r:id="rId2685" xr:uid="{00000000-0004-0000-0000-00007C0A0000}"/>
    <hyperlink ref="D2687" r:id="rId2686" xr:uid="{00000000-0004-0000-0000-00007D0A0000}"/>
    <hyperlink ref="D2688" r:id="rId2687" xr:uid="{00000000-0004-0000-0000-00007E0A0000}"/>
    <hyperlink ref="D2689" r:id="rId2688" xr:uid="{00000000-0004-0000-0000-00007F0A0000}"/>
    <hyperlink ref="D2690" r:id="rId2689" xr:uid="{00000000-0004-0000-0000-0000800A0000}"/>
    <hyperlink ref="D2691" r:id="rId2690" xr:uid="{00000000-0004-0000-0000-0000810A0000}"/>
    <hyperlink ref="D2692" r:id="rId2691" xr:uid="{00000000-0004-0000-0000-0000820A0000}"/>
    <hyperlink ref="D2693" r:id="rId2692" xr:uid="{00000000-0004-0000-0000-0000830A0000}"/>
    <hyperlink ref="D2694" r:id="rId2693" xr:uid="{00000000-0004-0000-0000-0000840A0000}"/>
    <hyperlink ref="D2695" r:id="rId2694" xr:uid="{00000000-0004-0000-0000-0000850A0000}"/>
    <hyperlink ref="D2696" r:id="rId2695" xr:uid="{00000000-0004-0000-0000-0000860A0000}"/>
    <hyperlink ref="D2697" r:id="rId2696" xr:uid="{00000000-0004-0000-0000-0000870A0000}"/>
    <hyperlink ref="D2698" r:id="rId2697" xr:uid="{00000000-0004-0000-0000-0000880A0000}"/>
    <hyperlink ref="D2699" r:id="rId2698" xr:uid="{00000000-0004-0000-0000-0000890A0000}"/>
    <hyperlink ref="D2700" r:id="rId2699" xr:uid="{00000000-0004-0000-0000-00008A0A0000}"/>
    <hyperlink ref="D2701" r:id="rId2700" xr:uid="{00000000-0004-0000-0000-00008B0A0000}"/>
    <hyperlink ref="D2702" r:id="rId2701" xr:uid="{00000000-0004-0000-0000-00008C0A0000}"/>
    <hyperlink ref="D2703" r:id="rId2702" xr:uid="{00000000-0004-0000-0000-00008D0A0000}"/>
    <hyperlink ref="D2704" r:id="rId2703" xr:uid="{00000000-0004-0000-0000-00008E0A0000}"/>
    <hyperlink ref="D2705" r:id="rId2704" xr:uid="{00000000-0004-0000-0000-00008F0A0000}"/>
    <hyperlink ref="D2706" r:id="rId2705" xr:uid="{00000000-0004-0000-0000-0000900A0000}"/>
    <hyperlink ref="D2707" r:id="rId2706" xr:uid="{00000000-0004-0000-0000-0000910A0000}"/>
    <hyperlink ref="D2708" r:id="rId2707" xr:uid="{00000000-0004-0000-0000-0000920A0000}"/>
    <hyperlink ref="D2709" r:id="rId2708" xr:uid="{00000000-0004-0000-0000-0000930A0000}"/>
    <hyperlink ref="D2710" r:id="rId2709" xr:uid="{00000000-0004-0000-0000-0000940A0000}"/>
    <hyperlink ref="D2711" r:id="rId2710" xr:uid="{00000000-0004-0000-0000-0000950A0000}"/>
    <hyperlink ref="D2712" r:id="rId2711" xr:uid="{00000000-0004-0000-0000-0000960A0000}"/>
    <hyperlink ref="D2713" r:id="rId2712" xr:uid="{00000000-0004-0000-0000-0000970A0000}"/>
    <hyperlink ref="D2714" r:id="rId2713" xr:uid="{00000000-0004-0000-0000-0000980A0000}"/>
    <hyperlink ref="D2715" r:id="rId2714" xr:uid="{00000000-0004-0000-0000-0000990A0000}"/>
    <hyperlink ref="D2716" r:id="rId2715" xr:uid="{00000000-0004-0000-0000-00009A0A0000}"/>
    <hyperlink ref="D2717" r:id="rId2716" xr:uid="{00000000-0004-0000-0000-00009B0A0000}"/>
    <hyperlink ref="D2718" r:id="rId2717" xr:uid="{00000000-0004-0000-0000-00009C0A0000}"/>
    <hyperlink ref="D2719" r:id="rId2718" xr:uid="{00000000-0004-0000-0000-00009D0A0000}"/>
    <hyperlink ref="D2720" r:id="rId2719" xr:uid="{00000000-0004-0000-0000-00009E0A0000}"/>
    <hyperlink ref="D2721" r:id="rId2720" xr:uid="{00000000-0004-0000-0000-00009F0A0000}"/>
    <hyperlink ref="D2722" r:id="rId2721" xr:uid="{00000000-0004-0000-0000-0000A00A0000}"/>
    <hyperlink ref="D2723" r:id="rId2722" xr:uid="{00000000-0004-0000-0000-0000A10A0000}"/>
    <hyperlink ref="D2724" r:id="rId2723" xr:uid="{00000000-0004-0000-0000-0000A20A0000}"/>
    <hyperlink ref="D2725" r:id="rId2724" xr:uid="{00000000-0004-0000-0000-0000A30A0000}"/>
    <hyperlink ref="D2726" r:id="rId2725" xr:uid="{00000000-0004-0000-0000-0000A40A0000}"/>
    <hyperlink ref="D2727" r:id="rId2726" xr:uid="{00000000-0004-0000-0000-0000A50A0000}"/>
    <hyperlink ref="D2728" r:id="rId2727" xr:uid="{00000000-0004-0000-0000-0000A60A0000}"/>
    <hyperlink ref="D2729" r:id="rId2728" xr:uid="{00000000-0004-0000-0000-0000A70A0000}"/>
    <hyperlink ref="D2730" r:id="rId2729" xr:uid="{00000000-0004-0000-0000-0000A80A0000}"/>
    <hyperlink ref="D2731" r:id="rId2730" xr:uid="{00000000-0004-0000-0000-0000A90A0000}"/>
    <hyperlink ref="D2732" r:id="rId2731" xr:uid="{00000000-0004-0000-0000-0000AA0A0000}"/>
    <hyperlink ref="D2733" r:id="rId2732" xr:uid="{00000000-0004-0000-0000-0000AB0A0000}"/>
    <hyperlink ref="D2734" r:id="rId2733" xr:uid="{00000000-0004-0000-0000-0000AC0A0000}"/>
    <hyperlink ref="D2735" r:id="rId2734" xr:uid="{00000000-0004-0000-0000-0000AD0A0000}"/>
    <hyperlink ref="D2736" r:id="rId2735" xr:uid="{00000000-0004-0000-0000-0000AE0A0000}"/>
    <hyperlink ref="D2737" r:id="rId2736" xr:uid="{00000000-0004-0000-0000-0000AF0A0000}"/>
    <hyperlink ref="D2738" r:id="rId2737" xr:uid="{00000000-0004-0000-0000-0000B00A0000}"/>
    <hyperlink ref="D2739" r:id="rId2738" xr:uid="{00000000-0004-0000-0000-0000B10A0000}"/>
    <hyperlink ref="D2740" r:id="rId2739" xr:uid="{00000000-0004-0000-0000-0000B20A0000}"/>
    <hyperlink ref="D2741" r:id="rId2740" xr:uid="{00000000-0004-0000-0000-0000B30A0000}"/>
    <hyperlink ref="D2742" r:id="rId2741" xr:uid="{00000000-0004-0000-0000-0000B40A0000}"/>
    <hyperlink ref="D2743" r:id="rId2742" xr:uid="{00000000-0004-0000-0000-0000B50A0000}"/>
    <hyperlink ref="D2744" r:id="rId2743" xr:uid="{00000000-0004-0000-0000-0000B60A0000}"/>
    <hyperlink ref="D2745" r:id="rId2744" xr:uid="{00000000-0004-0000-0000-0000B70A0000}"/>
    <hyperlink ref="D2746" r:id="rId2745" xr:uid="{00000000-0004-0000-0000-0000B80A0000}"/>
    <hyperlink ref="D2747" r:id="rId2746" xr:uid="{00000000-0004-0000-0000-0000B90A0000}"/>
    <hyperlink ref="D2748" r:id="rId2747" xr:uid="{00000000-0004-0000-0000-0000BA0A0000}"/>
    <hyperlink ref="D2749" r:id="rId2748" xr:uid="{00000000-0004-0000-0000-0000BB0A0000}"/>
    <hyperlink ref="D2750" r:id="rId2749" xr:uid="{00000000-0004-0000-0000-0000BC0A0000}"/>
    <hyperlink ref="D2751" r:id="rId2750" xr:uid="{00000000-0004-0000-0000-0000BD0A0000}"/>
    <hyperlink ref="D2752" r:id="rId2751" xr:uid="{00000000-0004-0000-0000-0000BE0A0000}"/>
    <hyperlink ref="D2753" r:id="rId2752" xr:uid="{00000000-0004-0000-0000-0000BF0A0000}"/>
    <hyperlink ref="D2754" r:id="rId2753" xr:uid="{00000000-0004-0000-0000-0000C00A0000}"/>
    <hyperlink ref="D2755" r:id="rId2754" xr:uid="{00000000-0004-0000-0000-0000C10A0000}"/>
    <hyperlink ref="D2756" r:id="rId2755" xr:uid="{00000000-0004-0000-0000-0000C20A0000}"/>
    <hyperlink ref="D2757" r:id="rId2756" xr:uid="{00000000-0004-0000-0000-0000C30A0000}"/>
    <hyperlink ref="D2758" r:id="rId2757" xr:uid="{00000000-0004-0000-0000-0000C40A0000}"/>
    <hyperlink ref="D2759" r:id="rId2758" xr:uid="{00000000-0004-0000-0000-0000C50A0000}"/>
    <hyperlink ref="D2760" r:id="rId2759" xr:uid="{00000000-0004-0000-0000-0000C60A0000}"/>
    <hyperlink ref="D2761" r:id="rId2760" xr:uid="{00000000-0004-0000-0000-0000C70A0000}"/>
    <hyperlink ref="D2762" r:id="rId2761" xr:uid="{00000000-0004-0000-0000-0000C80A0000}"/>
    <hyperlink ref="D2763" r:id="rId2762" xr:uid="{00000000-0004-0000-0000-0000C90A0000}"/>
    <hyperlink ref="D2764" r:id="rId2763" xr:uid="{00000000-0004-0000-0000-0000CA0A0000}"/>
    <hyperlink ref="D2765" r:id="rId2764" xr:uid="{00000000-0004-0000-0000-0000CB0A0000}"/>
    <hyperlink ref="D2766" r:id="rId2765" xr:uid="{00000000-0004-0000-0000-0000CC0A0000}"/>
    <hyperlink ref="D2767" r:id="rId2766" xr:uid="{00000000-0004-0000-0000-0000CD0A0000}"/>
    <hyperlink ref="D2768" r:id="rId2767" xr:uid="{00000000-0004-0000-0000-0000CE0A0000}"/>
    <hyperlink ref="D2769" r:id="rId2768" xr:uid="{00000000-0004-0000-0000-0000CF0A0000}"/>
    <hyperlink ref="D2770" r:id="rId2769" xr:uid="{00000000-0004-0000-0000-0000D00A0000}"/>
    <hyperlink ref="D2771" r:id="rId2770" xr:uid="{00000000-0004-0000-0000-0000D10A0000}"/>
    <hyperlink ref="D2772" r:id="rId2771" xr:uid="{00000000-0004-0000-0000-0000D20A0000}"/>
    <hyperlink ref="D2773" r:id="rId2772" xr:uid="{00000000-0004-0000-0000-0000D30A0000}"/>
    <hyperlink ref="D2774" r:id="rId2773" xr:uid="{00000000-0004-0000-0000-0000D40A0000}"/>
    <hyperlink ref="D2775" r:id="rId2774" xr:uid="{00000000-0004-0000-0000-0000D50A0000}"/>
    <hyperlink ref="D2776" r:id="rId2775" xr:uid="{00000000-0004-0000-0000-0000D60A0000}"/>
    <hyperlink ref="D2777" r:id="rId2776" xr:uid="{00000000-0004-0000-0000-0000D70A0000}"/>
    <hyperlink ref="D2778" r:id="rId2777" xr:uid="{00000000-0004-0000-0000-0000D80A0000}"/>
    <hyperlink ref="D2779" r:id="rId2778" xr:uid="{00000000-0004-0000-0000-0000D90A0000}"/>
    <hyperlink ref="D2780" r:id="rId2779" xr:uid="{00000000-0004-0000-0000-0000DA0A0000}"/>
    <hyperlink ref="D2781" r:id="rId2780" xr:uid="{00000000-0004-0000-0000-0000DB0A0000}"/>
    <hyperlink ref="D2782" r:id="rId2781" xr:uid="{00000000-0004-0000-0000-0000DC0A0000}"/>
    <hyperlink ref="D2783" r:id="rId2782" xr:uid="{00000000-0004-0000-0000-0000DD0A0000}"/>
    <hyperlink ref="D2784" r:id="rId2783" xr:uid="{00000000-0004-0000-0000-0000DE0A0000}"/>
    <hyperlink ref="D2785" r:id="rId2784" xr:uid="{00000000-0004-0000-0000-0000DF0A0000}"/>
    <hyperlink ref="D2786" r:id="rId2785" xr:uid="{00000000-0004-0000-0000-0000E00A0000}"/>
    <hyperlink ref="D2787" r:id="rId2786" xr:uid="{00000000-0004-0000-0000-0000E10A0000}"/>
    <hyperlink ref="D2788" r:id="rId2787" xr:uid="{00000000-0004-0000-0000-0000E20A0000}"/>
    <hyperlink ref="D2789" r:id="rId2788" xr:uid="{00000000-0004-0000-0000-0000E30A0000}"/>
    <hyperlink ref="D2790" r:id="rId2789" xr:uid="{00000000-0004-0000-0000-0000E40A0000}"/>
    <hyperlink ref="D2791" r:id="rId2790" xr:uid="{00000000-0004-0000-0000-0000E50A0000}"/>
    <hyperlink ref="D2792" r:id="rId2791" xr:uid="{00000000-0004-0000-0000-0000E60A0000}"/>
    <hyperlink ref="D2793" r:id="rId2792" xr:uid="{00000000-0004-0000-0000-0000E70A0000}"/>
    <hyperlink ref="D2794" r:id="rId2793" xr:uid="{00000000-0004-0000-0000-0000E80A0000}"/>
    <hyperlink ref="D2795" r:id="rId2794" xr:uid="{00000000-0004-0000-0000-0000E90A0000}"/>
    <hyperlink ref="D2796" r:id="rId2795" xr:uid="{00000000-0004-0000-0000-0000EA0A0000}"/>
    <hyperlink ref="D2797" r:id="rId2796" xr:uid="{00000000-0004-0000-0000-0000EB0A0000}"/>
    <hyperlink ref="D2798" r:id="rId2797" xr:uid="{00000000-0004-0000-0000-0000EC0A0000}"/>
    <hyperlink ref="D2799" r:id="rId2798" xr:uid="{00000000-0004-0000-0000-0000ED0A0000}"/>
    <hyperlink ref="D2800" r:id="rId2799" xr:uid="{00000000-0004-0000-0000-0000EE0A0000}"/>
    <hyperlink ref="D2801" r:id="rId2800" xr:uid="{00000000-0004-0000-0000-0000EF0A0000}"/>
    <hyperlink ref="D2802" r:id="rId2801" xr:uid="{00000000-0004-0000-0000-0000F00A0000}"/>
    <hyperlink ref="D2803" r:id="rId2802" xr:uid="{00000000-0004-0000-0000-0000F10A0000}"/>
    <hyperlink ref="D2804" r:id="rId2803" xr:uid="{00000000-0004-0000-0000-0000F20A0000}"/>
    <hyperlink ref="D2805" r:id="rId2804" xr:uid="{00000000-0004-0000-0000-0000F30A0000}"/>
    <hyperlink ref="D2806" r:id="rId2805" xr:uid="{00000000-0004-0000-0000-0000F40A0000}"/>
    <hyperlink ref="D2807" r:id="rId2806" xr:uid="{00000000-0004-0000-0000-0000F50A0000}"/>
    <hyperlink ref="D2808" r:id="rId2807" xr:uid="{00000000-0004-0000-0000-0000F60A0000}"/>
    <hyperlink ref="D2809" r:id="rId2808" xr:uid="{00000000-0004-0000-0000-0000F70A0000}"/>
    <hyperlink ref="D2810" r:id="rId2809" xr:uid="{00000000-0004-0000-0000-0000F80A0000}"/>
    <hyperlink ref="D2811" r:id="rId2810" xr:uid="{00000000-0004-0000-0000-0000F90A0000}"/>
    <hyperlink ref="D2812" r:id="rId2811" xr:uid="{00000000-0004-0000-0000-0000FA0A0000}"/>
    <hyperlink ref="D2813" r:id="rId2812" xr:uid="{00000000-0004-0000-0000-0000FB0A0000}"/>
    <hyperlink ref="D2814" r:id="rId2813" xr:uid="{00000000-0004-0000-0000-0000FC0A0000}"/>
    <hyperlink ref="D2815" r:id="rId2814" xr:uid="{00000000-0004-0000-0000-0000FD0A0000}"/>
    <hyperlink ref="D2816" r:id="rId2815" xr:uid="{00000000-0004-0000-0000-0000FE0A0000}"/>
    <hyperlink ref="D2817" r:id="rId2816" xr:uid="{00000000-0004-0000-0000-0000FF0A0000}"/>
    <hyperlink ref="D2818" r:id="rId2817" xr:uid="{00000000-0004-0000-0000-0000000B0000}"/>
    <hyperlink ref="D2819" r:id="rId2818" xr:uid="{00000000-0004-0000-0000-0000010B0000}"/>
    <hyperlink ref="D2820" r:id="rId2819" xr:uid="{00000000-0004-0000-0000-0000020B0000}"/>
    <hyperlink ref="D2821" r:id="rId2820" xr:uid="{00000000-0004-0000-0000-0000030B0000}"/>
    <hyperlink ref="D2822" r:id="rId2821" xr:uid="{00000000-0004-0000-0000-0000040B0000}"/>
    <hyperlink ref="D2823" r:id="rId2822" xr:uid="{00000000-0004-0000-0000-0000050B0000}"/>
    <hyperlink ref="D2824" r:id="rId2823" xr:uid="{00000000-0004-0000-0000-0000060B0000}"/>
    <hyperlink ref="D2825" r:id="rId2824" xr:uid="{00000000-0004-0000-0000-0000070B0000}"/>
    <hyperlink ref="D2826" r:id="rId2825" xr:uid="{00000000-0004-0000-0000-0000080B0000}"/>
    <hyperlink ref="D2827" r:id="rId2826" xr:uid="{00000000-0004-0000-0000-0000090B0000}"/>
  </hyperlinks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72f988bf-86f1-41af-91ab-2d7cd011db47}" enabled="0" method="" siteId="{72f988bf-86f1-41af-91ab-2d7cd011db4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Haoyu Dong</cp:lastModifiedBy>
  <dcterms:created xsi:type="dcterms:W3CDTF">2021-04-23T09:40:33Z</dcterms:created>
  <dcterms:modified xsi:type="dcterms:W3CDTF">2021-05-24T07:39:07Z</dcterms:modified>
</cp:coreProperties>
</file>