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shodges\git\MicroBitArcadeShield\MicroBitArcadeShieldMVD 08-1.1\"/>
    </mc:Choice>
  </mc:AlternateContent>
  <xr:revisionPtr revIDLastSave="0" documentId="8_{42D1A270-4313-46C3-A283-F7DD235B9987}" xr6:coauthVersionLast="46" xr6:coauthVersionMax="46" xr10:uidLastSave="{00000000-0000-0000-0000-000000000000}"/>
  <bookViews>
    <workbookView xWindow="3510" yWindow="3510" windowWidth="21600" windowHeight="12735" xr2:uid="{00000000-000D-0000-FFFF-FFFF00000000}"/>
  </bookViews>
  <sheets>
    <sheet name="Cos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1" l="1"/>
  <c r="K32" i="1"/>
  <c r="J32" i="1" s="1"/>
  <c r="F32" i="1"/>
  <c r="L31" i="1"/>
  <c r="K31" i="1"/>
  <c r="I31" i="1" s="1"/>
  <c r="F31" i="1"/>
  <c r="L30" i="1"/>
  <c r="K30" i="1"/>
  <c r="H30" i="1" s="1"/>
  <c r="F30" i="1"/>
  <c r="L29" i="1"/>
  <c r="K29" i="1"/>
  <c r="J29" i="1" s="1"/>
  <c r="F29" i="1"/>
  <c r="L28" i="1"/>
  <c r="K28" i="1"/>
  <c r="J28" i="1" s="1"/>
  <c r="F28" i="1"/>
  <c r="L27" i="1"/>
  <c r="K27" i="1"/>
  <c r="I27" i="1" s="1"/>
  <c r="F27" i="1"/>
  <c r="L26" i="1"/>
  <c r="K26" i="1"/>
  <c r="J26" i="1" s="1"/>
  <c r="F26" i="1"/>
  <c r="L25" i="1"/>
  <c r="K25" i="1"/>
  <c r="J25" i="1" s="1"/>
  <c r="F25" i="1"/>
  <c r="L24" i="1"/>
  <c r="K24" i="1"/>
  <c r="J24" i="1" s="1"/>
  <c r="F24" i="1"/>
  <c r="L23" i="1"/>
  <c r="K23" i="1"/>
  <c r="H23" i="1" s="1"/>
  <c r="F23" i="1"/>
  <c r="L22" i="1"/>
  <c r="K22" i="1"/>
  <c r="H22" i="1" s="1"/>
  <c r="F22" i="1"/>
  <c r="L21" i="1"/>
  <c r="K21" i="1"/>
  <c r="J21" i="1" s="1"/>
  <c r="F21" i="1"/>
  <c r="L20" i="1"/>
  <c r="K20" i="1"/>
  <c r="J20" i="1" s="1"/>
  <c r="F20" i="1"/>
  <c r="L19" i="1"/>
  <c r="K19" i="1"/>
  <c r="J19" i="1" s="1"/>
  <c r="F19" i="1"/>
  <c r="L18" i="1"/>
  <c r="K18" i="1"/>
  <c r="J18" i="1" s="1"/>
  <c r="F18" i="1"/>
  <c r="L17" i="1"/>
  <c r="K17" i="1"/>
  <c r="J17" i="1" s="1"/>
  <c r="F17" i="1"/>
  <c r="L16" i="1"/>
  <c r="K16" i="1"/>
  <c r="J16" i="1" s="1"/>
  <c r="F16" i="1"/>
  <c r="F15" i="1"/>
  <c r="F14" i="1"/>
  <c r="I23" i="1" l="1"/>
  <c r="I28" i="1"/>
  <c r="H28" i="1"/>
  <c r="H24" i="1"/>
  <c r="I24" i="1"/>
  <c r="J23" i="1"/>
  <c r="H19" i="1"/>
  <c r="J22" i="1"/>
  <c r="H25" i="1"/>
  <c r="I25" i="1"/>
  <c r="I22" i="1"/>
  <c r="J31" i="1"/>
  <c r="I30" i="1"/>
  <c r="J30" i="1"/>
  <c r="H32" i="1"/>
  <c r="I32" i="1"/>
  <c r="H31" i="1"/>
  <c r="J27" i="1"/>
  <c r="H27" i="1"/>
  <c r="H29" i="1"/>
  <c r="I29" i="1"/>
  <c r="H26" i="1"/>
  <c r="I26" i="1"/>
  <c r="I19" i="1"/>
  <c r="H21" i="1"/>
  <c r="I21" i="1"/>
  <c r="I20" i="1"/>
  <c r="H18" i="1"/>
  <c r="H20" i="1"/>
  <c r="I18" i="1"/>
  <c r="H16" i="1"/>
  <c r="I16" i="1"/>
  <c r="H17" i="1"/>
  <c r="I17" i="1"/>
  <c r="L14" i="1"/>
  <c r="L15" i="1"/>
  <c r="K14" i="1"/>
  <c r="J14" i="1" s="1"/>
  <c r="K15" i="1"/>
  <c r="J15" i="1" s="1"/>
  <c r="K38" i="1"/>
  <c r="H14" i="1" l="1"/>
  <c r="I14" i="1"/>
  <c r="H15" i="1"/>
  <c r="I15" i="1"/>
  <c r="B33" i="1" l="1"/>
  <c r="E33" i="1"/>
  <c r="L33" i="1" l="1"/>
  <c r="L34" i="1" s="1"/>
  <c r="F33" i="1" l="1"/>
  <c r="C8" i="1" l="1"/>
  <c r="B8" i="1"/>
</calcChain>
</file>

<file path=xl/sharedStrings.xml><?xml version="1.0" encoding="utf-8"?>
<sst xmlns="http://schemas.openxmlformats.org/spreadsheetml/2006/main" count="200" uniqueCount="154">
  <si>
    <t>Creation Date:</t>
  </si>
  <si>
    <t>Print Date:</t>
  </si>
  <si>
    <t>Source Data From:</t>
  </si>
  <si>
    <t>Currency</t>
  </si>
  <si>
    <t>Best Supplier</t>
  </si>
  <si>
    <t>Best Supplier PN</t>
  </si>
  <si>
    <t>Microsoft Research</t>
  </si>
  <si>
    <t>Best Subtotal</t>
  </si>
  <si>
    <t>Order Quantity</t>
  </si>
  <si>
    <t>total</t>
  </si>
  <si>
    <t>unit price</t>
  </si>
  <si>
    <t>Pricing based on number of boards =</t>
  </si>
  <si>
    <t>number of line items</t>
  </si>
  <si>
    <t>Best Unit Price</t>
  </si>
  <si>
    <t>best subtotal index</t>
  </si>
  <si>
    <t>Project filename:</t>
  </si>
  <si>
    <t>Project codename/board ID:</t>
  </si>
  <si>
    <t>Variant/version:</t>
  </si>
  <si>
    <t>Bill of materials for costing</t>
  </si>
  <si>
    <t>Arcade shield reference design for the BBC micro:bit V2</t>
  </si>
  <si>
    <t>MicroBitArcadeShieldMVD 08.PrjPCB</t>
  </si>
  <si>
    <t>Bill of Materials for Project [MicroBitArcadeShieldMVD 08.PrjPCB] (No PCB Document Selected)</t>
  </si>
  <si>
    <t>MicroBitArcadeShieldMVD</t>
  </si>
  <si>
    <t>08</t>
  </si>
  <si>
    <t>None</t>
  </si>
  <si>
    <t>1.1</t>
  </si>
  <si>
    <t>24/12/2020</t>
  </si>
  <si>
    <t>13:08</t>
  </si>
  <si>
    <t>1000</t>
  </si>
  <si>
    <t>USD</t>
  </si>
  <si>
    <t>Description</t>
  </si>
  <si>
    <t>Battery Holder;  AA;  Polypropylene;  PC Mount;  3;  Spring;  PC</t>
  </si>
  <si>
    <t>Generic 10uF 10V 0603 X5R cap, e.g. Samsung CL10A106KP8NNNC</t>
  </si>
  <si>
    <t>Generic 0603 capacitor</t>
  </si>
  <si>
    <t>Generic 4.7uF 10V X5R 0603 cap, e.g. Samsung CL10A475KP8NNNC</t>
  </si>
  <si>
    <t>DIODE ARRAY SCHOTTKY 30V SOT23</t>
  </si>
  <si>
    <t>DIODE SCHOTTKY 20V 1A SOD123FL</t>
  </si>
  <si>
    <t>ESD Suppressor, low parasitic capacitance.TVS DIODE 5.5V 13V DFN1006-2</t>
  </si>
  <si>
    <t>0603 1k@100MHz 0.8A chip</t>
  </si>
  <si>
    <t>"Same plane" 1x40p 1.27mm Dongguan Yuliang BBC micro:bit edge connector</t>
  </si>
  <si>
    <t>Inductor, Shielded, 10uH, 600mA, SMD; NRH Series; Inductance:10 H; Inductance Tolerance: 20%; Inductor Construction:Shielded; DC Resistance Max:0.35ohm; RMS Current (Irms):620mA; Saturation Current (Isat):600mA ;RoHS Compliant: Yes</t>
  </si>
  <si>
    <t>128x160 backlit colour LCD</t>
  </si>
  <si>
    <t>2N7002NXAK - 60 V, single N-channel Trench MOSFET</t>
  </si>
  <si>
    <t>Generic 0603 resistor</t>
  </si>
  <si>
    <t>Res Thick Film Array 330K Ohm 5% 200ppm/C ISOL Molded 8-Pin 1206(4 X 0603) Convex SMD Punched Carrier T/R</t>
  </si>
  <si>
    <t>Generic 6x6mm SPST button e,g, Wurth 430152050826</t>
  </si>
  <si>
    <t>8-BIT SHIFT/LOAD (INPUT) REGISTER, 16-SOIC</t>
  </si>
  <si>
    <t>IC ADJ Dc-DC 0.22A SOT23</t>
  </si>
  <si>
    <t>POWER LOAD SWITCH, HIGH SIDE, SOT-23-6; Power Load Switch Type:High Side; Input Voltage:6.5V; Current Limit:1.7A; On State Resistance:0.085ohm; Distribution Switch Case Style:SOT-23; No. of Pins:6; Thermal Protection:Yes; On / Enable;RoHS Compliant: Yes</t>
  </si>
  <si>
    <t>ON SEMICONDUCTOR - NCP114ASN330T1G - LDO Voltage Regulator, Fixed, 1.7 V to 5.5 V in, 3.3 V/300 mA out, 150 mV drop, TSOP-5</t>
  </si>
  <si>
    <t>Manufacturer</t>
  </si>
  <si>
    <t>Keystone Electronics</t>
  </si>
  <si>
    <t>Samsung</t>
  </si>
  <si>
    <t>Generic</t>
  </si>
  <si>
    <t>Nexperia</t>
  </si>
  <si>
    <t>ON Semiconductor</t>
  </si>
  <si>
    <t>Diodes</t>
  </si>
  <si>
    <t>TDK</t>
  </si>
  <si>
    <t>Dongguan Yuliang</t>
  </si>
  <si>
    <t>Taiyo Yuden</t>
  </si>
  <si>
    <t>Truly Semiconductor</t>
  </si>
  <si>
    <t>Panasonic</t>
  </si>
  <si>
    <t>Wurth Electronics</t>
  </si>
  <si>
    <t>Texas Instruments</t>
  </si>
  <si>
    <t>Manufacturer Part Number</t>
  </si>
  <si>
    <t>2464</t>
  </si>
  <si>
    <t>CL10A106KP8NNNC</t>
  </si>
  <si>
    <t>CL10A475KP8NNNC</t>
  </si>
  <si>
    <t>BAT54S,235</t>
  </si>
  <si>
    <t>MBR120VLSFT3G</t>
  </si>
  <si>
    <t>D5V0P1B2LP-7B</t>
  </si>
  <si>
    <t>MPZ1608S102ATA00</t>
  </si>
  <si>
    <t>MIC127-140-D01</t>
  </si>
  <si>
    <t>NRH3010T100MN</t>
  </si>
  <si>
    <t>JD-T18003-T01</t>
  </si>
  <si>
    <t>2N7002NXAKR</t>
  </si>
  <si>
    <t>EXB-38V334JV</t>
  </si>
  <si>
    <t>430152050826</t>
  </si>
  <si>
    <t>SN74HC165DR</t>
  </si>
  <si>
    <t>TLV61220DBVR</t>
  </si>
  <si>
    <t>TPS2553DBVR</t>
  </si>
  <si>
    <t>NCP114ASN330T1G</t>
  </si>
  <si>
    <t>Designator</t>
  </si>
  <si>
    <t>B1</t>
  </si>
  <si>
    <t>C1, C2</t>
  </si>
  <si>
    <t>C3, C4, C5, C8, C10</t>
  </si>
  <si>
    <t>C6, C7, C9, C11, C12</t>
  </si>
  <si>
    <t>D1, D2</t>
  </si>
  <si>
    <t>D4, D5</t>
  </si>
  <si>
    <t>D7, D8</t>
  </si>
  <si>
    <t>FB1, FB2</t>
  </si>
  <si>
    <t>J1</t>
  </si>
  <si>
    <t>L1</t>
  </si>
  <si>
    <t>LCD1</t>
  </si>
  <si>
    <t>Q1</t>
  </si>
  <si>
    <t>R1, R2, R3, R4, R5, R6, R7</t>
  </si>
  <si>
    <t>RP1, RP2</t>
  </si>
  <si>
    <t>SW1, SW2, SW3, SW4, SW5, SW6, SW7</t>
  </si>
  <si>
    <t>U1, U2</t>
  </si>
  <si>
    <t>U3</t>
  </si>
  <si>
    <t>U4</t>
  </si>
  <si>
    <t>U5</t>
  </si>
  <si>
    <t>Quantity</t>
  </si>
  <si>
    <t>Supplier 1</t>
  </si>
  <si>
    <t>Digi-Key</t>
  </si>
  <si>
    <t>Supplier Part Number 1</t>
  </si>
  <si>
    <t>2464K-ND</t>
  </si>
  <si>
    <t>1276-1192-1-ND</t>
  </si>
  <si>
    <t>1276-1044-1-ND</t>
  </si>
  <si>
    <t>1727-1868-1-ND</t>
  </si>
  <si>
    <t>MBR120VLSFT3GOSCT-ND</t>
  </si>
  <si>
    <t>D5V0P1B2LP-7BDICT-ND</t>
  </si>
  <si>
    <t>445-8694-1-ND</t>
  </si>
  <si>
    <t>587-2575-1-ND</t>
  </si>
  <si>
    <t>1528-2562-ND</t>
  </si>
  <si>
    <t>1727-8643-1-ND</t>
  </si>
  <si>
    <t>Y9334CT-ND</t>
  </si>
  <si>
    <t>732-6993-1-ND</t>
  </si>
  <si>
    <t>296-8250-1-ND</t>
  </si>
  <si>
    <t>296-30547-1-ND</t>
  </si>
  <si>
    <t>296-32464-1-ND</t>
  </si>
  <si>
    <t>NCP114ASN330T1GOSCT-ND</t>
  </si>
  <si>
    <t>Supplier Unit Price 1</t>
  </si>
  <si>
    <t>Supplier Subtotal 1</t>
  </si>
  <si>
    <t>Supplier 2</t>
  </si>
  <si>
    <t>Farnell</t>
  </si>
  <si>
    <t>Mouser</t>
  </si>
  <si>
    <t>RSComponents</t>
  </si>
  <si>
    <t>Supplier Part Number 2</t>
  </si>
  <si>
    <t>187-CL10A106KP8NNNC</t>
  </si>
  <si>
    <t>771-BAT54S235</t>
  </si>
  <si>
    <t>863-MBR120VLSFT3G</t>
  </si>
  <si>
    <t>621-D5V0P1B2LP-7B</t>
  </si>
  <si>
    <t>810-MPZ1608S102ATA00</t>
  </si>
  <si>
    <t>963-NRH3010T100MN</t>
  </si>
  <si>
    <t>485-618</t>
  </si>
  <si>
    <t>667-EXB-38V334JV</t>
  </si>
  <si>
    <t>595-SN74HC165DR</t>
  </si>
  <si>
    <t>Supplier Unit Price 2</t>
  </si>
  <si>
    <t>Supplier Subtotal 2</t>
  </si>
  <si>
    <t>Supplier 3</t>
  </si>
  <si>
    <t>Adafruit</t>
  </si>
  <si>
    <t>Supplier Part Number 3</t>
  </si>
  <si>
    <t>534-2464</t>
  </si>
  <si>
    <t>771-2N7002NXAKR</t>
  </si>
  <si>
    <t>595-TLV61220DBVR</t>
  </si>
  <si>
    <t>595-TPS2553DBVR</t>
  </si>
  <si>
    <t>863-NCP114ASN330T1G</t>
  </si>
  <si>
    <t>Supplier Unit Price 3</t>
  </si>
  <si>
    <t>Supplier Subtotal 3</t>
  </si>
  <si>
    <t>#Column Name Error:' Supplier 4</t>
  </si>
  <si>
    <t>#Column Name Error:' Supplier Part Number 4</t>
  </si>
  <si>
    <t>#Column Name Error:' Supplier Unit Price 4</t>
  </si>
  <si>
    <t>#Column Name Error:' Supplier Subtotal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</si>
</sst>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&quot;£&quot;#,##0.0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i/>
      <sz val="10"/>
      <name val="Segoe UI"/>
      <family val="2"/>
    </font>
    <font>
      <sz val="18"/>
      <name val="Segoe UI"/>
      <family val="2"/>
    </font>
    <font>
      <b/>
      <sz val="10"/>
      <color rgb="FFFF0000"/>
      <name val="Segoe UI"/>
      <family val="2"/>
    </font>
    <font>
      <b/>
      <sz val="9"/>
      <color rgb="FFFF0000"/>
      <name val="Segoe UI"/>
      <family val="2"/>
    </font>
    <font>
      <sz val="8"/>
      <name val="Segoe UI"/>
      <family val="2"/>
    </font>
    <font>
      <sz val="14"/>
      <name val="Segoe UI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1" xfId="0" applyFont="1" applyBorder="1" applyAlignment="1"/>
    <xf numFmtId="164" fontId="4" fillId="0" borderId="2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horizontal="right"/>
    </xf>
    <xf numFmtId="0" fontId="4" fillId="2" borderId="5" xfId="0" applyFont="1" applyFill="1" applyBorder="1" applyAlignment="1"/>
    <xf numFmtId="0" fontId="4" fillId="2" borderId="6" xfId="0" applyFont="1" applyFill="1" applyBorder="1" applyAlignment="1">
      <alignment horizontal="left"/>
    </xf>
    <xf numFmtId="0" fontId="4" fillId="2" borderId="6" xfId="0" applyFont="1" applyFill="1" applyBorder="1" applyAlignment="1"/>
    <xf numFmtId="0" fontId="4" fillId="2" borderId="7" xfId="0" applyFont="1" applyFill="1" applyBorder="1" applyAlignment="1"/>
    <xf numFmtId="0" fontId="4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4" fillId="0" borderId="0" xfId="0" applyFont="1" applyFill="1" applyBorder="1" applyAlignment="1"/>
    <xf numFmtId="0" fontId="0" fillId="0" borderId="0" xfId="0" quotePrefix="1" applyAlignment="1">
      <alignment vertical="top"/>
    </xf>
    <xf numFmtId="49" fontId="4" fillId="0" borderId="4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right"/>
    </xf>
    <xf numFmtId="165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" fontId="4" fillId="3" borderId="1" xfId="0" applyNumberFormat="1" applyFont="1" applyFill="1" applyBorder="1" applyAlignment="1">
      <alignment vertical="top"/>
    </xf>
    <xf numFmtId="4" fontId="4" fillId="0" borderId="1" xfId="0" applyNumberFormat="1" applyFont="1" applyBorder="1" applyAlignment="1">
      <alignment vertical="top"/>
    </xf>
    <xf numFmtId="0" fontId="4" fillId="3" borderId="8" xfId="0" applyFont="1" applyFill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3" borderId="9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4" xfId="0" applyNumberFormat="1" applyFont="1" applyBorder="1" applyAlignment="1">
      <alignment vertical="top"/>
    </xf>
    <xf numFmtId="0" fontId="4" fillId="0" borderId="11" xfId="0" applyNumberFormat="1" applyFont="1" applyBorder="1" applyAlignment="1">
      <alignment vertical="top"/>
    </xf>
    <xf numFmtId="0" fontId="4" fillId="0" borderId="4" xfId="0" applyNumberFormat="1" applyFont="1" applyBorder="1" applyAlignment="1">
      <alignment horizontal="right" vertical="top"/>
    </xf>
    <xf numFmtId="0" fontId="4" fillId="0" borderId="12" xfId="0" applyNumberFormat="1" applyFont="1" applyBorder="1" applyAlignment="1">
      <alignment vertical="top"/>
    </xf>
    <xf numFmtId="4" fontId="4" fillId="0" borderId="0" xfId="0" applyNumberFormat="1" applyFont="1" applyBorder="1" applyAlignment="1"/>
    <xf numFmtId="0" fontId="4" fillId="0" borderId="4" xfId="0" applyNumberFormat="1" applyFont="1" applyBorder="1" applyAlignment="1">
      <alignment horizontal="left" vertical="top"/>
    </xf>
    <xf numFmtId="166" fontId="4" fillId="0" borderId="10" xfId="0" applyNumberFormat="1" applyFont="1" applyBorder="1" applyAlignment="1">
      <alignment horizontal="right" vertical="top"/>
    </xf>
    <xf numFmtId="4" fontId="4" fillId="0" borderId="12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vertical="top" shrinkToFit="1"/>
    </xf>
    <xf numFmtId="0" fontId="4" fillId="0" borderId="1" xfId="0" applyFont="1" applyBorder="1" applyAlignment="1">
      <alignment vertical="top" shrinkToFit="1"/>
    </xf>
    <xf numFmtId="0" fontId="4" fillId="0" borderId="0" xfId="0" applyNumberFormat="1" applyFont="1" applyBorder="1" applyAlignment="1">
      <alignment vertical="top"/>
    </xf>
    <xf numFmtId="0" fontId="4" fillId="2" borderId="1" xfId="0" applyNumberFormat="1" applyFont="1" applyFill="1" applyBorder="1" applyAlignment="1" applyProtection="1">
      <alignment vertical="top" wrapText="1"/>
      <protection locked="0"/>
    </xf>
    <xf numFmtId="0" fontId="4" fillId="2" borderId="0" xfId="0" applyNumberFormat="1" applyFont="1" applyFill="1" applyBorder="1" applyAlignment="1" applyProtection="1">
      <alignment vertical="top" wrapText="1"/>
      <protection locked="0"/>
    </xf>
    <xf numFmtId="0" fontId="4" fillId="2" borderId="0" xfId="0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NumberFormat="1" applyFont="1" applyFill="1" applyBorder="1" applyAlignment="1" applyProtection="1">
      <alignment vertical="top" wrapText="1"/>
      <protection locked="0"/>
    </xf>
    <xf numFmtId="0" fontId="6" fillId="2" borderId="14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vertical="center" wrapText="1"/>
    </xf>
    <xf numFmtId="0" fontId="6" fillId="2" borderId="16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11" xfId="0" applyNumberFormat="1" applyFont="1" applyBorder="1" applyAlignment="1">
      <alignment horizontal="right" vertical="top"/>
    </xf>
    <xf numFmtId="0" fontId="4" fillId="0" borderId="20" xfId="0" applyNumberFormat="1" applyFont="1" applyBorder="1" applyAlignment="1">
      <alignment vertical="top"/>
    </xf>
    <xf numFmtId="0" fontId="4" fillId="0" borderId="21" xfId="0" applyNumberFormat="1" applyFont="1" applyBorder="1" applyAlignment="1">
      <alignment vertical="top"/>
    </xf>
    <xf numFmtId="0" fontId="4" fillId="0" borderId="22" xfId="0" applyNumberFormat="1" applyFont="1" applyBorder="1" applyAlignment="1">
      <alignment vertical="top"/>
    </xf>
    <xf numFmtId="0" fontId="4" fillId="0" borderId="23" xfId="0" applyNumberFormat="1" applyFont="1" applyBorder="1" applyAlignment="1">
      <alignment vertical="top"/>
    </xf>
    <xf numFmtId="166" fontId="4" fillId="0" borderId="0" xfId="0" applyNumberFormat="1" applyFont="1" applyBorder="1" applyAlignment="1">
      <alignment horizontal="right" vertical="top"/>
    </xf>
    <xf numFmtId="4" fontId="4" fillId="0" borderId="0" xfId="0" applyNumberFormat="1" applyFont="1" applyBorder="1" applyAlignment="1">
      <alignment vertical="top"/>
    </xf>
    <xf numFmtId="0" fontId="6" fillId="2" borderId="24" xfId="0" applyFont="1" applyFill="1" applyBorder="1" applyAlignment="1">
      <alignment vertical="center" wrapText="1"/>
    </xf>
    <xf numFmtId="0" fontId="6" fillId="2" borderId="25" xfId="0" applyFont="1" applyFill="1" applyBorder="1" applyAlignment="1">
      <alignment vertical="center" wrapText="1"/>
    </xf>
    <xf numFmtId="4" fontId="4" fillId="3" borderId="19" xfId="0" applyNumberFormat="1" applyFont="1" applyFill="1" applyBorder="1" applyAlignment="1">
      <alignment vertical="top"/>
    </xf>
    <xf numFmtId="4" fontId="4" fillId="0" borderId="19" xfId="0" applyNumberFormat="1" applyFont="1" applyBorder="1" applyAlignment="1">
      <alignment vertical="top"/>
    </xf>
    <xf numFmtId="166" fontId="9" fillId="0" borderId="26" xfId="0" applyNumberFormat="1" applyFont="1" applyBorder="1" applyAlignment="1">
      <alignment horizontal="right" vertical="top"/>
    </xf>
    <xf numFmtId="4" fontId="9" fillId="0" borderId="22" xfId="0" applyNumberFormat="1" applyFont="1" applyBorder="1" applyAlignment="1">
      <alignment horizontal="right" vertical="top"/>
    </xf>
    <xf numFmtId="4" fontId="9" fillId="0" borderId="27" xfId="0" applyNumberFormat="1" applyFont="1" applyBorder="1" applyAlignment="1">
      <alignment vertical="top"/>
    </xf>
    <xf numFmtId="0" fontId="10" fillId="0" borderId="1" xfId="0" applyFont="1" applyBorder="1" applyAlignment="1">
      <alignment horizontal="right"/>
    </xf>
    <xf numFmtId="0" fontId="11" fillId="2" borderId="15" xfId="0" applyFont="1" applyFill="1" applyBorder="1" applyAlignment="1">
      <alignment vertical="center" wrapText="1"/>
    </xf>
    <xf numFmtId="4" fontId="9" fillId="0" borderId="28" xfId="0" applyNumberFormat="1" applyFont="1" applyBorder="1" applyAlignment="1">
      <alignment horizontal="right" vertical="top"/>
    </xf>
    <xf numFmtId="0" fontId="1" fillId="0" borderId="0" xfId="0" applyFont="1" applyAlignment="1">
      <alignment vertical="top"/>
    </xf>
    <xf numFmtId="0" fontId="4" fillId="3" borderId="19" xfId="0" applyNumberFormat="1" applyFont="1" applyFill="1" applyBorder="1" applyAlignment="1">
      <alignment vertical="top"/>
    </xf>
    <xf numFmtId="0" fontId="4" fillId="4" borderId="19" xfId="0" applyNumberFormat="1" applyFont="1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3" xfId="0" applyBorder="1" applyAlignment="1">
      <alignment vertical="top"/>
    </xf>
    <xf numFmtId="4" fontId="0" fillId="0" borderId="19" xfId="0" applyNumberFormat="1" applyBorder="1" applyAlignment="1">
      <alignment vertical="top"/>
    </xf>
    <xf numFmtId="4" fontId="0" fillId="0" borderId="13" xfId="0" applyNumberFormat="1" applyBorder="1" applyAlignment="1">
      <alignment vertical="top"/>
    </xf>
    <xf numFmtId="0" fontId="0" fillId="3" borderId="18" xfId="0" applyFill="1" applyBorder="1" applyAlignment="1">
      <alignment vertical="top"/>
    </xf>
    <xf numFmtId="0" fontId="0" fillId="3" borderId="13" xfId="0" applyFill="1" applyBorder="1" applyAlignment="1">
      <alignment vertical="top"/>
    </xf>
    <xf numFmtId="4" fontId="0" fillId="3" borderId="13" xfId="0" applyNumberFormat="1" applyFill="1" applyBorder="1" applyAlignment="1">
      <alignment vertical="top"/>
    </xf>
    <xf numFmtId="4" fontId="0" fillId="3" borderId="19" xfId="0" applyNumberFormat="1" applyFill="1" applyBorder="1" applyAlignment="1">
      <alignment vertical="top"/>
    </xf>
    <xf numFmtId="4" fontId="4" fillId="0" borderId="20" xfId="0" applyNumberFormat="1" applyFont="1" applyBorder="1" applyAlignment="1">
      <alignment vertical="top"/>
    </xf>
    <xf numFmtId="4" fontId="4" fillId="0" borderId="29" xfId="0" applyNumberFormat="1" applyFont="1" applyBorder="1" applyAlignment="1">
      <alignment vertical="top"/>
    </xf>
    <xf numFmtId="4" fontId="4" fillId="0" borderId="30" xfId="0" applyNumberFormat="1" applyFont="1" applyBorder="1" applyAlignment="1">
      <alignment vertical="top"/>
    </xf>
    <xf numFmtId="4" fontId="4" fillId="0" borderId="23" xfId="0" applyNumberFormat="1" applyFont="1" applyBorder="1" applyAlignment="1">
      <alignment vertical="top"/>
    </xf>
    <xf numFmtId="0" fontId="13" fillId="0" borderId="0" xfId="0" applyFont="1" applyAlignment="1">
      <alignment vertical="top"/>
    </xf>
    <xf numFmtId="0" fontId="12" fillId="0" borderId="0" xfId="0" applyFont="1" applyFill="1" applyBorder="1" applyAlignment="1"/>
    <xf numFmtId="0" fontId="13" fillId="0" borderId="0" xfId="0" applyFont="1"/>
    <xf numFmtId="49" fontId="4" fillId="3" borderId="1" xfId="0" applyNumberFormat="1" applyFont="1" applyFill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12" fillId="0" borderId="0" xfId="0" quotePrefix="1" applyFont="1" applyFill="1" applyBorder="1" applyAlignment="1">
      <alignment vertical="center"/>
    </xf>
    <xf numFmtId="0" fontId="4" fillId="0" borderId="0" xfId="0" quotePrefix="1" applyFont="1" applyBorder="1" applyAlignment="1">
      <alignment horizontal="left"/>
    </xf>
    <xf numFmtId="0" fontId="4" fillId="0" borderId="2" xfId="0" quotePrefix="1" applyFont="1" applyBorder="1" applyAlignment="1">
      <alignment horizontal="left"/>
    </xf>
    <xf numFmtId="0" fontId="4" fillId="0" borderId="3" xfId="0" quotePrefix="1" applyFont="1" applyBorder="1" applyAlignment="1">
      <alignment horizontal="left"/>
    </xf>
    <xf numFmtId="49" fontId="9" fillId="0" borderId="2" xfId="0" quotePrefix="1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49"/>
  <sheetViews>
    <sheetView showGridLines="0" tabSelected="1" zoomScale="85" zoomScaleNormal="85" workbookViewId="0">
      <selection activeCell="A2" sqref="A2"/>
    </sheetView>
  </sheetViews>
  <sheetFormatPr defaultColWidth="9.140625" defaultRowHeight="12.75" x14ac:dyDescent="0.2"/>
  <cols>
    <col min="1" max="1" width="51.7109375" style="1" customWidth="1"/>
    <col min="2" max="2" width="29.85546875" style="1" customWidth="1"/>
    <col min="3" max="3" width="24.85546875" style="3" customWidth="1"/>
    <col min="4" max="4" width="26.85546875" style="3" customWidth="1"/>
    <col min="5" max="6" width="9.42578125" style="1" customWidth="1"/>
    <col min="7" max="7" width="9.85546875" customWidth="1"/>
    <col min="8" max="8" width="12.85546875" style="1" customWidth="1"/>
    <col min="9" max="9" width="18.42578125" style="1" customWidth="1"/>
    <col min="10" max="10" width="7.85546875" style="1" customWidth="1"/>
    <col min="11" max="11" width="6.42578125" style="1" hidden="1" customWidth="1"/>
    <col min="12" max="12" width="9.7109375" style="1" customWidth="1"/>
    <col min="13" max="13" width="9.5703125" style="1" customWidth="1"/>
    <col min="14" max="14" width="16.7109375" style="1" customWidth="1"/>
    <col min="15" max="15" width="7.7109375" style="1" customWidth="1"/>
    <col min="16" max="16" width="8.85546875" style="1" customWidth="1"/>
    <col min="17" max="17" width="9.5703125" style="1" customWidth="1"/>
    <col min="18" max="18" width="16.7109375" style="1" customWidth="1"/>
    <col min="19" max="19" width="7.7109375" style="1" customWidth="1"/>
    <col min="20" max="20" width="8.85546875" style="1" customWidth="1"/>
    <col min="21" max="21" width="9.5703125" style="1" customWidth="1"/>
    <col min="22" max="22" width="16.7109375" style="1" customWidth="1"/>
    <col min="23" max="23" width="7.7109375" style="1" customWidth="1"/>
    <col min="24" max="24" width="8.85546875" style="1" customWidth="1"/>
    <col min="25" max="25" width="9.5703125" style="1" customWidth="1"/>
    <col min="26" max="26" width="16.7109375" style="1" customWidth="1"/>
    <col min="27" max="27" width="7.7109375" style="1" customWidth="1"/>
    <col min="28" max="28" width="8.85546875" style="1" customWidth="1"/>
    <col min="29" max="16384" width="9.140625" style="1"/>
  </cols>
  <sheetData>
    <row r="1" spans="1:28" ht="6" customHeight="1" thickBot="1" x14ac:dyDescent="0.3">
      <c r="A1" s="12"/>
      <c r="B1" s="14"/>
      <c r="C1" s="13"/>
      <c r="D1" s="13"/>
      <c r="E1" s="13"/>
      <c r="F1" s="1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37.5" customHeight="1" x14ac:dyDescent="0.35">
      <c r="A2" s="19" t="s">
        <v>18</v>
      </c>
      <c r="B2" s="20" t="s">
        <v>6</v>
      </c>
      <c r="C2" s="20"/>
      <c r="D2" s="92" t="s">
        <v>19</v>
      </c>
      <c r="E2" s="87"/>
      <c r="F2" s="88"/>
      <c r="G2" s="89"/>
      <c r="H2" s="88"/>
      <c r="J2" s="21"/>
      <c r="K2" s="21"/>
      <c r="L2" s="21"/>
      <c r="M2" s="21"/>
      <c r="N2" s="21"/>
      <c r="O2" s="21"/>
      <c r="P2" s="21"/>
      <c r="Q2" s="21"/>
      <c r="R2" s="21"/>
      <c r="S2" s="21"/>
      <c r="U2" s="21"/>
      <c r="V2" s="21"/>
      <c r="W2" s="21"/>
      <c r="Y2" s="21"/>
      <c r="Z2" s="21"/>
      <c r="AA2" s="21"/>
    </row>
    <row r="3" spans="1:28" ht="23.25" customHeight="1" x14ac:dyDescent="0.25">
      <c r="A3" s="18" t="s">
        <v>2</v>
      </c>
      <c r="B3" s="93" t="s">
        <v>20</v>
      </c>
      <c r="C3" s="5"/>
      <c r="D3" s="92" t="s">
        <v>21</v>
      </c>
      <c r="E3" s="6"/>
      <c r="F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U3" s="6"/>
      <c r="V3" s="6"/>
      <c r="W3" s="6"/>
      <c r="Y3" s="6"/>
      <c r="Z3" s="6"/>
      <c r="AA3" s="6"/>
    </row>
    <row r="4" spans="1:28" ht="17.25" customHeight="1" x14ac:dyDescent="0.25">
      <c r="A4" s="18" t="s">
        <v>15</v>
      </c>
      <c r="B4" s="94" t="s">
        <v>20</v>
      </c>
      <c r="C4" s="27"/>
      <c r="D4"/>
      <c r="E4" s="6"/>
      <c r="F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U4" s="6"/>
      <c r="V4" s="6"/>
      <c r="W4" s="6"/>
      <c r="Y4" s="6"/>
      <c r="Z4" s="6"/>
      <c r="AA4" s="6"/>
    </row>
    <row r="5" spans="1:28" ht="17.25" customHeight="1" x14ac:dyDescent="0.25">
      <c r="A5" s="18" t="s">
        <v>16</v>
      </c>
      <c r="B5" s="94" t="s">
        <v>22</v>
      </c>
      <c r="C5" s="94" t="s">
        <v>23</v>
      </c>
      <c r="D5"/>
      <c r="E5" s="6"/>
      <c r="F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U5" s="6"/>
      <c r="V5" s="6"/>
      <c r="W5" s="6"/>
      <c r="Y5" s="6"/>
      <c r="Z5" s="6"/>
      <c r="AA5" s="6"/>
    </row>
    <row r="6" spans="1:28" ht="17.25" customHeight="1" x14ac:dyDescent="0.25">
      <c r="A6" s="18" t="s">
        <v>17</v>
      </c>
      <c r="B6" s="95" t="s">
        <v>24</v>
      </c>
      <c r="C6" s="95" t="s">
        <v>25</v>
      </c>
      <c r="D6"/>
      <c r="E6" s="6"/>
      <c r="F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U6" s="6"/>
      <c r="V6" s="6"/>
      <c r="W6" s="6"/>
      <c r="Y6" s="6"/>
      <c r="Z6" s="6"/>
      <c r="AA6" s="6"/>
    </row>
    <row r="7" spans="1:28" ht="15.75" customHeight="1" x14ac:dyDescent="0.25">
      <c r="A7" s="11" t="s">
        <v>0</v>
      </c>
      <c r="B7" s="95" t="s">
        <v>26</v>
      </c>
      <c r="C7" s="94" t="s">
        <v>27</v>
      </c>
      <c r="D7"/>
      <c r="E7" s="6"/>
      <c r="F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6"/>
      <c r="V7" s="6"/>
      <c r="W7" s="6"/>
      <c r="Y7" s="6"/>
      <c r="Z7" s="6"/>
      <c r="AA7" s="6"/>
    </row>
    <row r="8" spans="1:28" ht="15.75" customHeight="1" x14ac:dyDescent="0.25">
      <c r="A8" s="17" t="s">
        <v>1</v>
      </c>
      <c r="B8" s="8">
        <f ca="1">TODAY()</f>
        <v>44189</v>
      </c>
      <c r="C8" s="26">
        <f ca="1">NOW()</f>
        <v>44189.547680555559</v>
      </c>
      <c r="D8"/>
      <c r="E8" s="6"/>
      <c r="F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U8" s="6"/>
      <c r="V8" s="6"/>
      <c r="W8" s="6"/>
      <c r="Y8" s="6"/>
      <c r="Z8" s="6"/>
      <c r="AA8" s="6"/>
    </row>
    <row r="9" spans="1:28" ht="15.75" customHeight="1" x14ac:dyDescent="0.25">
      <c r="A9" s="11"/>
      <c r="B9" s="9"/>
      <c r="C9" s="9"/>
      <c r="D9"/>
      <c r="E9" s="6"/>
      <c r="F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U9" s="6"/>
      <c r="V9" s="6"/>
      <c r="W9" s="6"/>
      <c r="Y9" s="6"/>
      <c r="Z9" s="6"/>
      <c r="AA9" s="6"/>
    </row>
    <row r="10" spans="1:28" ht="15.75" customHeight="1" x14ac:dyDescent="0.25">
      <c r="A10" s="69" t="s">
        <v>11</v>
      </c>
      <c r="B10" s="96" t="s">
        <v>28</v>
      </c>
      <c r="C10" s="23"/>
      <c r="D10"/>
      <c r="E10" s="6"/>
      <c r="F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U10" s="6"/>
      <c r="V10" s="6"/>
      <c r="W10" s="6"/>
      <c r="Y10" s="6"/>
      <c r="Z10" s="6"/>
      <c r="AA10" s="6"/>
    </row>
    <row r="11" spans="1:28" ht="15.75" customHeight="1" x14ac:dyDescent="0.25">
      <c r="A11" s="69" t="s">
        <v>3</v>
      </c>
      <c r="B11" s="96" t="s">
        <v>29</v>
      </c>
      <c r="C11" s="25"/>
      <c r="D11" s="24"/>
      <c r="H11" s="18"/>
      <c r="I11" s="38"/>
      <c r="J11" s="38"/>
      <c r="K11" s="38"/>
      <c r="L11" s="6"/>
      <c r="M11" s="6"/>
      <c r="N11" s="6"/>
      <c r="O11" s="6"/>
      <c r="P11" s="6"/>
      <c r="Q11" s="6"/>
      <c r="R11" s="6"/>
      <c r="S11" s="6"/>
      <c r="U11" s="6"/>
      <c r="V11" s="6"/>
      <c r="W11" s="6"/>
      <c r="Y11" s="6"/>
      <c r="Z11" s="6"/>
      <c r="AA11" s="6"/>
    </row>
    <row r="12" spans="1:28" ht="15.75" customHeight="1" thickBot="1" x14ac:dyDescent="0.3">
      <c r="A12" s="7"/>
      <c r="B12" s="6"/>
      <c r="C12" s="6"/>
      <c r="D12" s="18"/>
      <c r="E12" s="44"/>
      <c r="F12" s="44"/>
      <c r="I12" s="60"/>
      <c r="J12" s="60"/>
      <c r="K12" s="60"/>
      <c r="L12" s="61"/>
      <c r="M12" s="6"/>
      <c r="N12" s="6"/>
      <c r="O12" s="6"/>
      <c r="P12" s="6"/>
      <c r="Q12" s="6"/>
      <c r="R12" s="6"/>
      <c r="S12" s="6"/>
      <c r="U12" s="6"/>
      <c r="V12" s="6"/>
      <c r="W12" s="6"/>
      <c r="Y12" s="6"/>
      <c r="Z12" s="6"/>
      <c r="AA12" s="6"/>
    </row>
    <row r="13" spans="1:28" s="4" customFormat="1" ht="39" customHeight="1" thickTop="1" x14ac:dyDescent="0.2">
      <c r="A13" s="49" t="s">
        <v>30</v>
      </c>
      <c r="B13" s="50" t="s">
        <v>50</v>
      </c>
      <c r="C13" s="50" t="s">
        <v>64</v>
      </c>
      <c r="D13" s="50" t="s">
        <v>82</v>
      </c>
      <c r="E13" s="51" t="s">
        <v>102</v>
      </c>
      <c r="F13" s="52" t="s">
        <v>8</v>
      </c>
      <c r="G13"/>
      <c r="H13" s="62" t="s">
        <v>4</v>
      </c>
      <c r="I13" s="50" t="s">
        <v>5</v>
      </c>
      <c r="J13" s="50" t="s">
        <v>13</v>
      </c>
      <c r="K13" s="70" t="s">
        <v>14</v>
      </c>
      <c r="L13" s="52" t="s">
        <v>7</v>
      </c>
      <c r="M13" s="62" t="s">
        <v>103</v>
      </c>
      <c r="N13" s="50" t="s">
        <v>105</v>
      </c>
      <c r="O13" s="50" t="s">
        <v>122</v>
      </c>
      <c r="P13" s="50" t="s">
        <v>123</v>
      </c>
      <c r="Q13" s="63" t="s">
        <v>124</v>
      </c>
      <c r="R13" s="50" t="s">
        <v>128</v>
      </c>
      <c r="S13" s="50" t="s">
        <v>138</v>
      </c>
      <c r="T13" s="50" t="s">
        <v>139</v>
      </c>
      <c r="U13" s="63" t="s">
        <v>140</v>
      </c>
      <c r="V13" s="50" t="s">
        <v>142</v>
      </c>
      <c r="W13" s="50" t="s">
        <v>148</v>
      </c>
      <c r="X13" s="50" t="s">
        <v>149</v>
      </c>
      <c r="Y13" s="63" t="s">
        <v>150</v>
      </c>
      <c r="Z13" s="50" t="s">
        <v>151</v>
      </c>
      <c r="AA13" s="50" t="s">
        <v>152</v>
      </c>
      <c r="AB13" s="52" t="s">
        <v>153</v>
      </c>
    </row>
    <row r="14" spans="1:28" s="2" customFormat="1" ht="16.5" customHeight="1" x14ac:dyDescent="0.2">
      <c r="A14" s="53" t="s">
        <v>31</v>
      </c>
      <c r="B14" s="16" t="s">
        <v>51</v>
      </c>
      <c r="C14" s="90" t="s">
        <v>65</v>
      </c>
      <c r="D14" s="42" t="s">
        <v>83</v>
      </c>
      <c r="E14" s="16">
        <v>1</v>
      </c>
      <c r="F14" s="73">
        <f>E14*$B$10</f>
        <v>1000</v>
      </c>
      <c r="G14"/>
      <c r="H14" s="79" t="str">
        <f>IF(INDEX($M14:$AB14,$K14-3)&lt;&gt;0, INDEX($M14:$AB14,$K14-3), "")</f>
        <v>Mouser</v>
      </c>
      <c r="I14" s="80" t="str">
        <f>IF(INDEX($M14:$AB14,$K14-2)&lt;&gt;0, INDEX($M14:$AB14,$K14-2), "")</f>
        <v>534-2464</v>
      </c>
      <c r="J14" s="81">
        <f>IF(INDEX($M14:$AB14,$K14-1)&lt;&gt;0, INDEX($M14:$AB14,$K14-1), "")</f>
        <v>0.63200000000000001</v>
      </c>
      <c r="K14" s="80">
        <f>MATCH(MIN($P14,$T14,$X14,$AB14), $M14:$AB14,0)</f>
        <v>12</v>
      </c>
      <c r="L14" s="82">
        <f>IF(MIN($P14,$T14,$X14,$AB14)&lt;&gt;0,MIN($P14,$T14,$X14,$AB14),"")</f>
        <v>632</v>
      </c>
      <c r="M14" s="30" t="s">
        <v>104</v>
      </c>
      <c r="N14" s="16" t="s">
        <v>106</v>
      </c>
      <c r="O14" s="28">
        <v>1.62</v>
      </c>
      <c r="P14" s="28">
        <v>1618</v>
      </c>
      <c r="Q14" s="32" t="s">
        <v>125</v>
      </c>
      <c r="R14" s="16">
        <v>1704231</v>
      </c>
      <c r="S14" s="28"/>
      <c r="T14" s="28"/>
      <c r="U14" s="32" t="s">
        <v>126</v>
      </c>
      <c r="V14" s="16" t="s">
        <v>143</v>
      </c>
      <c r="W14" s="28">
        <v>0.63200000000000001</v>
      </c>
      <c r="X14" s="28">
        <v>632</v>
      </c>
      <c r="Y14" s="32"/>
      <c r="Z14" s="16"/>
      <c r="AA14" s="28"/>
      <c r="AB14" s="64"/>
    </row>
    <row r="15" spans="1:28" s="2" customFormat="1" ht="16.5" customHeight="1" x14ac:dyDescent="0.2">
      <c r="A15" s="54" t="s">
        <v>32</v>
      </c>
      <c r="B15" s="10" t="s">
        <v>52</v>
      </c>
      <c r="C15" s="91" t="s">
        <v>66</v>
      </c>
      <c r="D15" s="43" t="s">
        <v>84</v>
      </c>
      <c r="E15" s="10">
        <v>2</v>
      </c>
      <c r="F15" s="74">
        <f t="shared" ref="F15:F32" si="0">E15*$B$10</f>
        <v>2000</v>
      </c>
      <c r="G15"/>
      <c r="H15" s="75" t="str">
        <f>IF(INDEX($M15:$AB15,$K15-3)&lt;&gt;0, INDEX($M15:$AB15,$K15-3), "")</f>
        <v>Digi-Key</v>
      </c>
      <c r="I15" s="76" t="str">
        <f>IF(INDEX($M15:$AB15,$K15-2)&lt;&gt;0, INDEX($M15:$AB15,$K15-2), "")</f>
        <v>1276-1192-1-ND</v>
      </c>
      <c r="J15" s="78">
        <f>IF(INDEX($M15:$AB15,$K15-1)&lt;&gt;0, INDEX($M15:$AB15,$K15-1), "")</f>
        <v>4.0500000000000001E-2</v>
      </c>
      <c r="K15" s="76">
        <f>MATCH(MIN($P15,$T15,$X15,$AB15), $M15:$AB15,0)</f>
        <v>4</v>
      </c>
      <c r="L15" s="77">
        <f>IF(MIN($P15,$T15,$X15,$AB15)&lt;&gt;0,MIN($P15,$T15,$X15,$AB15),"")</f>
        <v>81</v>
      </c>
      <c r="M15" s="31" t="s">
        <v>104</v>
      </c>
      <c r="N15" s="10" t="s">
        <v>107</v>
      </c>
      <c r="O15" s="29">
        <v>4.0500000000000001E-2</v>
      </c>
      <c r="P15" s="29">
        <v>81</v>
      </c>
      <c r="Q15" s="33" t="s">
        <v>126</v>
      </c>
      <c r="R15" s="10" t="s">
        <v>129</v>
      </c>
      <c r="S15" s="29">
        <v>4.1000000000000002E-2</v>
      </c>
      <c r="T15" s="29">
        <v>82</v>
      </c>
      <c r="U15" s="33" t="s">
        <v>125</v>
      </c>
      <c r="V15" s="10">
        <v>3013386</v>
      </c>
      <c r="W15" s="29">
        <v>4.5440000000000001E-2</v>
      </c>
      <c r="X15" s="29">
        <v>90.88</v>
      </c>
      <c r="Y15" s="33"/>
      <c r="Z15" s="10"/>
      <c r="AA15" s="29"/>
      <c r="AB15" s="65"/>
    </row>
    <row r="16" spans="1:28" s="2" customFormat="1" ht="16.5" customHeight="1" x14ac:dyDescent="0.2">
      <c r="A16" s="53" t="s">
        <v>33</v>
      </c>
      <c r="B16" s="16" t="s">
        <v>53</v>
      </c>
      <c r="C16" s="90"/>
      <c r="D16" s="42" t="s">
        <v>85</v>
      </c>
      <c r="E16" s="16">
        <v>5</v>
      </c>
      <c r="F16" s="73">
        <f>E16*$B$10</f>
        <v>5000</v>
      </c>
      <c r="G16"/>
      <c r="H16" s="79" t="e">
        <f>IF(INDEX($M16:$AB16,$K16-3)&lt;&gt;0, INDEX($M16:$AB16,$K16-3), "")</f>
        <v>#N/A</v>
      </c>
      <c r="I16" s="80" t="e">
        <f>IF(INDEX($M16:$AB16,$K16-2)&lt;&gt;0, INDEX($M16:$AB16,$K16-2), "")</f>
        <v>#N/A</v>
      </c>
      <c r="J16" s="81" t="e">
        <f>IF(INDEX($M16:$AB16,$K16-1)&lt;&gt;0, INDEX($M16:$AB16,$K16-1), "")</f>
        <v>#N/A</v>
      </c>
      <c r="K16" s="80" t="e">
        <f>MATCH(MIN($P16,$T16,$X16,$AB16), $M16:$AB16,0)</f>
        <v>#N/A</v>
      </c>
      <c r="L16" s="82" t="str">
        <f>IF(MIN($P16,$T16,$X16,$AB16)&lt;&gt;0,MIN($P16,$T16,$X16,$AB16),"")</f>
        <v/>
      </c>
      <c r="M16" s="30"/>
      <c r="N16" s="16"/>
      <c r="O16" s="28"/>
      <c r="P16" s="28"/>
      <c r="Q16" s="32"/>
      <c r="R16" s="16"/>
      <c r="S16" s="28"/>
      <c r="T16" s="28"/>
      <c r="U16" s="32"/>
      <c r="V16" s="16"/>
      <c r="W16" s="28"/>
      <c r="X16" s="28"/>
      <c r="Y16" s="32"/>
      <c r="Z16" s="16"/>
      <c r="AA16" s="28"/>
      <c r="AB16" s="64"/>
    </row>
    <row r="17" spans="1:28" s="2" customFormat="1" ht="16.5" customHeight="1" x14ac:dyDescent="0.2">
      <c r="A17" s="54" t="s">
        <v>34</v>
      </c>
      <c r="B17" s="10" t="s">
        <v>52</v>
      </c>
      <c r="C17" s="91" t="s">
        <v>67</v>
      </c>
      <c r="D17" s="43" t="s">
        <v>86</v>
      </c>
      <c r="E17" s="10">
        <v>5</v>
      </c>
      <c r="F17" s="74">
        <f t="shared" ref="F17" si="1">E17*$B$10</f>
        <v>5000</v>
      </c>
      <c r="G17"/>
      <c r="H17" s="75" t="str">
        <f>IF(INDEX($M17:$AB17,$K17-3)&lt;&gt;0, INDEX($M17:$AB17,$K17-3), "")</f>
        <v>Digi-Key</v>
      </c>
      <c r="I17" s="76" t="str">
        <f>IF(INDEX($M17:$AB17,$K17-2)&lt;&gt;0, INDEX($M17:$AB17,$K17-2), "")</f>
        <v>1276-1044-1-ND</v>
      </c>
      <c r="J17" s="78">
        <f>IF(INDEX($M17:$AB17,$K17-1)&lt;&gt;0, INDEX($M17:$AB17,$K17-1), "")</f>
        <v>1.201E-2</v>
      </c>
      <c r="K17" s="76">
        <f>MATCH(MIN($P17,$T17,$X17,$AB17), $M17:$AB17,0)</f>
        <v>4</v>
      </c>
      <c r="L17" s="77">
        <f>IF(MIN($P17,$T17,$X17,$AB17)&lt;&gt;0,MIN($P17,$T17,$X17,$AB17),"")</f>
        <v>60.05</v>
      </c>
      <c r="M17" s="31" t="s">
        <v>104</v>
      </c>
      <c r="N17" s="10" t="s">
        <v>108</v>
      </c>
      <c r="O17" s="29">
        <v>1.201E-2</v>
      </c>
      <c r="P17" s="29">
        <v>60.05</v>
      </c>
      <c r="Q17" s="33" t="s">
        <v>125</v>
      </c>
      <c r="R17" s="10">
        <v>3010071</v>
      </c>
      <c r="S17" s="29">
        <v>1.281E-2</v>
      </c>
      <c r="T17" s="29">
        <v>64.05</v>
      </c>
      <c r="U17" s="33"/>
      <c r="V17" s="10"/>
      <c r="W17" s="29"/>
      <c r="X17" s="29"/>
      <c r="Y17" s="33"/>
      <c r="Z17" s="10"/>
      <c r="AA17" s="29"/>
      <c r="AB17" s="65"/>
    </row>
    <row r="18" spans="1:28" s="2" customFormat="1" ht="16.5" customHeight="1" x14ac:dyDescent="0.2">
      <c r="A18" s="53" t="s">
        <v>35</v>
      </c>
      <c r="B18" s="16" t="s">
        <v>54</v>
      </c>
      <c r="C18" s="90" t="s">
        <v>68</v>
      </c>
      <c r="D18" s="42" t="s">
        <v>87</v>
      </c>
      <c r="E18" s="16">
        <v>2</v>
      </c>
      <c r="F18" s="73">
        <f>E18*$B$10</f>
        <v>2000</v>
      </c>
      <c r="G18"/>
      <c r="H18" s="79" t="str">
        <f>IF(INDEX($M18:$AB18,$K18-3)&lt;&gt;0, INDEX($M18:$AB18,$K18-3), "")</f>
        <v>Mouser</v>
      </c>
      <c r="I18" s="80" t="str">
        <f>IF(INDEX($M18:$AB18,$K18-2)&lt;&gt;0, INDEX($M18:$AB18,$K18-2), "")</f>
        <v>771-BAT54S235</v>
      </c>
      <c r="J18" s="81">
        <f>IF(INDEX($M18:$AB18,$K18-1)&lt;&gt;0, INDEX($M18:$AB18,$K18-1), "")</f>
        <v>2.4889999999999999E-2</v>
      </c>
      <c r="K18" s="80">
        <f>MATCH(MIN($P18,$T18,$X18,$AB18), $M18:$AB18,0)</f>
        <v>8</v>
      </c>
      <c r="L18" s="82">
        <f>IF(MIN($P18,$T18,$X18,$AB18)&lt;&gt;0,MIN($P18,$T18,$X18,$AB18),"")</f>
        <v>49.78</v>
      </c>
      <c r="M18" s="30" t="s">
        <v>104</v>
      </c>
      <c r="N18" s="16" t="s">
        <v>109</v>
      </c>
      <c r="O18" s="28"/>
      <c r="P18" s="28"/>
      <c r="Q18" s="32" t="s">
        <v>126</v>
      </c>
      <c r="R18" s="16" t="s">
        <v>130</v>
      </c>
      <c r="S18" s="28">
        <v>2.4889999999999999E-2</v>
      </c>
      <c r="T18" s="28">
        <v>49.78</v>
      </c>
      <c r="U18" s="32" t="s">
        <v>127</v>
      </c>
      <c r="V18" s="16">
        <v>1707990</v>
      </c>
      <c r="W18" s="28">
        <v>2.9000000000000001E-2</v>
      </c>
      <c r="X18" s="28">
        <v>58</v>
      </c>
      <c r="Y18" s="32"/>
      <c r="Z18" s="16"/>
      <c r="AA18" s="28"/>
      <c r="AB18" s="64"/>
    </row>
    <row r="19" spans="1:28" s="2" customFormat="1" ht="16.5" customHeight="1" x14ac:dyDescent="0.2">
      <c r="A19" s="54" t="s">
        <v>36</v>
      </c>
      <c r="B19" s="10" t="s">
        <v>55</v>
      </c>
      <c r="C19" s="91" t="s">
        <v>69</v>
      </c>
      <c r="D19" s="43" t="s">
        <v>88</v>
      </c>
      <c r="E19" s="10">
        <v>2</v>
      </c>
      <c r="F19" s="74">
        <f t="shared" ref="F19:F21" si="2">E19*$B$10</f>
        <v>2000</v>
      </c>
      <c r="G19"/>
      <c r="H19" s="75" t="str">
        <f>IF(INDEX($M19:$AB19,$K19-3)&lt;&gt;0, INDEX($M19:$AB19,$K19-3), "")</f>
        <v>RSComponents</v>
      </c>
      <c r="I19" s="76">
        <f>IF(INDEX($M19:$AB19,$K19-2)&lt;&gt;0, INDEX($M19:$AB19,$K19-2), "")</f>
        <v>1867479</v>
      </c>
      <c r="J19" s="78">
        <f>IF(INDEX($M19:$AB19,$K19-1)&lt;&gt;0, INDEX($M19:$AB19,$K19-1), "")</f>
        <v>0.10823000000000001</v>
      </c>
      <c r="K19" s="76">
        <f>MATCH(MIN($P19,$T19,$X19,$AB19), $M19:$AB19,0)</f>
        <v>12</v>
      </c>
      <c r="L19" s="77">
        <f>IF(MIN($P19,$T19,$X19,$AB19)&lt;&gt;0,MIN($P19,$T19,$X19,$AB19),"")</f>
        <v>216.46</v>
      </c>
      <c r="M19" s="31" t="s">
        <v>104</v>
      </c>
      <c r="N19" s="10" t="s">
        <v>110</v>
      </c>
      <c r="O19" s="29"/>
      <c r="P19" s="29"/>
      <c r="Q19" s="33" t="s">
        <v>126</v>
      </c>
      <c r="R19" s="10" t="s">
        <v>131</v>
      </c>
      <c r="S19" s="29">
        <v>0.112</v>
      </c>
      <c r="T19" s="29">
        <v>224</v>
      </c>
      <c r="U19" s="33" t="s">
        <v>127</v>
      </c>
      <c r="V19" s="10">
        <v>1867479</v>
      </c>
      <c r="W19" s="29">
        <v>0.10823000000000001</v>
      </c>
      <c r="X19" s="29">
        <v>216.46</v>
      </c>
      <c r="Y19" s="33"/>
      <c r="Z19" s="10"/>
      <c r="AA19" s="29"/>
      <c r="AB19" s="65"/>
    </row>
    <row r="20" spans="1:28" s="2" customFormat="1" ht="16.5" customHeight="1" x14ac:dyDescent="0.2">
      <c r="A20" s="53" t="s">
        <v>37</v>
      </c>
      <c r="B20" s="16" t="s">
        <v>56</v>
      </c>
      <c r="C20" s="90" t="s">
        <v>70</v>
      </c>
      <c r="D20" s="42" t="s">
        <v>89</v>
      </c>
      <c r="E20" s="16">
        <v>2</v>
      </c>
      <c r="F20" s="73">
        <f>E20*$B$10</f>
        <v>2000</v>
      </c>
      <c r="G20"/>
      <c r="H20" s="79" t="str">
        <f>IF(INDEX($M20:$AB20,$K20-3)&lt;&gt;0, INDEX($M20:$AB20,$K20-3), "")</f>
        <v>Mouser</v>
      </c>
      <c r="I20" s="80" t="str">
        <f>IF(INDEX($M20:$AB20,$K20-2)&lt;&gt;0, INDEX($M20:$AB20,$K20-2), "")</f>
        <v>621-D5V0P1B2LP-7B</v>
      </c>
      <c r="J20" s="81">
        <f>IF(INDEX($M20:$AB20,$K20-1)&lt;&gt;0, INDEX($M20:$AB20,$K20-1), "")</f>
        <v>4.5510000000000002E-2</v>
      </c>
      <c r="K20" s="80">
        <f>MATCH(MIN($P20,$T20,$X20,$AB20), $M20:$AB20,0)</f>
        <v>8</v>
      </c>
      <c r="L20" s="82">
        <f>IF(MIN($P20,$T20,$X20,$AB20)&lt;&gt;0,MIN($P20,$T20,$X20,$AB20),"")</f>
        <v>91.02</v>
      </c>
      <c r="M20" s="30" t="s">
        <v>104</v>
      </c>
      <c r="N20" s="16" t="s">
        <v>111</v>
      </c>
      <c r="O20" s="28">
        <v>4.9000000000000002E-2</v>
      </c>
      <c r="P20" s="28">
        <v>98</v>
      </c>
      <c r="Q20" s="32" t="s">
        <v>126</v>
      </c>
      <c r="R20" s="16" t="s">
        <v>132</v>
      </c>
      <c r="S20" s="28">
        <v>4.5510000000000002E-2</v>
      </c>
      <c r="T20" s="28">
        <v>91.02</v>
      </c>
      <c r="U20" s="32"/>
      <c r="V20" s="16"/>
      <c r="W20" s="28"/>
      <c r="X20" s="28"/>
      <c r="Y20" s="32"/>
      <c r="Z20" s="16"/>
      <c r="AA20" s="28"/>
      <c r="AB20" s="64"/>
    </row>
    <row r="21" spans="1:28" s="2" customFormat="1" ht="16.5" customHeight="1" x14ac:dyDescent="0.2">
      <c r="A21" s="54" t="s">
        <v>38</v>
      </c>
      <c r="B21" s="10" t="s">
        <v>57</v>
      </c>
      <c r="C21" s="91" t="s">
        <v>71</v>
      </c>
      <c r="D21" s="43" t="s">
        <v>90</v>
      </c>
      <c r="E21" s="10">
        <v>2</v>
      </c>
      <c r="F21" s="74">
        <f t="shared" ref="F21" si="3">E21*$B$10</f>
        <v>2000</v>
      </c>
      <c r="G21"/>
      <c r="H21" s="75" t="str">
        <f>IF(INDEX($M21:$AB21,$K21-3)&lt;&gt;0, INDEX($M21:$AB21,$K21-3), "")</f>
        <v>Digi-Key</v>
      </c>
      <c r="I21" s="76" t="str">
        <f>IF(INDEX($M21:$AB21,$K21-2)&lt;&gt;0, INDEX($M21:$AB21,$K21-2), "")</f>
        <v>445-8694-1-ND</v>
      </c>
      <c r="J21" s="78">
        <f>IF(INDEX($M21:$AB21,$K21-1)&lt;&gt;0, INDEX($M21:$AB21,$K21-1), "")</f>
        <v>2.47E-2</v>
      </c>
      <c r="K21" s="76">
        <f>MATCH(MIN($P21,$T21,$X21,$AB21), $M21:$AB21,0)</f>
        <v>4</v>
      </c>
      <c r="L21" s="77">
        <f>IF(MIN($P21,$T21,$X21,$AB21)&lt;&gt;0,MIN($P21,$T21,$X21,$AB21),"")</f>
        <v>49.4</v>
      </c>
      <c r="M21" s="31" t="s">
        <v>104</v>
      </c>
      <c r="N21" s="10" t="s">
        <v>112</v>
      </c>
      <c r="O21" s="29">
        <v>2.47E-2</v>
      </c>
      <c r="P21" s="29">
        <v>49.4</v>
      </c>
      <c r="Q21" s="33" t="s">
        <v>126</v>
      </c>
      <c r="R21" s="10" t="s">
        <v>133</v>
      </c>
      <c r="S21" s="29">
        <v>2.5000000000000001E-2</v>
      </c>
      <c r="T21" s="29">
        <v>50</v>
      </c>
      <c r="U21" s="33"/>
      <c r="V21" s="10"/>
      <c r="W21" s="29"/>
      <c r="X21" s="29"/>
      <c r="Y21" s="33"/>
      <c r="Z21" s="10"/>
      <c r="AA21" s="29"/>
      <c r="AB21" s="65"/>
    </row>
    <row r="22" spans="1:28" s="2" customFormat="1" ht="16.5" customHeight="1" x14ac:dyDescent="0.2">
      <c r="A22" s="53" t="s">
        <v>39</v>
      </c>
      <c r="B22" s="16" t="s">
        <v>58</v>
      </c>
      <c r="C22" s="90" t="s">
        <v>72</v>
      </c>
      <c r="D22" s="42" t="s">
        <v>91</v>
      </c>
      <c r="E22" s="16">
        <v>1</v>
      </c>
      <c r="F22" s="73">
        <f>E22*$B$10</f>
        <v>1000</v>
      </c>
      <c r="G22"/>
      <c r="H22" s="79" t="e">
        <f>IF(INDEX($M22:$AB22,$K22-3)&lt;&gt;0, INDEX($M22:$AB22,$K22-3), "")</f>
        <v>#N/A</v>
      </c>
      <c r="I22" s="80" t="e">
        <f>IF(INDEX($M22:$AB22,$K22-2)&lt;&gt;0, INDEX($M22:$AB22,$K22-2), "")</f>
        <v>#N/A</v>
      </c>
      <c r="J22" s="81" t="e">
        <f>IF(INDEX($M22:$AB22,$K22-1)&lt;&gt;0, INDEX($M22:$AB22,$K22-1), "")</f>
        <v>#N/A</v>
      </c>
      <c r="K22" s="80" t="e">
        <f>MATCH(MIN($P22,$T22,$X22,$AB22), $M22:$AB22,0)</f>
        <v>#N/A</v>
      </c>
      <c r="L22" s="82" t="str">
        <f>IF(MIN($P22,$T22,$X22,$AB22)&lt;&gt;0,MIN($P22,$T22,$X22,$AB22),"")</f>
        <v/>
      </c>
      <c r="M22" s="30"/>
      <c r="N22" s="16"/>
      <c r="O22" s="28"/>
      <c r="P22" s="28"/>
      <c r="Q22" s="32"/>
      <c r="R22" s="16"/>
      <c r="S22" s="28"/>
      <c r="T22" s="28"/>
      <c r="U22" s="32"/>
      <c r="V22" s="16"/>
      <c r="W22" s="28"/>
      <c r="X22" s="28"/>
      <c r="Y22" s="32"/>
      <c r="Z22" s="16"/>
      <c r="AA22" s="28"/>
      <c r="AB22" s="64"/>
    </row>
    <row r="23" spans="1:28" s="2" customFormat="1" ht="16.5" customHeight="1" x14ac:dyDescent="0.2">
      <c r="A23" s="54" t="s">
        <v>40</v>
      </c>
      <c r="B23" s="10" t="s">
        <v>59</v>
      </c>
      <c r="C23" s="91" t="s">
        <v>73</v>
      </c>
      <c r="D23" s="43" t="s">
        <v>92</v>
      </c>
      <c r="E23" s="10">
        <v>1</v>
      </c>
      <c r="F23" s="74">
        <f t="shared" ref="F23:F29" si="4">E23*$B$10</f>
        <v>1000</v>
      </c>
      <c r="G23"/>
      <c r="H23" s="75" t="str">
        <f>IF(INDEX($M23:$AB23,$K23-3)&lt;&gt;0, INDEX($M23:$AB23,$K23-3), "")</f>
        <v>Digi-Key</v>
      </c>
      <c r="I23" s="76" t="str">
        <f>IF(INDEX($M23:$AB23,$K23-2)&lt;&gt;0, INDEX($M23:$AB23,$K23-2), "")</f>
        <v>587-2575-1-ND</v>
      </c>
      <c r="J23" s="78">
        <f>IF(INDEX($M23:$AB23,$K23-1)&lt;&gt;0, INDEX($M23:$AB23,$K23-1), "")</f>
        <v>0.11700000000000001</v>
      </c>
      <c r="K23" s="76">
        <f>MATCH(MIN($P23,$T23,$X23,$AB23), $M23:$AB23,0)</f>
        <v>4</v>
      </c>
      <c r="L23" s="77">
        <f>IF(MIN($P23,$T23,$X23,$AB23)&lt;&gt;0,MIN($P23,$T23,$X23,$AB23),"")</f>
        <v>117</v>
      </c>
      <c r="M23" s="31" t="s">
        <v>104</v>
      </c>
      <c r="N23" s="10" t="s">
        <v>113</v>
      </c>
      <c r="O23" s="29">
        <v>0.11700000000000001</v>
      </c>
      <c r="P23" s="29">
        <v>117</v>
      </c>
      <c r="Q23" s="33" t="s">
        <v>126</v>
      </c>
      <c r="R23" s="10" t="s">
        <v>134</v>
      </c>
      <c r="S23" s="29">
        <v>0.13400000000000001</v>
      </c>
      <c r="T23" s="29">
        <v>134</v>
      </c>
      <c r="U23" s="33"/>
      <c r="V23" s="10"/>
      <c r="W23" s="29"/>
      <c r="X23" s="29"/>
      <c r="Y23" s="33"/>
      <c r="Z23" s="10"/>
      <c r="AA23" s="29"/>
      <c r="AB23" s="65"/>
    </row>
    <row r="24" spans="1:28" s="2" customFormat="1" ht="16.5" customHeight="1" x14ac:dyDescent="0.2">
      <c r="A24" s="53" t="s">
        <v>41</v>
      </c>
      <c r="B24" s="16" t="s">
        <v>60</v>
      </c>
      <c r="C24" s="90" t="s">
        <v>74</v>
      </c>
      <c r="D24" s="42" t="s">
        <v>93</v>
      </c>
      <c r="E24" s="16">
        <v>1</v>
      </c>
      <c r="F24" s="73">
        <f>E24*$B$10</f>
        <v>1000</v>
      </c>
      <c r="G24"/>
      <c r="H24" s="79" t="str">
        <f>IF(INDEX($M24:$AB24,$K24-3)&lt;&gt;0, INDEX($M24:$AB24,$K24-3), "")</f>
        <v>Digi-Key</v>
      </c>
      <c r="I24" s="80" t="str">
        <f>IF(INDEX($M24:$AB24,$K24-2)&lt;&gt;0, INDEX($M24:$AB24,$K24-2), "")</f>
        <v>1528-2562-ND</v>
      </c>
      <c r="J24" s="81">
        <f>IF(INDEX($M24:$AB24,$K24-1)&lt;&gt;0, INDEX($M24:$AB24,$K24-1), "")</f>
        <v>9.9499999999999993</v>
      </c>
      <c r="K24" s="80">
        <f>MATCH(MIN($P24,$T24,$X24,$AB24), $M24:$AB24,0)</f>
        <v>4</v>
      </c>
      <c r="L24" s="82">
        <f>IF(MIN($P24,$T24,$X24,$AB24)&lt;&gt;0,MIN($P24,$T24,$X24,$AB24),"")</f>
        <v>9950</v>
      </c>
      <c r="M24" s="30" t="s">
        <v>104</v>
      </c>
      <c r="N24" s="16" t="s">
        <v>114</v>
      </c>
      <c r="O24" s="28">
        <v>9.9499999999999993</v>
      </c>
      <c r="P24" s="28">
        <v>9950</v>
      </c>
      <c r="Q24" s="32" t="s">
        <v>126</v>
      </c>
      <c r="R24" s="16" t="s">
        <v>135</v>
      </c>
      <c r="S24" s="28">
        <v>9.9499999999999993</v>
      </c>
      <c r="T24" s="28">
        <v>9950</v>
      </c>
      <c r="U24" s="32" t="s">
        <v>141</v>
      </c>
      <c r="V24" s="16">
        <v>618</v>
      </c>
      <c r="W24" s="28"/>
      <c r="X24" s="28"/>
      <c r="Y24" s="32"/>
      <c r="Z24" s="16"/>
      <c r="AA24" s="28"/>
      <c r="AB24" s="64"/>
    </row>
    <row r="25" spans="1:28" s="2" customFormat="1" ht="16.5" customHeight="1" x14ac:dyDescent="0.2">
      <c r="A25" s="54" t="s">
        <v>42</v>
      </c>
      <c r="B25" s="10" t="s">
        <v>54</v>
      </c>
      <c r="C25" s="91" t="s">
        <v>75</v>
      </c>
      <c r="D25" s="43" t="s">
        <v>94</v>
      </c>
      <c r="E25" s="10">
        <v>1</v>
      </c>
      <c r="F25" s="74">
        <f t="shared" ref="F25" si="5">E25*$B$10</f>
        <v>1000</v>
      </c>
      <c r="G25"/>
      <c r="H25" s="75" t="str">
        <f>IF(INDEX($M25:$AB25,$K25-3)&lt;&gt;0, INDEX($M25:$AB25,$K25-3), "")</f>
        <v>Digi-Key</v>
      </c>
      <c r="I25" s="76" t="str">
        <f>IF(INDEX($M25:$AB25,$K25-2)&lt;&gt;0, INDEX($M25:$AB25,$K25-2), "")</f>
        <v>1727-8643-1-ND</v>
      </c>
      <c r="J25" s="78">
        <f>IF(INDEX($M25:$AB25,$K25-1)&lt;&gt;0, INDEX($M25:$AB25,$K25-1), "")</f>
        <v>1.7399999999999999E-2</v>
      </c>
      <c r="K25" s="76">
        <f>MATCH(MIN($P25,$T25,$X25,$AB25), $M25:$AB25,0)</f>
        <v>4</v>
      </c>
      <c r="L25" s="77">
        <f>IF(MIN($P25,$T25,$X25,$AB25)&lt;&gt;0,MIN($P25,$T25,$X25,$AB25),"")</f>
        <v>17.399999999999999</v>
      </c>
      <c r="M25" s="31" t="s">
        <v>104</v>
      </c>
      <c r="N25" s="10" t="s">
        <v>115</v>
      </c>
      <c r="O25" s="29">
        <v>1.7399999999999999E-2</v>
      </c>
      <c r="P25" s="29">
        <v>17.399999999999999</v>
      </c>
      <c r="Q25" s="33" t="s">
        <v>125</v>
      </c>
      <c r="R25" s="10">
        <v>3226400</v>
      </c>
      <c r="S25" s="29">
        <v>1.9959999999999999E-2</v>
      </c>
      <c r="T25" s="29">
        <v>19.96</v>
      </c>
      <c r="U25" s="33" t="s">
        <v>126</v>
      </c>
      <c r="V25" s="10" t="s">
        <v>144</v>
      </c>
      <c r="W25" s="29">
        <v>1.7999999999999999E-2</v>
      </c>
      <c r="X25" s="29">
        <v>18</v>
      </c>
      <c r="Y25" s="33"/>
      <c r="Z25" s="10"/>
      <c r="AA25" s="29"/>
      <c r="AB25" s="65"/>
    </row>
    <row r="26" spans="1:28" s="2" customFormat="1" ht="16.5" customHeight="1" x14ac:dyDescent="0.2">
      <c r="A26" s="53" t="s">
        <v>43</v>
      </c>
      <c r="B26" s="16" t="s">
        <v>53</v>
      </c>
      <c r="C26" s="90"/>
      <c r="D26" s="42" t="s">
        <v>95</v>
      </c>
      <c r="E26" s="16">
        <v>7</v>
      </c>
      <c r="F26" s="73">
        <f>E26*$B$10</f>
        <v>7000</v>
      </c>
      <c r="G26"/>
      <c r="H26" s="79" t="e">
        <f>IF(INDEX($M26:$AB26,$K26-3)&lt;&gt;0, INDEX($M26:$AB26,$K26-3), "")</f>
        <v>#N/A</v>
      </c>
      <c r="I26" s="80" t="e">
        <f>IF(INDEX($M26:$AB26,$K26-2)&lt;&gt;0, INDEX($M26:$AB26,$K26-2), "")</f>
        <v>#N/A</v>
      </c>
      <c r="J26" s="81" t="e">
        <f>IF(INDEX($M26:$AB26,$K26-1)&lt;&gt;0, INDEX($M26:$AB26,$K26-1), "")</f>
        <v>#N/A</v>
      </c>
      <c r="K26" s="80" t="e">
        <f>MATCH(MIN($P26,$T26,$X26,$AB26), $M26:$AB26,0)</f>
        <v>#N/A</v>
      </c>
      <c r="L26" s="82" t="str">
        <f>IF(MIN($P26,$T26,$X26,$AB26)&lt;&gt;0,MIN($P26,$T26,$X26,$AB26),"")</f>
        <v/>
      </c>
      <c r="M26" s="30"/>
      <c r="N26" s="16"/>
      <c r="O26" s="28"/>
      <c r="P26" s="28"/>
      <c r="Q26" s="32"/>
      <c r="R26" s="16"/>
      <c r="S26" s="28"/>
      <c r="T26" s="28"/>
      <c r="U26" s="32"/>
      <c r="V26" s="16"/>
      <c r="W26" s="28"/>
      <c r="X26" s="28"/>
      <c r="Y26" s="32"/>
      <c r="Z26" s="16"/>
      <c r="AA26" s="28"/>
      <c r="AB26" s="64"/>
    </row>
    <row r="27" spans="1:28" s="2" customFormat="1" ht="16.5" customHeight="1" x14ac:dyDescent="0.2">
      <c r="A27" s="54" t="s">
        <v>44</v>
      </c>
      <c r="B27" s="10" t="s">
        <v>61</v>
      </c>
      <c r="C27" s="91" t="s">
        <v>76</v>
      </c>
      <c r="D27" s="43" t="s">
        <v>96</v>
      </c>
      <c r="E27" s="10">
        <v>2</v>
      </c>
      <c r="F27" s="74">
        <f t="shared" ref="F27:F29" si="6">E27*$B$10</f>
        <v>2000</v>
      </c>
      <c r="G27"/>
      <c r="H27" s="75" t="str">
        <f>IF(INDEX($M27:$AB27,$K27-3)&lt;&gt;0, INDEX($M27:$AB27,$K27-3), "")</f>
        <v>Mouser</v>
      </c>
      <c r="I27" s="76" t="str">
        <f>IF(INDEX($M27:$AB27,$K27-2)&lt;&gt;0, INDEX($M27:$AB27,$K27-2), "")</f>
        <v>667-EXB-38V334JV</v>
      </c>
      <c r="J27" s="78">
        <f>IF(INDEX($M27:$AB27,$K27-1)&lt;&gt;0, INDEX($M27:$AB27,$K27-1), "")</f>
        <v>1.32E-2</v>
      </c>
      <c r="K27" s="76">
        <f>MATCH(MIN($P27,$T27,$X27,$AB27), $M27:$AB27,0)</f>
        <v>8</v>
      </c>
      <c r="L27" s="77">
        <f>IF(MIN($P27,$T27,$X27,$AB27)&lt;&gt;0,MIN($P27,$T27,$X27,$AB27),"")</f>
        <v>26.4</v>
      </c>
      <c r="M27" s="31" t="s">
        <v>104</v>
      </c>
      <c r="N27" s="10" t="s">
        <v>116</v>
      </c>
      <c r="O27" s="29">
        <v>1.4E-2</v>
      </c>
      <c r="P27" s="29">
        <v>28</v>
      </c>
      <c r="Q27" s="33" t="s">
        <v>126</v>
      </c>
      <c r="R27" s="10" t="s">
        <v>136</v>
      </c>
      <c r="S27" s="29">
        <v>1.32E-2</v>
      </c>
      <c r="T27" s="29">
        <v>26.4</v>
      </c>
      <c r="U27" s="33"/>
      <c r="V27" s="10"/>
      <c r="W27" s="29"/>
      <c r="X27" s="29"/>
      <c r="Y27" s="33"/>
      <c r="Z27" s="10"/>
      <c r="AA27" s="29"/>
      <c r="AB27" s="65"/>
    </row>
    <row r="28" spans="1:28" s="2" customFormat="1" ht="16.5" customHeight="1" x14ac:dyDescent="0.2">
      <c r="A28" s="53" t="s">
        <v>45</v>
      </c>
      <c r="B28" s="16" t="s">
        <v>62</v>
      </c>
      <c r="C28" s="90" t="s">
        <v>77</v>
      </c>
      <c r="D28" s="42" t="s">
        <v>97</v>
      </c>
      <c r="E28" s="16">
        <v>7</v>
      </c>
      <c r="F28" s="73">
        <f>E28*$B$10</f>
        <v>7000</v>
      </c>
      <c r="G28"/>
      <c r="H28" s="79" t="str">
        <f>IF(INDEX($M28:$AB28,$K28-3)&lt;&gt;0, INDEX($M28:$AB28,$K28-3), "")</f>
        <v>Farnell</v>
      </c>
      <c r="I28" s="80">
        <f>IF(INDEX($M28:$AB28,$K28-2)&lt;&gt;0, INDEX($M28:$AB28,$K28-2), "")</f>
        <v>2065110</v>
      </c>
      <c r="J28" s="81">
        <f>IF(INDEX($M28:$AB28,$K28-1)&lt;&gt;0, INDEX($M28:$AB28,$K28-1), "")</f>
        <v>0.38231999999999999</v>
      </c>
      <c r="K28" s="80">
        <f>MATCH(MIN($P28,$T28,$X28,$AB28), $M28:$AB28,0)</f>
        <v>8</v>
      </c>
      <c r="L28" s="82">
        <f>IF(MIN($P28,$T28,$X28,$AB28)&lt;&gt;0,MIN($P28,$T28,$X28,$AB28),"")</f>
        <v>2676.24</v>
      </c>
      <c r="M28" s="30" t="s">
        <v>104</v>
      </c>
      <c r="N28" s="16" t="s">
        <v>117</v>
      </c>
      <c r="O28" s="28">
        <v>0.46922000000000003</v>
      </c>
      <c r="P28" s="28">
        <v>3284.53</v>
      </c>
      <c r="Q28" s="32" t="s">
        <v>125</v>
      </c>
      <c r="R28" s="16">
        <v>2065110</v>
      </c>
      <c r="S28" s="28">
        <v>0.38231999999999999</v>
      </c>
      <c r="T28" s="28">
        <v>2676.24</v>
      </c>
      <c r="U28" s="32" t="s">
        <v>127</v>
      </c>
      <c r="V28" s="16">
        <v>7856213</v>
      </c>
      <c r="W28" s="28"/>
      <c r="X28" s="28"/>
      <c r="Y28" s="32"/>
      <c r="Z28" s="16"/>
      <c r="AA28" s="28"/>
      <c r="AB28" s="64"/>
    </row>
    <row r="29" spans="1:28" s="2" customFormat="1" ht="16.5" customHeight="1" x14ac:dyDescent="0.2">
      <c r="A29" s="54" t="s">
        <v>46</v>
      </c>
      <c r="B29" s="10" t="s">
        <v>63</v>
      </c>
      <c r="C29" s="91" t="s">
        <v>78</v>
      </c>
      <c r="D29" s="43" t="s">
        <v>98</v>
      </c>
      <c r="E29" s="10">
        <v>2</v>
      </c>
      <c r="F29" s="74">
        <f t="shared" ref="F29" si="7">E29*$B$10</f>
        <v>2000</v>
      </c>
      <c r="G29"/>
      <c r="H29" s="75" t="str">
        <f>IF(INDEX($M29:$AB29,$K29-3)&lt;&gt;0, INDEX($M29:$AB29,$K29-3), "")</f>
        <v>Digi-Key</v>
      </c>
      <c r="I29" s="76" t="str">
        <f>IF(INDEX($M29:$AB29,$K29-2)&lt;&gt;0, INDEX($M29:$AB29,$K29-2), "")</f>
        <v>296-8250-1-ND</v>
      </c>
      <c r="J29" s="78">
        <f>IF(INDEX($M29:$AB29,$K29-1)&lt;&gt;0, INDEX($M29:$AB29,$K29-1), "")</f>
        <v>0.126</v>
      </c>
      <c r="K29" s="76">
        <f>MATCH(MIN($P29,$T29,$X29,$AB29), $M29:$AB29,0)</f>
        <v>4</v>
      </c>
      <c r="L29" s="77">
        <f>IF(MIN($P29,$T29,$X29,$AB29)&lt;&gt;0,MIN($P29,$T29,$X29,$AB29),"")</f>
        <v>252</v>
      </c>
      <c r="M29" s="31" t="s">
        <v>104</v>
      </c>
      <c r="N29" s="10" t="s">
        <v>118</v>
      </c>
      <c r="O29" s="29">
        <v>0.126</v>
      </c>
      <c r="P29" s="29">
        <v>252</v>
      </c>
      <c r="Q29" s="33" t="s">
        <v>126</v>
      </c>
      <c r="R29" s="10" t="s">
        <v>137</v>
      </c>
      <c r="S29" s="29"/>
      <c r="T29" s="29"/>
      <c r="U29" s="33" t="s">
        <v>127</v>
      </c>
      <c r="V29" s="10">
        <v>526640</v>
      </c>
      <c r="W29" s="29">
        <v>0.126</v>
      </c>
      <c r="X29" s="29">
        <v>252</v>
      </c>
      <c r="Y29" s="33"/>
      <c r="Z29" s="10"/>
      <c r="AA29" s="29"/>
      <c r="AB29" s="65"/>
    </row>
    <row r="30" spans="1:28" s="2" customFormat="1" ht="16.5" customHeight="1" x14ac:dyDescent="0.2">
      <c r="A30" s="53" t="s">
        <v>47</v>
      </c>
      <c r="B30" s="16" t="s">
        <v>63</v>
      </c>
      <c r="C30" s="90" t="s">
        <v>79</v>
      </c>
      <c r="D30" s="42" t="s">
        <v>99</v>
      </c>
      <c r="E30" s="16">
        <v>1</v>
      </c>
      <c r="F30" s="73">
        <f>E30*$B$10</f>
        <v>1000</v>
      </c>
      <c r="G30"/>
      <c r="H30" s="79" t="str">
        <f>IF(INDEX($M30:$AB30,$K30-3)&lt;&gt;0, INDEX($M30:$AB30,$K30-3), "")</f>
        <v>Mouser</v>
      </c>
      <c r="I30" s="80" t="str">
        <f>IF(INDEX($M30:$AB30,$K30-2)&lt;&gt;0, INDEX($M30:$AB30,$K30-2), "")</f>
        <v>595-TLV61220DBVR</v>
      </c>
      <c r="J30" s="81">
        <f>IF(INDEX($M30:$AB30,$K30-1)&lt;&gt;0, INDEX($M30:$AB30,$K30-1), "")</f>
        <v>0.40699999999999997</v>
      </c>
      <c r="K30" s="80">
        <f>MATCH(MIN($P30,$T30,$X30,$AB30), $M30:$AB30,0)</f>
        <v>12</v>
      </c>
      <c r="L30" s="82">
        <f>IF(MIN($P30,$T30,$X30,$AB30)&lt;&gt;0,MIN($P30,$T30,$X30,$AB30),"")</f>
        <v>407</v>
      </c>
      <c r="M30" s="30" t="s">
        <v>104</v>
      </c>
      <c r="N30" s="16" t="s">
        <v>119</v>
      </c>
      <c r="O30" s="28">
        <v>0.42</v>
      </c>
      <c r="P30" s="28">
        <v>420</v>
      </c>
      <c r="Q30" s="32" t="s">
        <v>125</v>
      </c>
      <c r="R30" s="16">
        <v>3007284</v>
      </c>
      <c r="S30" s="28">
        <v>0.43147000000000002</v>
      </c>
      <c r="T30" s="28">
        <v>431.47</v>
      </c>
      <c r="U30" s="32" t="s">
        <v>126</v>
      </c>
      <c r="V30" s="16" t="s">
        <v>145</v>
      </c>
      <c r="W30" s="28">
        <v>0.40699999999999997</v>
      </c>
      <c r="X30" s="28">
        <v>407</v>
      </c>
      <c r="Y30" s="32"/>
      <c r="Z30" s="16"/>
      <c r="AA30" s="28"/>
      <c r="AB30" s="64"/>
    </row>
    <row r="31" spans="1:28" s="2" customFormat="1" ht="16.5" customHeight="1" x14ac:dyDescent="0.2">
      <c r="A31" s="54" t="s">
        <v>48</v>
      </c>
      <c r="B31" s="10" t="s">
        <v>63</v>
      </c>
      <c r="C31" s="91" t="s">
        <v>80</v>
      </c>
      <c r="D31" s="43" t="s">
        <v>100</v>
      </c>
      <c r="E31" s="10">
        <v>1</v>
      </c>
      <c r="F31" s="74">
        <f t="shared" ref="F31:F32" si="8">E31*$B$10</f>
        <v>1000</v>
      </c>
      <c r="G31"/>
      <c r="H31" s="75" t="str">
        <f>IF(INDEX($M31:$AB31,$K31-3)&lt;&gt;0, INDEX($M31:$AB31,$K31-3), "")</f>
        <v>Digi-Key</v>
      </c>
      <c r="I31" s="76" t="str">
        <f>IF(INDEX($M31:$AB31,$K31-2)&lt;&gt;0, INDEX($M31:$AB31,$K31-2), "")</f>
        <v>296-32464-1-ND</v>
      </c>
      <c r="J31" s="78">
        <f>IF(INDEX($M31:$AB31,$K31-1)&lt;&gt;0, INDEX($M31:$AB31,$K31-1), "")</f>
        <v>0.36399999999999999</v>
      </c>
      <c r="K31" s="76">
        <f>MATCH(MIN($P31,$T31,$X31,$AB31), $M31:$AB31,0)</f>
        <v>4</v>
      </c>
      <c r="L31" s="77">
        <f>IF(MIN($P31,$T31,$X31,$AB31)&lt;&gt;0,MIN($P31,$T31,$X31,$AB31),"")</f>
        <v>364</v>
      </c>
      <c r="M31" s="31" t="s">
        <v>104</v>
      </c>
      <c r="N31" s="10" t="s">
        <v>120</v>
      </c>
      <c r="O31" s="29">
        <v>0.36399999999999999</v>
      </c>
      <c r="P31" s="29">
        <v>364</v>
      </c>
      <c r="Q31" s="33" t="s">
        <v>125</v>
      </c>
      <c r="R31" s="10">
        <v>3124082</v>
      </c>
      <c r="S31" s="29">
        <v>0.44899</v>
      </c>
      <c r="T31" s="29">
        <v>448.99</v>
      </c>
      <c r="U31" s="33" t="s">
        <v>126</v>
      </c>
      <c r="V31" s="10" t="s">
        <v>146</v>
      </c>
      <c r="W31" s="29">
        <v>0.36399999999999999</v>
      </c>
      <c r="X31" s="29">
        <v>364</v>
      </c>
      <c r="Y31" s="33"/>
      <c r="Z31" s="10"/>
      <c r="AA31" s="29"/>
      <c r="AB31" s="65"/>
    </row>
    <row r="32" spans="1:28" s="2" customFormat="1" ht="16.5" customHeight="1" x14ac:dyDescent="0.2">
      <c r="A32" s="53" t="s">
        <v>49</v>
      </c>
      <c r="B32" s="16" t="s">
        <v>55</v>
      </c>
      <c r="C32" s="90" t="s">
        <v>81</v>
      </c>
      <c r="D32" s="42" t="s">
        <v>101</v>
      </c>
      <c r="E32" s="16">
        <v>1</v>
      </c>
      <c r="F32" s="73">
        <f>E32*$B$10</f>
        <v>1000</v>
      </c>
      <c r="G32"/>
      <c r="H32" s="79" t="str">
        <f>IF(INDEX($M32:$AB32,$K32-3)&lt;&gt;0, INDEX($M32:$AB32,$K32-3), "")</f>
        <v>Digi-Key</v>
      </c>
      <c r="I32" s="80" t="str">
        <f>IF(INDEX($M32:$AB32,$K32-2)&lt;&gt;0, INDEX($M32:$AB32,$K32-2), "")</f>
        <v>NCP114ASN330T1GOSCT-ND</v>
      </c>
      <c r="J32" s="81">
        <f>IF(INDEX($M32:$AB32,$K32-1)&lt;&gt;0, INDEX($M32:$AB32,$K32-1), "")</f>
        <v>6.7000000000000004E-2</v>
      </c>
      <c r="K32" s="80">
        <f>MATCH(MIN($P32,$T32,$X32,$AB32), $M32:$AB32,0)</f>
        <v>4</v>
      </c>
      <c r="L32" s="82">
        <f>IF(MIN($P32,$T32,$X32,$AB32)&lt;&gt;0,MIN($P32,$T32,$X32,$AB32),"")</f>
        <v>67</v>
      </c>
      <c r="M32" s="30" t="s">
        <v>104</v>
      </c>
      <c r="N32" s="16" t="s">
        <v>121</v>
      </c>
      <c r="O32" s="28">
        <v>6.7000000000000004E-2</v>
      </c>
      <c r="P32" s="28">
        <v>67</v>
      </c>
      <c r="Q32" s="32" t="s">
        <v>127</v>
      </c>
      <c r="R32" s="16">
        <v>1263178</v>
      </c>
      <c r="S32" s="28">
        <v>7.0999999999999994E-2</v>
      </c>
      <c r="T32" s="28">
        <v>71</v>
      </c>
      <c r="U32" s="32" t="s">
        <v>126</v>
      </c>
      <c r="V32" s="16" t="s">
        <v>147</v>
      </c>
      <c r="W32" s="28">
        <v>7.1529999999999996E-2</v>
      </c>
      <c r="X32" s="28">
        <v>71.53</v>
      </c>
      <c r="Y32" s="32"/>
      <c r="Z32" s="16"/>
      <c r="AA32" s="28"/>
      <c r="AB32" s="64"/>
    </row>
    <row r="33" spans="1:28" ht="14.25" x14ac:dyDescent="0.2">
      <c r="A33" s="55" t="s">
        <v>12</v>
      </c>
      <c r="B33" s="39">
        <f>ROW(A32)-ROW(A$13)</f>
        <v>19</v>
      </c>
      <c r="C33" s="34"/>
      <c r="D33" s="36" t="s">
        <v>9</v>
      </c>
      <c r="E33" s="37">
        <f>SUM(E14:E32)</f>
        <v>46</v>
      </c>
      <c r="F33" s="56">
        <f>SUM(F14:F32)</f>
        <v>46000</v>
      </c>
      <c r="H33" s="35"/>
      <c r="I33" s="40" t="s">
        <v>9</v>
      </c>
      <c r="J33" s="41"/>
      <c r="K33" s="41"/>
      <c r="L33" s="83">
        <f>SUM(L14:L32)</f>
        <v>15056.749999999998</v>
      </c>
      <c r="M33" s="35"/>
      <c r="N33" s="34"/>
      <c r="O33" s="34"/>
      <c r="P33" s="84"/>
      <c r="Q33" s="34"/>
      <c r="R33" s="34"/>
      <c r="S33" s="34"/>
      <c r="T33" s="84"/>
      <c r="U33" s="34"/>
      <c r="V33" s="34"/>
      <c r="W33" s="34"/>
      <c r="X33" s="84"/>
      <c r="Y33" s="34"/>
      <c r="Z33" s="34"/>
      <c r="AA33" s="34"/>
      <c r="AB33" s="83"/>
    </row>
    <row r="34" spans="1:28" ht="15" thickBot="1" x14ac:dyDescent="0.25">
      <c r="A34" s="57"/>
      <c r="B34" s="58"/>
      <c r="C34" s="58"/>
      <c r="D34" s="58"/>
      <c r="E34" s="58"/>
      <c r="F34" s="59"/>
      <c r="H34" s="57"/>
      <c r="I34" s="66" t="s">
        <v>10</v>
      </c>
      <c r="J34" s="71"/>
      <c r="K34" s="67"/>
      <c r="L34" s="68">
        <f>L33/$B$10</f>
        <v>15.056749999999997</v>
      </c>
      <c r="M34" s="57"/>
      <c r="N34" s="58"/>
      <c r="O34" s="58"/>
      <c r="P34" s="85"/>
      <c r="Q34" s="58"/>
      <c r="R34" s="58"/>
      <c r="S34" s="58"/>
      <c r="T34" s="85"/>
      <c r="U34" s="58"/>
      <c r="V34" s="58"/>
      <c r="W34" s="58"/>
      <c r="X34" s="85"/>
      <c r="Y34" s="58"/>
      <c r="Z34" s="58"/>
      <c r="AA34" s="58"/>
      <c r="AB34" s="86"/>
    </row>
    <row r="35" spans="1:28" customFormat="1" ht="6" customHeight="1" thickTop="1" x14ac:dyDescent="0.2">
      <c r="A35" s="45"/>
      <c r="B35" s="46"/>
      <c r="C35" s="46"/>
      <c r="D35" s="47"/>
      <c r="E35" s="48"/>
      <c r="F35" s="47"/>
      <c r="H35" s="47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</row>
    <row r="37" spans="1:28" x14ac:dyDescent="0.2">
      <c r="N37" s="72"/>
      <c r="O37" s="72"/>
      <c r="Q37" s="72"/>
      <c r="R37" s="72"/>
      <c r="S37" s="72"/>
    </row>
    <row r="38" spans="1:28" x14ac:dyDescent="0.2">
      <c r="K38" s="1">
        <f>MIN($P37,$T37,$X37,$AB37)</f>
        <v>0</v>
      </c>
    </row>
    <row r="49" spans="1:2" x14ac:dyDescent="0.2">
      <c r="A49" s="22"/>
      <c r="B49" s="22"/>
    </row>
  </sheetData>
  <phoneticPr fontId="0" type="noConversion"/>
  <pageMargins left="0.39370078740157483" right="0.39370078740157483" top="0.39370078740157483" bottom="0" header="0.11811023622047245" footer="0.19685039370078741"/>
  <pageSetup paperSize="9" scale="48" orientation="landscape" horizontalDpi="200" verticalDpi="200" r:id="rId1"/>
  <headerFooter alignWithMargins="0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Costing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Daniel Cletheroe</dc:creator>
  <cp:lastModifiedBy>Steve Hodges</cp:lastModifiedBy>
  <cp:lastPrinted>2016-07-13T07:52:47Z</cp:lastPrinted>
  <dcterms:created xsi:type="dcterms:W3CDTF">2000-10-27T00:30:29Z</dcterms:created>
  <dcterms:modified xsi:type="dcterms:W3CDTF">2020-12-24T13:08:40Z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daclethe@microsoft.com</vt:lpwstr>
  </property>
  <property fmtid="{D5CDD505-2E9C-101B-9397-08002B2CF9AE}" pid="5" name="MSIP_Label_f42aa342-8706-4288-bd11-ebb85995028c_SetDate">
    <vt:lpwstr>2018-12-17T11:44:23.0713137Z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