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8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9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10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gagl\Desktop\"/>
    </mc:Choice>
  </mc:AlternateContent>
  <xr:revisionPtr revIDLastSave="0" documentId="8_{AA4B6B92-4226-4AB4-97FA-32E194FA86F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enu" sheetId="1" r:id="rId1"/>
    <sheet name="Despesas" sheetId="2" r:id="rId2"/>
    <sheet name="Compras" sheetId="6" r:id="rId3"/>
    <sheet name="Investimentos" sheetId="7" r:id="rId4"/>
    <sheet name="Estoque" sheetId="8" r:id="rId5"/>
    <sheet name="Resultados" sheetId="4" r:id="rId6"/>
    <sheet name="Vendas" sheetId="3" r:id="rId7"/>
    <sheet name="Semana 1" sheetId="9" r:id="rId8"/>
    <sheet name="Análise Sem 1" sheetId="14" r:id="rId9"/>
    <sheet name="Semana 2" sheetId="10" r:id="rId10"/>
    <sheet name="Análise Sem 2" sheetId="15" r:id="rId11"/>
    <sheet name="Semana 3" sheetId="11" r:id="rId12"/>
    <sheet name="Análise Sem 3" sheetId="16" r:id="rId13"/>
    <sheet name="Semana 4" sheetId="12" r:id="rId14"/>
    <sheet name="Análise Sem 4" sheetId="17" r:id="rId15"/>
    <sheet name="Semana 5" sheetId="13" r:id="rId16"/>
    <sheet name="Análise Sem 5" sheetId="18" r:id="rId17"/>
    <sheet name="cálculos" sheetId="5" r:id="rId18"/>
  </sheets>
  <definedNames>
    <definedName name="_xlnm._FilterDatabase" localSheetId="17" hidden="1">cálculos!$B$1:$E$1</definedName>
  </definedNames>
  <calcPr calcId="181029"/>
  <pivotCaches>
    <pivotCache cacheId="34" r:id="rId19"/>
    <pivotCache cacheId="38" r:id="rId20"/>
    <pivotCache cacheId="42" r:id="rId21"/>
    <pivotCache cacheId="46" r:id="rId22"/>
    <pivotCache cacheId="50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8" l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K27" i="13"/>
  <c r="E6" i="13"/>
  <c r="G6" i="13"/>
  <c r="H6" i="13" s="1"/>
  <c r="E7" i="13"/>
  <c r="G7" i="13"/>
  <c r="H7" i="13" s="1"/>
  <c r="E6" i="12"/>
  <c r="G6" i="12"/>
  <c r="H6" i="12" s="1"/>
  <c r="K6" i="12"/>
  <c r="K7" i="12"/>
  <c r="E7" i="12"/>
  <c r="G7" i="12"/>
  <c r="H7" i="12" s="1"/>
  <c r="K8" i="12"/>
  <c r="E8" i="12"/>
  <c r="G8" i="12"/>
  <c r="H8" i="12" s="1"/>
  <c r="E9" i="12"/>
  <c r="G9" i="12"/>
  <c r="H9" i="12" s="1"/>
  <c r="K9" i="12"/>
  <c r="K10" i="12"/>
  <c r="E10" i="12"/>
  <c r="G10" i="12"/>
  <c r="H10" i="12" s="1"/>
  <c r="E11" i="12"/>
  <c r="G11" i="12"/>
  <c r="H11" i="12" s="1"/>
  <c r="K11" i="12"/>
  <c r="E12" i="12"/>
  <c r="G12" i="12"/>
  <c r="H12" i="12" s="1"/>
  <c r="E13" i="12"/>
  <c r="G13" i="12"/>
  <c r="H13" i="12" s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M6" i="9"/>
  <c r="M7" i="9"/>
  <c r="M11" i="9"/>
  <c r="M13" i="9"/>
  <c r="M14" i="9"/>
  <c r="M15" i="9"/>
  <c r="M19" i="9"/>
  <c r="M20" i="9"/>
  <c r="M23" i="9"/>
  <c r="M27" i="9"/>
  <c r="M28" i="9"/>
  <c r="E7" i="9"/>
  <c r="G6" i="9"/>
  <c r="H6" i="9" s="1"/>
  <c r="G7" i="9"/>
  <c r="H7" i="9" s="1"/>
  <c r="G8" i="9"/>
  <c r="H8" i="9" s="1"/>
  <c r="G9" i="9"/>
  <c r="H9" i="9" s="1"/>
  <c r="G10" i="9"/>
  <c r="H10" i="9" s="1"/>
  <c r="G11" i="9"/>
  <c r="H11" i="9" s="1"/>
  <c r="G12" i="9"/>
  <c r="H12" i="9" s="1"/>
  <c r="G13" i="9"/>
  <c r="H13" i="9" s="1"/>
  <c r="G14" i="9"/>
  <c r="H14" i="9" s="1"/>
  <c r="G15" i="9"/>
  <c r="H15" i="9" s="1"/>
  <c r="G16" i="9"/>
  <c r="H16" i="9" s="1"/>
  <c r="G17" i="9"/>
  <c r="H17" i="9" s="1"/>
  <c r="G18" i="9"/>
  <c r="H18" i="9" s="1"/>
  <c r="G19" i="9"/>
  <c r="H19" i="9" s="1"/>
  <c r="G20" i="9"/>
  <c r="H20" i="9" s="1"/>
  <c r="G21" i="9"/>
  <c r="H21" i="9" s="1"/>
  <c r="G22" i="9"/>
  <c r="H22" i="9" s="1"/>
  <c r="G23" i="9"/>
  <c r="H23" i="9" s="1"/>
  <c r="G24" i="9"/>
  <c r="H24" i="9" s="1"/>
  <c r="G25" i="9"/>
  <c r="H25" i="9" s="1"/>
  <c r="G26" i="9"/>
  <c r="H26" i="9" s="1"/>
  <c r="G27" i="9"/>
  <c r="H27" i="9" s="1"/>
  <c r="G28" i="9"/>
  <c r="H28" i="9" s="1"/>
  <c r="G29" i="9"/>
  <c r="H29" i="9" s="1"/>
  <c r="E6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D17" i="4"/>
  <c r="D14" i="4"/>
  <c r="D12" i="4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D41" i="3"/>
  <c r="K7" i="13" l="1"/>
  <c r="L7" i="13" s="1"/>
  <c r="M7" i="13" s="1"/>
  <c r="L6" i="12"/>
  <c r="L7" i="12"/>
  <c r="L8" i="12"/>
  <c r="L9" i="12"/>
  <c r="L10" i="12"/>
  <c r="K38" i="12"/>
  <c r="L11" i="12"/>
  <c r="K37" i="12"/>
  <c r="K26" i="13"/>
  <c r="L27" i="9"/>
  <c r="L19" i="9"/>
  <c r="L11" i="9"/>
  <c r="L26" i="9"/>
  <c r="M26" i="9" s="1"/>
  <c r="L18" i="9"/>
  <c r="M18" i="9" s="1"/>
  <c r="L10" i="9"/>
  <c r="M10" i="9" s="1"/>
  <c r="L25" i="9"/>
  <c r="M25" i="9" s="1"/>
  <c r="L17" i="9"/>
  <c r="M17" i="9" s="1"/>
  <c r="L9" i="9"/>
  <c r="M9" i="9" s="1"/>
  <c r="L24" i="9"/>
  <c r="L16" i="9"/>
  <c r="L8" i="9"/>
  <c r="L23" i="9"/>
  <c r="L15" i="9"/>
  <c r="L7" i="9"/>
  <c r="L22" i="9"/>
  <c r="M22" i="9" s="1"/>
  <c r="L14" i="9"/>
  <c r="L6" i="9"/>
  <c r="L29" i="9"/>
  <c r="L21" i="9"/>
  <c r="L13" i="9"/>
  <c r="L28" i="9"/>
  <c r="L20" i="9"/>
  <c r="L12" i="9"/>
  <c r="K6" i="13" l="1"/>
  <c r="L6" i="13" s="1"/>
  <c r="M6" i="13" s="1"/>
  <c r="K36" i="12"/>
  <c r="K25" i="13"/>
  <c r="M24" i="9"/>
  <c r="M8" i="9"/>
  <c r="M16" i="9"/>
  <c r="M12" i="9"/>
  <c r="M21" i="9"/>
  <c r="M29" i="9"/>
  <c r="K35" i="12" l="1"/>
  <c r="K24" i="13"/>
  <c r="K34" i="12" l="1"/>
  <c r="K23" i="13"/>
  <c r="K33" i="12" l="1"/>
  <c r="K22" i="13"/>
  <c r="K32" i="12" l="1"/>
  <c r="K21" i="13"/>
  <c r="K31" i="12" l="1"/>
  <c r="K20" i="13"/>
  <c r="K30" i="12" l="1"/>
  <c r="K19" i="13"/>
  <c r="M35" i="11"/>
  <c r="M35" i="10"/>
  <c r="M33" i="9"/>
  <c r="G27" i="13"/>
  <c r="H27" i="13" s="1"/>
  <c r="L27" i="13" s="1"/>
  <c r="E27" i="13"/>
  <c r="G26" i="13"/>
  <c r="H26" i="13" s="1"/>
  <c r="L26" i="13" s="1"/>
  <c r="E26" i="13"/>
  <c r="G25" i="13"/>
  <c r="H25" i="13" s="1"/>
  <c r="L25" i="13" s="1"/>
  <c r="E25" i="13"/>
  <c r="G24" i="13"/>
  <c r="H24" i="13" s="1"/>
  <c r="L24" i="13" s="1"/>
  <c r="E24" i="13"/>
  <c r="G23" i="13"/>
  <c r="H23" i="13" s="1"/>
  <c r="L23" i="13" s="1"/>
  <c r="E23" i="13"/>
  <c r="G22" i="13"/>
  <c r="H22" i="13" s="1"/>
  <c r="L22" i="13" s="1"/>
  <c r="E22" i="13"/>
  <c r="G21" i="13"/>
  <c r="H21" i="13" s="1"/>
  <c r="L21" i="13" s="1"/>
  <c r="E21" i="13"/>
  <c r="G20" i="13"/>
  <c r="H20" i="13" s="1"/>
  <c r="L20" i="13" s="1"/>
  <c r="E20" i="13"/>
  <c r="G19" i="13"/>
  <c r="H19" i="13" s="1"/>
  <c r="L19" i="13" s="1"/>
  <c r="E19" i="13"/>
  <c r="G18" i="13"/>
  <c r="H18" i="13" s="1"/>
  <c r="E18" i="13"/>
  <c r="G17" i="13"/>
  <c r="H17" i="13" s="1"/>
  <c r="E17" i="13"/>
  <c r="G16" i="13"/>
  <c r="H16" i="13" s="1"/>
  <c r="E16" i="13"/>
  <c r="G15" i="13"/>
  <c r="H15" i="13" s="1"/>
  <c r="E15" i="13"/>
  <c r="G14" i="13"/>
  <c r="H14" i="13" s="1"/>
  <c r="E14" i="13"/>
  <c r="G13" i="13"/>
  <c r="H13" i="13" s="1"/>
  <c r="E13" i="13"/>
  <c r="G12" i="13"/>
  <c r="H12" i="13" s="1"/>
  <c r="E12" i="13"/>
  <c r="G11" i="13"/>
  <c r="H11" i="13" s="1"/>
  <c r="E11" i="13"/>
  <c r="G10" i="13"/>
  <c r="H10" i="13" s="1"/>
  <c r="E10" i="13"/>
  <c r="G9" i="13"/>
  <c r="H9" i="13" s="1"/>
  <c r="E9" i="13"/>
  <c r="G8" i="13"/>
  <c r="H8" i="13" s="1"/>
  <c r="E8" i="13"/>
  <c r="G38" i="12"/>
  <c r="H38" i="12" s="1"/>
  <c r="L38" i="12" s="1"/>
  <c r="E38" i="12"/>
  <c r="G37" i="12"/>
  <c r="H37" i="12" s="1"/>
  <c r="L37" i="12" s="1"/>
  <c r="E37" i="12"/>
  <c r="G36" i="12"/>
  <c r="H36" i="12" s="1"/>
  <c r="L36" i="12" s="1"/>
  <c r="E36" i="12"/>
  <c r="G35" i="12"/>
  <c r="H35" i="12" s="1"/>
  <c r="L35" i="12" s="1"/>
  <c r="E35" i="12"/>
  <c r="G34" i="12"/>
  <c r="H34" i="12" s="1"/>
  <c r="L34" i="12" s="1"/>
  <c r="E34" i="12"/>
  <c r="G33" i="12"/>
  <c r="H33" i="12" s="1"/>
  <c r="L33" i="12" s="1"/>
  <c r="E33" i="12"/>
  <c r="G32" i="12"/>
  <c r="H32" i="12" s="1"/>
  <c r="L32" i="12" s="1"/>
  <c r="E32" i="12"/>
  <c r="G31" i="12"/>
  <c r="H31" i="12" s="1"/>
  <c r="L31" i="12" s="1"/>
  <c r="E31" i="12"/>
  <c r="G30" i="12"/>
  <c r="H30" i="12" s="1"/>
  <c r="E30" i="12"/>
  <c r="G29" i="12"/>
  <c r="H29" i="12" s="1"/>
  <c r="E29" i="12"/>
  <c r="G28" i="12"/>
  <c r="H28" i="12" s="1"/>
  <c r="E28" i="12"/>
  <c r="G27" i="12"/>
  <c r="H27" i="12" s="1"/>
  <c r="E27" i="12"/>
  <c r="G26" i="12"/>
  <c r="H26" i="12" s="1"/>
  <c r="E26" i="12"/>
  <c r="G25" i="12"/>
  <c r="H25" i="12" s="1"/>
  <c r="E25" i="12"/>
  <c r="G24" i="12"/>
  <c r="H24" i="12" s="1"/>
  <c r="E24" i="12"/>
  <c r="G23" i="12"/>
  <c r="H23" i="12" s="1"/>
  <c r="E23" i="12"/>
  <c r="G22" i="12"/>
  <c r="H22" i="12" s="1"/>
  <c r="E22" i="12"/>
  <c r="G21" i="12"/>
  <c r="H21" i="12" s="1"/>
  <c r="E21" i="12"/>
  <c r="G20" i="12"/>
  <c r="H20" i="12" s="1"/>
  <c r="E20" i="12"/>
  <c r="G19" i="12"/>
  <c r="H19" i="12" s="1"/>
  <c r="E19" i="12"/>
  <c r="G18" i="12"/>
  <c r="H18" i="12" s="1"/>
  <c r="E18" i="12"/>
  <c r="G17" i="12"/>
  <c r="H17" i="12" s="1"/>
  <c r="E17" i="12"/>
  <c r="G16" i="12"/>
  <c r="H16" i="12" s="1"/>
  <c r="E16" i="12"/>
  <c r="G15" i="12"/>
  <c r="H15" i="12" s="1"/>
  <c r="E15" i="12"/>
  <c r="G14" i="12"/>
  <c r="H14" i="12" s="1"/>
  <c r="E14" i="12"/>
  <c r="M30" i="11"/>
  <c r="G30" i="11"/>
  <c r="H30" i="11" s="1"/>
  <c r="L30" i="11" s="1"/>
  <c r="E30" i="11"/>
  <c r="M29" i="11"/>
  <c r="G29" i="11"/>
  <c r="H29" i="11" s="1"/>
  <c r="L29" i="11" s="1"/>
  <c r="E29" i="11"/>
  <c r="M28" i="11"/>
  <c r="G28" i="11"/>
  <c r="H28" i="11" s="1"/>
  <c r="L28" i="11" s="1"/>
  <c r="E28" i="11"/>
  <c r="M27" i="11"/>
  <c r="H27" i="11"/>
  <c r="L27" i="11" s="1"/>
  <c r="G27" i="11"/>
  <c r="E27" i="11"/>
  <c r="M26" i="11"/>
  <c r="G26" i="11"/>
  <c r="H26" i="11" s="1"/>
  <c r="L26" i="11" s="1"/>
  <c r="E26" i="11"/>
  <c r="M25" i="11"/>
  <c r="G25" i="11"/>
  <c r="H25" i="11" s="1"/>
  <c r="L25" i="11" s="1"/>
  <c r="E25" i="11"/>
  <c r="M24" i="11"/>
  <c r="G24" i="11"/>
  <c r="H24" i="11" s="1"/>
  <c r="L24" i="11" s="1"/>
  <c r="E24" i="11"/>
  <c r="M23" i="11"/>
  <c r="G23" i="11"/>
  <c r="H23" i="11" s="1"/>
  <c r="L23" i="11" s="1"/>
  <c r="E23" i="11"/>
  <c r="M22" i="11"/>
  <c r="G22" i="11"/>
  <c r="H22" i="11" s="1"/>
  <c r="L22" i="11" s="1"/>
  <c r="E22" i="11"/>
  <c r="M21" i="11"/>
  <c r="G21" i="11"/>
  <c r="H21" i="11" s="1"/>
  <c r="L21" i="11" s="1"/>
  <c r="E21" i="11"/>
  <c r="M20" i="11"/>
  <c r="G20" i="11"/>
  <c r="H20" i="11" s="1"/>
  <c r="L20" i="11" s="1"/>
  <c r="E20" i="11"/>
  <c r="M19" i="11"/>
  <c r="G19" i="11"/>
  <c r="H19" i="11" s="1"/>
  <c r="L19" i="11" s="1"/>
  <c r="E19" i="11"/>
  <c r="M18" i="11"/>
  <c r="G18" i="11"/>
  <c r="H18" i="11" s="1"/>
  <c r="L18" i="11" s="1"/>
  <c r="E18" i="11"/>
  <c r="M17" i="11"/>
  <c r="G17" i="11"/>
  <c r="H17" i="11" s="1"/>
  <c r="L17" i="11" s="1"/>
  <c r="E17" i="11"/>
  <c r="M16" i="11"/>
  <c r="G16" i="11"/>
  <c r="H16" i="11" s="1"/>
  <c r="L16" i="11" s="1"/>
  <c r="E16" i="11"/>
  <c r="M15" i="11"/>
  <c r="G15" i="11"/>
  <c r="H15" i="11" s="1"/>
  <c r="L15" i="11" s="1"/>
  <c r="E15" i="11"/>
  <c r="M14" i="11"/>
  <c r="G14" i="11"/>
  <c r="H14" i="11" s="1"/>
  <c r="L14" i="11" s="1"/>
  <c r="E14" i="11"/>
  <c r="M13" i="11"/>
  <c r="G13" i="11"/>
  <c r="H13" i="11" s="1"/>
  <c r="L13" i="11" s="1"/>
  <c r="E13" i="11"/>
  <c r="M12" i="11"/>
  <c r="G12" i="11"/>
  <c r="H12" i="11" s="1"/>
  <c r="L12" i="11" s="1"/>
  <c r="E12" i="11"/>
  <c r="M11" i="11"/>
  <c r="G11" i="11"/>
  <c r="H11" i="11" s="1"/>
  <c r="L11" i="11" s="1"/>
  <c r="E11" i="11"/>
  <c r="M10" i="11"/>
  <c r="G10" i="11"/>
  <c r="H10" i="11" s="1"/>
  <c r="L10" i="11" s="1"/>
  <c r="E10" i="11"/>
  <c r="M9" i="11"/>
  <c r="G9" i="11"/>
  <c r="H9" i="11" s="1"/>
  <c r="L9" i="11" s="1"/>
  <c r="E9" i="11"/>
  <c r="M8" i="11"/>
  <c r="G8" i="11"/>
  <c r="H8" i="11" s="1"/>
  <c r="L8" i="11" s="1"/>
  <c r="E8" i="11"/>
  <c r="M7" i="11"/>
  <c r="G7" i="11"/>
  <c r="H7" i="11" s="1"/>
  <c r="L7" i="11" s="1"/>
  <c r="E7" i="11"/>
  <c r="M6" i="11"/>
  <c r="M34" i="11"/>
  <c r="G6" i="11"/>
  <c r="H6" i="11" s="1"/>
  <c r="L6" i="11" s="1"/>
  <c r="E6" i="11"/>
  <c r="G6" i="10"/>
  <c r="H6" i="10" s="1"/>
  <c r="G7" i="10"/>
  <c r="H7" i="10" s="1"/>
  <c r="G8" i="10"/>
  <c r="H8" i="10" s="1"/>
  <c r="L8" i="10" s="1"/>
  <c r="G9" i="10"/>
  <c r="H9" i="10" s="1"/>
  <c r="L9" i="10" s="1"/>
  <c r="G10" i="10"/>
  <c r="H10" i="10" s="1"/>
  <c r="L10" i="10" s="1"/>
  <c r="G11" i="10"/>
  <c r="H11" i="10" s="1"/>
  <c r="L11" i="10" s="1"/>
  <c r="G12" i="10"/>
  <c r="H12" i="10" s="1"/>
  <c r="L12" i="10" s="1"/>
  <c r="G13" i="10"/>
  <c r="H13" i="10" s="1"/>
  <c r="L13" i="10" s="1"/>
  <c r="G14" i="10"/>
  <c r="H14" i="10" s="1"/>
  <c r="L14" i="10" s="1"/>
  <c r="G15" i="10"/>
  <c r="H15" i="10" s="1"/>
  <c r="L15" i="10" s="1"/>
  <c r="G16" i="10"/>
  <c r="H16" i="10" s="1"/>
  <c r="L16" i="10" s="1"/>
  <c r="G17" i="10"/>
  <c r="H17" i="10" s="1"/>
  <c r="L17" i="10" s="1"/>
  <c r="G18" i="10"/>
  <c r="H18" i="10" s="1"/>
  <c r="L18" i="10" s="1"/>
  <c r="G19" i="10"/>
  <c r="H19" i="10" s="1"/>
  <c r="L19" i="10" s="1"/>
  <c r="G20" i="10"/>
  <c r="H20" i="10" s="1"/>
  <c r="L20" i="10" s="1"/>
  <c r="G21" i="10"/>
  <c r="H21" i="10" s="1"/>
  <c r="L21" i="10" s="1"/>
  <c r="G22" i="10"/>
  <c r="H22" i="10" s="1"/>
  <c r="L22" i="10" s="1"/>
  <c r="G23" i="10"/>
  <c r="H23" i="10" s="1"/>
  <c r="L23" i="10" s="1"/>
  <c r="G24" i="10"/>
  <c r="H24" i="10" s="1"/>
  <c r="L24" i="10" s="1"/>
  <c r="G25" i="10"/>
  <c r="H25" i="10" s="1"/>
  <c r="L25" i="10" s="1"/>
  <c r="G26" i="10"/>
  <c r="H26" i="10" s="1"/>
  <c r="L26" i="10" s="1"/>
  <c r="G27" i="10"/>
  <c r="H27" i="10" s="1"/>
  <c r="L27" i="10" s="1"/>
  <c r="G28" i="10"/>
  <c r="H28" i="10" s="1"/>
  <c r="L28" i="10" s="1"/>
  <c r="G29" i="10"/>
  <c r="H29" i="10" s="1"/>
  <c r="L29" i="10" s="1"/>
  <c r="G30" i="10"/>
  <c r="H30" i="10" s="1"/>
  <c r="L30" i="10" s="1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M9" i="10"/>
  <c r="M7" i="10"/>
  <c r="M29" i="10"/>
  <c r="M28" i="10"/>
  <c r="M30" i="10"/>
  <c r="M27" i="10"/>
  <c r="M26" i="10"/>
  <c r="M24" i="10"/>
  <c r="M25" i="10"/>
  <c r="M23" i="10"/>
  <c r="M21" i="10"/>
  <c r="M20" i="10"/>
  <c r="M22" i="10"/>
  <c r="M19" i="10"/>
  <c r="M18" i="10"/>
  <c r="M16" i="10"/>
  <c r="M15" i="10"/>
  <c r="M14" i="10"/>
  <c r="M17" i="10"/>
  <c r="M12" i="10"/>
  <c r="M13" i="10"/>
  <c r="M11" i="10"/>
  <c r="M10" i="10"/>
  <c r="M8" i="10"/>
  <c r="L30" i="12" l="1"/>
  <c r="K29" i="12"/>
  <c r="L29" i="12" s="1"/>
  <c r="K18" i="13"/>
  <c r="L18" i="13" s="1"/>
  <c r="M34" i="10"/>
  <c r="L7" i="10"/>
  <c r="M32" i="9"/>
  <c r="M33" i="11"/>
  <c r="D8" i="3" s="1"/>
  <c r="L6" i="10"/>
  <c r="M6" i="10" s="1"/>
  <c r="M33" i="10" s="1"/>
  <c r="D7" i="3" s="1"/>
  <c r="K28" i="12" l="1"/>
  <c r="L28" i="12" s="1"/>
  <c r="K17" i="13"/>
  <c r="L17" i="13" s="1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K6" i="8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29" i="8"/>
  <c r="G29" i="8" s="1"/>
  <c r="H29" i="8" s="1"/>
  <c r="E12" i="7"/>
  <c r="G6" i="6"/>
  <c r="I6" i="6" s="1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G26" i="6"/>
  <c r="I26" i="6" s="1"/>
  <c r="G27" i="6"/>
  <c r="I27" i="6" s="1"/>
  <c r="G28" i="6"/>
  <c r="I28" i="6" s="1"/>
  <c r="E6" i="6"/>
  <c r="E31" i="2"/>
  <c r="G21" i="2"/>
  <c r="G14" i="2"/>
  <c r="G6" i="2"/>
  <c r="K27" i="12" l="1"/>
  <c r="L27" i="12" s="1"/>
  <c r="K16" i="13"/>
  <c r="L16" i="13" s="1"/>
  <c r="I30" i="6"/>
  <c r="E32" i="2" s="1"/>
  <c r="K26" i="12" l="1"/>
  <c r="L26" i="12" s="1"/>
  <c r="K15" i="13"/>
  <c r="L15" i="13" s="1"/>
  <c r="E33" i="2"/>
  <c r="D11" i="4"/>
  <c r="D10" i="4" s="1"/>
  <c r="D44" i="3"/>
  <c r="K25" i="12" l="1"/>
  <c r="L25" i="12" s="1"/>
  <c r="K14" i="13"/>
  <c r="L14" i="13" s="1"/>
  <c r="D42" i="3"/>
  <c r="D43" i="3"/>
  <c r="D40" i="3"/>
  <c r="M31" i="9"/>
  <c r="D6" i="3" s="1"/>
  <c r="K24" i="12" l="1"/>
  <c r="L24" i="12" s="1"/>
  <c r="K13" i="13"/>
  <c r="L13" i="13" s="1"/>
  <c r="K23" i="12" l="1"/>
  <c r="L23" i="12" s="1"/>
  <c r="K12" i="13"/>
  <c r="L12" i="13" s="1"/>
  <c r="K22" i="12" l="1"/>
  <c r="L22" i="12" s="1"/>
  <c r="K11" i="13"/>
  <c r="L11" i="13" s="1"/>
  <c r="K21" i="12" l="1"/>
  <c r="L21" i="12" s="1"/>
  <c r="K10" i="13"/>
  <c r="L10" i="13" s="1"/>
  <c r="K20" i="12" l="1"/>
  <c r="L20" i="12" s="1"/>
  <c r="K9" i="13"/>
  <c r="L9" i="13" s="1"/>
  <c r="K19" i="12" l="1"/>
  <c r="L19" i="12" s="1"/>
  <c r="K8" i="13"/>
  <c r="L8" i="13" s="1"/>
  <c r="K18" i="12" l="1"/>
  <c r="L18" i="12" s="1"/>
  <c r="K17" i="12" l="1"/>
  <c r="L17" i="12" s="1"/>
  <c r="K16" i="12" l="1"/>
  <c r="L16" i="12" s="1"/>
  <c r="K15" i="12" l="1"/>
  <c r="L15" i="12" s="1"/>
  <c r="M6" i="12"/>
  <c r="M8" i="12" l="1"/>
  <c r="M7" i="12"/>
  <c r="M10" i="12"/>
  <c r="M9" i="12"/>
  <c r="K12" i="12"/>
  <c r="L12" i="12" s="1"/>
  <c r="M12" i="12" s="1"/>
  <c r="M11" i="12"/>
  <c r="K14" i="12"/>
  <c r="L14" i="12" s="1"/>
  <c r="M14" i="12" s="1"/>
  <c r="K13" i="12" l="1"/>
  <c r="M36" i="12"/>
  <c r="M33" i="12"/>
  <c r="M30" i="12"/>
  <c r="M38" i="12"/>
  <c r="M35" i="12"/>
  <c r="M43" i="12"/>
  <c r="M32" i="12"/>
  <c r="M34" i="12"/>
  <c r="M37" i="12"/>
  <c r="M29" i="12"/>
  <c r="M31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27" i="13"/>
  <c r="M19" i="13"/>
  <c r="M24" i="13"/>
  <c r="M21" i="13"/>
  <c r="M32" i="13"/>
  <c r="M26" i="13"/>
  <c r="M18" i="13"/>
  <c r="M23" i="13"/>
  <c r="M20" i="13"/>
  <c r="M25" i="13"/>
  <c r="M22" i="13"/>
  <c r="M17" i="13"/>
  <c r="M16" i="13"/>
  <c r="M15" i="13"/>
  <c r="M14" i="13"/>
  <c r="M13" i="13"/>
  <c r="M12" i="13"/>
  <c r="M11" i="13"/>
  <c r="M10" i="13"/>
  <c r="M9" i="13"/>
  <c r="M8" i="13"/>
  <c r="D11" i="3" l="1"/>
  <c r="L13" i="12"/>
  <c r="M13" i="12" s="1"/>
  <c r="M41" i="12" s="1"/>
  <c r="D9" i="3" s="1"/>
  <c r="M42" i="12"/>
  <c r="M30" i="13"/>
  <c r="D10" i="3" s="1"/>
  <c r="D30" i="3"/>
  <c r="D31" i="3" s="1"/>
  <c r="M31" i="13"/>
  <c r="D32" i="3" l="1"/>
  <c r="D7" i="4" s="1"/>
  <c r="D13" i="3"/>
  <c r="D12" i="3" s="1"/>
  <c r="D33" i="3"/>
  <c r="D34" i="3" l="1"/>
  <c r="D6" i="4"/>
  <c r="D5" i="4" s="1"/>
  <c r="D8" i="4" s="1"/>
  <c r="D9" i="4" s="1"/>
  <c r="D13" i="4" l="1"/>
  <c r="D16" i="4" s="1"/>
  <c r="D1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Diogo .</author>
  </authors>
  <commentList>
    <comment ref="E11" authorId="0" shapeId="0" xr:uid="{BC750DC1-F0F6-4241-B75A-C41876D28E3A}">
      <text>
        <r>
          <rPr>
            <b/>
            <sz val="9"/>
            <color indexed="81"/>
            <rFont val="Segoe UI"/>
            <charset val="1"/>
          </rPr>
          <t>Diogo .:</t>
        </r>
        <r>
          <rPr>
            <sz val="9"/>
            <color indexed="81"/>
            <rFont val="Segoe UI"/>
            <charset val="1"/>
          </rPr>
          <t xml:space="preserve">
Inserir descrição da despesa</t>
        </r>
      </text>
    </comment>
    <comment ref="E19" authorId="0" shapeId="0" xr:uid="{EFFDD7B2-D542-4938-9E86-E1AE3AE39870}">
      <text>
        <r>
          <rPr>
            <b/>
            <sz val="9"/>
            <color indexed="81"/>
            <rFont val="Segoe UI"/>
            <charset val="1"/>
          </rPr>
          <t>Diogo .:</t>
        </r>
        <r>
          <rPr>
            <sz val="9"/>
            <color indexed="81"/>
            <rFont val="Segoe UI"/>
            <charset val="1"/>
          </rPr>
          <t xml:space="preserve">
Inserir descrição das despesas</t>
        </r>
      </text>
    </comment>
    <comment ref="E27" authorId="0" shapeId="0" xr:uid="{F6BE28D0-725B-4FCD-A0D6-7E92AAE5F043}">
      <text>
        <r>
          <rPr>
            <b/>
            <sz val="9"/>
            <color indexed="81"/>
            <rFont val="Segoe UI"/>
            <charset val="1"/>
          </rPr>
          <t>Diogo .:</t>
        </r>
        <r>
          <rPr>
            <sz val="9"/>
            <color indexed="81"/>
            <rFont val="Segoe UI"/>
            <charset val="1"/>
          </rPr>
          <t xml:space="preserve">
Inserir descrição das despesas
</t>
        </r>
      </text>
    </comment>
    <comment ref="E29" authorId="0" shapeId="0" xr:uid="{548E417E-2176-48B2-9491-A08734734EF6}">
      <text>
        <r>
          <rPr>
            <b/>
            <sz val="9"/>
            <color indexed="81"/>
            <rFont val="Segoe UI"/>
            <charset val="1"/>
          </rPr>
          <t>Diogo .:</t>
        </r>
        <r>
          <rPr>
            <sz val="9"/>
            <color indexed="81"/>
            <rFont val="Segoe UI"/>
            <charset val="1"/>
          </rPr>
          <t xml:space="preserve">
Inserir descrição das despesas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Diogo .</author>
  </authors>
  <commentList>
    <comment ref="D10" authorId="0" shapeId="0" xr:uid="{1378F3A4-4958-460B-B661-6A6C0C6648BE}">
      <text>
        <r>
          <rPr>
            <b/>
            <sz val="9"/>
            <color indexed="81"/>
            <rFont val="Segoe UI"/>
            <family val="2"/>
          </rPr>
          <t>Diogo .:</t>
        </r>
        <r>
          <rPr>
            <sz val="9"/>
            <color indexed="81"/>
            <rFont val="Segoe UI"/>
            <family val="2"/>
          </rPr>
          <t xml:space="preserve">
Inserir descrição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Diogo .</author>
  </authors>
  <commentList>
    <comment ref="D8" authorId="0" shapeId="0" xr:uid="{ABE4B6EF-4431-40AA-8F38-55637A4559BC}">
      <text>
        <r>
          <rPr>
            <b/>
            <sz val="9"/>
            <color indexed="81"/>
            <rFont val="Segoe UI"/>
            <family val="2"/>
          </rPr>
          <t>Diogo .:</t>
        </r>
        <r>
          <rPr>
            <sz val="9"/>
            <color indexed="81"/>
            <rFont val="Segoe UI"/>
            <family val="2"/>
          </rPr>
          <t xml:space="preserve">
Imposto considerado: 15%
</t>
        </r>
      </text>
    </comment>
    <comment ref="D17" authorId="0" shapeId="0" xr:uid="{D875C3E5-A3A2-45E1-956E-1C2D84E613C8}">
      <text>
        <r>
          <rPr>
            <b/>
            <sz val="9"/>
            <color indexed="81"/>
            <rFont val="Segoe UI"/>
            <family val="2"/>
          </rPr>
          <t>Diogo .:</t>
        </r>
        <r>
          <rPr>
            <sz val="9"/>
            <color indexed="81"/>
            <rFont val="Segoe UI"/>
            <family val="2"/>
          </rPr>
          <t xml:space="preserve">
Imposto considerado: 30%
</t>
        </r>
      </text>
    </comment>
  </commentList>
</comments>
</file>

<file path=xl/sharedStrings.xml><?xml version="1.0" encoding="utf-8"?>
<sst xmlns="http://schemas.openxmlformats.org/spreadsheetml/2006/main" count="436" uniqueCount="155">
  <si>
    <t>Resultados</t>
  </si>
  <si>
    <t>Manutenção de Equipamentos</t>
  </si>
  <si>
    <t>Impostos</t>
  </si>
  <si>
    <t>Limpeza</t>
  </si>
  <si>
    <t>Aluguel Loja</t>
  </si>
  <si>
    <t>Seguros</t>
  </si>
  <si>
    <t>Outros</t>
  </si>
  <si>
    <t>Receita Líquida</t>
  </si>
  <si>
    <t>Lucro Líquido</t>
  </si>
  <si>
    <t>Investimentos</t>
  </si>
  <si>
    <t>Salários</t>
  </si>
  <si>
    <t>Bonificações</t>
  </si>
  <si>
    <t>Vales (Refeição, Transporte)</t>
  </si>
  <si>
    <t>Informática</t>
  </si>
  <si>
    <t>Despesas Funcionamento (água, luz, gás, telefone, etc.)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</si>
  <si>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</si>
  <si>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</si>
  <si>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</si>
  <si>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</si>
  <si>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</si>
  <si>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</si>
  <si>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</si>
  <si>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</si>
  <si>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</si>
  <si>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</si>
  <si>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</si>
  <si>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</si>
  <si>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</si>
  <si>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</si>
  <si>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</si>
  <si>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</si>
  <si>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</si>
  <si>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</si>
  <si>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</si>
  <si>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</si>
  <si>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</si>
  <si>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</si>
  <si>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</si>
  <si>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</si>
  <si>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</si>
  <si>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</si>
  <si>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</si>
  <si>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</si>
  <si>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Descrição de Despesa</t>
  </si>
  <si>
    <t>Data</t>
  </si>
  <si>
    <t>Observação</t>
  </si>
  <si>
    <t>Valor intermediário</t>
  </si>
  <si>
    <t>Valor final</t>
  </si>
  <si>
    <t>Funcionários</t>
  </si>
  <si>
    <t>Água</t>
  </si>
  <si>
    <t>Energia</t>
  </si>
  <si>
    <t>Gás</t>
  </si>
  <si>
    <t>Telefone</t>
  </si>
  <si>
    <t>Férias, Licença Maternidade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</si>
  <si>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</si>
  <si>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</si>
  <si>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</si>
  <si>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</si>
  <si>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</si>
  <si>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</si>
  <si>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</si>
  <si>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</si>
  <si>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</si>
  <si>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</si>
  <si>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</si>
  <si>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</si>
  <si>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</si>
  <si>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</si>
  <si>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</si>
  <si>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</si>
  <si>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</si>
  <si>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</si>
  <si>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</si>
  <si>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</si>
  <si>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</si>
  <si>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</si>
  <si>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</si>
  <si>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</si>
  <si>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</si>
  <si>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</si>
  <si>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</si>
  <si>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</si>
  <si>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</si>
  <si>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</si>
  <si>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</si>
  <si>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 xml:space="preserve">Total de compras de mercadorias </t>
  </si>
  <si>
    <t xml:space="preserve">Total de Compras de Mercadorias </t>
  </si>
  <si>
    <t>Total de Despesas</t>
  </si>
  <si>
    <t>Total de Despesas de Funcionamento</t>
  </si>
  <si>
    <t>Investimento</t>
  </si>
  <si>
    <t>Descrição</t>
  </si>
  <si>
    <t>Valor</t>
  </si>
  <si>
    <t>Investimento Inicial</t>
  </si>
  <si>
    <t>Equipamentos</t>
  </si>
  <si>
    <t>Estrutura</t>
  </si>
  <si>
    <t>Total de investimentos iniciais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</si>
  <si>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</si>
  <si>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</si>
  <si>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</si>
  <si>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</si>
  <si>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</si>
  <si>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</si>
  <si>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</si>
  <si>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 xml:space="preserve">                                                                                                               Vendas Semana 1</t>
  </si>
  <si>
    <t>idvenda</t>
  </si>
  <si>
    <t>Val Unitário</t>
  </si>
  <si>
    <t>Subtotal</t>
  </si>
  <si>
    <t>Entrega</t>
  </si>
  <si>
    <t xml:space="preserve">            Regiões de entrega                                                                                                                    </t>
  </si>
  <si>
    <t>Centro</t>
  </si>
  <si>
    <t>Loja</t>
  </si>
  <si>
    <t>Zona Norte</t>
  </si>
  <si>
    <t>Zona Oeste</t>
  </si>
  <si>
    <t>Zona Sul</t>
  </si>
  <si>
    <t>Valor de Entrega</t>
  </si>
  <si>
    <t>Total</t>
  </si>
  <si>
    <t>Total Para o Cliente</t>
  </si>
  <si>
    <t>Receita de Entregas</t>
  </si>
  <si>
    <t>Receita de Vendas</t>
  </si>
  <si>
    <t xml:space="preserve">                                                                                                               Vendas Semana 2</t>
  </si>
  <si>
    <t xml:space="preserve">                                                                                                               Vendas Semana 3</t>
  </si>
  <si>
    <t xml:space="preserve">                                                                                                               Vendas Semana 4</t>
  </si>
  <si>
    <t>Ticket Médio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</si>
  <si>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</si>
  <si>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</si>
  <si>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</si>
  <si>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</si>
  <si>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</si>
  <si>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 xml:space="preserve">                                                                                                               Vendas Semana 5</t>
  </si>
  <si>
    <t>Total de Vendas Julho</t>
  </si>
  <si>
    <t>Vendas por Entrega (%)</t>
  </si>
  <si>
    <t>N° de vendas</t>
  </si>
  <si>
    <t>N° de Vendas</t>
  </si>
  <si>
    <t>Entregas Mensais</t>
  </si>
  <si>
    <t>Entregas por Região</t>
  </si>
  <si>
    <t>Receita Total de Entregas (R$)</t>
  </si>
  <si>
    <t>Total de Receitas</t>
  </si>
  <si>
    <t>Imposto Sob Receita</t>
  </si>
  <si>
    <t>Resultado Bruto</t>
  </si>
  <si>
    <t>Depreciação e Amortização</t>
  </si>
  <si>
    <t>Receita Mercadorias</t>
  </si>
  <si>
    <t>Despesas Mercadorias</t>
  </si>
  <si>
    <t>Despesas Funcionamento</t>
  </si>
  <si>
    <t>Ticket Médio por Entrega</t>
  </si>
  <si>
    <t>Ticket Médio por Retirada em Loja</t>
  </si>
  <si>
    <t>Resultado Antes dos Impostos</t>
  </si>
  <si>
    <t>Compras de Mercadorias</t>
  </si>
  <si>
    <t>Estoque</t>
  </si>
  <si>
    <t>Vendas Mensais</t>
  </si>
  <si>
    <t>Rótulos de Linha</t>
  </si>
  <si>
    <t>Total Geral</t>
  </si>
  <si>
    <t>Soma de Total</t>
  </si>
  <si>
    <t>(vazio)</t>
  </si>
  <si>
    <t>Soma de Valor de Entrega</t>
  </si>
  <si>
    <t>Soma de 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</si>
</sst>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5" formatCode="&quot;R$&quot;\ #,##0.00"/>
    <numFmt numFmtId="168" formatCode="_-&quot;R$&quot;\ * #,##0.00_-;\-&quot;R$&quot;\ * #,##0.00_-;_-&quot;R$&quot;\ 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14"/>
      <color theme="9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theme="9" tint="0.39994506668294322"/>
      </left>
      <right/>
      <top style="thick">
        <color theme="9" tint="0.39994506668294322"/>
      </top>
      <bottom/>
      <diagonal/>
    </border>
    <border>
      <left/>
      <right/>
      <top style="thick">
        <color theme="9" tint="0.39994506668294322"/>
      </top>
      <bottom/>
      <diagonal/>
    </border>
    <border>
      <left/>
      <right style="thick">
        <color theme="9" tint="0.39994506668294322"/>
      </right>
      <top style="thick">
        <color theme="9" tint="0.39994506668294322"/>
      </top>
      <bottom/>
      <diagonal/>
    </border>
    <border>
      <left style="thick">
        <color theme="9" tint="0.39994506668294322"/>
      </left>
      <right/>
      <top/>
      <bottom/>
      <diagonal/>
    </border>
    <border>
      <left/>
      <right style="thick">
        <color theme="9" tint="0.39994506668294322"/>
      </right>
      <top/>
      <bottom/>
      <diagonal/>
    </border>
    <border>
      <left style="thick">
        <color theme="9" tint="0.39994506668294322"/>
      </left>
      <right/>
      <top/>
      <bottom style="thick">
        <color theme="9" tint="0.39994506668294322"/>
      </bottom>
      <diagonal/>
    </border>
    <border>
      <left/>
      <right/>
      <top/>
      <bottom style="thick">
        <color theme="9" tint="0.39994506668294322"/>
      </bottom>
      <diagonal/>
    </border>
    <border>
      <left/>
      <right style="thick">
        <color theme="9" tint="0.39994506668294322"/>
      </right>
      <top/>
      <bottom style="thick">
        <color theme="9" tint="0.39994506668294322"/>
      </bottom>
      <diagonal/>
    </border>
    <border>
      <left/>
      <right/>
      <top style="thin">
        <color theme="9" tint="0.39997558519241921"/>
      </top>
      <bottom/>
      <diagonal/>
    </border>
    <border>
      <left style="thick">
        <color theme="9" tint="0.39991454817346722"/>
      </left>
      <right/>
      <top style="thick">
        <color theme="9" tint="0.39991454817346722"/>
      </top>
      <bottom/>
      <diagonal/>
    </border>
    <border>
      <left/>
      <right/>
      <top style="thick">
        <color theme="9" tint="0.39991454817346722"/>
      </top>
      <bottom/>
      <diagonal/>
    </border>
    <border>
      <left/>
      <right style="thick">
        <color theme="9" tint="0.39991454817346722"/>
      </right>
      <top style="thick">
        <color theme="9" tint="0.39991454817346722"/>
      </top>
      <bottom/>
      <diagonal/>
    </border>
    <border>
      <left style="thick">
        <color theme="9" tint="0.39991454817346722"/>
      </left>
      <right/>
      <top/>
      <bottom/>
      <diagonal/>
    </border>
    <border>
      <left/>
      <right style="thick">
        <color theme="9" tint="0.39991454817346722"/>
      </right>
      <top/>
      <bottom/>
      <diagonal/>
    </border>
    <border>
      <left style="thick">
        <color theme="9" tint="0.39991454817346722"/>
      </left>
      <right/>
      <top/>
      <bottom style="thick">
        <color theme="9" tint="0.39991454817346722"/>
      </bottom>
      <diagonal/>
    </border>
    <border>
      <left/>
      <right/>
      <top/>
      <bottom style="thick">
        <color theme="9" tint="0.39991454817346722"/>
      </bottom>
      <diagonal/>
    </border>
    <border>
      <left/>
      <right style="thick">
        <color theme="9" tint="0.39991454817346722"/>
      </right>
      <top/>
      <bottom style="thick">
        <color theme="9" tint="0.39991454817346722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129">
    <xf numFmtId="0" fontId="0" fillId="0" borderId="0" xfId="0"/>
    <xf numFmtId="165" fontId="0" fillId="0" borderId="0" xfId="0" applyNumberFormat="1"/>
    <xf numFmtId="0" fontId="4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14" fontId="0" fillId="0" borderId="0" xfId="0" applyNumberFormat="1"/>
    <xf numFmtId="44" fontId="0" fillId="0" borderId="0" xfId="0" applyNumberFormat="1"/>
    <xf numFmtId="0" fontId="0" fillId="0" borderId="0" xfId="0"/>
    <xf numFmtId="168" fontId="0" fillId="0" borderId="0" xfId="3" applyFont="1"/>
    <xf numFmtId="0" fontId="2" fillId="0" borderId="0" xfId="0" applyFon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0" xfId="0" applyAlignment="1">
      <alignment wrapText="1"/>
    </xf>
    <xf numFmtId="9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Border="1"/>
    <xf numFmtId="44" fontId="5" fillId="0" borderId="0" xfId="0" applyNumberFormat="1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44" fontId="5" fillId="0" borderId="0" xfId="0" applyNumberFormat="1" applyFont="1" applyFill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44" fontId="0" fillId="0" borderId="0" xfId="1" applyFont="1"/>
    <xf numFmtId="0" fontId="10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9" fontId="0" fillId="0" borderId="0" xfId="2" applyFont="1"/>
    <xf numFmtId="0" fontId="0" fillId="0" borderId="0" xfId="0" applyNumberFormat="1"/>
    <xf numFmtId="0" fontId="2" fillId="0" borderId="0" xfId="0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Border="1"/>
    <xf numFmtId="0" fontId="10" fillId="0" borderId="4" xfId="0" applyFont="1" applyBorder="1" applyAlignment="1">
      <alignment horizontal="center"/>
    </xf>
    <xf numFmtId="0" fontId="10" fillId="0" borderId="4" xfId="0" applyFont="1" applyBorder="1"/>
    <xf numFmtId="0" fontId="10" fillId="0" borderId="6" xfId="0" applyFon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10" fillId="0" borderId="4" xfId="0" applyFont="1" applyBorder="1" applyAlignment="1"/>
    <xf numFmtId="0" fontId="10" fillId="0" borderId="0" xfId="0" applyFont="1" applyBorder="1"/>
    <xf numFmtId="44" fontId="10" fillId="0" borderId="0" xfId="0" applyNumberFormat="1" applyFont="1" applyBorder="1"/>
    <xf numFmtId="0" fontId="11" fillId="0" borderId="0" xfId="0" applyFont="1" applyBorder="1"/>
    <xf numFmtId="44" fontId="11" fillId="0" borderId="0" xfId="0" applyNumberFormat="1" applyFont="1" applyBorder="1"/>
    <xf numFmtId="0" fontId="12" fillId="0" borderId="0" xfId="0" applyFont="1" applyBorder="1"/>
    <xf numFmtId="44" fontId="12" fillId="0" borderId="0" xfId="0" applyNumberFormat="1" applyFont="1" applyBorder="1"/>
    <xf numFmtId="0" fontId="0" fillId="0" borderId="7" xfId="0" applyBorder="1"/>
    <xf numFmtId="0" fontId="11" fillId="0" borderId="8" xfId="0" applyFont="1" applyBorder="1"/>
    <xf numFmtId="44" fontId="11" fillId="0" borderId="8" xfId="0" applyNumberFormat="1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quotePrefix="1"/>
    <xf numFmtId="0" fontId="10" fillId="0" borderId="5" xfId="0" applyFont="1" applyBorder="1" applyAlignment="1">
      <alignment horizontal="center"/>
    </xf>
    <xf numFmtId="0" fontId="10" fillId="0" borderId="5" xfId="0" applyFont="1" applyBorder="1" applyAlignment="1"/>
    <xf numFmtId="0" fontId="10" fillId="0" borderId="5" xfId="0" applyFont="1" applyBorder="1"/>
    <xf numFmtId="44" fontId="10" fillId="0" borderId="5" xfId="0" applyNumberFormat="1" applyFont="1" applyBorder="1"/>
    <xf numFmtId="14" fontId="0" fillId="0" borderId="0" xfId="0" applyNumberFormat="1" applyFont="1" applyFill="1" applyBorder="1" applyAlignment="1">
      <alignment horizontal="center" vertical="center"/>
    </xf>
    <xf numFmtId="14" fontId="0" fillId="0" borderId="15" xfId="0" applyNumberFormat="1" applyFont="1" applyFill="1" applyBorder="1" applyAlignment="1">
      <alignment horizontal="center" vertical="center"/>
    </xf>
    <xf numFmtId="0" fontId="13" fillId="0" borderId="0" xfId="0" applyFont="1" applyBorder="1"/>
    <xf numFmtId="9" fontId="13" fillId="0" borderId="0" xfId="2" applyFont="1" applyBorder="1"/>
    <xf numFmtId="44" fontId="13" fillId="0" borderId="0" xfId="0" applyNumberFormat="1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NumberFormat="1" applyAlignment="1">
      <alignment horizontal="center" vertical="center"/>
    </xf>
    <xf numFmtId="44" fontId="13" fillId="0" borderId="0" xfId="0" quotePrefix="1" applyNumberFormat="1" applyFont="1" applyBorder="1"/>
    <xf numFmtId="0" fontId="13" fillId="0" borderId="0" xfId="0" applyFont="1" applyFill="1" applyBorder="1"/>
    <xf numFmtId="44" fontId="8" fillId="0" borderId="4" xfId="0" applyNumberFormat="1" applyFont="1" applyBorder="1" applyAlignment="1">
      <alignment horizontal="center"/>
    </xf>
    <xf numFmtId="44" fontId="8" fillId="0" borderId="5" xfId="0" applyNumberFormat="1" applyFont="1" applyBorder="1" applyAlignment="1">
      <alignment horizontal="center"/>
    </xf>
    <xf numFmtId="44" fontId="8" fillId="0" borderId="6" xfId="0" applyNumberFormat="1" applyFont="1" applyBorder="1" applyAlignment="1">
      <alignment horizont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14" fillId="0" borderId="24" xfId="0" applyFont="1" applyBorder="1"/>
    <xf numFmtId="0" fontId="14" fillId="0" borderId="3" xfId="0" applyFont="1" applyBorder="1"/>
    <xf numFmtId="0" fontId="14" fillId="0" borderId="25" xfId="0" applyFont="1" applyBorder="1"/>
    <xf numFmtId="0" fontId="14" fillId="0" borderId="2" xfId="0" applyFont="1" applyBorder="1"/>
    <xf numFmtId="0" fontId="14" fillId="0" borderId="26" xfId="0" applyFont="1" applyBorder="1"/>
    <xf numFmtId="0" fontId="0" fillId="0" borderId="27" xfId="0" applyBorder="1"/>
    <xf numFmtId="0" fontId="0" fillId="0" borderId="3" xfId="0" applyBorder="1"/>
    <xf numFmtId="0" fontId="0" fillId="0" borderId="28" xfId="0" applyBorder="1"/>
    <xf numFmtId="0" fontId="0" fillId="0" borderId="2" xfId="0" applyBorder="1"/>
    <xf numFmtId="0" fontId="2" fillId="0" borderId="24" xfId="0" applyFont="1" applyBorder="1"/>
    <xf numFmtId="0" fontId="2" fillId="0" borderId="3" xfId="0" applyFont="1" applyBorder="1"/>
    <xf numFmtId="0" fontId="2" fillId="0" borderId="2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8" xfId="0" applyFont="1" applyBorder="1"/>
    <xf numFmtId="0" fontId="2" fillId="0" borderId="27" xfId="0" applyFont="1" applyBorder="1"/>
    <xf numFmtId="44" fontId="2" fillId="0" borderId="24" xfId="0" applyNumberFormat="1" applyFont="1" applyBorder="1"/>
    <xf numFmtId="44" fontId="0" fillId="0" borderId="3" xfId="0" applyNumberFormat="1" applyBorder="1"/>
    <xf numFmtId="44" fontId="2" fillId="0" borderId="2" xfId="0" applyNumberFormat="1" applyFont="1" applyBorder="1"/>
    <xf numFmtId="44" fontId="2" fillId="0" borderId="25" xfId="0" applyNumberFormat="1" applyFont="1" applyBorder="1"/>
    <xf numFmtId="44" fontId="2" fillId="0" borderId="26" xfId="0" applyNumberFormat="1" applyFont="1" applyBorder="1"/>
    <xf numFmtId="44" fontId="0" fillId="0" borderId="2" xfId="0" applyNumberFormat="1" applyBorder="1"/>
    <xf numFmtId="44" fontId="2" fillId="0" borderId="28" xfId="0" applyNumberFormat="1" applyFont="1" applyBorder="1"/>
    <xf numFmtId="44" fontId="0" fillId="0" borderId="27" xfId="0" applyNumberFormat="1" applyBorder="1"/>
    <xf numFmtId="0" fontId="2" fillId="0" borderId="29" xfId="0" applyFont="1" applyBorder="1"/>
    <xf numFmtId="0" fontId="0" fillId="0" borderId="29" xfId="0" applyBorder="1"/>
    <xf numFmtId="0" fontId="4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7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ill="1"/>
    <xf numFmtId="44" fontId="2" fillId="0" borderId="3" xfId="0" applyNumberFormat="1" applyFont="1" applyBorder="1"/>
    <xf numFmtId="44" fontId="2" fillId="0" borderId="29" xfId="0" applyNumberFormat="1" applyFont="1" applyBorder="1"/>
  </cellXfs>
  <cellStyles count="4">
    <cellStyle name="Moeda" xfId="1" builtinId="4"/>
    <cellStyle name="Moeda 2" xfId="3" xr:uid="{E396B2B4-A383-4B4F-AB4E-11C2CA4AE5AA}"/>
    <cellStyle name="Normal" xfId="0" builtinId="0"/>
    <cellStyle name="Porcentagem" xfId="2" builtinId="5"/>
  </cellStyles>
  <dxfs count="104">
    <dxf>
      <font>
        <color theme="9" tint="-0.24994659260841701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>
          <bgColor rgb="FFFBA7A7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 style="thin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 outline="0">
        <left/>
        <right/>
        <top/>
        <bottom style="thin">
          <color auto="1"/>
        </bottom>
      </border>
    </dxf>
    <dxf>
      <numFmt numFmtId="34" formatCode="_-&quot;R$&quot;\ * #,##0.00_-;\-&quot;R$&quot;\ * #,##0.00_-;_-&quot;R$&quot;\ * &quot;-&quot;??_-;_-@_-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double">
          <color auto="1"/>
        </bottom>
      </border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165" formatCode="&quot;R$&quot;\ #,##0.00"/>
    </dxf>
    <dxf>
      <numFmt numFmtId="165" formatCode="&quot;R$&quot;\ #,##0.00"/>
    </dxf>
  </dxfs>
  <tableStyles count="0" defaultTableStyle="TableStyleMedium2" defaultPivotStyle="PivotStyleLight16"/>
  <colors>
    <mruColors>
      <color rgb="FFFB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Vendas!$C$6:$C$11</c:f>
              <c:strCache>
                <c:ptCount val="6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  <c:pt idx="5">
                  <c:v>N° de vendas</c:v>
                </c:pt>
              </c:strCache>
            </c:strRef>
          </c:cat>
          <c:val>
            <c:numRef>
              <c:f>Vendas!$D$6:$D$11</c:f>
              <c:numCache>
                <c:formatCode>_("R$"* #,##0.00_);_("R$"* \(#,##0.00\);_("R$"* "-"??_);_(@_)</c:formatCode>
                <c:ptCount val="6"/>
                <c:pt idx="0">
                  <c:v>644.41199999999992</c:v>
                </c:pt>
                <c:pt idx="1">
                  <c:v>62.9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General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1C-458D-B8CC-EF2BAAA7C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5163856"/>
        <c:axId val="705164184"/>
      </c:barChart>
      <c:catAx>
        <c:axId val="70516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64184"/>
        <c:crosses val="autoZero"/>
        <c:auto val="1"/>
        <c:lblAlgn val="ctr"/>
        <c:lblOffset val="100"/>
        <c:noMultiLvlLbl val="0"/>
      </c:catAx>
      <c:valAx>
        <c:axId val="70516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6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170-4443-9AE2-D57D27B940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1"/>
              <c:layout>
                <c:manualLayout>
                  <c:x val="2.6195133627164051E-3"/>
                  <c:y val="-6.598002756251790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70-4443-9AE2-D57D27B940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Vendas!$C$40:$C$44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Oeste</c:v>
                </c:pt>
                <c:pt idx="3">
                  <c:v>Zona Sul</c:v>
                </c:pt>
                <c:pt idx="4">
                  <c:v>Zona Norte</c:v>
                </c:pt>
              </c:strCache>
            </c:strRef>
          </c:cat>
          <c:val>
            <c:numRef>
              <c:f>Vendas!$D$40:$D$44</c:f>
              <c:numCache>
                <c:formatCode>General</c:formatCode>
                <c:ptCount val="5"/>
                <c:pt idx="0">
                  <c:v>7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0-4443-9AE2-D57D27B940C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Vendas!$C$32:$C$34</c:f>
              <c:strCache>
                <c:ptCount val="3"/>
                <c:pt idx="0">
                  <c:v>Receita Total de Entregas (R$)</c:v>
                </c:pt>
                <c:pt idx="1">
                  <c:v>Ticket Médio por Entrega</c:v>
                </c:pt>
                <c:pt idx="2">
                  <c:v>Ticket Médio por Retirada em Loja</c:v>
                </c:pt>
              </c:strCache>
            </c:strRef>
          </c:cat>
          <c:val>
            <c:numRef>
              <c:f>Vendas!$D$32:$D$34</c:f>
              <c:numCache>
                <c:formatCode>_("R$"* #,##0.00_);_("R$"* \(#,##0.00\);_("R$"* "-"??_);_(@_)</c:formatCode>
                <c:ptCount val="3"/>
                <c:pt idx="0">
                  <c:v>48.5</c:v>
                </c:pt>
                <c:pt idx="1">
                  <c:v>54.730285714285721</c:v>
                </c:pt>
                <c:pt idx="2">
                  <c:v>46.314285714285695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A-4BA3-A33D-775F3F307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2707048"/>
        <c:axId val="1022704096"/>
      </c:barChart>
      <c:catAx>
        <c:axId val="1022707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704096"/>
        <c:crosses val="autoZero"/>
        <c:auto val="1"/>
        <c:lblAlgn val="ctr"/>
        <c:lblOffset val="100"/>
        <c:noMultiLvlLbl val="0"/>
      </c:catAx>
      <c:valAx>
        <c:axId val="102270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70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hyperlink" Target="#Compras!A1"/><Relationship Id="rId5" Type="http://schemas.openxmlformats.org/officeDocument/2006/relationships/hyperlink" Target="#Investimentos!A1"/><Relationship Id="rId4" Type="http://schemas.openxmlformats.org/officeDocument/2006/relationships/hyperlink" Target="#Estoqu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Compra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Despesas!A1"/><Relationship Id="rId1" Type="http://schemas.openxmlformats.org/officeDocument/2006/relationships/hyperlink" Target="#Estoque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Compra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3.xml"/><Relationship Id="rId7" Type="http://schemas.openxmlformats.org/officeDocument/2006/relationships/hyperlink" Target="#'Semana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Resultados!A1"/><Relationship Id="rId11" Type="http://schemas.openxmlformats.org/officeDocument/2006/relationships/hyperlink" Target="#'Semana 5'!A1"/><Relationship Id="rId5" Type="http://schemas.openxmlformats.org/officeDocument/2006/relationships/hyperlink" Target="#Compras!A1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emana 3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emana 4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0</xdr:colOff>
      <xdr:row>47</xdr:row>
      <xdr:rowOff>137284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BFEC42B-0519-4D51-A737-79E0DB59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630400" cy="8732644"/>
        </a:xfrm>
        <a:prstGeom prst="rect">
          <a:avLst/>
        </a:prstGeom>
      </xdr:spPr>
    </xdr:pic>
    <xdr:clientData/>
  </xdr:twoCellAnchor>
  <xdr:twoCellAnchor>
    <xdr:from>
      <xdr:col>1</xdr:col>
      <xdr:colOff>518160</xdr:colOff>
      <xdr:row>10</xdr:row>
      <xdr:rowOff>53340</xdr:rowOff>
    </xdr:from>
    <xdr:to>
      <xdr:col>4</xdr:col>
      <xdr:colOff>167640</xdr:colOff>
      <xdr:row>12</xdr:row>
      <xdr:rowOff>121920</xdr:rowOff>
    </xdr:to>
    <xdr:sp macro="" textlink="">
      <xdr:nvSpPr>
        <xdr:cNvPr id="9" name="Retângulo: Cantos Arredond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C7AB2E6-4F4B-42A5-8460-EBB117C2800A}"/>
            </a:ext>
          </a:extLst>
        </xdr:cNvPr>
        <xdr:cNvSpPr/>
      </xdr:nvSpPr>
      <xdr:spPr>
        <a:xfrm>
          <a:off x="1127760" y="1882140"/>
          <a:ext cx="1478280" cy="4343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Despesas</a:t>
          </a:r>
        </a:p>
      </xdr:txBody>
    </xdr:sp>
    <xdr:clientData/>
  </xdr:twoCellAnchor>
  <xdr:twoCellAnchor>
    <xdr:from>
      <xdr:col>12</xdr:col>
      <xdr:colOff>175260</xdr:colOff>
      <xdr:row>10</xdr:row>
      <xdr:rowOff>60960</xdr:rowOff>
    </xdr:from>
    <xdr:to>
      <xdr:col>14</xdr:col>
      <xdr:colOff>434340</xdr:colOff>
      <xdr:row>12</xdr:row>
      <xdr:rowOff>129540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8CFA8FF-4D37-4BFC-9B93-3165B4FA51E1}"/>
            </a:ext>
          </a:extLst>
        </xdr:cNvPr>
        <xdr:cNvSpPr/>
      </xdr:nvSpPr>
      <xdr:spPr>
        <a:xfrm>
          <a:off x="7490460" y="1889760"/>
          <a:ext cx="1478280" cy="4343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Resultados</a:t>
          </a:r>
        </a:p>
      </xdr:txBody>
    </xdr:sp>
    <xdr:clientData/>
  </xdr:twoCellAnchor>
  <xdr:twoCellAnchor>
    <xdr:from>
      <xdr:col>9</xdr:col>
      <xdr:colOff>411480</xdr:colOff>
      <xdr:row>10</xdr:row>
      <xdr:rowOff>60960</xdr:rowOff>
    </xdr:from>
    <xdr:to>
      <xdr:col>12</xdr:col>
      <xdr:colOff>60960</xdr:colOff>
      <xdr:row>12</xdr:row>
      <xdr:rowOff>129540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5B88CE-9CF9-4EC5-AC0E-B9B91BDF260E}"/>
            </a:ext>
          </a:extLst>
        </xdr:cNvPr>
        <xdr:cNvSpPr/>
      </xdr:nvSpPr>
      <xdr:spPr>
        <a:xfrm>
          <a:off x="5897880" y="1889760"/>
          <a:ext cx="1478280" cy="4343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Estoque</a:t>
          </a:r>
        </a:p>
      </xdr:txBody>
    </xdr:sp>
    <xdr:clientData/>
  </xdr:twoCellAnchor>
  <xdr:twoCellAnchor>
    <xdr:from>
      <xdr:col>7</xdr:col>
      <xdr:colOff>38100</xdr:colOff>
      <xdr:row>10</xdr:row>
      <xdr:rowOff>68580</xdr:rowOff>
    </xdr:from>
    <xdr:to>
      <xdr:col>9</xdr:col>
      <xdr:colOff>297180</xdr:colOff>
      <xdr:row>12</xdr:row>
      <xdr:rowOff>137160</xdr:rowOff>
    </xdr:to>
    <xdr:sp macro="" textlink="">
      <xdr:nvSpPr>
        <xdr:cNvPr id="12" name="Retângulo: Cantos Arredondado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9B94FA7-EE1A-4452-AC37-5CC8CFB1C60C}"/>
            </a:ext>
          </a:extLst>
        </xdr:cNvPr>
        <xdr:cNvSpPr/>
      </xdr:nvSpPr>
      <xdr:spPr>
        <a:xfrm>
          <a:off x="4305300" y="1897380"/>
          <a:ext cx="1478280" cy="4343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Investimentos</a:t>
          </a:r>
        </a:p>
      </xdr:txBody>
    </xdr:sp>
    <xdr:clientData/>
  </xdr:twoCellAnchor>
  <xdr:twoCellAnchor>
    <xdr:from>
      <xdr:col>4</xdr:col>
      <xdr:colOff>281940</xdr:colOff>
      <xdr:row>10</xdr:row>
      <xdr:rowOff>53340</xdr:rowOff>
    </xdr:from>
    <xdr:to>
      <xdr:col>6</xdr:col>
      <xdr:colOff>541020</xdr:colOff>
      <xdr:row>12</xdr:row>
      <xdr:rowOff>121920</xdr:rowOff>
    </xdr:to>
    <xdr:sp macro="" textlink="">
      <xdr:nvSpPr>
        <xdr:cNvPr id="13" name="Retângulo: Cantos Arredondado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3EE9D09-0C03-444C-A2A4-9644BEF89080}"/>
            </a:ext>
          </a:extLst>
        </xdr:cNvPr>
        <xdr:cNvSpPr/>
      </xdr:nvSpPr>
      <xdr:spPr>
        <a:xfrm>
          <a:off x="2720340" y="1882140"/>
          <a:ext cx="1478280" cy="4343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Compras</a:t>
          </a:r>
        </a:p>
      </xdr:txBody>
    </xdr:sp>
    <xdr:clientData/>
  </xdr:twoCellAnchor>
  <xdr:twoCellAnchor>
    <xdr:from>
      <xdr:col>14</xdr:col>
      <xdr:colOff>548640</xdr:colOff>
      <xdr:row>10</xdr:row>
      <xdr:rowOff>53340</xdr:rowOff>
    </xdr:from>
    <xdr:to>
      <xdr:col>17</xdr:col>
      <xdr:colOff>198120</xdr:colOff>
      <xdr:row>12</xdr:row>
      <xdr:rowOff>121920</xdr:rowOff>
    </xdr:to>
    <xdr:sp macro="" textlink="">
      <xdr:nvSpPr>
        <xdr:cNvPr id="14" name="Retângulo: Cantos Arredondados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26F1873-7A6A-438A-93BD-BB74949D1C46}"/>
            </a:ext>
          </a:extLst>
        </xdr:cNvPr>
        <xdr:cNvSpPr/>
      </xdr:nvSpPr>
      <xdr:spPr>
        <a:xfrm>
          <a:off x="9083040" y="1882140"/>
          <a:ext cx="1478280" cy="4343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</xdr:row>
      <xdr:rowOff>22860</xdr:rowOff>
    </xdr:from>
    <xdr:to>
      <xdr:col>4</xdr:col>
      <xdr:colOff>1188720</xdr:colOff>
      <xdr:row>1</xdr:row>
      <xdr:rowOff>251460</xdr:rowOff>
    </xdr:to>
    <xdr:sp macro="" textlink="">
      <xdr:nvSpPr>
        <xdr:cNvPr id="9" name="Retângulo: Cantos Arredondado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81F95F-85A3-40AC-B27F-C028F0F41EB8}"/>
            </a:ext>
          </a:extLst>
        </xdr:cNvPr>
        <xdr:cNvSpPr/>
      </xdr:nvSpPr>
      <xdr:spPr>
        <a:xfrm>
          <a:off x="6850380" y="20574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Menu</a:t>
          </a:r>
        </a:p>
      </xdr:txBody>
    </xdr:sp>
    <xdr:clientData/>
  </xdr:twoCellAnchor>
  <xdr:twoCellAnchor>
    <xdr:from>
      <xdr:col>4</xdr:col>
      <xdr:colOff>1363980</xdr:colOff>
      <xdr:row>1</xdr:row>
      <xdr:rowOff>22860</xdr:rowOff>
    </xdr:from>
    <xdr:to>
      <xdr:col>5</xdr:col>
      <xdr:colOff>716280</xdr:colOff>
      <xdr:row>1</xdr:row>
      <xdr:rowOff>251460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6340038-CB80-43A2-BAA9-92BF86649835}"/>
            </a:ext>
          </a:extLst>
        </xdr:cNvPr>
        <xdr:cNvSpPr/>
      </xdr:nvSpPr>
      <xdr:spPr>
        <a:xfrm>
          <a:off x="8023860" y="20574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Compras</a:t>
          </a:r>
        </a:p>
      </xdr:txBody>
    </xdr:sp>
    <xdr:clientData/>
  </xdr:twoCellAnchor>
  <xdr:twoCellAnchor>
    <xdr:from>
      <xdr:col>5</xdr:col>
      <xdr:colOff>899160</xdr:colOff>
      <xdr:row>1</xdr:row>
      <xdr:rowOff>22860</xdr:rowOff>
    </xdr:from>
    <xdr:to>
      <xdr:col>6</xdr:col>
      <xdr:colOff>624840</xdr:colOff>
      <xdr:row>1</xdr:row>
      <xdr:rowOff>259080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98209B-CD2F-40BC-B50F-C1E3EC28E9EA}"/>
            </a:ext>
          </a:extLst>
        </xdr:cNvPr>
        <xdr:cNvSpPr/>
      </xdr:nvSpPr>
      <xdr:spPr>
        <a:xfrm>
          <a:off x="9204960" y="205740"/>
          <a:ext cx="1074420" cy="23622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518160</xdr:colOff>
      <xdr:row>1</xdr:row>
      <xdr:rowOff>22860</xdr:rowOff>
    </xdr:from>
    <xdr:to>
      <xdr:col>9</xdr:col>
      <xdr:colOff>541020</xdr:colOff>
      <xdr:row>1</xdr:row>
      <xdr:rowOff>251460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C036D3-75A6-49F9-B365-8DCD7C36D71D}"/>
            </a:ext>
          </a:extLst>
        </xdr:cNvPr>
        <xdr:cNvSpPr/>
      </xdr:nvSpPr>
      <xdr:spPr>
        <a:xfrm>
          <a:off x="9052560" y="20574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Estoque</a:t>
          </a:r>
        </a:p>
      </xdr:txBody>
    </xdr:sp>
    <xdr:clientData/>
  </xdr:twoCellAnchor>
  <xdr:twoCellAnchor>
    <xdr:from>
      <xdr:col>7</xdr:col>
      <xdr:colOff>137160</xdr:colOff>
      <xdr:row>1</xdr:row>
      <xdr:rowOff>22860</xdr:rowOff>
    </xdr:from>
    <xdr:to>
      <xdr:col>8</xdr:col>
      <xdr:colOff>350520</xdr:colOff>
      <xdr:row>1</xdr:row>
      <xdr:rowOff>251460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8D28089-F8E8-4918-8C39-9773F5AA92A8}"/>
            </a:ext>
          </a:extLst>
        </xdr:cNvPr>
        <xdr:cNvSpPr/>
      </xdr:nvSpPr>
      <xdr:spPr>
        <a:xfrm>
          <a:off x="7886700" y="20574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Despesas</a:t>
          </a:r>
        </a:p>
      </xdr:txBody>
    </xdr:sp>
    <xdr:clientData/>
  </xdr:twoCellAnchor>
  <xdr:twoCellAnchor>
    <xdr:from>
      <xdr:col>6</xdr:col>
      <xdr:colOff>91440</xdr:colOff>
      <xdr:row>1</xdr:row>
      <xdr:rowOff>22860</xdr:rowOff>
    </xdr:from>
    <xdr:to>
      <xdr:col>6</xdr:col>
      <xdr:colOff>1089660</xdr:colOff>
      <xdr:row>1</xdr:row>
      <xdr:rowOff>251460</xdr:rowOff>
    </xdr:to>
    <xdr:sp macro="" textlink="">
      <xdr:nvSpPr>
        <xdr:cNvPr id="13" name="Retângulo: Cantos Arredond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0AF688-6ABB-4BFF-B0E1-3978DDC17A79}"/>
            </a:ext>
          </a:extLst>
        </xdr:cNvPr>
        <xdr:cNvSpPr/>
      </xdr:nvSpPr>
      <xdr:spPr>
        <a:xfrm>
          <a:off x="6713220" y="20574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Menu</a:t>
          </a:r>
        </a:p>
      </xdr:txBody>
    </xdr:sp>
    <xdr:clientData/>
  </xdr:twoCellAnchor>
  <xdr:twoCellAnchor>
    <xdr:from>
      <xdr:col>1</xdr:col>
      <xdr:colOff>7620</xdr:colOff>
      <xdr:row>2</xdr:row>
      <xdr:rowOff>274320</xdr:rowOff>
    </xdr:from>
    <xdr:to>
      <xdr:col>1</xdr:col>
      <xdr:colOff>1455420</xdr:colOff>
      <xdr:row>3</xdr:row>
      <xdr:rowOff>38100</xdr:rowOff>
    </xdr:to>
    <xdr:sp macro="[0]!inserir_compra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A1643BE-66EA-4EDE-8FCD-9BC825CDC4E5}"/>
            </a:ext>
          </a:extLst>
        </xdr:cNvPr>
        <xdr:cNvSpPr/>
      </xdr:nvSpPr>
      <xdr:spPr>
        <a:xfrm>
          <a:off x="617220" y="723900"/>
          <a:ext cx="1447800" cy="35052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Inserir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3604260</xdr:colOff>
      <xdr:row>1</xdr:row>
      <xdr:rowOff>22860</xdr:rowOff>
    </xdr:from>
    <xdr:to>
      <xdr:col>4</xdr:col>
      <xdr:colOff>967740</xdr:colOff>
      <xdr:row>1</xdr:row>
      <xdr:rowOff>251460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BA86A-51BA-407E-BCAD-E192D3C4E843}"/>
            </a:ext>
          </a:extLst>
        </xdr:cNvPr>
        <xdr:cNvSpPr/>
      </xdr:nvSpPr>
      <xdr:spPr>
        <a:xfrm>
          <a:off x="6804660" y="20574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Menu</a:t>
          </a:r>
        </a:p>
      </xdr:txBody>
    </xdr:sp>
    <xdr:clientData/>
  </xdr:twoCellAnchor>
  <xdr:twoCellAnchor>
    <xdr:from>
      <xdr:col>5</xdr:col>
      <xdr:colOff>99060</xdr:colOff>
      <xdr:row>1</xdr:row>
      <xdr:rowOff>22860</xdr:rowOff>
    </xdr:from>
    <xdr:to>
      <xdr:col>6</xdr:col>
      <xdr:colOff>563880</xdr:colOff>
      <xdr:row>1</xdr:row>
      <xdr:rowOff>259080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E648414-0FFA-4282-ADF4-FDB960CE36B0}"/>
            </a:ext>
          </a:extLst>
        </xdr:cNvPr>
        <xdr:cNvSpPr/>
      </xdr:nvSpPr>
      <xdr:spPr>
        <a:xfrm>
          <a:off x="7985760" y="205740"/>
          <a:ext cx="1074420" cy="23622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15240</xdr:rowOff>
    </xdr:from>
    <xdr:to>
      <xdr:col>5</xdr:col>
      <xdr:colOff>998220</xdr:colOff>
      <xdr:row>1</xdr:row>
      <xdr:rowOff>243840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85E9CE-71EF-4BBC-9465-870DDA913EA5}"/>
            </a:ext>
          </a:extLst>
        </xdr:cNvPr>
        <xdr:cNvSpPr/>
      </xdr:nvSpPr>
      <xdr:spPr>
        <a:xfrm>
          <a:off x="6355080" y="19812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Menu</a:t>
          </a:r>
        </a:p>
      </xdr:txBody>
    </xdr:sp>
    <xdr:clientData/>
  </xdr:twoCellAnchor>
  <xdr:twoCellAnchor>
    <xdr:from>
      <xdr:col>5</xdr:col>
      <xdr:colOff>1173480</xdr:colOff>
      <xdr:row>1</xdr:row>
      <xdr:rowOff>15240</xdr:rowOff>
    </xdr:from>
    <xdr:to>
      <xdr:col>6</xdr:col>
      <xdr:colOff>579120</xdr:colOff>
      <xdr:row>1</xdr:row>
      <xdr:rowOff>243840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4A1B5F-4250-434E-AF45-149A0D7FF900}"/>
            </a:ext>
          </a:extLst>
        </xdr:cNvPr>
        <xdr:cNvSpPr/>
      </xdr:nvSpPr>
      <xdr:spPr>
        <a:xfrm>
          <a:off x="7528560" y="19812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Compras</a:t>
          </a:r>
        </a:p>
      </xdr:txBody>
    </xdr:sp>
    <xdr:clientData/>
  </xdr:twoCellAnchor>
  <xdr:twoCellAnchor>
    <xdr:from>
      <xdr:col>6</xdr:col>
      <xdr:colOff>762000</xdr:colOff>
      <xdr:row>1</xdr:row>
      <xdr:rowOff>15240</xdr:rowOff>
    </xdr:from>
    <xdr:to>
      <xdr:col>7</xdr:col>
      <xdr:colOff>205740</xdr:colOff>
      <xdr:row>1</xdr:row>
      <xdr:rowOff>251460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5BABEB-A173-4EF9-B64D-D535B9A7207B}"/>
            </a:ext>
          </a:extLst>
        </xdr:cNvPr>
        <xdr:cNvSpPr/>
      </xdr:nvSpPr>
      <xdr:spPr>
        <a:xfrm>
          <a:off x="8709660" y="198120"/>
          <a:ext cx="1074420" cy="23622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15240</xdr:rowOff>
    </xdr:from>
    <xdr:to>
      <xdr:col>3</xdr:col>
      <xdr:colOff>998220</xdr:colOff>
      <xdr:row>1</xdr:row>
      <xdr:rowOff>243840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4D602B-8D4C-4C8F-862D-482F4706BA78}"/>
            </a:ext>
          </a:extLst>
        </xdr:cNvPr>
        <xdr:cNvSpPr/>
      </xdr:nvSpPr>
      <xdr:spPr>
        <a:xfrm>
          <a:off x="5273040" y="19812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Menu</a:t>
          </a:r>
        </a:p>
      </xdr:txBody>
    </xdr:sp>
    <xdr:clientData/>
  </xdr:twoCellAnchor>
  <xdr:twoCellAnchor>
    <xdr:from>
      <xdr:col>3</xdr:col>
      <xdr:colOff>1173480</xdr:colOff>
      <xdr:row>1</xdr:row>
      <xdr:rowOff>15240</xdr:rowOff>
    </xdr:from>
    <xdr:to>
      <xdr:col>3</xdr:col>
      <xdr:colOff>2171700</xdr:colOff>
      <xdr:row>1</xdr:row>
      <xdr:rowOff>243840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832EAD0-4898-4F34-B55F-C9A2DBCA1626}"/>
            </a:ext>
          </a:extLst>
        </xdr:cNvPr>
        <xdr:cNvSpPr/>
      </xdr:nvSpPr>
      <xdr:spPr>
        <a:xfrm>
          <a:off x="6446520" y="19812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Despesas</a:t>
          </a:r>
        </a:p>
      </xdr:txBody>
    </xdr:sp>
    <xdr:clientData/>
  </xdr:twoCellAnchor>
  <xdr:twoCellAnchor>
    <xdr:from>
      <xdr:col>4</xdr:col>
      <xdr:colOff>121920</xdr:colOff>
      <xdr:row>1</xdr:row>
      <xdr:rowOff>15240</xdr:rowOff>
    </xdr:from>
    <xdr:to>
      <xdr:col>4</xdr:col>
      <xdr:colOff>1196340</xdr:colOff>
      <xdr:row>1</xdr:row>
      <xdr:rowOff>251460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926CA7-4859-48A3-A83C-942CA0207540}"/>
            </a:ext>
          </a:extLst>
        </xdr:cNvPr>
        <xdr:cNvSpPr/>
      </xdr:nvSpPr>
      <xdr:spPr>
        <a:xfrm>
          <a:off x="7627620" y="198120"/>
          <a:ext cx="1074420" cy="23622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Vendas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91440</xdr:rowOff>
    </xdr:from>
    <xdr:to>
      <xdr:col>16</xdr:col>
      <xdr:colOff>518160</xdr:colOff>
      <xdr:row>24</xdr:row>
      <xdr:rowOff>148590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7CE7BB-93B8-4EDA-AD49-89810531E4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37</xdr:row>
      <xdr:rowOff>160020</xdr:rowOff>
    </xdr:from>
    <xdr:to>
      <xdr:col>12</xdr:col>
      <xdr:colOff>53340</xdr:colOff>
      <xdr:row>48</xdr:row>
      <xdr:rowOff>160020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547A756-7029-4146-8B62-AC0A8F926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259080</xdr:colOff>
      <xdr:row>28</xdr:row>
      <xdr:rowOff>106680</xdr:rowOff>
    </xdr:from>
    <xdr:to>
      <xdr:col>16</xdr:col>
      <xdr:colOff>15240</xdr:colOff>
      <xdr:row>34</xdr:row>
      <xdr:rowOff>407670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8102395-E8D8-4731-B732-557D1FA694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</xdr:row>
      <xdr:rowOff>15240</xdr:rowOff>
    </xdr:from>
    <xdr:to>
      <xdr:col>9</xdr:col>
      <xdr:colOff>388620</xdr:colOff>
      <xdr:row>1</xdr:row>
      <xdr:rowOff>243840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664B9E-AD2C-4D63-AC5C-BE552BC87AF0}"/>
            </a:ext>
          </a:extLst>
        </xdr:cNvPr>
        <xdr:cNvSpPr/>
      </xdr:nvSpPr>
      <xdr:spPr>
        <a:xfrm>
          <a:off x="6393180" y="19812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Menu</a:t>
          </a:r>
        </a:p>
      </xdr:txBody>
    </xdr:sp>
    <xdr:clientData/>
  </xdr:twoCellAnchor>
  <xdr:twoCellAnchor>
    <xdr:from>
      <xdr:col>9</xdr:col>
      <xdr:colOff>563880</xdr:colOff>
      <xdr:row>1</xdr:row>
      <xdr:rowOff>15240</xdr:rowOff>
    </xdr:from>
    <xdr:to>
      <xdr:col>11</xdr:col>
      <xdr:colOff>342900</xdr:colOff>
      <xdr:row>1</xdr:row>
      <xdr:rowOff>243840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2503F4B-0B0E-412A-93E3-0B9B32FE0729}"/>
            </a:ext>
          </a:extLst>
        </xdr:cNvPr>
        <xdr:cNvSpPr/>
      </xdr:nvSpPr>
      <xdr:spPr>
        <a:xfrm>
          <a:off x="7566660" y="198120"/>
          <a:ext cx="998220" cy="22860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Compras</a:t>
          </a:r>
        </a:p>
      </xdr:txBody>
    </xdr:sp>
    <xdr:clientData/>
  </xdr:twoCellAnchor>
  <xdr:twoCellAnchor>
    <xdr:from>
      <xdr:col>11</xdr:col>
      <xdr:colOff>525780</xdr:colOff>
      <xdr:row>1</xdr:row>
      <xdr:rowOff>15240</xdr:rowOff>
    </xdr:from>
    <xdr:to>
      <xdr:col>14</xdr:col>
      <xdr:colOff>213360</xdr:colOff>
      <xdr:row>1</xdr:row>
      <xdr:rowOff>251460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074AD8B-A7C8-4605-96C9-725E3ED94FF9}"/>
            </a:ext>
          </a:extLst>
        </xdr:cNvPr>
        <xdr:cNvSpPr/>
      </xdr:nvSpPr>
      <xdr:spPr>
        <a:xfrm>
          <a:off x="8747760" y="198120"/>
          <a:ext cx="1074420" cy="23622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Resultados</a:t>
          </a:r>
        </a:p>
      </xdr:txBody>
    </xdr:sp>
    <xdr:clientData/>
  </xdr:twoCellAnchor>
  <xdr:twoCellAnchor>
    <xdr:from>
      <xdr:col>6</xdr:col>
      <xdr:colOff>518160</xdr:colOff>
      <xdr:row>3</xdr:row>
      <xdr:rowOff>0</xdr:rowOff>
    </xdr:from>
    <xdr:to>
      <xdr:col>8</xdr:col>
      <xdr:colOff>297180</xdr:colOff>
      <xdr:row>3</xdr:row>
      <xdr:rowOff>228600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234B72-6955-4BF9-9084-17EC7EB298EE}"/>
            </a:ext>
          </a:extLst>
        </xdr:cNvPr>
        <xdr:cNvSpPr/>
      </xdr:nvSpPr>
      <xdr:spPr>
        <a:xfrm>
          <a:off x="5692140" y="71628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1</a:t>
          </a:r>
        </a:p>
      </xdr:txBody>
    </xdr:sp>
    <xdr:clientData/>
  </xdr:twoCellAnchor>
  <xdr:twoCellAnchor>
    <xdr:from>
      <xdr:col>8</xdr:col>
      <xdr:colOff>434340</xdr:colOff>
      <xdr:row>3</xdr:row>
      <xdr:rowOff>7620</xdr:rowOff>
    </xdr:from>
    <xdr:to>
      <xdr:col>10</xdr:col>
      <xdr:colOff>213360</xdr:colOff>
      <xdr:row>3</xdr:row>
      <xdr:rowOff>236220</xdr:rowOff>
    </xdr:to>
    <xdr:sp macro="" textlink="">
      <xdr:nvSpPr>
        <xdr:cNvPr id="13" name="Retângulo: Cantos Arredondados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3419500-15FC-48CC-8A4F-4BCD65A05045}"/>
            </a:ext>
          </a:extLst>
        </xdr:cNvPr>
        <xdr:cNvSpPr/>
      </xdr:nvSpPr>
      <xdr:spPr>
        <a:xfrm>
          <a:off x="6827520" y="72390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2</a:t>
          </a:r>
        </a:p>
      </xdr:txBody>
    </xdr:sp>
    <xdr:clientData/>
  </xdr:twoCellAnchor>
  <xdr:twoCellAnchor>
    <xdr:from>
      <xdr:col>10</xdr:col>
      <xdr:colOff>365760</xdr:colOff>
      <xdr:row>3</xdr:row>
      <xdr:rowOff>0</xdr:rowOff>
    </xdr:from>
    <xdr:to>
      <xdr:col>12</xdr:col>
      <xdr:colOff>144780</xdr:colOff>
      <xdr:row>3</xdr:row>
      <xdr:rowOff>228600</xdr:rowOff>
    </xdr:to>
    <xdr:sp macro="" textlink="">
      <xdr:nvSpPr>
        <xdr:cNvPr id="14" name="Retângulo: Cantos Arredondados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175CA81-F5F8-4BBE-A070-ACEC7EF87CFB}"/>
            </a:ext>
          </a:extLst>
        </xdr:cNvPr>
        <xdr:cNvSpPr/>
      </xdr:nvSpPr>
      <xdr:spPr>
        <a:xfrm>
          <a:off x="7978140" y="71628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3</a:t>
          </a:r>
        </a:p>
      </xdr:txBody>
    </xdr:sp>
    <xdr:clientData/>
  </xdr:twoCellAnchor>
  <xdr:twoCellAnchor>
    <xdr:from>
      <xdr:col>12</xdr:col>
      <xdr:colOff>304800</xdr:colOff>
      <xdr:row>3</xdr:row>
      <xdr:rowOff>0</xdr:rowOff>
    </xdr:from>
    <xdr:to>
      <xdr:col>14</xdr:col>
      <xdr:colOff>525780</xdr:colOff>
      <xdr:row>3</xdr:row>
      <xdr:rowOff>228600</xdr:rowOff>
    </xdr:to>
    <xdr:sp macro="" textlink="">
      <xdr:nvSpPr>
        <xdr:cNvPr id="15" name="Retângulo: Cantos Arredondado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CBDD58A-38C2-4AB7-AFD7-78AA8D94E382}"/>
            </a:ext>
          </a:extLst>
        </xdr:cNvPr>
        <xdr:cNvSpPr/>
      </xdr:nvSpPr>
      <xdr:spPr>
        <a:xfrm>
          <a:off x="9136380" y="71628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4</a:t>
          </a:r>
        </a:p>
      </xdr:txBody>
    </xdr:sp>
    <xdr:clientData/>
  </xdr:twoCellAnchor>
  <xdr:twoCellAnchor>
    <xdr:from>
      <xdr:col>15</xdr:col>
      <xdr:colOff>38100</xdr:colOff>
      <xdr:row>3</xdr:row>
      <xdr:rowOff>0</xdr:rowOff>
    </xdr:from>
    <xdr:to>
      <xdr:col>16</xdr:col>
      <xdr:colOff>601980</xdr:colOff>
      <xdr:row>3</xdr:row>
      <xdr:rowOff>228600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59D1896-4C13-4200-BD80-A60412E98677}"/>
            </a:ext>
          </a:extLst>
        </xdr:cNvPr>
        <xdr:cNvSpPr/>
      </xdr:nvSpPr>
      <xdr:spPr>
        <a:xfrm>
          <a:off x="10256520" y="71628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2</xdr:row>
      <xdr:rowOff>83820</xdr:rowOff>
    </xdr:from>
    <xdr:to>
      <xdr:col>2</xdr:col>
      <xdr:colOff>457200</xdr:colOff>
      <xdr:row>3</xdr:row>
      <xdr:rowOff>91440</xdr:rowOff>
    </xdr:to>
    <xdr:sp macro="[0]!inserir_prod_ven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EEDA32F-A05B-4D77-83A2-2752507CF264}"/>
            </a:ext>
          </a:extLst>
        </xdr:cNvPr>
        <xdr:cNvSpPr/>
      </xdr:nvSpPr>
      <xdr:spPr>
        <a:xfrm>
          <a:off x="190500" y="533400"/>
          <a:ext cx="1447800" cy="36576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Inserir Produto</a:t>
          </a:r>
        </a:p>
      </xdr:txBody>
    </xdr:sp>
    <xdr:clientData/>
  </xdr:twoCellAnchor>
  <xdr:twoCellAnchor>
    <xdr:from>
      <xdr:col>2</xdr:col>
      <xdr:colOff>556260</xdr:colOff>
      <xdr:row>2</xdr:row>
      <xdr:rowOff>60960</xdr:rowOff>
    </xdr:from>
    <xdr:to>
      <xdr:col>3</xdr:col>
      <xdr:colOff>243840</xdr:colOff>
      <xdr:row>3</xdr:row>
      <xdr:rowOff>76200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71FC53A-351F-4AA6-95CB-55B45ADC3525}"/>
            </a:ext>
          </a:extLst>
        </xdr:cNvPr>
        <xdr:cNvSpPr/>
      </xdr:nvSpPr>
      <xdr:spPr>
        <a:xfrm>
          <a:off x="1737360" y="510540"/>
          <a:ext cx="1181100" cy="37338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Nova Venda</a:t>
          </a:r>
        </a:p>
      </xdr:txBody>
    </xdr:sp>
    <xdr:clientData/>
  </xdr:twoCellAnchor>
  <xdr:twoCellAnchor>
    <xdr:from>
      <xdr:col>3</xdr:col>
      <xdr:colOff>327660</xdr:colOff>
      <xdr:row>2</xdr:row>
      <xdr:rowOff>68580</xdr:rowOff>
    </xdr:from>
    <xdr:to>
      <xdr:col>4</xdr:col>
      <xdr:colOff>746760</xdr:colOff>
      <xdr:row>3</xdr:row>
      <xdr:rowOff>91440</xdr:rowOff>
    </xdr:to>
    <xdr:sp macro="[0]!excluir_ult_ven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E1C0D-5167-4F8F-AC32-70F1FB2A7E9C}"/>
            </a:ext>
          </a:extLst>
        </xdr:cNvPr>
        <xdr:cNvSpPr/>
      </xdr:nvSpPr>
      <xdr:spPr>
        <a:xfrm>
          <a:off x="3002280" y="518160"/>
          <a:ext cx="1600200" cy="3810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100" b="1"/>
            <a:t>Excluir</a:t>
          </a:r>
          <a:r>
            <a:rPr lang="en-US" sz="1100" b="1" baseline="0"/>
            <a:t> Último Registro</a:t>
          </a:r>
          <a:endParaRPr lang="en-US" sz="1100" b="1"/>
        </a:p>
      </xdr:txBody>
    </xdr:sp>
    <xdr:clientData/>
  </xdr:twoCellAnchor>
  <xdr:twoCellAnchor>
    <xdr:from>
      <xdr:col>2</xdr:col>
      <xdr:colOff>556260</xdr:colOff>
      <xdr:row>2</xdr:row>
      <xdr:rowOff>83820</xdr:rowOff>
    </xdr:from>
    <xdr:to>
      <xdr:col>3</xdr:col>
      <xdr:colOff>243840</xdr:colOff>
      <xdr:row>3</xdr:row>
      <xdr:rowOff>99060</xdr:rowOff>
    </xdr:to>
    <xdr:sp macro="[0]!nova_ven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FDEF861-27D7-4F55-B3FC-79A75FF29942}"/>
            </a:ext>
          </a:extLst>
        </xdr:cNvPr>
        <xdr:cNvSpPr/>
      </xdr:nvSpPr>
      <xdr:spPr>
        <a:xfrm>
          <a:off x="1737360" y="533400"/>
          <a:ext cx="1181100" cy="37338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Nova Venda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</xdr:row>
      <xdr:rowOff>0</xdr:rowOff>
    </xdr:from>
    <xdr:to>
      <xdr:col>18</xdr:col>
      <xdr:colOff>998220</xdr:colOff>
      <xdr:row>2</xdr:row>
      <xdr:rowOff>45720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B703F4-C683-4605-8242-EE09A930365E}"/>
            </a:ext>
          </a:extLst>
        </xdr:cNvPr>
        <xdr:cNvSpPr/>
      </xdr:nvSpPr>
      <xdr:spPr>
        <a:xfrm>
          <a:off x="11597640" y="18288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2</xdr:row>
      <xdr:rowOff>144780</xdr:rowOff>
    </xdr:from>
    <xdr:to>
      <xdr:col>2</xdr:col>
      <xdr:colOff>365760</xdr:colOff>
      <xdr:row>3</xdr:row>
      <xdr:rowOff>38100</xdr:rowOff>
    </xdr:to>
    <xdr:sp macro="[0]!inserir_prod_ven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2C90F5-F01D-40A4-8014-6CE157475B67}"/>
            </a:ext>
          </a:extLst>
        </xdr:cNvPr>
        <xdr:cNvSpPr/>
      </xdr:nvSpPr>
      <xdr:spPr>
        <a:xfrm>
          <a:off x="617220" y="594360"/>
          <a:ext cx="1447800" cy="36576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Inserir Produto</a:t>
          </a:r>
        </a:p>
      </xdr:txBody>
    </xdr:sp>
    <xdr:clientData/>
  </xdr:twoCellAnchor>
  <xdr:twoCellAnchor>
    <xdr:from>
      <xdr:col>2</xdr:col>
      <xdr:colOff>464820</xdr:colOff>
      <xdr:row>2</xdr:row>
      <xdr:rowOff>121920</xdr:rowOff>
    </xdr:from>
    <xdr:to>
      <xdr:col>3</xdr:col>
      <xdr:colOff>228600</xdr:colOff>
      <xdr:row>3</xdr:row>
      <xdr:rowOff>22860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DE1E358-8FBA-42E2-873E-00B846B79217}"/>
            </a:ext>
          </a:extLst>
        </xdr:cNvPr>
        <xdr:cNvSpPr/>
      </xdr:nvSpPr>
      <xdr:spPr>
        <a:xfrm>
          <a:off x="2164080" y="571500"/>
          <a:ext cx="1181100" cy="37338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Nova Venda</a:t>
          </a:r>
        </a:p>
      </xdr:txBody>
    </xdr:sp>
    <xdr:clientData/>
  </xdr:twoCellAnchor>
  <xdr:twoCellAnchor>
    <xdr:from>
      <xdr:col>3</xdr:col>
      <xdr:colOff>312420</xdr:colOff>
      <xdr:row>2</xdr:row>
      <xdr:rowOff>129540</xdr:rowOff>
    </xdr:from>
    <xdr:to>
      <xdr:col>4</xdr:col>
      <xdr:colOff>419100</xdr:colOff>
      <xdr:row>3</xdr:row>
      <xdr:rowOff>38100</xdr:rowOff>
    </xdr:to>
    <xdr:sp macro="[0]!excluir_ult_ven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CA0AA9-D093-482C-B817-79C20534C5D2}"/>
            </a:ext>
          </a:extLst>
        </xdr:cNvPr>
        <xdr:cNvSpPr/>
      </xdr:nvSpPr>
      <xdr:spPr>
        <a:xfrm>
          <a:off x="3429000" y="579120"/>
          <a:ext cx="1600200" cy="3810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100" b="1"/>
            <a:t>Excluir</a:t>
          </a:r>
          <a:r>
            <a:rPr lang="en-US" sz="1100" b="1" baseline="0"/>
            <a:t> Último Registro</a:t>
          </a:r>
          <a:endParaRPr lang="en-US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</xdr:row>
      <xdr:rowOff>0</xdr:rowOff>
    </xdr:from>
    <xdr:to>
      <xdr:col>18</xdr:col>
      <xdr:colOff>998220</xdr:colOff>
      <xdr:row>2</xdr:row>
      <xdr:rowOff>45720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C3EC00-1345-4D77-9292-2578737EED19}"/>
            </a:ext>
          </a:extLst>
        </xdr:cNvPr>
        <xdr:cNvSpPr/>
      </xdr:nvSpPr>
      <xdr:spPr>
        <a:xfrm>
          <a:off x="11490960" y="18288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114300</xdr:rowOff>
    </xdr:from>
    <xdr:to>
      <xdr:col>2</xdr:col>
      <xdr:colOff>838200</xdr:colOff>
      <xdr:row>3</xdr:row>
      <xdr:rowOff>213360</xdr:rowOff>
    </xdr:to>
    <xdr:sp macro="[0]!inserir_prod_ven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6C4C92C-018B-4222-AD60-9A82FA3B9029}"/>
            </a:ext>
          </a:extLst>
        </xdr:cNvPr>
        <xdr:cNvSpPr/>
      </xdr:nvSpPr>
      <xdr:spPr>
        <a:xfrm>
          <a:off x="609600" y="563880"/>
          <a:ext cx="1447800" cy="36576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Inserir Produto</a:t>
          </a:r>
        </a:p>
      </xdr:txBody>
    </xdr:sp>
    <xdr:clientData/>
  </xdr:twoCellAnchor>
  <xdr:twoCellAnchor>
    <xdr:from>
      <xdr:col>2</xdr:col>
      <xdr:colOff>944880</xdr:colOff>
      <xdr:row>2</xdr:row>
      <xdr:rowOff>106680</xdr:rowOff>
    </xdr:from>
    <xdr:to>
      <xdr:col>3</xdr:col>
      <xdr:colOff>1127760</xdr:colOff>
      <xdr:row>3</xdr:row>
      <xdr:rowOff>213360</xdr:rowOff>
    </xdr:to>
    <xdr:sp macro="[0]!nova_ven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93A2B26-8D7D-4800-B5EE-3CB549A3A535}"/>
            </a:ext>
          </a:extLst>
        </xdr:cNvPr>
        <xdr:cNvSpPr/>
      </xdr:nvSpPr>
      <xdr:spPr>
        <a:xfrm>
          <a:off x="2164080" y="556260"/>
          <a:ext cx="1181100" cy="37338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Nova Venda</a:t>
          </a:r>
        </a:p>
      </xdr:txBody>
    </xdr:sp>
    <xdr:clientData/>
  </xdr:twoCellAnchor>
  <xdr:twoCellAnchor>
    <xdr:from>
      <xdr:col>3</xdr:col>
      <xdr:colOff>1211580</xdr:colOff>
      <xdr:row>2</xdr:row>
      <xdr:rowOff>91440</xdr:rowOff>
    </xdr:from>
    <xdr:to>
      <xdr:col>5</xdr:col>
      <xdr:colOff>137160</xdr:colOff>
      <xdr:row>3</xdr:row>
      <xdr:rowOff>205740</xdr:rowOff>
    </xdr:to>
    <xdr:sp macro="[0]!excluir_ult_vend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42C556D-143E-46AA-AC6E-274F77B802E1}"/>
            </a:ext>
          </a:extLst>
        </xdr:cNvPr>
        <xdr:cNvSpPr/>
      </xdr:nvSpPr>
      <xdr:spPr>
        <a:xfrm>
          <a:off x="3429000" y="541020"/>
          <a:ext cx="1600200" cy="3810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100" b="1"/>
            <a:t>Excluir</a:t>
          </a:r>
          <a:r>
            <a:rPr lang="en-US" sz="1100" b="1" baseline="0"/>
            <a:t> Último Registro</a:t>
          </a:r>
          <a:endParaRPr lang="en-US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</xdr:row>
      <xdr:rowOff>0</xdr:rowOff>
    </xdr:from>
    <xdr:to>
      <xdr:col>18</xdr:col>
      <xdr:colOff>998220</xdr:colOff>
      <xdr:row>2</xdr:row>
      <xdr:rowOff>45720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E0DA67-284E-4953-9A15-08E1BEB56D36}"/>
            </a:ext>
          </a:extLst>
        </xdr:cNvPr>
        <xdr:cNvSpPr/>
      </xdr:nvSpPr>
      <xdr:spPr>
        <a:xfrm>
          <a:off x="11490960" y="18288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3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2</xdr:row>
      <xdr:rowOff>137160</xdr:rowOff>
    </xdr:from>
    <xdr:to>
      <xdr:col>2</xdr:col>
      <xdr:colOff>617220</xdr:colOff>
      <xdr:row>3</xdr:row>
      <xdr:rowOff>236220</xdr:rowOff>
    </xdr:to>
    <xdr:sp macro="[0]!inserir_prod_ven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97420DA-728E-4927-9E1D-19893DF33C18}"/>
            </a:ext>
          </a:extLst>
        </xdr:cNvPr>
        <xdr:cNvSpPr/>
      </xdr:nvSpPr>
      <xdr:spPr>
        <a:xfrm>
          <a:off x="601980" y="586740"/>
          <a:ext cx="1447800" cy="36576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Inserir Produto</a:t>
          </a:r>
        </a:p>
      </xdr:txBody>
    </xdr:sp>
    <xdr:clientData/>
  </xdr:twoCellAnchor>
  <xdr:twoCellAnchor>
    <xdr:from>
      <xdr:col>2</xdr:col>
      <xdr:colOff>739140</xdr:colOff>
      <xdr:row>2</xdr:row>
      <xdr:rowOff>129540</xdr:rowOff>
    </xdr:from>
    <xdr:to>
      <xdr:col>3</xdr:col>
      <xdr:colOff>922020</xdr:colOff>
      <xdr:row>3</xdr:row>
      <xdr:rowOff>236220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B441BC5-9776-4880-949D-CA85DF6A11F5}"/>
            </a:ext>
          </a:extLst>
        </xdr:cNvPr>
        <xdr:cNvSpPr/>
      </xdr:nvSpPr>
      <xdr:spPr>
        <a:xfrm>
          <a:off x="2171700" y="579120"/>
          <a:ext cx="1181100" cy="37338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Nova Venda</a:t>
          </a:r>
        </a:p>
      </xdr:txBody>
    </xdr:sp>
    <xdr:clientData/>
  </xdr:twoCellAnchor>
  <xdr:twoCellAnchor>
    <xdr:from>
      <xdr:col>3</xdr:col>
      <xdr:colOff>1028700</xdr:colOff>
      <xdr:row>2</xdr:row>
      <xdr:rowOff>129540</xdr:rowOff>
    </xdr:from>
    <xdr:to>
      <xdr:col>4</xdr:col>
      <xdr:colOff>1135380</xdr:colOff>
      <xdr:row>3</xdr:row>
      <xdr:rowOff>243840</xdr:rowOff>
    </xdr:to>
    <xdr:sp macro="[0]!excluir_ult_ven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CB5C04F-FC02-4EF2-86A7-CDC1B1AE9972}"/>
            </a:ext>
          </a:extLst>
        </xdr:cNvPr>
        <xdr:cNvSpPr/>
      </xdr:nvSpPr>
      <xdr:spPr>
        <a:xfrm>
          <a:off x="3459480" y="579120"/>
          <a:ext cx="1600200" cy="3810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100" b="1"/>
            <a:t>Excluir</a:t>
          </a:r>
          <a:r>
            <a:rPr lang="en-US" sz="1100" b="1" baseline="0"/>
            <a:t> Último Registro</a:t>
          </a:r>
          <a:endParaRPr lang="en-US" sz="11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18</xdr:col>
      <xdr:colOff>312420</xdr:colOff>
      <xdr:row>2</xdr:row>
      <xdr:rowOff>45720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7928BF-6B9F-424C-B587-9BCB8983D55C}"/>
            </a:ext>
          </a:extLst>
        </xdr:cNvPr>
        <xdr:cNvSpPr/>
      </xdr:nvSpPr>
      <xdr:spPr>
        <a:xfrm>
          <a:off x="10805160" y="18288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4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129540</xdr:rowOff>
    </xdr:from>
    <xdr:to>
      <xdr:col>2</xdr:col>
      <xdr:colOff>624840</xdr:colOff>
      <xdr:row>2</xdr:row>
      <xdr:rowOff>495300</xdr:rowOff>
    </xdr:to>
    <xdr:sp macro="[0]!inserir_prod_ven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2DB000E-86B5-4B59-B673-228AE8E379B8}"/>
            </a:ext>
          </a:extLst>
        </xdr:cNvPr>
        <xdr:cNvSpPr/>
      </xdr:nvSpPr>
      <xdr:spPr>
        <a:xfrm>
          <a:off x="609600" y="579120"/>
          <a:ext cx="1447800" cy="36576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Inserir Produto</a:t>
          </a:r>
        </a:p>
      </xdr:txBody>
    </xdr:sp>
    <xdr:clientData/>
  </xdr:twoCellAnchor>
  <xdr:twoCellAnchor>
    <xdr:from>
      <xdr:col>2</xdr:col>
      <xdr:colOff>746760</xdr:colOff>
      <xdr:row>2</xdr:row>
      <xdr:rowOff>121920</xdr:rowOff>
    </xdr:from>
    <xdr:to>
      <xdr:col>3</xdr:col>
      <xdr:colOff>929640</xdr:colOff>
      <xdr:row>2</xdr:row>
      <xdr:rowOff>495300</xdr:rowOff>
    </xdr:to>
    <xdr:sp macro="[0]!nova_ven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3AD2E2A-9E46-4B82-A8A5-35BAE6474057}"/>
            </a:ext>
          </a:extLst>
        </xdr:cNvPr>
        <xdr:cNvSpPr/>
      </xdr:nvSpPr>
      <xdr:spPr>
        <a:xfrm>
          <a:off x="2179320" y="571500"/>
          <a:ext cx="1181100" cy="37338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Nova Venda</a:t>
          </a:r>
        </a:p>
      </xdr:txBody>
    </xdr:sp>
    <xdr:clientData/>
  </xdr:twoCellAnchor>
  <xdr:twoCellAnchor>
    <xdr:from>
      <xdr:col>3</xdr:col>
      <xdr:colOff>1036320</xdr:colOff>
      <xdr:row>2</xdr:row>
      <xdr:rowOff>121920</xdr:rowOff>
    </xdr:from>
    <xdr:to>
      <xdr:col>4</xdr:col>
      <xdr:colOff>1143000</xdr:colOff>
      <xdr:row>2</xdr:row>
      <xdr:rowOff>502920</xdr:rowOff>
    </xdr:to>
    <xdr:sp macro="[0]!excluir_ult_vend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7907A22-029F-458C-9044-122A9BC8FA6C}"/>
            </a:ext>
          </a:extLst>
        </xdr:cNvPr>
        <xdr:cNvSpPr/>
      </xdr:nvSpPr>
      <xdr:spPr>
        <a:xfrm>
          <a:off x="3467100" y="571500"/>
          <a:ext cx="1600200" cy="3810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100" b="1"/>
            <a:t>Excluir</a:t>
          </a:r>
          <a:r>
            <a:rPr lang="en-US" sz="1100" b="1" baseline="0"/>
            <a:t> Último Registro</a:t>
          </a:r>
          <a:endParaRPr lang="en-US" sz="11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0</xdr:rowOff>
    </xdr:from>
    <xdr:to>
      <xdr:col>18</xdr:col>
      <xdr:colOff>312420</xdr:colOff>
      <xdr:row>3</xdr:row>
      <xdr:rowOff>45720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CC7BE1-9E8F-4901-B713-CC3D11A35CF2}"/>
            </a:ext>
          </a:extLst>
        </xdr:cNvPr>
        <xdr:cNvSpPr/>
      </xdr:nvSpPr>
      <xdr:spPr>
        <a:xfrm>
          <a:off x="10805160" y="365760"/>
          <a:ext cx="998220" cy="228600"/>
        </a:xfrm>
        <a:prstGeom prst="round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accent6"/>
              </a:solidFill>
            </a:rPr>
            <a:t>Semana 5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ogo ." refreshedDate="44528.894362384257" createdVersion="7" refreshedVersion="7" minRefreshableVersion="3" recordCount="24" xr:uid="{8B063D78-B891-425B-9080-7E2D2B296704}">
  <cacheSource type="worksheet">
    <worksheetSource name="Tabela5"/>
  </cacheSource>
  <cacheFields count="12">
    <cacheField name="id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  <s v="Amendoim"/>
      </sharedItems>
    </cacheField>
    <cacheField name="Medida" numFmtId="0">
      <sharedItems count="5">
        <s v="Pacote"/>
        <s v="Kg"/>
        <s v="Lata"/>
        <s v="Litro"/>
        <s v="Unidade"/>
      </sharedItems>
    </cacheField>
    <cacheField name="Quantidade" numFmtId="0">
      <sharedItems containsSemiMixedTypes="0" containsString="0" containsNumber="1" minValue="1" maxValue="24" count="11">
        <n v="1"/>
        <n v="10"/>
        <n v="24"/>
        <n v="6"/>
        <n v="4"/>
        <n v="5"/>
        <n v="2"/>
        <n v="1.5"/>
        <n v="20"/>
        <n v="12"/>
        <n v="3"/>
      </sharedItems>
    </cacheField>
    <cacheField name="Val Unitá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159" count="22">
        <n v="0.79"/>
        <n v="159"/>
        <n v="52.56"/>
        <n v="2.19"/>
        <n v="21.9"/>
        <n v="25.68"/>
        <n v="9.56"/>
        <n v="14.450000000000001"/>
        <n v="19.16"/>
        <n v="38.849999999999994"/>
        <n v="17.12"/>
        <n v="43.8"/>
        <n v="1.58"/>
        <n v="95.4"/>
        <n v="26.28"/>
        <n v="8.9700000000000006"/>
        <n v="3.98"/>
        <n v="12.450000000000001"/>
        <n v="8.94"/>
        <n v="1.99"/>
        <n v="4.9800000000000004"/>
        <n v="3.4499999999999997"/>
      </sharedItems>
    </cacheField>
    <cacheField name="Desconto" numFmtId="9">
      <sharedItems containsString="0" containsBlank="1" containsNumber="1" minValue="0.05" maxValue="0.05"/>
    </cacheField>
    <cacheField name="Entrega" numFmtId="0">
      <sharedItems containsBlank="1" count="5">
        <m/>
        <s v="Zona Sul"/>
        <s v="Loja"/>
        <s v="Zona Norte"/>
        <s v="Zona Oeste"/>
      </sharedItems>
    </cacheField>
    <cacheField name="Valor de Entrega" numFmtId="44">
      <sharedItems containsMixedTypes="1" containsNumber="1" minValue="0" maxValue="8"/>
    </cacheField>
    <cacheField name="Total" numFmtId="44">
      <sharedItems containsSemiMixedTypes="0" containsString="0" containsNumber="1" minValue="0.79" maxValue="151.04999999999998"/>
    </cacheField>
    <cacheField name="Total Para o Cliente" numFmtId="0">
      <sharedItems containsMixedTypes="1" containsNumber="1" minValue="2.19" maxValue="208.27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ogo ." refreshedDate="44528.902479050928" createdVersion="7" refreshedVersion="7" minRefreshableVersion="3" recordCount="25" xr:uid="{12995B3E-D46B-4CAA-A444-47B5E1531869}">
  <cacheSource type="worksheet">
    <worksheetSource name="Tabela58"/>
  </cacheSource>
  <cacheFields count="12">
    <cacheField name="idvenda" numFmtId="0">
      <sharedItems containsString="0" containsBlank="1" containsNumber="1" containsInteger="1" minValue="100" maxValue="100"/>
    </cacheField>
    <cacheField name="Data" numFmtId="14">
      <sharedItems containsNonDate="0" containsDate="1" containsString="0" containsBlank="1" minDate="2015-05-15T00:00:00" maxDate="2015-05-16T00:00:00" count="2">
        <d v="2015-05-15T00:00:00"/>
        <m/>
      </sharedItems>
    </cacheField>
    <cacheField name="Produto" numFmtId="0">
      <sharedItems containsBlank="1" count="2">
        <s v="Vodka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1" maxValue="1"/>
    </cacheField>
    <cacheField name="Val Unitário" numFmtId="44">
      <sharedItems containsMixedTypes="1" containsNumber="1" minValue="54.9" maxValue="54.9"/>
    </cacheField>
    <cacheField name="Subtotal" numFmtId="44">
      <sharedItems containsMixedTypes="1" containsNumber="1" minValue="54.9" maxValue="54.9"/>
    </cacheField>
    <cacheField name="Desconto" numFmtId="9">
      <sharedItems containsNonDate="0" containsString="0" containsBlank="1"/>
    </cacheField>
    <cacheField name="Entrega" numFmtId="0">
      <sharedItems containsBlank="1" count="2">
        <s v="Zona Oeste"/>
        <m/>
      </sharedItems>
    </cacheField>
    <cacheField name="Valor de Entrega" numFmtId="44">
      <sharedItems containsMixedTypes="1" containsNumber="1" containsInteger="1" minValue="8" maxValue="8"/>
    </cacheField>
    <cacheField name="Total" numFmtId="44">
      <sharedItems containsMixedTypes="1" containsNumber="1" minValue="62.9" maxValue="62.9"/>
    </cacheField>
    <cacheField name="Total Para o Cliente" numFmtId="0">
      <sharedItems containsMixedTypes="1" containsNumber="1" minValue="62.9" maxValue="62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ogo ." refreshedDate="44528.904025694443" createdVersion="7" refreshedVersion="7" minRefreshableVersion="3" recordCount="25" xr:uid="{5A53F57A-79E9-4AA4-918B-5D02DF7180AE}">
  <cacheSource type="worksheet">
    <worksheetSource name="Tabela589"/>
  </cacheSource>
  <cacheFields count="12">
    <cacheField name="idvenda" numFmtId="0">
      <sharedItems containsNonDate="0" containsString="0" containsBlank="1"/>
    </cacheField>
    <cacheField name="Data" numFmtId="14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/>
    </cacheField>
    <cacheField name="Quantidade" numFmtId="0">
      <sharedItems containsNonDate="0" containsString="0" containsBlank="1"/>
    </cacheField>
    <cacheField name="Val Unitário" numFmtId="44">
      <sharedItems/>
    </cacheField>
    <cacheField name="Subtotal" numFmtId="44">
      <sharedItems/>
    </cacheField>
    <cacheField name="Desconto" numFmtId="9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/>
    </cacheField>
    <cacheField name="Total" numFmtId="44">
      <sharedItems/>
    </cacheField>
    <cacheField name="Total Para o Cl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ogo ." refreshedDate="44528.904765856481" createdVersion="7" refreshedVersion="7" minRefreshableVersion="3" recordCount="33" xr:uid="{5A1A6B61-25A8-43CB-B917-EA74E8AA0395}">
  <cacheSource type="worksheet">
    <worksheetSource name="Tabela58910"/>
  </cacheSource>
  <cacheFields count="12">
    <cacheField name="idvenda" numFmtId="0">
      <sharedItems containsNonDate="0" containsString="0" containsBlank="1"/>
    </cacheField>
    <cacheField name="Data" numFmtId="14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/>
    </cacheField>
    <cacheField name="Quantidade" numFmtId="0">
      <sharedItems containsNonDate="0" containsString="0" containsBlank="1"/>
    </cacheField>
    <cacheField name="Val Unitário" numFmtId="44">
      <sharedItems/>
    </cacheField>
    <cacheField name="Subtotal" numFmtId="44">
      <sharedItems/>
    </cacheField>
    <cacheField name="Desconto" numFmtId="9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/>
    </cacheField>
    <cacheField name="Total" numFmtId="44">
      <sharedItems/>
    </cacheField>
    <cacheField name="Total Para o Cl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ogo ." refreshedDate="44528.905298495367" createdVersion="7" refreshedVersion="7" minRefreshableVersion="3" recordCount="22" xr:uid="{1087340E-FD8E-4FE1-8C6B-ECC17DE29BD3}">
  <cacheSource type="worksheet">
    <worksheetSource name="Tabela5891011"/>
  </cacheSource>
  <cacheFields count="12">
    <cacheField name="idvenda" numFmtId="0">
      <sharedItems containsNonDate="0" containsString="0" containsBlank="1"/>
    </cacheField>
    <cacheField name="Data" numFmtId="14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/>
    </cacheField>
    <cacheField name="Quantidade" numFmtId="0">
      <sharedItems containsNonDate="0" containsString="0" containsBlank="1"/>
    </cacheField>
    <cacheField name="Val Unitário" numFmtId="44">
      <sharedItems/>
    </cacheField>
    <cacheField name="Subtotal" numFmtId="44">
      <sharedItems/>
    </cacheField>
    <cacheField name="Desconto" numFmtId="9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/>
    </cacheField>
    <cacheField name="Total" numFmtId="44">
      <sharedItems/>
    </cacheField>
    <cacheField name="Total Para o Cl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3"/>
    <x v="0"/>
    <x v="0"/>
    <x v="0"/>
    <x v="0"/>
    <n v="0.79"/>
    <x v="0"/>
    <m/>
    <x v="0"/>
    <s v="0"/>
    <n v="0.79"/>
    <s v=""/>
  </r>
  <r>
    <n v="13"/>
    <x v="0"/>
    <x v="1"/>
    <x v="1"/>
    <x v="1"/>
    <n v="15.9"/>
    <x v="1"/>
    <n v="0.05"/>
    <x v="0"/>
    <s v="0"/>
    <n v="151.04999999999998"/>
    <s v=""/>
  </r>
  <r>
    <n v="13"/>
    <x v="0"/>
    <x v="2"/>
    <x v="2"/>
    <x v="2"/>
    <n v="2.19"/>
    <x v="2"/>
    <n v="0.05"/>
    <x v="1"/>
    <n v="6.5"/>
    <n v="56.432000000000002"/>
    <n v="208.27199999999999"/>
  </r>
  <r>
    <n v="12"/>
    <x v="1"/>
    <x v="2"/>
    <x v="2"/>
    <x v="0"/>
    <n v="2.19"/>
    <x v="3"/>
    <m/>
    <x v="2"/>
    <n v="0"/>
    <n v="2.19"/>
    <n v="2.19"/>
  </r>
  <r>
    <n v="11"/>
    <x v="1"/>
    <x v="2"/>
    <x v="2"/>
    <x v="1"/>
    <n v="2.19"/>
    <x v="4"/>
    <m/>
    <x v="2"/>
    <n v="0"/>
    <n v="21.9"/>
    <n v="21.9"/>
  </r>
  <r>
    <n v="10"/>
    <x v="1"/>
    <x v="3"/>
    <x v="1"/>
    <x v="3"/>
    <n v="4.28"/>
    <x v="5"/>
    <m/>
    <x v="2"/>
    <s v="0"/>
    <n v="25.68"/>
    <s v=""/>
  </r>
  <r>
    <n v="10"/>
    <x v="1"/>
    <x v="4"/>
    <x v="3"/>
    <x v="4"/>
    <n v="2.39"/>
    <x v="6"/>
    <m/>
    <x v="2"/>
    <n v="0"/>
    <n v="9.56"/>
    <n v="35.24"/>
  </r>
  <r>
    <n v="9"/>
    <x v="2"/>
    <x v="5"/>
    <x v="4"/>
    <x v="5"/>
    <n v="2.89"/>
    <x v="7"/>
    <m/>
    <x v="2"/>
    <s v="0"/>
    <n v="14.450000000000001"/>
    <s v=""/>
  </r>
  <r>
    <n v="9"/>
    <x v="2"/>
    <x v="6"/>
    <x v="1"/>
    <x v="6"/>
    <n v="9.58"/>
    <x v="8"/>
    <m/>
    <x v="2"/>
    <s v="0"/>
    <n v="19.16"/>
    <s v=""/>
  </r>
  <r>
    <n v="9"/>
    <x v="2"/>
    <x v="7"/>
    <x v="1"/>
    <x v="7"/>
    <n v="25.9"/>
    <x v="9"/>
    <m/>
    <x v="2"/>
    <s v="0"/>
    <n v="38.849999999999994"/>
    <s v=""/>
  </r>
  <r>
    <n v="9"/>
    <x v="2"/>
    <x v="3"/>
    <x v="1"/>
    <x v="4"/>
    <n v="4.28"/>
    <x v="10"/>
    <m/>
    <x v="2"/>
    <n v="0"/>
    <n v="17.12"/>
    <n v="89.58"/>
  </r>
  <r>
    <n v="8"/>
    <x v="2"/>
    <x v="2"/>
    <x v="2"/>
    <x v="8"/>
    <n v="2.19"/>
    <x v="11"/>
    <n v="0.05"/>
    <x v="1"/>
    <n v="6.5"/>
    <n v="48.109999999999992"/>
    <n v="48.109999999999992"/>
  </r>
  <r>
    <n v="7"/>
    <x v="2"/>
    <x v="2"/>
    <x v="2"/>
    <x v="8"/>
    <n v="2.19"/>
    <x v="11"/>
    <n v="0.05"/>
    <x v="2"/>
    <n v="0"/>
    <n v="41.609999999999992"/>
    <n v="41.609999999999992"/>
  </r>
  <r>
    <n v="6"/>
    <x v="2"/>
    <x v="0"/>
    <x v="0"/>
    <x v="6"/>
    <n v="0.79"/>
    <x v="12"/>
    <m/>
    <x v="2"/>
    <s v="0"/>
    <n v="1.58"/>
    <s v=""/>
  </r>
  <r>
    <n v="6"/>
    <x v="2"/>
    <x v="1"/>
    <x v="1"/>
    <x v="3"/>
    <n v="15.9"/>
    <x v="13"/>
    <m/>
    <x v="2"/>
    <s v="0"/>
    <n v="95.4"/>
    <s v=""/>
  </r>
  <r>
    <n v="6"/>
    <x v="2"/>
    <x v="2"/>
    <x v="2"/>
    <x v="9"/>
    <n v="2.19"/>
    <x v="14"/>
    <m/>
    <x v="2"/>
    <n v="0"/>
    <n v="26.28"/>
    <n v="123.26"/>
  </r>
  <r>
    <n v="5"/>
    <x v="3"/>
    <x v="8"/>
    <x v="4"/>
    <x v="10"/>
    <n v="2.99"/>
    <x v="15"/>
    <m/>
    <x v="1"/>
    <n v="6.5"/>
    <n v="15.47"/>
    <n v="15.47"/>
  </r>
  <r>
    <n v="4"/>
    <x v="3"/>
    <x v="9"/>
    <x v="0"/>
    <x v="6"/>
    <n v="1.99"/>
    <x v="16"/>
    <m/>
    <x v="3"/>
    <s v="0"/>
    <n v="3.98"/>
    <s v=""/>
  </r>
  <r>
    <n v="4"/>
    <x v="3"/>
    <x v="10"/>
    <x v="1"/>
    <x v="5"/>
    <n v="2.4900000000000002"/>
    <x v="17"/>
    <m/>
    <x v="3"/>
    <n v="6.5"/>
    <n v="18.950000000000003"/>
    <n v="22.930000000000003"/>
  </r>
  <r>
    <n v="3"/>
    <x v="3"/>
    <x v="11"/>
    <x v="3"/>
    <x v="3"/>
    <n v="1.49"/>
    <x v="18"/>
    <m/>
    <x v="4"/>
    <n v="8"/>
    <n v="16.939999999999998"/>
    <n v="16.939999999999998"/>
  </r>
  <r>
    <n v="2"/>
    <x v="3"/>
    <x v="9"/>
    <x v="0"/>
    <x v="0"/>
    <n v="1.99"/>
    <x v="19"/>
    <m/>
    <x v="3"/>
    <n v="6.5"/>
    <n v="8.49"/>
    <n v="8.49"/>
  </r>
  <r>
    <n v="1"/>
    <x v="3"/>
    <x v="10"/>
    <x v="1"/>
    <x v="6"/>
    <n v="2.4900000000000002"/>
    <x v="20"/>
    <m/>
    <x v="2"/>
    <s v="0"/>
    <n v="4.9800000000000004"/>
    <s v=""/>
  </r>
  <r>
    <n v="1"/>
    <x v="3"/>
    <x v="12"/>
    <x v="0"/>
    <x v="10"/>
    <n v="1.1499999999999999"/>
    <x v="21"/>
    <m/>
    <x v="2"/>
    <s v="0"/>
    <n v="3.4499999999999997"/>
    <s v=""/>
  </r>
  <r>
    <n v="1"/>
    <x v="3"/>
    <x v="9"/>
    <x v="0"/>
    <x v="0"/>
    <n v="1.99"/>
    <x v="19"/>
    <m/>
    <x v="2"/>
    <n v="0"/>
    <n v="1.99"/>
    <n v="10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00"/>
    <x v="0"/>
    <x v="0"/>
    <s v="Garrafa"/>
    <n v="1"/>
    <n v="54.9"/>
    <n v="54.9"/>
    <m/>
    <x v="0"/>
    <n v="8"/>
    <n v="62.9"/>
    <n v="62.9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  <r>
    <m/>
    <x v="1"/>
    <x v="1"/>
    <s v=""/>
    <m/>
    <s v=""/>
    <s v=""/>
    <m/>
    <x v="1"/>
    <s v="0"/>
    <s v="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  <r>
    <m/>
    <x v="0"/>
    <x v="0"/>
    <s v=""/>
    <m/>
    <s v=""/>
    <s v=""/>
    <m/>
    <x v="0"/>
    <s v="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18C27B-9F3B-4753-81B0-78F544F5F80B}" name="Tabela dinâmica13" cacheId="3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9" firstHeaderRow="0" firstDataRow="1" firstDataCol="1"/>
  <pivotFields count="12">
    <pivotField showAll="0"/>
    <pivotField numFmtId="14" showAll="0"/>
    <pivotField axis="axisRow" showAll="0">
      <items count="14">
        <item x="8"/>
        <item x="12"/>
        <item x="10"/>
        <item x="9"/>
        <item x="0"/>
        <item x="1"/>
        <item x="2"/>
        <item x="3"/>
        <item x="11"/>
        <item x="5"/>
        <item x="7"/>
        <item x="4"/>
        <item x="6"/>
        <item t="default"/>
      </items>
    </pivotField>
    <pivotField showAll="0"/>
    <pivotField dataField="1" showAll="0">
      <items count="12">
        <item x="0"/>
        <item x="7"/>
        <item x="6"/>
        <item x="10"/>
        <item x="4"/>
        <item x="5"/>
        <item x="3"/>
        <item x="1"/>
        <item x="9"/>
        <item x="8"/>
        <item x="2"/>
        <item t="default"/>
      </items>
    </pivotField>
    <pivotField numFmtId="44" showAll="0"/>
    <pivotField numFmtId="44" showAll="0"/>
    <pivotField showAll="0"/>
    <pivotField axis="axisRow" showAll="0">
      <items count="6">
        <item sd="0" x="2"/>
        <item sd="0" x="3"/>
        <item sd="0" x="4"/>
        <item sd="0" x="1"/>
        <item sd="0" x="0"/>
        <item t="default"/>
      </items>
    </pivotField>
    <pivotField dataField="1" showAll="0"/>
    <pivotField dataField="1" numFmtId="4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EDD73C-AA78-464A-9614-32D07513BAE5}" name="Tabela dinâmica12" cacheId="3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26" firstHeaderRow="0" firstDataRow="1" firstDataCol="1"/>
  <pivotFields count="12">
    <pivotField showAll="0"/>
    <pivotField axis="axisRow" numFmtId="14" multipleItemSelectionAllowed="1" showAll="0">
      <items count="5">
        <item x="3"/>
        <item x="2"/>
        <item x="1"/>
        <item x="0"/>
        <item t="default"/>
      </items>
    </pivotField>
    <pivotField axis="axisRow" showAll="0">
      <items count="14">
        <item x="8"/>
        <item x="12"/>
        <item x="10"/>
        <item x="9"/>
        <item x="0"/>
        <item x="1"/>
        <item x="2"/>
        <item x="3"/>
        <item x="11"/>
        <item x="5"/>
        <item x="7"/>
        <item x="4"/>
        <item x="6"/>
        <item t="default"/>
      </items>
    </pivotField>
    <pivotField showAll="0">
      <items count="6">
        <item x="1"/>
        <item x="2"/>
        <item x="3"/>
        <item x="0"/>
        <item x="4"/>
        <item t="default"/>
      </items>
    </pivotField>
    <pivotField dataField="1" showAll="0"/>
    <pivotField numFmtId="44" showAll="0"/>
    <pivotField numFmtId="44" showAll="0">
      <items count="23">
        <item x="0"/>
        <item x="12"/>
        <item x="19"/>
        <item x="3"/>
        <item x="21"/>
        <item x="16"/>
        <item x="20"/>
        <item x="18"/>
        <item x="15"/>
        <item x="6"/>
        <item x="17"/>
        <item x="7"/>
        <item x="10"/>
        <item x="8"/>
        <item x="4"/>
        <item x="5"/>
        <item x="14"/>
        <item x="9"/>
        <item x="11"/>
        <item x="2"/>
        <item x="13"/>
        <item x="1"/>
        <item t="default"/>
      </items>
    </pivotField>
    <pivotField showAll="0"/>
    <pivotField showAll="0"/>
    <pivotField showAll="0"/>
    <pivotField dataField="1" numFmtId="44" showAll="0"/>
    <pivotField showAll="0"/>
  </pivotFields>
  <rowFields count="2">
    <field x="1"/>
    <field x="2"/>
  </rowFields>
  <rowItems count="23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F7D888-D7D7-4548-A7E9-1F144ABA6D2C}" name="Tabela dinâmica12" cacheId="3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8" firstHeaderRow="0" firstDataRow="1" firstDataCol="1"/>
  <pivotFields count="12">
    <pivotField showAll="0"/>
    <pivotField axis="axisRow" numFmtId="14" multipleItemSelectionAllowed="1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showAll="0"/>
    <pivotField dataField="1" numFmtId="44" showAll="0"/>
    <pivotField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96823C-5AAF-4EEC-BB09-DEF72C25FDED}" name="Tabela dinâmica13" cacheId="3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6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sd="0" x="1"/>
        <item t="default"/>
      </items>
    </pivotField>
    <pivotField dataField="1" showAll="0"/>
    <pivotField dataField="1" numFmtId="44" showAll="0"/>
    <pivotField showAll="0"/>
  </pivotFields>
  <rowFields count="2">
    <field x="8"/>
    <field x="2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7E134E-3FDB-4FCF-98A8-EC7CEA6470B4}" name="Tabela dinâmica13" cacheId="4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5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sd="0" x="0"/>
        <item t="default"/>
      </items>
    </pivotField>
    <pivotField dataField="1" showAll="0"/>
    <pivotField dataField="1" numFmtId="44" showAll="0"/>
    <pivotField showAll="0"/>
  </pivotFields>
  <rowFields count="2">
    <field x="8"/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DCBD2C-A3A3-4B15-820D-A6DB2AE884B5}" name="Tabela dinâmica12" cacheId="4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6" firstHeaderRow="0" firstDataRow="1" firstDataCol="1"/>
  <pivotFields count="12">
    <pivotField showAll="0"/>
    <pivotField axis="axisRow" numFmtId="14" multipleItemSelectionAllowed="1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601A82-E889-4B9D-BB06-98F119E33AA8}" name="Tabela dinâmica12" cacheId="4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6" firstHeaderRow="0" firstDataRow="1" firstDataCol="1"/>
  <pivotFields count="12">
    <pivotField showAll="0"/>
    <pivotField axis="axisRow" numFmtId="14" multipleItemSelectionAllowed="1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F842D-EB27-434B-8860-6A6D4FB89DF5}" name="Tabela dinâmica13" cacheId="4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5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sd="0" x="0"/>
        <item t="default"/>
      </items>
    </pivotField>
    <pivotField dataField="1" showAll="0"/>
    <pivotField dataField="1" numFmtId="44" showAll="0"/>
    <pivotField showAll="0"/>
  </pivotFields>
  <rowFields count="2">
    <field x="8"/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C80123-D0F7-4585-9AE1-D39DBEE9C14D}" name="Tabela dinâmica13" cacheId="5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5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sd="0" x="0"/>
        <item t="default"/>
      </items>
    </pivotField>
    <pivotField dataField="1" showAll="0"/>
    <pivotField dataField="1" numFmtId="44" showAll="0"/>
    <pivotField showAll="0"/>
  </pivotFields>
  <rowFields count="2">
    <field x="8"/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23D03-7E1B-4DF7-A48C-0F25D24E6436}" name="Tabela dinâmica12" cacheId="5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6" firstHeaderRow="0" firstDataRow="1" firstDataCol="1"/>
  <pivotFields count="12">
    <pivotField showAll="0"/>
    <pivotField axis="axisRow" numFmtId="14" multipleItemSelectionAllowed="1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28534-7D6C-460B-AA00-59A06966A75D}" name="Tabela1" displayName="Tabela1" ref="B4:G29" totalsRowShown="0">
  <autoFilter ref="B4:G29" xr:uid="{EEB28534-7D6C-460B-AA00-59A06966A75D}"/>
  <tableColumns count="6">
    <tableColumn id="1" xr3:uid="{81708989-932C-45BD-BF44-1BDBAAB6AD8D}" name="Despesas de funcionamento"/>
    <tableColumn id="2" xr3:uid="{9F21975F-39BF-4C00-880C-F9329CC2F5F6}" name="Descrição de Despesa"/>
    <tableColumn id="3" xr3:uid="{CA3DC749-123A-4639-AFC5-850079EE8E6F}" name="Data"/>
    <tableColumn id="4" xr3:uid="{566A787E-AE98-48C7-BD67-5F09E3DAC115}" name="Observação"/>
    <tableColumn id="5" xr3:uid="{AD338FBF-B41C-4D87-9910-B50C93C782AC}" name="Valor intermediário" dataDxfId="103"/>
    <tableColumn id="6" xr3:uid="{809F00B8-F5FA-4D2D-B183-5C1038DC7183}" name="Valor final" dataDxfId="102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70782D-F40B-4551-9785-9294C5612CA7}" name="Tabela2" displayName="Tabela2" ref="B5:I28" totalsRowShown="0">
  <autoFilter ref="B5:I28" xr:uid="{2170782D-F40B-4551-9785-9294C5612CA7}"/>
  <tableColumns count="8">
    <tableColumn id="1" xr3:uid="{CC85B736-C454-4B45-BE02-DC12B2D06F48}" name="Data" dataDxfId="101"/>
    <tableColumn id="2" xr3:uid="{043EFE76-49E9-478B-AA61-93768494CCB9}" name="Fornecedor"/>
    <tableColumn id="3" xr3:uid="{91224510-9AEB-4946-9256-F0FC51B12384}" name="Mercadoria"/>
    <tableColumn id="4" xr3:uid="{DDF80DC4-2863-4992-83EE-BF82095E5D78}" name="Medida" dataDxfId="98">
      <calculatedColumnFormula>IFERROR((VLOOKUP(Tabela2[[#This Row],[Mercadoria]],cálculos!$B$2:$E$32,4,FALSE)),"")</calculatedColumnFormula>
    </tableColumn>
    <tableColumn id="5" xr3:uid="{17EA6E86-50CF-4508-9D5D-42F45B7EBA43}" name="Quantidade"/>
    <tableColumn id="6" xr3:uid="{3CBD0EB9-3B68-4D5D-A62C-E4A967BF9E01}" name="Preço unitário" dataDxfId="97">
      <calculatedColumnFormula>IFERROR((VLOOKUP(Tabela2[[#This Row],[Mercadoria]],cálculos!$B$2:$E$32,2,FALSE)),"")</calculatedColumnFormula>
    </tableColumn>
    <tableColumn id="7" xr3:uid="{21ABBC90-5F3F-4FED-8129-B03EF1791456}" name="Desconto" dataDxfId="100"/>
    <tableColumn id="8" xr3:uid="{349CF5E9-1B07-4608-9596-C435DED8CF50}" name="Valor Pago" dataDxfId="99">
      <calculatedColumnFormula>IFERROR(Tabela2[[#This Row],[Quantidade]]*Tabela2[[#This Row],[Preço unitário]]*(1-Tabela2[[#This Row],[Desconto]]),"")</calculatedColumnFormula>
    </tableColumn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CFA5A4-6388-4986-8DCE-9F7D21BCB4C2}" name="Tabela3" displayName="Tabela3" ref="B5:E10" totalsRowShown="0">
  <autoFilter ref="B5:E10" xr:uid="{57CFA5A4-6388-4986-8DCE-9F7D21BCB4C2}"/>
  <tableColumns count="4">
    <tableColumn id="1" xr3:uid="{AD128322-AB1E-49E0-94EF-B391BC566AE4}" name="Investimento"/>
    <tableColumn id="2" xr3:uid="{48BBC312-D2B0-4159-A464-698F4A26C7D8}" name="Data" dataDxfId="94"/>
    <tableColumn id="3" xr3:uid="{7839EC56-08AD-452F-AEDA-C51EFB19C8FD}" name="Descrição" dataDxfId="95"/>
    <tableColumn id="4" xr3:uid="{F6972478-4FF7-4979-B6B2-462878B44843}" name="Valor" dataDxfId="9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8AE9AC1-DF19-499C-8FBB-87240CE20D97}" name="Tabela4" displayName="Tabela4" ref="B5:H29" totalsRowShown="0" headerRowDxfId="90" dataDxfId="89">
  <autoFilter ref="B5:H29" xr:uid="{E8AE9AC1-DF19-499C-8FBB-87240CE20D97}"/>
  <tableColumns count="7">
    <tableColumn id="1" xr3:uid="{0FDCCF3F-8E43-46FF-80CE-C91B11E915C1}" name="Produto" dataDxfId="88"/>
    <tableColumn id="2" xr3:uid="{BC7D9C67-C00C-4CFA-BAF0-6DF5E79BCBE6}" name="Data da Última Compra" dataDxfId="86">
      <calculatedColumnFormula>IFERROR(INDEX(Tabela2[Data],MATCH(Tabela4[[#This Row],[Produto]],Tabela2[Mercadoria],0),1),"")</calculatedColumnFormula>
    </tableColumn>
    <tableColumn id="3" xr3:uid="{2FFD102F-8619-49CC-9846-467CECD91016}" name="Quantidade Inicial" dataDxfId="87"/>
    <tableColumn id="4" xr3:uid="{15F52426-158E-4AE7-AF19-45B97DF0A32E}" name="Quantidade Comprada" dataDxfId="93">
      <calculatedColumnFormula>SUMIF(Compras!D6:D27,Tabela4[[#This Row],[Produto]],Compras!F6:F27)</calculatedColumnFormula>
    </tableColumn>
    <tableColumn id="5" xr3:uid="{488235C7-23DE-4198-B55C-B4176F940CBE}" name="Quantidade Vendida" dataDxfId="5">
      <calculatedColumnFormula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calculatedColumnFormula>
    </tableColumn>
    <tableColumn id="6" xr3:uid="{C5AB235C-1AA9-4204-98FC-0BED5D866AFF}" name="Quantidade Atual" dataDxfId="92">
      <calculatedColumnFormula>Tabela4[[#This Row],[Quantidade Inicial]]+Tabela4[[#This Row],[Quantidade Comprada]]-Tabela4[[#This Row],[Quantidade Vendida]]</calculatedColumnFormula>
    </tableColumn>
    <tableColumn id="7" xr3:uid="{9D130D76-31E1-4576-ACC7-6602BFD332A2}" name="Situação" dataDxfId="91">
      <calculatedColumnFormula>IF(Tabela4[[#This Row],[Quantidade Atual]]&lt;50,IF(Tabela4[[#This Row],[Quantidade Atual]]&lt;21,"Comprar","Atenção"),"Ok")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4CCA30-E9C2-4A01-B26E-A88C0D5D006E}" name="Tabela13" displayName="Tabela13" ref="B5:D18" headerRowCount="0" totalsRowShown="0" headerRowBorderDxfId="24" tableBorderDxfId="25">
  <tableColumns count="3">
    <tableColumn id="1" xr3:uid="{48DC997E-B91E-47E9-9C64-33B791CC501F}" name="Coluna1" headerRowDxfId="18" dataDxfId="23"/>
    <tableColumn id="2" xr3:uid="{E5C8A45B-D1BA-4D7A-A8CA-A564014139AA}" name="Coluna2" headerRowDxfId="19" dataDxfId="22"/>
    <tableColumn id="3" xr3:uid="{0423C83D-4417-46AF-9454-F004023A3069}" name="Coluna3" headerRowDxfId="20" dataDxfId="21"/>
  </tableColumns>
  <tableStyleInfo name="TableStyleLight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7A7962-FD02-4D01-B53D-0E902B74654A}" name="Tabela5" displayName="Tabela5" ref="B5:M29" totalsRowShown="0" headerRowDxfId="81" dataDxfId="82">
  <autoFilter ref="B5:M29" xr:uid="{BB7A7962-FD02-4D01-B53D-0E902B74654A}"/>
  <tableColumns count="12">
    <tableColumn id="1" xr3:uid="{CF21DD4E-1C50-4080-8A97-75BFF7E2D2C6}" name="idvenda" dataDxfId="85"/>
    <tableColumn id="2" xr3:uid="{4069DF6C-20CD-4C20-8A3A-62FEF218D152}" name="Data" dataDxfId="84"/>
    <tableColumn id="3" xr3:uid="{5C8636F3-64FA-4BA0-9567-788E9B33ACBD}" name="Produto" dataDxfId="83"/>
    <tableColumn id="4" xr3:uid="{1D7E8593-2E1C-45BF-8743-38BDB5D15643}" name="Medida" dataDxfId="17">
      <calculatedColumnFormula>IFERROR(VLOOKUP(D6,cálculos!$B$2:$E$32,4,FALSE),"")</calculatedColumnFormula>
    </tableColumn>
    <tableColumn id="5" xr3:uid="{A19EC001-60BA-46BD-9978-63CEB6716739}" name="Quantidade" dataDxfId="80"/>
    <tableColumn id="6" xr3:uid="{E3DD34D2-12DC-4FA0-882A-62A504D5C67B}" name="Val Unitário" dataDxfId="16">
      <calculatedColumnFormula>IFERROR(VLOOKUP(D6,cálculos!$B$2:$E$32,3,FALSE),"")</calculatedColumnFormula>
    </tableColumn>
    <tableColumn id="7" xr3:uid="{CD912E94-41F6-475F-93F5-8A38DA3E6CED}" name="Subtotal" dataDxfId="15">
      <calculatedColumnFormula>IFERROR((Tabela5[[#This Row],[Quantidade]]*G6),"")</calculatedColumnFormula>
    </tableColumn>
    <tableColumn id="8" xr3:uid="{7F29F475-57CD-41EB-A961-99BD5E5D2F38}" name="Desconto" dataDxfId="79" dataCellStyle="Porcentagem"/>
    <tableColumn id="9" xr3:uid="{B93C7E75-C2DD-4CA0-94DB-653F1290FC10}" name="Entrega" dataDxfId="78"/>
    <tableColumn id="11" xr3:uid="{794A1F82-2F6E-43DC-A28C-92998188116D}" name="Valor de Entrega" dataDxfId="12">
      <calculatedColumnFormula>IFERROR(IF(Tabela5[[#This Row],[idvenda]]=B7,"0",(VLOOKUP(Tabela5[[#This Row],[Entrega]],cálculos!$G$3:$H$7,2,FALSE))),"0")</calculatedColumnFormula>
    </tableColumn>
    <tableColumn id="10" xr3:uid="{4A9ADE2D-5B32-4F57-82E6-101F37A106FA}" name="Total" dataDxfId="14">
      <calculatedColumnFormula>IFERROR(SUM(Tabela5[[#This Row],[Subtotal]]*(1-Tabela5[[#This Row],[Desconto]])+Tabela5[[#This Row],[Valor de Entrega]]),"")</calculatedColumnFormula>
    </tableColumn>
    <tableColumn id="12" xr3:uid="{C920CBFD-66F0-4830-B2AF-AE4EDB35DA3C}" name="Total Para o Cliente" dataDxfId="13">
      <calculatedColumnFormula>IF(Tabela5[[#This Row],[idvenda]]=B7,"",SUMIF(Tabela5[idvenda],Tabela5[[#This Row],[idvenda]],Tabela5[Total]))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D919857-0AF5-47B6-97EE-9CD32D7D0508}" name="Tabela58" displayName="Tabela58" ref="B5:M30" totalsRowShown="0" headerRowDxfId="77" dataDxfId="76">
  <autoFilter ref="B5:M30" xr:uid="{4D919857-0AF5-47B6-97EE-9CD32D7D0508}"/>
  <tableColumns count="12">
    <tableColumn id="1" xr3:uid="{9572B4A7-BFB2-45FD-8B8B-9BD9E24DCF7D}" name="idvenda" dataDxfId="43"/>
    <tableColumn id="2" xr3:uid="{9E47C295-D7B5-45B1-A67F-835072155AD0}" name="Data" dataDxfId="41"/>
    <tableColumn id="3" xr3:uid="{FC1DABFE-EDE9-40B8-A2CA-DAE57A605701}" name="Produto" dataDxfId="42"/>
    <tableColumn id="4" xr3:uid="{BAB96F2D-2DBB-4C31-93AF-D6D2C447C84A}" name="Medida" dataDxfId="71">
      <calculatedColumnFormula>IFERROR(VLOOKUP(D6,cálculos!$B$2:$E$32,4,FALSE),"")</calculatedColumnFormula>
    </tableColumn>
    <tableColumn id="5" xr3:uid="{46978B8F-AD31-4DED-82A1-B03B7CA10EB7}" name="Quantidade" dataDxfId="75"/>
    <tableColumn id="6" xr3:uid="{4CF366E8-F319-4DB1-8C90-22A469EDD1D5}" name="Val Unitário" dataDxfId="70">
      <calculatedColumnFormula>IFERROR(VLOOKUP(D6,cálculos!$B$2:$E$32,3,FALSE),"")</calculatedColumnFormula>
    </tableColumn>
    <tableColumn id="7" xr3:uid="{77635C08-CF8F-41DF-9CAA-0C7368541C43}" name="Subtotal" dataDxfId="69">
      <calculatedColumnFormula>IFERROR((Tabela58[[#This Row],[Quantidade]]*G6),"")</calculatedColumnFormula>
    </tableColumn>
    <tableColumn id="8" xr3:uid="{48591BEE-D2F4-4E1E-B8FE-BC4BBAFBCB6F}" name="Desconto" dataDxfId="74" dataCellStyle="Porcentagem"/>
    <tableColumn id="9" xr3:uid="{2A8120CD-51A7-4495-BE12-A137C0AC1CA8}" name="Entrega" dataDxfId="73"/>
    <tableColumn id="11" xr3:uid="{8012482D-899A-4A67-A89C-6ED7827112ED}" name="Valor de Entrega" dataDxfId="29">
      <calculatedColumnFormula>IFERROR(IF(Tabela58[[#This Row],[idvenda]]=B8,"0",(VLOOKUP(Tabela58[[#This Row],[Entrega]],cálculos!$G$3:$H$7,2,FALSE))),"0")</calculatedColumnFormula>
    </tableColumn>
    <tableColumn id="10" xr3:uid="{B6ECCD95-FC97-436D-9F96-3F9F564C70DD}" name="Total" dataDxfId="68">
      <calculatedColumnFormula>IFERROR(SUM(Tabela58[[#This Row],[Subtotal]]*(1-Tabela58[[#This Row],[Desconto]])+Tabela58[[#This Row],[Valor de Entrega]]),"")</calculatedColumnFormula>
    </tableColumn>
    <tableColumn id="12" xr3:uid="{94EEB04F-4CDE-4C58-8BE5-A546352152BC}" name="Total Para o Cliente" dataDxfId="72">
      <calculatedColumnFormula>IF(Tabela58[[#This Row],[idvenda]]=B7,"",SUMIF(Tabela58[idvenda],Tabela58[[#This Row],[idvenda]],Tabela58[Total]))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10003C-1767-4837-B8E4-53D53F6F8694}" name="Tabela589" displayName="Tabela589" ref="B5:M30" totalsRowShown="0" headerRowDxfId="67" dataDxfId="66">
  <autoFilter ref="B5:M30" xr:uid="{4D919857-0AF5-47B6-97EE-9CD32D7D0508}"/>
  <tableColumns count="12">
    <tableColumn id="1" xr3:uid="{04D2443F-190E-4875-8BA5-902415AFD1B0}" name="idvenda" dataDxfId="65"/>
    <tableColumn id="2" xr3:uid="{DDF81D4E-C915-4A44-BB9E-BC58A2E91091}" name="Data" dataDxfId="64"/>
    <tableColumn id="3" xr3:uid="{03086F28-C270-4FB5-A9C9-99DA79421683}" name="Produto" dataDxfId="63"/>
    <tableColumn id="4" xr3:uid="{B7A69A03-4BDC-43B3-B73C-59ECA707B4A8}" name="Medida" dataDxfId="62">
      <calculatedColumnFormula>IFERROR(VLOOKUP(D6,cálculos!$B$2:$E$32,4,FALSE),"")</calculatedColumnFormula>
    </tableColumn>
    <tableColumn id="5" xr3:uid="{57CB5D8F-2BE3-4BF0-9037-C81EE120B455}" name="Quantidade" dataDxfId="61"/>
    <tableColumn id="6" xr3:uid="{6ABBBC08-446D-4192-B8A1-C47CB7167C59}" name="Val Unitário" dataDxfId="60">
      <calculatedColumnFormula>IFERROR(VLOOKUP(D6,cálculos!$B$2:$E$32,3,FALSE),"")</calculatedColumnFormula>
    </tableColumn>
    <tableColumn id="7" xr3:uid="{E5A25100-3211-4CC3-9345-7ECFE63EDECE}" name="Subtotal" dataDxfId="59">
      <calculatedColumnFormula>IFERROR((Tabela589[[#This Row],[Quantidade]]*G6),"")</calculatedColumnFormula>
    </tableColumn>
    <tableColumn id="8" xr3:uid="{C2CC1E1B-AA13-4123-AB5F-C264389A2D47}" name="Desconto" dataDxfId="58" dataCellStyle="Porcentagem"/>
    <tableColumn id="9" xr3:uid="{0E4E772F-3854-4DAB-A1BF-C64A2C0A69B9}" name="Entrega" dataDxfId="57"/>
    <tableColumn id="11" xr3:uid="{39A10223-38EA-45F3-8044-070A4993231C}" name="Valor de Entrega" dataDxfId="28">
      <calculatedColumnFormula>IFERROR(IF(Tabela589[[#This Row],[idvenda]]=B8,"0",(VLOOKUP(Tabela589[[#This Row],[Entrega]],cálculos!$G$3:$H$7,2,FALSE))),"0")</calculatedColumnFormula>
    </tableColumn>
    <tableColumn id="10" xr3:uid="{4AC94330-8E36-41D9-822F-E331BA1C85F5}" name="Total" dataDxfId="56">
      <calculatedColumnFormula>IFERROR(SUM(Tabela589[[#This Row],[Subtotal]]*(1-Tabela589[[#This Row],[Desconto]])+Tabela589[[#This Row],[Valor de Entrega]]),"")</calculatedColumnFormula>
    </tableColumn>
    <tableColumn id="12" xr3:uid="{7B6070BC-C9C2-45D3-856B-727D0000C890}" name="Total Para o Cliente" dataDxfId="55">
      <calculatedColumnFormula>IF(Tabela589[[#This Row],[idvenda]]=B7,"",SUMIF(Tabela589[idvenda],Tabela589[[#This Row],[idvenda]],Tabela589[Total]))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A8D14B4-45B0-4259-9628-A7466ADC7679}" name="Tabela58910" displayName="Tabela58910" ref="B5:M38" totalsRowShown="0" headerRowDxfId="54" dataDxfId="53">
  <autoFilter ref="B5:M38" xr:uid="{4D919857-0AF5-47B6-97EE-9CD32D7D0508}"/>
  <tableColumns count="12">
    <tableColumn id="1" xr3:uid="{D6546A4C-056E-4F1A-B5E4-FC931F8C2146}" name="idvenda" dataDxfId="11"/>
    <tableColumn id="2" xr3:uid="{D4470147-CDC7-4BA2-A8A3-A1C763B3273E}" name="Data" dataDxfId="10"/>
    <tableColumn id="3" xr3:uid="{B9A6E345-E5B1-4ECB-8CE1-81E4827E9C08}" name="Produto" dataDxfId="52"/>
    <tableColumn id="4" xr3:uid="{01FBF689-0E79-4470-B354-0605F891F035}" name="Medida" dataDxfId="51">
      <calculatedColumnFormula>IFERROR(VLOOKUP(D6,cálculos!$B$2:$E$32,4,FALSE),"")</calculatedColumnFormula>
    </tableColumn>
    <tableColumn id="5" xr3:uid="{3F333856-CFFB-4ABC-8CB3-7058B4750CA7}" name="Quantidade" dataDxfId="50"/>
    <tableColumn id="6" xr3:uid="{6E5C6A93-C0E9-4763-9361-9B5B1F6D933B}" name="Val Unitário" dataDxfId="49">
      <calculatedColumnFormula>IFERROR(VLOOKUP(D6,cálculos!$B$2:$E$32,3,FALSE),"")</calculatedColumnFormula>
    </tableColumn>
    <tableColumn id="7" xr3:uid="{4C51286F-1400-42E5-B903-88FE97B98902}" name="Subtotal" dataDxfId="48">
      <calculatedColumnFormula>IFERROR((Tabela58910[[#This Row],[Quantidade]]*G6),"")</calculatedColumnFormula>
    </tableColumn>
    <tableColumn id="8" xr3:uid="{1F80B616-7513-4FAB-96A9-C27C5CA5DB0B}" name="Desconto" dataDxfId="47" dataCellStyle="Porcentagem"/>
    <tableColumn id="9" xr3:uid="{3D5CE4AA-FA6D-408E-8B37-99EB0CA33AED}" name="Entrega" dataDxfId="46"/>
    <tableColumn id="11" xr3:uid="{C0396571-42D3-40C5-91D3-E58F97CD0C1D}" name="Valor de Entrega" dataDxfId="27">
      <calculatedColumnFormula>IFERROR(IF(Tabela58910[[#This Row],[idvenda]]=B8,"0",(VLOOKUP(Tabela58910[[#This Row],[Entrega]],cálculos!$G$3:$H$7,2,FALSE))),"0")</calculatedColumnFormula>
    </tableColumn>
    <tableColumn id="10" xr3:uid="{E76E7416-6D89-480B-A553-145DE31C2C6D}" name="Total" dataDxfId="45">
      <calculatedColumnFormula>IFERROR(SUM(Tabela58910[[#This Row],[Subtotal]]*(1-Tabela58910[[#This Row],[Desconto]])+Tabela58910[[#This Row],[Valor de Entrega]]),"")</calculatedColumnFormula>
    </tableColumn>
    <tableColumn id="12" xr3:uid="{1D3797B1-11E9-4F36-84CD-302F70D28A3A}" name="Total Para o Cliente" dataDxfId="44">
      <calculatedColumnFormula>IF(Tabela58910[[#This Row],[idvenda]]=B7,"",SUMIF(Tabela58910[idvenda],Tabela58910[[#This Row],[idvenda]],Tabela58910[Total]))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DFDF3A8-DCA8-4D2A-A5A9-4978EE70023C}" name="Tabela5891011" displayName="Tabela5891011" ref="B5:M27" totalsRowShown="0" headerRowDxfId="40" dataDxfId="39">
  <autoFilter ref="B5:M27" xr:uid="{4D919857-0AF5-47B6-97EE-9CD32D7D0508}"/>
  <tableColumns count="12">
    <tableColumn id="1" xr3:uid="{7A04FBC7-C561-4830-8B90-C2FD3B4EEAF5}" name="idvenda" dataDxfId="9"/>
    <tableColumn id="2" xr3:uid="{48F19FD5-2E5E-4D43-90BC-3C8C02CEB7FB}" name="Data" dataDxfId="8"/>
    <tableColumn id="3" xr3:uid="{A07E5177-68CC-4940-9AD9-5B65B9FA7BE9}" name="Produto" dataDxfId="38"/>
    <tableColumn id="4" xr3:uid="{07EB9629-2E20-4CDB-B736-568C671E77F5}" name="Medida" dataDxfId="37">
      <calculatedColumnFormula>IFERROR(VLOOKUP(D6,cálculos!$B$2:$E$32,4,FALSE),"")</calculatedColumnFormula>
    </tableColumn>
    <tableColumn id="5" xr3:uid="{AF4E8383-45BB-4080-B1ED-46920D449C5A}" name="Quantidade" dataDxfId="36"/>
    <tableColumn id="6" xr3:uid="{21905A82-1CA1-48D3-A5CA-6AC9F111488E}" name="Val Unitário" dataDxfId="35">
      <calculatedColumnFormula>IFERROR(VLOOKUP(D6,cálculos!$B$2:$E$32,3,FALSE),"")</calculatedColumnFormula>
    </tableColumn>
    <tableColumn id="7" xr3:uid="{4193C6A5-E2F8-453B-BA48-4E6A77CC80A9}" name="Subtotal" dataDxfId="34">
      <calculatedColumnFormula>IFERROR((Tabela5891011[[#This Row],[Quantidade]]*G6),"")</calculatedColumnFormula>
    </tableColumn>
    <tableColumn id="8" xr3:uid="{56A536BC-FC61-4A8B-9032-67EA5A9A88CB}" name="Desconto" dataDxfId="33" dataCellStyle="Porcentagem"/>
    <tableColumn id="9" xr3:uid="{B2A0A469-9B58-4EF9-BDDC-3AD0DDC925F8}" name="Entrega" dataDxfId="32"/>
    <tableColumn id="11" xr3:uid="{D340BD63-5553-4DB6-907D-5F6CE88F6910}" name="Valor de Entrega" dataDxfId="26">
      <calculatedColumnFormula>IFERROR(IF(Tabela5891011[[#This Row],[idvenda]]=B8,"0",(VLOOKUP(Tabela5891011[[#This Row],[Entrega]],cálculos!$G$3:$H$7,2,FALSE))),"0")</calculatedColumnFormula>
    </tableColumn>
    <tableColumn id="10" xr3:uid="{6E4ED4F8-590F-4404-8CF8-605EE1577063}" name="Total" dataDxfId="31">
      <calculatedColumnFormula>IFERROR(SUM(Tabela5891011[[#This Row],[Subtotal]]*(1-Tabela5891011[[#This Row],[Desconto]])+Tabela5891011[[#This Row],[Valor de Entrega]]),"")</calculatedColumnFormula>
    </tableColumn>
    <tableColumn id="12" xr3:uid="{3FFDBE54-F3EC-49F2-8D8B-782209C537A9}" name="Total Para o Cliente" dataDxfId="30">
      <calculatedColumnFormula>IF(Tabela5891011[[#This Row],[idvenda]]=B7,"",SUMIF(Tabela5891011[idvenda],Tabela5891011[[#This Row],[idvenda]],Tabela5891011[Total]))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showRowColHeaders="0" tabSelected="1" topLeftCell="A5" workbookViewId="0">
      <selection activeCell="H24" sqref="H24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X33"/>
  <sheetViews>
    <sheetView showGridLines="0" topLeftCell="A7" workbookViewId="0">
      <selection activeCell="D1" sqref="D1"/>
    </sheetView>
  </sheetViews>
  <sheetFormatPr defaultRowHeight="14.4" x14ac:dyDescent="0.3"/>
  <cols>
    <col min="1" max="1" width="8.88671875" customWidth="1"/>
    <col min="2" max="2" width="48.44140625" bestFit="1" customWidth="1"/>
    <col min="3" max="3" width="24.21875" bestFit="1" customWidth="1"/>
    <col min="4" max="4" width="15.5546875" customWidth="1"/>
    <col min="5" max="5" width="24" bestFit="1" customWidth="1"/>
    <col min="6" max="6" width="19.6640625" bestFit="1" customWidth="1"/>
    <col min="7" max="7" width="12.77734375" bestFit="1" customWidth="1"/>
    <col min="8" max="8" width="16.88671875" bestFit="1" customWidth="1"/>
    <col min="9" max="9" width="9.33203125" bestFit="1" customWidth="1"/>
  </cols>
  <sheetData>
    <row r="2" spans="1:24" ht="21" x14ac:dyDescent="0.3">
      <c r="A2" s="118"/>
      <c r="B2" s="118" t="s">
        <v>41</v>
      </c>
      <c r="C2" s="119"/>
      <c r="D2" s="119"/>
      <c r="E2" s="120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</row>
    <row r="3" spans="1:24" ht="22.8" customHeight="1" x14ac:dyDescent="0.3"/>
    <row r="4" spans="1:24" x14ac:dyDescent="0.3">
      <c r="B4" t="s">
        <v>42</v>
      </c>
      <c r="C4" t="s">
        <v>43</v>
      </c>
      <c r="D4" t="s">
        <v>44</v>
      </c>
      <c r="E4" t="s">
        <v>45</v>
      </c>
      <c r="F4" t="s">
        <v>46</v>
      </c>
      <c r="G4" t="s">
        <v>47</v>
      </c>
    </row>
    <row r="5" spans="1:24" x14ac:dyDescent="0.3">
      <c r="B5" t="s">
        <v>4</v>
      </c>
      <c r="F5" s="1"/>
      <c r="G5" s="1">
        <v>1000</v>
      </c>
    </row>
    <row r="6" spans="1:24" x14ac:dyDescent="0.3">
      <c r="B6" t="s">
        <v>48</v>
      </c>
      <c r="F6" s="1"/>
      <c r="G6" s="1">
        <f>SUM(F7:F11)</f>
        <v>17500</v>
      </c>
    </row>
    <row r="7" spans="1:24" x14ac:dyDescent="0.3">
      <c r="C7" t="s">
        <v>10</v>
      </c>
      <c r="F7" s="1">
        <v>10000</v>
      </c>
      <c r="G7" s="1"/>
    </row>
    <row r="8" spans="1:24" x14ac:dyDescent="0.3">
      <c r="C8" t="s">
        <v>11</v>
      </c>
      <c r="F8" s="1">
        <v>500</v>
      </c>
      <c r="G8" s="1"/>
    </row>
    <row r="9" spans="1:24" x14ac:dyDescent="0.3">
      <c r="C9" t="s">
        <v>2</v>
      </c>
      <c r="F9" s="1">
        <v>3000</v>
      </c>
      <c r="G9" s="1"/>
    </row>
    <row r="10" spans="1:24" x14ac:dyDescent="0.3">
      <c r="C10" t="s">
        <v>12</v>
      </c>
      <c r="F10" s="1">
        <v>2500</v>
      </c>
      <c r="G10" s="1"/>
    </row>
    <row r="11" spans="1:24" x14ac:dyDescent="0.3">
      <c r="C11" t="s">
        <v>6</v>
      </c>
      <c r="E11" t="s">
        <v>53</v>
      </c>
      <c r="F11" s="1">
        <v>1500</v>
      </c>
      <c r="G11" s="1"/>
    </row>
    <row r="12" spans="1:24" x14ac:dyDescent="0.3">
      <c r="B12" t="s">
        <v>1</v>
      </c>
      <c r="F12" s="1"/>
      <c r="G12" s="1">
        <v>900</v>
      </c>
    </row>
    <row r="13" spans="1:24" x14ac:dyDescent="0.3">
      <c r="B13" t="s">
        <v>2</v>
      </c>
      <c r="F13" s="1"/>
      <c r="G13" s="1">
        <v>6000</v>
      </c>
    </row>
    <row r="14" spans="1:24" x14ac:dyDescent="0.3">
      <c r="B14" t="s">
        <v>14</v>
      </c>
      <c r="F14" s="1"/>
      <c r="G14" s="1">
        <f>SUM(F15:F18)</f>
        <v>5300</v>
      </c>
    </row>
    <row r="15" spans="1:24" x14ac:dyDescent="0.3">
      <c r="C15" t="s">
        <v>49</v>
      </c>
      <c r="F15" s="1">
        <v>800</v>
      </c>
      <c r="G15" s="1"/>
    </row>
    <row r="16" spans="1:24" x14ac:dyDescent="0.3">
      <c r="C16" t="s">
        <v>50</v>
      </c>
      <c r="F16" s="1">
        <v>3200</v>
      </c>
      <c r="G16" s="1"/>
    </row>
    <row r="17" spans="2:7" x14ac:dyDescent="0.3">
      <c r="C17" t="s">
        <v>51</v>
      </c>
      <c r="F17" s="1">
        <v>500</v>
      </c>
      <c r="G17" s="1"/>
    </row>
    <row r="18" spans="2:7" x14ac:dyDescent="0.3">
      <c r="C18" t="s">
        <v>52</v>
      </c>
      <c r="F18" s="1">
        <v>800</v>
      </c>
      <c r="G18" s="1"/>
    </row>
    <row r="19" spans="2:7" x14ac:dyDescent="0.3">
      <c r="C19" t="s">
        <v>6</v>
      </c>
      <c r="F19" s="1"/>
      <c r="G19" s="1"/>
    </row>
    <row r="20" spans="2:7" x14ac:dyDescent="0.3">
      <c r="B20" t="s">
        <v>3</v>
      </c>
      <c r="F20" s="1"/>
      <c r="G20" s="1">
        <v>300</v>
      </c>
    </row>
    <row r="21" spans="2:7" x14ac:dyDescent="0.3">
      <c r="B21" t="s">
        <v>15</v>
      </c>
      <c r="F21" s="1"/>
      <c r="G21" s="1">
        <f>SUM(F22:F27)</f>
        <v>11950</v>
      </c>
    </row>
    <row r="22" spans="2:7" x14ac:dyDescent="0.3">
      <c r="C22" t="s">
        <v>16</v>
      </c>
      <c r="F22" s="1">
        <v>1650</v>
      </c>
      <c r="G22" s="1"/>
    </row>
    <row r="23" spans="2:7" x14ac:dyDescent="0.3">
      <c r="C23" t="s">
        <v>17</v>
      </c>
      <c r="F23" s="1">
        <v>3000</v>
      </c>
      <c r="G23" s="1"/>
    </row>
    <row r="24" spans="2:7" x14ac:dyDescent="0.3">
      <c r="C24" t="s">
        <v>18</v>
      </c>
      <c r="F24" s="1">
        <v>3000</v>
      </c>
      <c r="G24" s="1"/>
    </row>
    <row r="25" spans="2:7" x14ac:dyDescent="0.3">
      <c r="C25" t="s">
        <v>19</v>
      </c>
      <c r="F25" s="1">
        <v>2700</v>
      </c>
      <c r="G25" s="1"/>
    </row>
    <row r="26" spans="2:7" x14ac:dyDescent="0.3">
      <c r="C26" t="s">
        <v>13</v>
      </c>
      <c r="F26" s="1">
        <v>1500</v>
      </c>
      <c r="G26" s="1"/>
    </row>
    <row r="27" spans="2:7" x14ac:dyDescent="0.3">
      <c r="C27" t="s">
        <v>6</v>
      </c>
      <c r="E27" s="34"/>
      <c r="F27" s="1">
        <v>100</v>
      </c>
      <c r="G27" s="1"/>
    </row>
    <row r="28" spans="2:7" x14ac:dyDescent="0.3">
      <c r="B28" t="s">
        <v>5</v>
      </c>
      <c r="F28" s="1"/>
      <c r="G28" s="1">
        <v>1500</v>
      </c>
    </row>
    <row r="29" spans="2:7" x14ac:dyDescent="0.3">
      <c r="B29" t="s">
        <v>6</v>
      </c>
      <c r="F29" s="1"/>
      <c r="G29" s="1">
        <v>957</v>
      </c>
    </row>
    <row r="31" spans="2:7" ht="16.2" thickBot="1" x14ac:dyDescent="0.35">
      <c r="B31" s="88" t="s">
        <v>88</v>
      </c>
      <c r="C31" s="88"/>
      <c r="D31" s="88"/>
      <c r="E31" s="85">
        <f>SUM(Tabela1[Valor final])</f>
        <v>45407</v>
      </c>
      <c r="F31" s="85"/>
      <c r="G31" s="85"/>
    </row>
    <row r="32" spans="2:7" ht="16.2" thickBot="1" x14ac:dyDescent="0.35">
      <c r="B32" s="89" t="s">
        <v>86</v>
      </c>
      <c r="C32" s="89"/>
      <c r="D32" s="89"/>
      <c r="E32" s="86">
        <f>(Compras!I30)</f>
        <v>13999.922</v>
      </c>
      <c r="F32" s="86"/>
      <c r="G32" s="86"/>
    </row>
    <row r="33" spans="2:7" ht="15.6" x14ac:dyDescent="0.3">
      <c r="B33" s="90" t="s">
        <v>87</v>
      </c>
      <c r="C33" s="90"/>
      <c r="D33" s="91"/>
      <c r="E33" s="87">
        <f>(E31+E32)</f>
        <v>59406.921999999999</v>
      </c>
      <c r="F33" s="87"/>
      <c r="G33" s="87"/>
    </row>
  </sheetData>
  <mergeCells count="6">
    <mergeCell ref="B32:D32"/>
    <mergeCell ref="B33:C33"/>
    <mergeCell ref="B31:D31"/>
    <mergeCell ref="E31:G31"/>
    <mergeCell ref="E32:G32"/>
    <mergeCell ref="E33:G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X31"/>
  <sheetViews>
    <sheetView showGridLines="0" workbookViewId="0">
      <selection activeCell="C3" sqref="C3"/>
    </sheetView>
  </sheetViews>
  <sheetFormatPr defaultRowHeight="14.4" x14ac:dyDescent="0.3"/>
  <cols>
    <col min="2" max="2" width="33" bestFit="1" customWidth="1"/>
    <col min="3" max="3" width="32.44140625" customWidth="1"/>
    <col min="4" max="4" width="15.109375" customWidth="1"/>
    <col min="5" max="5" width="9.6640625" bestFit="1" customWidth="1"/>
    <col min="6" max="6" width="15.6640625" customWidth="1"/>
    <col min="7" max="7" width="16.44140625" customWidth="1"/>
    <col min="8" max="8" width="11.44140625" customWidth="1"/>
    <col min="9" max="9" width="14.21875" bestFit="1" customWidth="1"/>
  </cols>
  <sheetData>
    <row r="2" spans="1:24" ht="21" x14ac:dyDescent="0.3">
      <c r="A2" s="121"/>
      <c r="B2" s="4" t="s">
        <v>146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46.2" customHeight="1" x14ac:dyDescent="0.3"/>
    <row r="5" spans="1:24" x14ac:dyDescent="0.3">
      <c r="B5" t="s">
        <v>44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H5" t="s">
        <v>59</v>
      </c>
      <c r="I5" t="s">
        <v>60</v>
      </c>
    </row>
    <row r="6" spans="1:24" x14ac:dyDescent="0.3">
      <c r="B6" s="11">
        <v>42190</v>
      </c>
      <c r="C6" s="12" t="s">
        <v>75</v>
      </c>
      <c r="D6" s="12" t="s">
        <v>35</v>
      </c>
      <c r="E6" t="str">
        <f>IFERROR((VLOOKUP(Tabela2[[#This Row],[Mercadoria]],cálculos!$B$2:$E$32,4,FALSE)),"")</f>
        <v>Unidade</v>
      </c>
      <c r="F6" s="13">
        <v>50</v>
      </c>
      <c r="G6" s="7">
        <f>IFERROR((VLOOKUP(Tabela2[[#This Row],[Mercadoria]],cálculos!$B$2:$E$32,2,FALSE)),"")</f>
        <v>2.3660000000000001</v>
      </c>
      <c r="H6" s="17">
        <v>0.05</v>
      </c>
      <c r="I6" s="7">
        <f>IFERROR(Tabela2[[#This Row],[Quantidade]]*Tabela2[[#This Row],[Preço unitário]]*(1-Tabela2[[#This Row],[Desconto]]),"")</f>
        <v>112.38500000000001</v>
      </c>
    </row>
    <row r="7" spans="1:24" x14ac:dyDescent="0.3">
      <c r="B7" s="11">
        <v>42190</v>
      </c>
      <c r="C7" s="12" t="s">
        <v>76</v>
      </c>
      <c r="D7" s="12" t="s">
        <v>21</v>
      </c>
      <c r="E7" s="34" t="str">
        <f>IFERROR((VLOOKUP(Tabela2[[#This Row],[Mercadoria]],cálculos!$B$2:$E$32,4,FALSE)),"")</f>
        <v>Kg</v>
      </c>
      <c r="F7" s="13">
        <v>120</v>
      </c>
      <c r="G7" s="7">
        <f>IFERROR((VLOOKUP(Tabela2[[#This Row],[Mercadoria]],cálculos!$B$2:$E$32,2,FALSE)),"")</f>
        <v>4.0659999999999998</v>
      </c>
      <c r="H7" s="17"/>
      <c r="I7" s="7">
        <f>IFERROR(Tabela2[[#This Row],[Quantidade]]*Tabela2[[#This Row],[Preço unitário]]*(1-Tabela2[[#This Row],[Desconto]]),"")</f>
        <v>487.91999999999996</v>
      </c>
    </row>
    <row r="8" spans="1:24" x14ac:dyDescent="0.3">
      <c r="B8" s="11">
        <v>42189</v>
      </c>
      <c r="C8" s="12" t="s">
        <v>76</v>
      </c>
      <c r="D8" s="12" t="s">
        <v>21</v>
      </c>
      <c r="E8" s="34" t="str">
        <f>IFERROR((VLOOKUP(Tabela2[[#This Row],[Mercadoria]],cálculos!$B$2:$E$32,4,FALSE)),"")</f>
        <v>Kg</v>
      </c>
      <c r="F8" s="13">
        <v>150</v>
      </c>
      <c r="G8" s="7">
        <f>IFERROR((VLOOKUP(Tabela2[[#This Row],[Mercadoria]],cálculos!$B$2:$E$32,2,FALSE)),"")</f>
        <v>4.0659999999999998</v>
      </c>
      <c r="H8" s="17"/>
      <c r="I8" s="7">
        <f>IFERROR(Tabela2[[#This Row],[Quantidade]]*Tabela2[[#This Row],[Preço unitário]]*(1-Tabela2[[#This Row],[Desconto]]),"")</f>
        <v>609.9</v>
      </c>
    </row>
    <row r="9" spans="1:24" x14ac:dyDescent="0.3">
      <c r="B9" s="11">
        <v>42189</v>
      </c>
      <c r="C9" s="12" t="s">
        <v>76</v>
      </c>
      <c r="D9" s="12" t="s">
        <v>20</v>
      </c>
      <c r="E9" s="34" t="str">
        <f>IFERROR((VLOOKUP(Tabela2[[#This Row],[Mercadoria]],cálculos!$B$2:$E$32,4,FALSE)),"")</f>
        <v>Kg</v>
      </c>
      <c r="F9" s="13">
        <v>150</v>
      </c>
      <c r="G9" s="7">
        <f>IFERROR((VLOOKUP(Tabela2[[#This Row],[Mercadoria]],cálculos!$B$2:$E$32,2,FALSE)),"")</f>
        <v>2.3406000000000002</v>
      </c>
      <c r="H9" s="17"/>
      <c r="I9" s="7">
        <f>IFERROR(Tabela2[[#This Row],[Quantidade]]*Tabela2[[#This Row],[Preço unitário]]*(1-Tabela2[[#This Row],[Desconto]]),"")</f>
        <v>351.09000000000003</v>
      </c>
    </row>
    <row r="10" spans="1:24" x14ac:dyDescent="0.3">
      <c r="B10" s="11">
        <v>42189</v>
      </c>
      <c r="C10" s="12" t="s">
        <v>77</v>
      </c>
      <c r="D10" s="12" t="s">
        <v>33</v>
      </c>
      <c r="E10" s="34" t="str">
        <f>IFERROR((VLOOKUP(Tabela2[[#This Row],[Mercadoria]],cálculos!$B$2:$E$32,4,FALSE)),"")</f>
        <v>Lata</v>
      </c>
      <c r="F10" s="13">
        <v>100</v>
      </c>
      <c r="G10" s="7">
        <f>IFERROR((VLOOKUP(Tabela2[[#This Row],[Mercadoria]],cálculos!$B$2:$E$32,2,FALSE)),"")</f>
        <v>2.1023999999999998</v>
      </c>
      <c r="H10" s="17"/>
      <c r="I10" s="7">
        <f>IFERROR(Tabela2[[#This Row],[Quantidade]]*Tabela2[[#This Row],[Preço unitário]]*(1-Tabela2[[#This Row],[Desconto]]),"")</f>
        <v>210.23999999999998</v>
      </c>
    </row>
    <row r="11" spans="1:24" x14ac:dyDescent="0.3">
      <c r="B11" s="11">
        <v>42189</v>
      </c>
      <c r="C11" s="12" t="s">
        <v>77</v>
      </c>
      <c r="D11" s="12" t="s">
        <v>29</v>
      </c>
      <c r="E11" s="34" t="str">
        <f>IFERROR((VLOOKUP(Tabela2[[#This Row],[Mercadoria]],cálculos!$B$2:$E$32,4,FALSE)),"")</f>
        <v>Litro</v>
      </c>
      <c r="F11" s="13">
        <v>200</v>
      </c>
      <c r="G11" s="7">
        <f>IFERROR((VLOOKUP(Tabela2[[#This Row],[Mercadoria]],cálculos!$B$2:$E$32,2,FALSE)),"")</f>
        <v>3.2084999999999999</v>
      </c>
      <c r="H11" s="17"/>
      <c r="I11" s="7">
        <f>IFERROR(Tabela2[[#This Row],[Quantidade]]*Tabela2[[#This Row],[Preço unitário]]*(1-Tabela2[[#This Row],[Desconto]]),"")</f>
        <v>641.69999999999993</v>
      </c>
    </row>
    <row r="12" spans="1:24" x14ac:dyDescent="0.3">
      <c r="B12" s="11">
        <v>42188</v>
      </c>
      <c r="C12" s="12" t="s">
        <v>78</v>
      </c>
      <c r="D12" s="12" t="s">
        <v>39</v>
      </c>
      <c r="E12" s="34" t="str">
        <f>IFERROR((VLOOKUP(Tabela2[[#This Row],[Mercadoria]],cálculos!$B$2:$E$32,4,FALSE)),"")</f>
        <v>Maço</v>
      </c>
      <c r="F12" s="13">
        <v>100</v>
      </c>
      <c r="G12" s="7">
        <f>IFERROR((VLOOKUP(Tabela2[[#This Row],[Mercadoria]],cálculos!$B$2:$E$32,2,FALSE)),"")</f>
        <v>6.3449999999999998</v>
      </c>
      <c r="H12" s="17"/>
      <c r="I12" s="7">
        <f>IFERROR(Tabela2[[#This Row],[Quantidade]]*Tabela2[[#This Row],[Preço unitário]]*(1-Tabela2[[#This Row],[Desconto]]),"")</f>
        <v>634.5</v>
      </c>
    </row>
    <row r="13" spans="1:24" x14ac:dyDescent="0.3">
      <c r="B13" s="11">
        <v>42188</v>
      </c>
      <c r="C13" s="12" t="s">
        <v>79</v>
      </c>
      <c r="D13" s="12" t="s">
        <v>38</v>
      </c>
      <c r="E13" s="34" t="str">
        <f>IFERROR((VLOOKUP(Tabela2[[#This Row],[Mercadoria]],cálculos!$B$2:$E$32,4,FALSE)),"")</f>
        <v>Barra</v>
      </c>
      <c r="F13" s="13">
        <v>100</v>
      </c>
      <c r="G13" s="7">
        <f>IFERROR((VLOOKUP(Tabela2[[#This Row],[Mercadoria]],cálculos!$B$2:$E$32,2,FALSE)),"")</f>
        <v>4.5409000000000006</v>
      </c>
      <c r="H13" s="17"/>
      <c r="I13" s="7">
        <f>IFERROR(Tabela2[[#This Row],[Quantidade]]*Tabela2[[#This Row],[Preço unitário]]*(1-Tabela2[[#This Row],[Desconto]]),"")</f>
        <v>454.09000000000003</v>
      </c>
    </row>
    <row r="14" spans="1:24" x14ac:dyDescent="0.3">
      <c r="B14" s="11">
        <v>42188</v>
      </c>
      <c r="C14" s="12" t="s">
        <v>76</v>
      </c>
      <c r="D14" s="12" t="s">
        <v>21</v>
      </c>
      <c r="E14" s="34" t="str">
        <f>IFERROR((VLOOKUP(Tabela2[[#This Row],[Mercadoria]],cálculos!$B$2:$E$32,4,FALSE)),"")</f>
        <v>Kg</v>
      </c>
      <c r="F14" s="13">
        <v>300</v>
      </c>
      <c r="G14" s="7">
        <f>IFERROR((VLOOKUP(Tabela2[[#This Row],[Mercadoria]],cálculos!$B$2:$E$32,2,FALSE)),"")</f>
        <v>4.0659999999999998</v>
      </c>
      <c r="H14" s="17">
        <v>0.03</v>
      </c>
      <c r="I14" s="7">
        <f>IFERROR(Tabela2[[#This Row],[Quantidade]]*Tabela2[[#This Row],[Preço unitário]]*(1-Tabela2[[#This Row],[Desconto]]),"")</f>
        <v>1183.2059999999999</v>
      </c>
    </row>
    <row r="15" spans="1:24" x14ac:dyDescent="0.3">
      <c r="B15" s="11">
        <v>42188</v>
      </c>
      <c r="C15" s="12" t="s">
        <v>76</v>
      </c>
      <c r="D15" s="12" t="s">
        <v>32</v>
      </c>
      <c r="E15" s="34" t="str">
        <f>IFERROR((VLOOKUP(Tabela2[[#This Row],[Mercadoria]],cálculos!$B$2:$E$32,4,FALSE)),"")</f>
        <v>Pacote</v>
      </c>
      <c r="F15" s="13">
        <v>50</v>
      </c>
      <c r="G15" s="7">
        <f>IFERROR((VLOOKUP(Tabela2[[#This Row],[Mercadoria]],cálculos!$B$2:$E$32,2,FALSE)),"")</f>
        <v>1.0580000000000001</v>
      </c>
      <c r="H15" s="17"/>
      <c r="I15" s="7">
        <f>IFERROR(Tabela2[[#This Row],[Quantidade]]*Tabela2[[#This Row],[Preço unitário]]*(1-Tabela2[[#This Row],[Desconto]]),"")</f>
        <v>52.900000000000006</v>
      </c>
    </row>
    <row r="16" spans="1:24" x14ac:dyDescent="0.3">
      <c r="B16" s="11">
        <v>42188</v>
      </c>
      <c r="C16" s="12" t="s">
        <v>80</v>
      </c>
      <c r="D16" s="12" t="s">
        <v>72</v>
      </c>
      <c r="E16" s="34" t="str">
        <f>IFERROR((VLOOKUP(Tabela2[[#This Row],[Mercadoria]],cálculos!$B$2:$E$32,4,FALSE)),"")</f>
        <v>Unidade</v>
      </c>
      <c r="F16" s="13">
        <v>300</v>
      </c>
      <c r="G16" s="7">
        <f>IFERROR((VLOOKUP(Tabela2[[#This Row],[Mercadoria]],cálculos!$B$2:$E$32,2,FALSE)),"")</f>
        <v>2.6299000000000001</v>
      </c>
      <c r="H16" s="17"/>
      <c r="I16" s="7">
        <f>IFERROR(Tabela2[[#This Row],[Quantidade]]*Tabela2[[#This Row],[Preço unitário]]*(1-Tabela2[[#This Row],[Desconto]]),"")</f>
        <v>788.97</v>
      </c>
    </row>
    <row r="17" spans="2:12" x14ac:dyDescent="0.3">
      <c r="B17" s="11">
        <v>42188</v>
      </c>
      <c r="C17" s="12" t="s">
        <v>79</v>
      </c>
      <c r="D17" s="12" t="s">
        <v>37</v>
      </c>
      <c r="E17" s="34" t="str">
        <f>IFERROR((VLOOKUP(Tabela2[[#This Row],[Mercadoria]],cálculos!$B$2:$E$32,4,FALSE)),"")</f>
        <v>Pacote</v>
      </c>
      <c r="F17" s="13">
        <v>100</v>
      </c>
      <c r="G17" s="7">
        <f>IFERROR((VLOOKUP(Tabela2[[#This Row],[Mercadoria]],cálculos!$B$2:$E$32,2,FALSE)),"")</f>
        <v>1.8506999999999998</v>
      </c>
      <c r="H17" s="17"/>
      <c r="I17" s="7">
        <f>IFERROR(Tabela2[[#This Row],[Quantidade]]*Tabela2[[#This Row],[Preço unitário]]*(1-Tabela2[[#This Row],[Desconto]]),"")</f>
        <v>185.07</v>
      </c>
    </row>
    <row r="18" spans="2:12" x14ac:dyDescent="0.3">
      <c r="B18" s="11">
        <v>42188</v>
      </c>
      <c r="C18" s="12" t="s">
        <v>77</v>
      </c>
      <c r="D18" s="12" t="s">
        <v>33</v>
      </c>
      <c r="E18" s="34" t="str">
        <f>IFERROR((VLOOKUP(Tabela2[[#This Row],[Mercadoria]],cálculos!$B$2:$E$32,4,FALSE)),"")</f>
        <v>Lata</v>
      </c>
      <c r="F18" s="13">
        <v>100</v>
      </c>
      <c r="G18" s="7">
        <f>IFERROR((VLOOKUP(Tabela2[[#This Row],[Mercadoria]],cálculos!$B$2:$E$32,2,FALSE)),"")</f>
        <v>2.1023999999999998</v>
      </c>
      <c r="H18" s="17"/>
      <c r="I18" s="7">
        <f>IFERROR(Tabela2[[#This Row],[Quantidade]]*Tabela2[[#This Row],[Preço unitário]]*(1-Tabela2[[#This Row],[Desconto]]),"")</f>
        <v>210.23999999999998</v>
      </c>
    </row>
    <row r="19" spans="2:12" x14ac:dyDescent="0.3">
      <c r="B19" s="11">
        <v>42188</v>
      </c>
      <c r="C19" s="12" t="s">
        <v>81</v>
      </c>
      <c r="D19" s="12" t="s">
        <v>25</v>
      </c>
      <c r="E19" s="34" t="str">
        <f>IFERROR((VLOOKUP(Tabela2[[#This Row],[Mercadoria]],cálculos!$B$2:$E$32,4,FALSE)),"")</f>
        <v>Kg</v>
      </c>
      <c r="F19" s="13">
        <v>110</v>
      </c>
      <c r="G19" s="7">
        <f>IFERROR((VLOOKUP(Tabela2[[#This Row],[Mercadoria]],cálculos!$B$2:$E$32,2,FALSE)),"")</f>
        <v>6.4216000000000006</v>
      </c>
      <c r="H19" s="17"/>
      <c r="I19" s="7">
        <f>IFERROR(Tabela2[[#This Row],[Quantidade]]*Tabela2[[#This Row],[Preço unitário]]*(1-Tabela2[[#This Row],[Desconto]]),"")</f>
        <v>706.37600000000009</v>
      </c>
    </row>
    <row r="20" spans="2:12" x14ac:dyDescent="0.3">
      <c r="B20" s="11">
        <v>42188</v>
      </c>
      <c r="C20" s="12" t="s">
        <v>82</v>
      </c>
      <c r="D20" s="12" t="s">
        <v>26</v>
      </c>
      <c r="E20" s="34" t="str">
        <f>IFERROR((VLOOKUP(Tabela2[[#This Row],[Mercadoria]],cálculos!$B$2:$E$32,4,FALSE)),"")</f>
        <v>Kg</v>
      </c>
      <c r="F20" s="13">
        <v>50</v>
      </c>
      <c r="G20" s="7">
        <f>IFERROR((VLOOKUP(Tabela2[[#This Row],[Mercadoria]],cálculos!$B$2:$E$32,2,FALSE)),"")</f>
        <v>22.226999999999997</v>
      </c>
      <c r="H20" s="17">
        <v>0.1</v>
      </c>
      <c r="I20" s="7">
        <f>IFERROR(Tabela2[[#This Row],[Quantidade]]*Tabela2[[#This Row],[Preço unitário]]*(1-Tabela2[[#This Row],[Desconto]]),"")</f>
        <v>1000.2149999999999</v>
      </c>
    </row>
    <row r="21" spans="2:12" x14ac:dyDescent="0.3">
      <c r="B21" s="11">
        <v>42187</v>
      </c>
      <c r="C21" s="12" t="s">
        <v>76</v>
      </c>
      <c r="D21" s="12" t="s">
        <v>20</v>
      </c>
      <c r="E21" s="34" t="str">
        <f>IFERROR((VLOOKUP(Tabela2[[#This Row],[Mercadoria]],cálculos!$B$2:$E$32,4,FALSE)),"")</f>
        <v>Kg</v>
      </c>
      <c r="F21" s="13">
        <v>300</v>
      </c>
      <c r="G21" s="7">
        <f>IFERROR((VLOOKUP(Tabela2[[#This Row],[Mercadoria]],cálculos!$B$2:$E$32,2,FALSE)),"")</f>
        <v>2.3406000000000002</v>
      </c>
      <c r="H21" s="17"/>
      <c r="I21" s="7">
        <f>IFERROR(Tabela2[[#This Row],[Quantidade]]*Tabela2[[#This Row],[Preço unitário]]*(1-Tabela2[[#This Row],[Desconto]]),"")</f>
        <v>702.18000000000006</v>
      </c>
    </row>
    <row r="22" spans="2:12" x14ac:dyDescent="0.3">
      <c r="B22" s="11">
        <v>42187</v>
      </c>
      <c r="C22" s="12" t="s">
        <v>75</v>
      </c>
      <c r="D22" s="12" t="s">
        <v>23</v>
      </c>
      <c r="E22" s="34" t="str">
        <f>IFERROR((VLOOKUP(Tabela2[[#This Row],[Mercadoria]],cálculos!$B$2:$E$32,4,FALSE)),"")</f>
        <v>Unidade</v>
      </c>
      <c r="F22" s="13">
        <v>150</v>
      </c>
      <c r="G22" s="7">
        <f>IFERROR((VLOOKUP(Tabela2[[#This Row],[Mercadoria]],cálculos!$B$2:$E$32,2,FALSE)),"")</f>
        <v>2.8405</v>
      </c>
      <c r="H22" s="17"/>
      <c r="I22" s="7">
        <f>IFERROR(Tabela2[[#This Row],[Quantidade]]*Tabela2[[#This Row],[Preço unitário]]*(1-Tabela2[[#This Row],[Desconto]]),"")</f>
        <v>426.07499999999999</v>
      </c>
    </row>
    <row r="23" spans="2:12" x14ac:dyDescent="0.3">
      <c r="B23" s="11">
        <v>42187</v>
      </c>
      <c r="C23" s="12" t="s">
        <v>83</v>
      </c>
      <c r="D23" s="12" t="s">
        <v>30</v>
      </c>
      <c r="E23" s="34" t="str">
        <f>IFERROR((VLOOKUP(Tabela2[[#This Row],[Mercadoria]],cálculos!$B$2:$E$32,4,FALSE)),"")</f>
        <v>Kg</v>
      </c>
      <c r="F23" s="13">
        <v>150</v>
      </c>
      <c r="G23" s="7">
        <f>IFERROR((VLOOKUP(Tabela2[[#This Row],[Mercadoria]],cálculos!$B$2:$E$32,2,FALSE)),"")</f>
        <v>3.6309000000000005</v>
      </c>
      <c r="H23" s="17"/>
      <c r="I23" s="7">
        <f>IFERROR(Tabela2[[#This Row],[Quantidade]]*Tabela2[[#This Row],[Preço unitário]]*(1-Tabela2[[#This Row],[Desconto]]),"")</f>
        <v>544.6350000000001</v>
      </c>
      <c r="L23" s="15"/>
    </row>
    <row r="24" spans="2:12" x14ac:dyDescent="0.3">
      <c r="B24" s="11">
        <v>42187</v>
      </c>
      <c r="C24" s="12" t="s">
        <v>84</v>
      </c>
      <c r="D24" s="12" t="s">
        <v>24</v>
      </c>
      <c r="E24" s="34" t="str">
        <f>IFERROR((VLOOKUP(Tabela2[[#This Row],[Mercadoria]],cálculos!$B$2:$E$32,4,FALSE)),"")</f>
        <v>Kg</v>
      </c>
      <c r="F24" s="13">
        <v>150</v>
      </c>
      <c r="G24" s="7">
        <f>IFERROR((VLOOKUP(Tabela2[[#This Row],[Mercadoria]],cálculos!$B$2:$E$32,2,FALSE)),"")</f>
        <v>14.469000000000001</v>
      </c>
      <c r="H24" s="17"/>
      <c r="I24" s="7">
        <f>IFERROR(Tabela2[[#This Row],[Quantidade]]*Tabela2[[#This Row],[Preço unitário]]*(1-Tabela2[[#This Row],[Desconto]]),"")</f>
        <v>2170.3500000000004</v>
      </c>
    </row>
    <row r="25" spans="2:12" x14ac:dyDescent="0.3">
      <c r="B25" s="11">
        <v>42187</v>
      </c>
      <c r="C25" s="12" t="s">
        <v>77</v>
      </c>
      <c r="D25" s="12" t="s">
        <v>33</v>
      </c>
      <c r="E25" s="34" t="str">
        <f>IFERROR((VLOOKUP(Tabela2[[#This Row],[Mercadoria]],cálculos!$B$2:$E$32,4,FALSE)),"")</f>
        <v>Lata</v>
      </c>
      <c r="F25" s="13">
        <v>100</v>
      </c>
      <c r="G25" s="7">
        <f>IFERROR((VLOOKUP(Tabela2[[#This Row],[Mercadoria]],cálculos!$B$2:$E$32,2,FALSE)),"")</f>
        <v>2.1023999999999998</v>
      </c>
      <c r="H25" s="17"/>
      <c r="I25" s="7">
        <f>IFERROR(Tabela2[[#This Row],[Quantidade]]*Tabela2[[#This Row],[Preço unitário]]*(1-Tabela2[[#This Row],[Desconto]]),"")</f>
        <v>210.23999999999998</v>
      </c>
    </row>
    <row r="26" spans="2:12" x14ac:dyDescent="0.3">
      <c r="B26" s="11">
        <v>42187</v>
      </c>
      <c r="C26" s="12" t="s">
        <v>77</v>
      </c>
      <c r="D26" s="12" t="s">
        <v>28</v>
      </c>
      <c r="E26" s="34" t="str">
        <f>IFERROR((VLOOKUP(Tabela2[[#This Row],[Mercadoria]],cálculos!$B$2:$E$32,4,FALSE)),"")</f>
        <v>Garrafa</v>
      </c>
      <c r="F26" s="13">
        <v>80</v>
      </c>
      <c r="G26" s="7">
        <f>IFERROR((VLOOKUP(Tabela2[[#This Row],[Mercadoria]],cálculos!$B$2:$E$32,2,FALSE)),"")</f>
        <v>26.012999999999998</v>
      </c>
      <c r="H26" s="17"/>
      <c r="I26" s="7">
        <f>IFERROR(Tabela2[[#This Row],[Quantidade]]*Tabela2[[#This Row],[Preço unitário]]*(1-Tabela2[[#This Row],[Desconto]]),"")</f>
        <v>2081.04</v>
      </c>
    </row>
    <row r="27" spans="2:12" x14ac:dyDescent="0.3">
      <c r="B27" s="11">
        <v>42187</v>
      </c>
      <c r="C27" s="12" t="s">
        <v>75</v>
      </c>
      <c r="D27" s="12" t="s">
        <v>35</v>
      </c>
      <c r="E27" s="34" t="str">
        <f>IFERROR((VLOOKUP(Tabela2[[#This Row],[Mercadoria]],cálculos!$B$2:$E$32,4,FALSE)),"")</f>
        <v>Unidade</v>
      </c>
      <c r="F27" s="13">
        <v>100</v>
      </c>
      <c r="G27" s="7">
        <f>IFERROR((VLOOKUP(Tabela2[[#This Row],[Mercadoria]],cálculos!$B$2:$E$32,2,FALSE)),"")</f>
        <v>2.3660000000000001</v>
      </c>
      <c r="H27" s="17"/>
      <c r="I27" s="7">
        <f>IFERROR(Tabela2[[#This Row],[Quantidade]]*Tabela2[[#This Row],[Preço unitário]]*(1-Tabela2[[#This Row],[Desconto]]),"")</f>
        <v>236.60000000000002</v>
      </c>
    </row>
    <row r="28" spans="2:12" x14ac:dyDescent="0.3">
      <c r="B28" s="6"/>
      <c r="E28" s="34" t="str">
        <f>IFERROR((VLOOKUP(Tabela2[[#This Row],[Mercadoria]],cálculos!$B$2:$E$32,4,FALSE)),"")</f>
        <v/>
      </c>
      <c r="G28" s="7" t="str">
        <f>IFERROR((VLOOKUP(Tabela2[[#This Row],[Mercadoria]],cálculos!$B$2:$E$32,2,FALSE)),"")</f>
        <v/>
      </c>
      <c r="H28" s="17"/>
      <c r="I28" s="7" t="str">
        <f>IFERROR(Tabela2[[#This Row],[Quantidade]]*Tabela2[[#This Row],[Preço unitário]]*(1-Tabela2[[#This Row],[Desconto]]),"")</f>
        <v/>
      </c>
    </row>
    <row r="30" spans="2:12" ht="15.6" x14ac:dyDescent="0.3">
      <c r="B30" s="21" t="s">
        <v>85</v>
      </c>
      <c r="C30" s="21"/>
      <c r="D30" s="19"/>
      <c r="E30" s="19"/>
      <c r="F30" s="19"/>
      <c r="G30" s="19"/>
      <c r="H30" s="19"/>
      <c r="I30" s="20">
        <f>SUM(Tabela2[Valor Pago])</f>
        <v>13999.922</v>
      </c>
    </row>
    <row r="31" spans="2:12" x14ac:dyDescent="0.3">
      <c r="B31" s="15"/>
      <c r="C31" s="15"/>
      <c r="D31" s="15"/>
      <c r="E31" s="15"/>
    </row>
  </sheetData>
  <mergeCells count="1">
    <mergeCell ref="B30:C30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8A27F4C-5DCB-4509-9450-AA698C4D6C74}">
          <x14:formula1>
            <xm:f>cálculos!$B$2:$B$31</xm:f>
          </x14:formula1>
          <xm:sqref>D6:D29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X12"/>
  <sheetViews>
    <sheetView showGridLines="0" showRowColHeaders="0" workbookViewId="0">
      <selection activeCell="D10" sqref="D10"/>
    </sheetView>
  </sheetViews>
  <sheetFormatPr defaultRowHeight="14.4" x14ac:dyDescent="0.3"/>
  <cols>
    <col min="2" max="2" width="20.21875" customWidth="1"/>
    <col min="3" max="3" width="17.5546875" customWidth="1"/>
    <col min="4" max="4" width="53" customWidth="1"/>
    <col min="5" max="5" width="15.33203125" bestFit="1" customWidth="1"/>
  </cols>
  <sheetData>
    <row r="2" spans="1:24" ht="21" x14ac:dyDescent="0.3">
      <c r="A2" s="118"/>
      <c r="B2" s="118" t="s">
        <v>9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</row>
    <row r="5" spans="1:24" x14ac:dyDescent="0.3">
      <c r="B5" t="s">
        <v>89</v>
      </c>
      <c r="C5" t="s">
        <v>44</v>
      </c>
      <c r="D5" t="s">
        <v>90</v>
      </c>
      <c r="E5" t="s">
        <v>91</v>
      </c>
    </row>
    <row r="6" spans="1:24" x14ac:dyDescent="0.3">
      <c r="B6" t="s">
        <v>92</v>
      </c>
      <c r="C6" s="14">
        <v>42129</v>
      </c>
      <c r="D6" s="16"/>
      <c r="E6" s="7">
        <v>400000</v>
      </c>
    </row>
    <row r="7" spans="1:24" x14ac:dyDescent="0.3">
      <c r="B7" t="s">
        <v>13</v>
      </c>
      <c r="C7" s="14"/>
      <c r="D7" s="16"/>
      <c r="E7" s="7"/>
    </row>
    <row r="8" spans="1:24" x14ac:dyDescent="0.3">
      <c r="B8" t="s">
        <v>93</v>
      </c>
      <c r="C8" s="14"/>
      <c r="D8" s="16"/>
      <c r="E8" s="7"/>
    </row>
    <row r="9" spans="1:24" x14ac:dyDescent="0.3">
      <c r="B9" t="s">
        <v>94</v>
      </c>
      <c r="C9" s="14"/>
      <c r="D9" s="16"/>
      <c r="E9" s="7"/>
    </row>
    <row r="10" spans="1:24" x14ac:dyDescent="0.3">
      <c r="B10" t="s">
        <v>6</v>
      </c>
      <c r="C10" s="14"/>
      <c r="D10" s="16"/>
      <c r="E10" s="7"/>
    </row>
    <row r="12" spans="1:24" ht="15.6" x14ac:dyDescent="0.3">
      <c r="B12" s="22" t="s">
        <v>95</v>
      </c>
      <c r="C12" s="22"/>
      <c r="D12" s="23"/>
      <c r="E12" s="24">
        <f>SUM(Tabela3[Valor])</f>
        <v>400000</v>
      </c>
    </row>
  </sheetData>
  <mergeCells count="1">
    <mergeCell ref="B12:C12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2:X30"/>
  <sheetViews>
    <sheetView showGridLines="0" topLeftCell="A3" workbookViewId="0">
      <selection activeCell="H10" sqref="H10"/>
    </sheetView>
  </sheetViews>
  <sheetFormatPr defaultRowHeight="14.4" x14ac:dyDescent="0.3"/>
  <cols>
    <col min="2" max="2" width="14.77734375" bestFit="1" customWidth="1"/>
    <col min="3" max="3" width="22" customWidth="1"/>
    <col min="4" max="4" width="21.44140625" customWidth="1"/>
    <col min="5" max="5" width="25.5546875" customWidth="1"/>
    <col min="6" max="6" width="23.21875" customWidth="1"/>
    <col min="7" max="7" width="23.77734375" customWidth="1"/>
    <col min="8" max="8" width="15.33203125" customWidth="1"/>
    <col min="11" max="11" width="5.33203125" bestFit="1" customWidth="1"/>
  </cols>
  <sheetData>
    <row r="2" spans="1:24" ht="21" x14ac:dyDescent="0.3">
      <c r="A2" s="4"/>
      <c r="B2" s="121" t="s">
        <v>147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5" spans="1:24" x14ac:dyDescent="0.3">
      <c r="B5" s="12" t="s">
        <v>96</v>
      </c>
      <c r="C5" s="12" t="s">
        <v>97</v>
      </c>
      <c r="D5" s="12" t="s">
        <v>98</v>
      </c>
      <c r="E5" s="12" t="s">
        <v>99</v>
      </c>
      <c r="F5" s="12" t="s">
        <v>100</v>
      </c>
      <c r="G5" s="12" t="s">
        <v>101</v>
      </c>
      <c r="H5" s="12" t="s">
        <v>102</v>
      </c>
    </row>
    <row r="6" spans="1:24" x14ac:dyDescent="0.3">
      <c r="B6" s="12" t="s">
        <v>23</v>
      </c>
      <c r="C6" s="11">
        <f>IFERROR(INDEX(Tabela2[Data],MATCH(Tabela4[[#This Row],[Produto]],Tabela2[Mercadoria],0),1),"")</f>
        <v>42187</v>
      </c>
      <c r="D6" s="12">
        <v>15</v>
      </c>
      <c r="E6" s="12">
        <f>SUMIF(Compras!D6:D27,Tabela4[[#This Row],[Produto]],Compras!F6:F27)</f>
        <v>150</v>
      </c>
      <c r="F6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3</v>
      </c>
      <c r="G6" s="12">
        <f>Tabela4[[#This Row],[Quantidade Inicial]]+Tabela4[[#This Row],[Quantidade Comprada]]-Tabela4[[#This Row],[Quantidade Vendida]]</f>
        <v>162</v>
      </c>
      <c r="H6" s="26" t="str">
        <f>IF(Tabela4[[#This Row],[Quantidade Atual]]&lt;50,IF(Tabela4[[#This Row],[Quantidade Atual]]&lt;21,"Comprar","Atenção"),"Ok")</f>
        <v>Ok</v>
      </c>
      <c r="K6">
        <f>MATCH(Tabela4[[#This Row],[Produto]],Tabela2[Mercadoria],0)</f>
        <v>17</v>
      </c>
    </row>
    <row r="7" spans="1:24" x14ac:dyDescent="0.3">
      <c r="B7" s="12" t="s">
        <v>32</v>
      </c>
      <c r="C7" s="11">
        <f>IFERROR(INDEX(Tabela2[Data],MATCH(Tabela4[[#This Row],[Produto]],Tabela2[Mercadoria],0),1),"")</f>
        <v>42188</v>
      </c>
      <c r="D7" s="12">
        <v>10</v>
      </c>
      <c r="E7" s="12">
        <f>SUMIF(Compras!D7:D28,Tabela4[[#This Row],[Produto]],Compras!F7:F28)</f>
        <v>50</v>
      </c>
      <c r="F7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3</v>
      </c>
      <c r="G7" s="12">
        <f>Tabela4[[#This Row],[Quantidade Inicial]]+Tabela4[[#This Row],[Quantidade Comprada]]-Tabela4[[#This Row],[Quantidade Vendida]]</f>
        <v>57</v>
      </c>
      <c r="H7" s="26" t="str">
        <f>IF(Tabela4[[#This Row],[Quantidade Atual]]&lt;50,IF(Tabela4[[#This Row],[Quantidade Atual]]&lt;21,"Comprar","Atenção"),"Ok")</f>
        <v>Ok</v>
      </c>
    </row>
    <row r="8" spans="1:24" x14ac:dyDescent="0.3">
      <c r="B8" s="12" t="s">
        <v>20</v>
      </c>
      <c r="C8" s="11">
        <f>IFERROR(INDEX(Tabela2[Data],MATCH(Tabela4[[#This Row],[Produto]],Tabela2[Mercadoria],0),1),"")</f>
        <v>42189</v>
      </c>
      <c r="D8" s="12">
        <v>0</v>
      </c>
      <c r="E8" s="12">
        <f>SUMIF(Compras!D8:D29,Tabela4[[#This Row],[Produto]],Compras!F8:F29)</f>
        <v>450</v>
      </c>
      <c r="F8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7</v>
      </c>
      <c r="G8" s="12">
        <f>Tabela4[[#This Row],[Quantidade Inicial]]+Tabela4[[#This Row],[Quantidade Comprada]]-Tabela4[[#This Row],[Quantidade Vendida]]</f>
        <v>443</v>
      </c>
      <c r="H8" s="26" t="str">
        <f>IF(Tabela4[[#This Row],[Quantidade Atual]]&lt;50,IF(Tabela4[[#This Row],[Quantidade Atual]]&lt;21,"Comprar","Atenção"),"Ok")</f>
        <v>Ok</v>
      </c>
    </row>
    <row r="9" spans="1:24" x14ac:dyDescent="0.3">
      <c r="B9" s="12" t="s">
        <v>37</v>
      </c>
      <c r="C9" s="11">
        <f>IFERROR(INDEX(Tabela2[Data],MATCH(Tabela4[[#This Row],[Produto]],Tabela2[Mercadoria],0),1),"")</f>
        <v>42188</v>
      </c>
      <c r="D9" s="12">
        <v>0</v>
      </c>
      <c r="E9" s="12">
        <f>SUMIF(Compras!D9:D30,Tabela4[[#This Row],[Produto]],Compras!F9:F30)</f>
        <v>100</v>
      </c>
      <c r="F9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4</v>
      </c>
      <c r="G9" s="12">
        <f>Tabela4[[#This Row],[Quantidade Inicial]]+Tabela4[[#This Row],[Quantidade Comprada]]-Tabela4[[#This Row],[Quantidade Vendida]]</f>
        <v>96</v>
      </c>
      <c r="H9" s="26" t="str">
        <f>IF(Tabela4[[#This Row],[Quantidade Atual]]&lt;50,IF(Tabela4[[#This Row],[Quantidade Atual]]&lt;21,"Comprar","Atenção"),"Ok")</f>
        <v>Ok</v>
      </c>
    </row>
    <row r="10" spans="1:24" x14ac:dyDescent="0.3">
      <c r="B10" s="12" t="s">
        <v>40</v>
      </c>
      <c r="C10" s="11" t="str">
        <f>IFERROR(INDEX(Tabela2[Data],MATCH(Tabela4[[#This Row],[Produto]],Tabela2[Mercadoria],0),1),"")</f>
        <v/>
      </c>
      <c r="D10" s="12">
        <v>150</v>
      </c>
      <c r="E10" s="12">
        <f>SUMIF(Compras!D10:D31,Tabela4[[#This Row],[Produto]],Compras!F10:F31)</f>
        <v>0</v>
      </c>
      <c r="F10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10" s="12">
        <f>Tabela4[[#This Row],[Quantidade Inicial]]+Tabela4[[#This Row],[Quantidade Comprada]]-Tabela4[[#This Row],[Quantidade Vendida]]</f>
        <v>150</v>
      </c>
      <c r="H10" s="26" t="str">
        <f>IF(Tabela4[[#This Row],[Quantidade Atual]]&lt;50,IF(Tabela4[[#This Row],[Quantidade Atual]]&lt;21,"Comprar","Atenção"),"Ok")</f>
        <v>Ok</v>
      </c>
    </row>
    <row r="11" spans="1:24" x14ac:dyDescent="0.3">
      <c r="B11" s="12" t="s">
        <v>36</v>
      </c>
      <c r="C11" s="11" t="str">
        <f>IFERROR(INDEX(Tabela2[Data],MATCH(Tabela4[[#This Row],[Produto]],Tabela2[Mercadoria],0),1),"")</f>
        <v/>
      </c>
      <c r="D11" s="12">
        <v>15</v>
      </c>
      <c r="E11" s="12">
        <f>SUMIF(Compras!D11:D32,Tabela4[[#This Row],[Produto]],Compras!F11:F32)</f>
        <v>0</v>
      </c>
      <c r="F11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3</v>
      </c>
      <c r="G11" s="12">
        <f>Tabela4[[#This Row],[Quantidade Inicial]]+Tabela4[[#This Row],[Quantidade Comprada]]-Tabela4[[#This Row],[Quantidade Vendida]]</f>
        <v>12</v>
      </c>
      <c r="H11" s="26" t="str">
        <f>IF(Tabela4[[#This Row],[Quantidade Atual]]&lt;50,IF(Tabela4[[#This Row],[Quantidade Atual]]&lt;21,"Comprar","Atenção"),"Ok")</f>
        <v>Comprar</v>
      </c>
    </row>
    <row r="12" spans="1:24" x14ac:dyDescent="0.3">
      <c r="B12" s="12" t="s">
        <v>24</v>
      </c>
      <c r="C12" s="11">
        <f>IFERROR(INDEX(Tabela2[Data],MATCH(Tabela4[[#This Row],[Produto]],Tabela2[Mercadoria],0),1),"")</f>
        <v>42187</v>
      </c>
      <c r="D12" s="12">
        <v>25</v>
      </c>
      <c r="E12" s="12">
        <f>SUMIF(Compras!D12:D33,Tabela4[[#This Row],[Produto]],Compras!F12:F33)</f>
        <v>150</v>
      </c>
      <c r="F12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16</v>
      </c>
      <c r="G12" s="12">
        <f>Tabela4[[#This Row],[Quantidade Inicial]]+Tabela4[[#This Row],[Quantidade Comprada]]-Tabela4[[#This Row],[Quantidade Vendida]]</f>
        <v>159</v>
      </c>
      <c r="H12" s="26" t="str">
        <f>IF(Tabela4[[#This Row],[Quantidade Atual]]&lt;50,IF(Tabela4[[#This Row],[Quantidade Atual]]&lt;21,"Comprar","Atenção"),"Ok")</f>
        <v>Ok</v>
      </c>
    </row>
    <row r="13" spans="1:24" x14ac:dyDescent="0.3">
      <c r="B13" s="12" t="s">
        <v>30</v>
      </c>
      <c r="C13" s="11">
        <f>IFERROR(INDEX(Tabela2[Data],MATCH(Tabela4[[#This Row],[Produto]],Tabela2[Mercadoria],0),1),"")</f>
        <v>42187</v>
      </c>
      <c r="D13" s="12">
        <v>0</v>
      </c>
      <c r="E13" s="12">
        <f>SUMIF(Compras!D13:D34,Tabela4[[#This Row],[Produto]],Compras!F13:F34)</f>
        <v>150</v>
      </c>
      <c r="F13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13" s="12">
        <f>Tabela4[[#This Row],[Quantidade Inicial]]+Tabela4[[#This Row],[Quantidade Comprada]]-Tabela4[[#This Row],[Quantidade Vendida]]</f>
        <v>150</v>
      </c>
      <c r="H13" s="26" t="str">
        <f>IF(Tabela4[[#This Row],[Quantidade Atual]]&lt;50,IF(Tabela4[[#This Row],[Quantidade Atual]]&lt;21,"Comprar","Atenção"),"Ok")</f>
        <v>Ok</v>
      </c>
    </row>
    <row r="14" spans="1:24" x14ac:dyDescent="0.3">
      <c r="B14" s="12" t="s">
        <v>33</v>
      </c>
      <c r="C14" s="11">
        <f>IFERROR(INDEX(Tabela2[Data],MATCH(Tabela4[[#This Row],[Produto]],Tabela2[Mercadoria],0),1),"")</f>
        <v>42189</v>
      </c>
      <c r="D14" s="12">
        <v>0</v>
      </c>
      <c r="E14" s="12">
        <f>SUMIF(Compras!D14:D35,Tabela4[[#This Row],[Produto]],Compras!F14:F35)</f>
        <v>200</v>
      </c>
      <c r="F14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87</v>
      </c>
      <c r="G14" s="12">
        <f>Tabela4[[#This Row],[Quantidade Inicial]]+Tabela4[[#This Row],[Quantidade Comprada]]-Tabela4[[#This Row],[Quantidade Vendida]]</f>
        <v>113</v>
      </c>
      <c r="H14" s="26" t="str">
        <f>IF(Tabela4[[#This Row],[Quantidade Atual]]&lt;50,IF(Tabela4[[#This Row],[Quantidade Atual]]&lt;21,"Comprar","Atenção"),"Ok")</f>
        <v>Ok</v>
      </c>
    </row>
    <row r="15" spans="1:24" x14ac:dyDescent="0.3">
      <c r="B15" s="12" t="s">
        <v>38</v>
      </c>
      <c r="C15" s="11">
        <f>IFERROR(INDEX(Tabela2[Data],MATCH(Tabela4[[#This Row],[Produto]],Tabela2[Mercadoria],0),1),"")</f>
        <v>42188</v>
      </c>
      <c r="D15" s="12">
        <v>30</v>
      </c>
      <c r="E15" s="12">
        <f>SUMIF(Compras!D15:D36,Tabela4[[#This Row],[Produto]],Compras!F15:F36)</f>
        <v>0</v>
      </c>
      <c r="F15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15" s="12">
        <f>Tabela4[[#This Row],[Quantidade Inicial]]+Tabela4[[#This Row],[Quantidade Comprada]]-Tabela4[[#This Row],[Quantidade Vendida]]</f>
        <v>30</v>
      </c>
      <c r="H15" s="26" t="str">
        <f>IF(Tabela4[[#This Row],[Quantidade Atual]]&lt;50,IF(Tabela4[[#This Row],[Quantidade Atual]]&lt;21,"Comprar","Atenção"),"Ok")</f>
        <v>Atenção</v>
      </c>
    </row>
    <row r="16" spans="1:24" x14ac:dyDescent="0.3">
      <c r="B16" s="12" t="s">
        <v>39</v>
      </c>
      <c r="C16" s="11">
        <f>IFERROR(INDEX(Tabela2[Data],MATCH(Tabela4[[#This Row],[Produto]],Tabela2[Mercadoria],0),1),"")</f>
        <v>42188</v>
      </c>
      <c r="D16" s="12">
        <v>0</v>
      </c>
      <c r="E16" s="12">
        <f>SUMIF(Compras!D16:D37,Tabela4[[#This Row],[Produto]],Compras!F16:F37)</f>
        <v>0</v>
      </c>
      <c r="F16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16" s="12">
        <f>Tabela4[[#This Row],[Quantidade Inicial]]+Tabela4[[#This Row],[Quantidade Comprada]]-Tabela4[[#This Row],[Quantidade Vendida]]</f>
        <v>0</v>
      </c>
      <c r="H16" s="26" t="str">
        <f>IF(Tabela4[[#This Row],[Quantidade Atual]]&lt;50,IF(Tabela4[[#This Row],[Quantidade Atual]]&lt;21,"Comprar","Atenção"),"Ok")</f>
        <v>Comprar</v>
      </c>
    </row>
    <row r="17" spans="2:8" x14ac:dyDescent="0.3">
      <c r="B17" s="12" t="s">
        <v>35</v>
      </c>
      <c r="C17" s="11">
        <f>IFERROR(INDEX(Tabela2[Data],MATCH(Tabela4[[#This Row],[Produto]],Tabela2[Mercadoria],0),1),"")</f>
        <v>42190</v>
      </c>
      <c r="D17" s="12">
        <v>0</v>
      </c>
      <c r="E17" s="12">
        <f>SUMIF(Compras!D17:D38,Tabela4[[#This Row],[Produto]],Compras!F17:F38)</f>
        <v>100</v>
      </c>
      <c r="F17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17" s="12">
        <f>Tabela4[[#This Row],[Quantidade Inicial]]+Tabela4[[#This Row],[Quantidade Comprada]]-Tabela4[[#This Row],[Quantidade Vendida]]</f>
        <v>100</v>
      </c>
      <c r="H17" s="26" t="str">
        <f>IF(Tabela4[[#This Row],[Quantidade Atual]]&lt;50,IF(Tabela4[[#This Row],[Quantidade Atual]]&lt;21,"Comprar","Atenção"),"Ok")</f>
        <v>Ok</v>
      </c>
    </row>
    <row r="18" spans="2:8" x14ac:dyDescent="0.3">
      <c r="B18" s="12" t="s">
        <v>21</v>
      </c>
      <c r="C18" s="11">
        <f>IFERROR(INDEX(Tabela2[Data],MATCH(Tabela4[[#This Row],[Produto]],Tabela2[Mercadoria],0),1),"")</f>
        <v>42190</v>
      </c>
      <c r="D18" s="12">
        <v>0</v>
      </c>
      <c r="E18" s="12">
        <f>SUMIF(Compras!D18:D39,Tabela4[[#This Row],[Produto]],Compras!F18:F39)</f>
        <v>0</v>
      </c>
      <c r="F18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10</v>
      </c>
      <c r="G18" s="12">
        <f>Tabela4[[#This Row],[Quantidade Inicial]]+Tabela4[[#This Row],[Quantidade Comprada]]-Tabela4[[#This Row],[Quantidade Vendida]]</f>
        <v>-10</v>
      </c>
      <c r="H18" s="26" t="str">
        <f>IF(Tabela4[[#This Row],[Quantidade Atual]]&lt;50,IF(Tabela4[[#This Row],[Quantidade Atual]]&lt;21,"Comprar","Atenção"),"Ok")</f>
        <v>Comprar</v>
      </c>
    </row>
    <row r="19" spans="2:8" x14ac:dyDescent="0.3">
      <c r="B19" s="12" t="s">
        <v>25</v>
      </c>
      <c r="C19" s="11">
        <f>IFERROR(INDEX(Tabela2[Data],MATCH(Tabela4[[#This Row],[Produto]],Tabela2[Mercadoria],0),1),"")</f>
        <v>42188</v>
      </c>
      <c r="D19" s="12">
        <v>0</v>
      </c>
      <c r="E19" s="12">
        <f>SUMIF(Compras!D19:D40,Tabela4[[#This Row],[Produto]],Compras!F19:F40)</f>
        <v>110</v>
      </c>
      <c r="F19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19" s="12">
        <f>Tabela4[[#This Row],[Quantidade Inicial]]+Tabela4[[#This Row],[Quantidade Comprada]]-Tabela4[[#This Row],[Quantidade Vendida]]</f>
        <v>110</v>
      </c>
      <c r="H19" s="26" t="str">
        <f>IF(Tabela4[[#This Row],[Quantidade Atual]]&lt;50,IF(Tabela4[[#This Row],[Quantidade Atual]]&lt;21,"Comprar","Atenção"),"Ok")</f>
        <v>Ok</v>
      </c>
    </row>
    <row r="20" spans="2:8" x14ac:dyDescent="0.3">
      <c r="B20" s="12" t="s">
        <v>67</v>
      </c>
      <c r="C20" s="11" t="str">
        <f>IFERROR(INDEX(Tabela2[Data],MATCH(Tabela4[[#This Row],[Produto]],Tabela2[Mercadoria],0),1),"")</f>
        <v/>
      </c>
      <c r="D20" s="12">
        <v>39</v>
      </c>
      <c r="E20" s="12">
        <f>SUMIF(Compras!D20:D41,Tabela4[[#This Row],[Produto]],Compras!F20:F41)</f>
        <v>0</v>
      </c>
      <c r="F20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6</v>
      </c>
      <c r="G20" s="12">
        <f>Tabela4[[#This Row],[Quantidade Inicial]]+Tabela4[[#This Row],[Quantidade Comprada]]-Tabela4[[#This Row],[Quantidade Vendida]]</f>
        <v>33</v>
      </c>
      <c r="H20" s="26" t="str">
        <f>IF(Tabela4[[#This Row],[Quantidade Atual]]&lt;50,IF(Tabela4[[#This Row],[Quantidade Atual]]&lt;21,"Comprar","Atenção"),"Ok")</f>
        <v>Atenção</v>
      </c>
    </row>
    <row r="21" spans="2:8" x14ac:dyDescent="0.3">
      <c r="B21" s="12" t="s">
        <v>72</v>
      </c>
      <c r="C21" s="11">
        <f>IFERROR(INDEX(Tabela2[Data],MATCH(Tabela4[[#This Row],[Produto]],Tabela2[Mercadoria],0),1),"")</f>
        <v>42188</v>
      </c>
      <c r="D21" s="12">
        <v>0</v>
      </c>
      <c r="E21" s="12">
        <f>SUMIF(Compras!D21:D42,Tabela4[[#This Row],[Produto]],Compras!F21:F42)</f>
        <v>0</v>
      </c>
      <c r="F21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5</v>
      </c>
      <c r="G21" s="12">
        <f>Tabela4[[#This Row],[Quantidade Inicial]]+Tabela4[[#This Row],[Quantidade Comprada]]-Tabela4[[#This Row],[Quantidade Vendida]]</f>
        <v>-5</v>
      </c>
      <c r="H21" s="26" t="str">
        <f>IF(Tabela4[[#This Row],[Quantidade Atual]]&lt;50,IF(Tabela4[[#This Row],[Quantidade Atual]]&lt;21,"Comprar","Atenção"),"Ok")</f>
        <v>Comprar</v>
      </c>
    </row>
    <row r="22" spans="2:8" x14ac:dyDescent="0.3">
      <c r="B22" s="12" t="s">
        <v>26</v>
      </c>
      <c r="C22" s="11">
        <f>IFERROR(INDEX(Tabela2[Data],MATCH(Tabela4[[#This Row],[Produto]],Tabela2[Mercadoria],0),1),"")</f>
        <v>42188</v>
      </c>
      <c r="D22" s="12">
        <v>0</v>
      </c>
      <c r="E22" s="12">
        <f>SUMIF(Compras!D22:D43,Tabela4[[#This Row],[Produto]],Compras!F22:F43)</f>
        <v>0</v>
      </c>
      <c r="F22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22" s="12">
        <f>Tabela4[[#This Row],[Quantidade Inicial]]+Tabela4[[#This Row],[Quantidade Comprada]]-Tabela4[[#This Row],[Quantidade Vendida]]</f>
        <v>0</v>
      </c>
      <c r="H22" s="26" t="str">
        <f>IF(Tabela4[[#This Row],[Quantidade Atual]]&lt;50,IF(Tabela4[[#This Row],[Quantidade Atual]]&lt;21,"Comprar","Atenção"),"Ok")</f>
        <v>Comprar</v>
      </c>
    </row>
    <row r="23" spans="2:8" x14ac:dyDescent="0.3">
      <c r="B23" s="12" t="s">
        <v>27</v>
      </c>
      <c r="C23" s="11" t="str">
        <f>IFERROR(INDEX(Tabela2[Data],MATCH(Tabela4[[#This Row],[Produto]],Tabela2[Mercadoria],0),1),"")</f>
        <v/>
      </c>
      <c r="D23" s="12">
        <v>10</v>
      </c>
      <c r="E23" s="12">
        <f>SUMIF(Compras!D23:D44,Tabela4[[#This Row],[Produto]],Compras!F23:F44)</f>
        <v>0</v>
      </c>
      <c r="F23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1.5</v>
      </c>
      <c r="G23" s="12">
        <f>Tabela4[[#This Row],[Quantidade Inicial]]+Tabela4[[#This Row],[Quantidade Comprada]]-Tabela4[[#This Row],[Quantidade Vendida]]</f>
        <v>8.5</v>
      </c>
      <c r="H23" s="26" t="str">
        <f>IF(Tabela4[[#This Row],[Quantidade Atual]]&lt;50,IF(Tabela4[[#This Row],[Quantidade Atual]]&lt;21,"Comprar","Atenção"),"Ok")</f>
        <v>Comprar</v>
      </c>
    </row>
    <row r="24" spans="2:8" x14ac:dyDescent="0.3">
      <c r="B24" s="12" t="s">
        <v>73</v>
      </c>
      <c r="C24" s="11" t="str">
        <f>IFERROR(INDEX(Tabela2[Data],MATCH(Tabela4[[#This Row],[Produto]],Tabela2[Mercadoria],0),1),"")</f>
        <v/>
      </c>
      <c r="D24" s="12">
        <v>100</v>
      </c>
      <c r="E24" s="12">
        <f>SUMIF(Compras!D24:D45,Tabela4[[#This Row],[Produto]],Compras!F24:F45)</f>
        <v>0</v>
      </c>
      <c r="F24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4</v>
      </c>
      <c r="G24" s="12">
        <f>Tabela4[[#This Row],[Quantidade Inicial]]+Tabela4[[#This Row],[Quantidade Comprada]]-Tabela4[[#This Row],[Quantidade Vendida]]</f>
        <v>96</v>
      </c>
      <c r="H24" s="26" t="str">
        <f>IF(Tabela4[[#This Row],[Quantidade Atual]]&lt;50,IF(Tabela4[[#This Row],[Quantidade Atual]]&lt;21,"Comprar","Atenção"),"Ok")</f>
        <v>Ok</v>
      </c>
    </row>
    <row r="25" spans="2:8" x14ac:dyDescent="0.3">
      <c r="B25" s="12" t="s">
        <v>29</v>
      </c>
      <c r="C25" s="11">
        <f>IFERROR(INDEX(Tabela2[Data],MATCH(Tabela4[[#This Row],[Produto]],Tabela2[Mercadoria],0),1),"")</f>
        <v>42189</v>
      </c>
      <c r="D25" s="12">
        <v>0</v>
      </c>
      <c r="E25" s="12">
        <f>SUMIF(Compras!D25:D46,Tabela4[[#This Row],[Produto]],Compras!F25:F46)</f>
        <v>0</v>
      </c>
      <c r="F25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25" s="12">
        <f>Tabela4[[#This Row],[Quantidade Inicial]]+Tabela4[[#This Row],[Quantidade Comprada]]-Tabela4[[#This Row],[Quantidade Vendida]]</f>
        <v>0</v>
      </c>
      <c r="H25" s="26" t="str">
        <f>IF(Tabela4[[#This Row],[Quantidade Atual]]&lt;50,IF(Tabela4[[#This Row],[Quantidade Atual]]&lt;21,"Comprar","Atenção"),"Ok")</f>
        <v>Comprar</v>
      </c>
    </row>
    <row r="26" spans="2:8" x14ac:dyDescent="0.3">
      <c r="B26" s="12" t="s">
        <v>22</v>
      </c>
      <c r="C26" s="11" t="str">
        <f>IFERROR(INDEX(Tabela2[Data],MATCH(Tabela4[[#This Row],[Produto]],Tabela2[Mercadoria],0),1),"")</f>
        <v/>
      </c>
      <c r="D26" s="12">
        <v>30</v>
      </c>
      <c r="E26" s="12">
        <f>SUMIF(Compras!D26:D47,Tabela4[[#This Row],[Produto]],Compras!F26:F47)</f>
        <v>0</v>
      </c>
      <c r="F26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26" s="12">
        <f>Tabela4[[#This Row],[Quantidade Inicial]]+Tabela4[[#This Row],[Quantidade Comprada]]-Tabela4[[#This Row],[Quantidade Vendida]]</f>
        <v>30</v>
      </c>
      <c r="H26" s="26" t="str">
        <f>IF(Tabela4[[#This Row],[Quantidade Atual]]&lt;50,IF(Tabela4[[#This Row],[Quantidade Atual]]&lt;21,"Comprar","Atenção"),"Ok")</f>
        <v>Atenção</v>
      </c>
    </row>
    <row r="27" spans="2:8" x14ac:dyDescent="0.3">
      <c r="B27" s="12" t="s">
        <v>31</v>
      </c>
      <c r="C27" s="11" t="str">
        <f>IFERROR(INDEX(Tabela2[Data],MATCH(Tabela4[[#This Row],[Produto]],Tabela2[Mercadoria],0),1),"")</f>
        <v/>
      </c>
      <c r="D27" s="12">
        <v>50</v>
      </c>
      <c r="E27" s="12">
        <f>SUMIF(Compras!D27:D48,Tabela4[[#This Row],[Produto]],Compras!F27:F48)</f>
        <v>0</v>
      </c>
      <c r="F27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2</v>
      </c>
      <c r="G27" s="12">
        <f>Tabela4[[#This Row],[Quantidade Inicial]]+Tabela4[[#This Row],[Quantidade Comprada]]-Tabela4[[#This Row],[Quantidade Vendida]]</f>
        <v>48</v>
      </c>
      <c r="H27" s="26" t="str">
        <f>IF(Tabela4[[#This Row],[Quantidade Atual]]&lt;50,IF(Tabela4[[#This Row],[Quantidade Atual]]&lt;21,"Comprar","Atenção"),"Ok")</f>
        <v>Atenção</v>
      </c>
    </row>
    <row r="28" spans="2:8" x14ac:dyDescent="0.3">
      <c r="B28" s="12" t="s">
        <v>28</v>
      </c>
      <c r="C28" s="11">
        <f>IFERROR(INDEX(Tabela2[Data],MATCH(Tabela4[[#This Row],[Produto]],Tabela2[Mercadoria],0),1),"")</f>
        <v>42187</v>
      </c>
      <c r="D28" s="12">
        <v>0</v>
      </c>
      <c r="E28" s="12">
        <f>SUMIF(Compras!D28:D49,Tabela4[[#This Row],[Produto]],Compras!F28:F49)</f>
        <v>0</v>
      </c>
      <c r="F28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0</v>
      </c>
      <c r="G28" s="12">
        <f>Tabela4[[#This Row],[Quantidade Inicial]]+Tabela4[[#This Row],[Quantidade Comprada]]-Tabela4[[#This Row],[Quantidade Vendida]]</f>
        <v>0</v>
      </c>
      <c r="H28" s="26" t="str">
        <f>IF(Tabela4[[#This Row],[Quantidade Atual]]&lt;50,IF(Tabela4[[#This Row],[Quantidade Atual]]&lt;21,"Comprar","Atenção"),"Ok")</f>
        <v>Comprar</v>
      </c>
    </row>
    <row r="29" spans="2:8" x14ac:dyDescent="0.3">
      <c r="B29" s="12" t="s">
        <v>34</v>
      </c>
      <c r="C29" s="11" t="str">
        <f>IFERROR(INDEX(Tabela2[Data],MATCH(Tabela4[[#This Row],[Produto]],Tabela2[Mercadoria],0),1),"")</f>
        <v/>
      </c>
      <c r="D29" s="12">
        <v>20</v>
      </c>
      <c r="E29" s="12">
        <f>SUMIF(Compras!D29:D50,Tabela4[[#This Row],[Produto]],Compras!F29:F50)</f>
        <v>0</v>
      </c>
      <c r="F29" s="12">
        <f>SUM(SUMIF(Tabela5[Produto],Tabela4[[#This Row],[Produto]],Tabela5[Quantidade]),SUMIF(Tabela58[Produto],Tabela4[[#This Row],[Produto]],Tabela58[Quantidade]),SUMIF(Tabela589[Produto],Tabela4[[#This Row],[Produto]],Tabela589[Quantidade]),SUMIF(Tabela58910[Produto],Tabela4[[#This Row],[Produto]],Tabela58910[Quantidade]),SUMIF(Tabela5891011[Produto],Tabela4[[#This Row],[Produto]],Tabela5891011[Quantidade]))</f>
        <v>1</v>
      </c>
      <c r="G29" s="12">
        <f>Tabela4[[#This Row],[Quantidade Inicial]]+Tabela4[[#This Row],[Quantidade Comprada]]-Tabela4[[#This Row],[Quantidade Vendida]]</f>
        <v>19</v>
      </c>
      <c r="H29" s="26" t="str">
        <f>IF(Tabela4[[#This Row],[Quantidade Atual]]&lt;50,IF(Tabela4[[#This Row],[Quantidade Atual]]&lt;21,"Comprar","Atenção"),"Ok")</f>
        <v>Comprar</v>
      </c>
    </row>
    <row r="30" spans="2:8" x14ac:dyDescent="0.3">
      <c r="H30" s="25"/>
    </row>
  </sheetData>
  <conditionalFormatting sqref="H6:H29">
    <cfRule type="containsText" dxfId="7" priority="1" operator="containsText" text="Atenção">
      <formula>NOT(ISERROR(SEARCH("Atenção",H6)))</formula>
    </cfRule>
    <cfRule type="containsText" dxfId="6" priority="2" operator="containsText" text="Comprar">
      <formula>NOT(ISERROR(SEARCH("Comprar",H6)))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pageSetUpPr fitToPage="1"/>
  </sheetPr>
  <dimension ref="A2:X19"/>
  <sheetViews>
    <sheetView showGridLines="0" workbookViewId="0">
      <selection activeCell="E23" sqref="E23"/>
    </sheetView>
  </sheetViews>
  <sheetFormatPr defaultRowHeight="14.4" x14ac:dyDescent="0.3"/>
  <cols>
    <col min="2" max="2" width="26.6640625" bestFit="1" customWidth="1"/>
    <col min="3" max="3" width="41.33203125" customWidth="1"/>
    <col min="4" max="4" width="32.5546875" customWidth="1"/>
    <col min="5" max="5" width="25.33203125" customWidth="1"/>
    <col min="6" max="6" width="33.77734375" customWidth="1"/>
  </cols>
  <sheetData>
    <row r="2" spans="1:24" ht="21" x14ac:dyDescent="0.3">
      <c r="A2" s="118"/>
      <c r="B2" s="118" t="s">
        <v>0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</row>
    <row r="4" spans="1:24" s="34" customFormat="1" ht="15" thickBot="1" x14ac:dyDescent="0.35"/>
    <row r="5" spans="1:24" x14ac:dyDescent="0.3">
      <c r="B5" s="101" t="s">
        <v>136</v>
      </c>
      <c r="C5" s="92"/>
      <c r="D5" s="108">
        <f>SUM(D6:D7)</f>
        <v>755.8119999999999</v>
      </c>
    </row>
    <row r="6" spans="1:24" s="34" customFormat="1" x14ac:dyDescent="0.3">
      <c r="B6" s="102"/>
      <c r="C6" s="93" t="s">
        <v>140</v>
      </c>
      <c r="D6" s="109">
        <f>Vendas!D13</f>
        <v>707.3119999999999</v>
      </c>
    </row>
    <row r="7" spans="1:24" s="34" customFormat="1" x14ac:dyDescent="0.3">
      <c r="B7" s="102"/>
      <c r="C7" s="93" t="s">
        <v>117</v>
      </c>
      <c r="D7" s="109">
        <f>Vendas!D32</f>
        <v>48.5</v>
      </c>
    </row>
    <row r="8" spans="1:24" s="34" customFormat="1" x14ac:dyDescent="0.3">
      <c r="B8" s="103" t="s">
        <v>137</v>
      </c>
      <c r="C8" s="95"/>
      <c r="D8" s="110">
        <f>0.15*D5</f>
        <v>113.37179999999998</v>
      </c>
    </row>
    <row r="9" spans="1:24" s="34" customFormat="1" ht="15" thickBot="1" x14ac:dyDescent="0.35">
      <c r="B9" s="104" t="s">
        <v>7</v>
      </c>
      <c r="C9" s="94"/>
      <c r="D9" s="111">
        <f>D5-D8</f>
        <v>642.44019999999989</v>
      </c>
    </row>
    <row r="10" spans="1:24" ht="15" thickTop="1" x14ac:dyDescent="0.3">
      <c r="B10" s="105" t="s">
        <v>87</v>
      </c>
      <c r="C10" s="96"/>
      <c r="D10" s="112">
        <f>D11+D12</f>
        <v>59406.921999999999</v>
      </c>
    </row>
    <row r="11" spans="1:24" s="34" customFormat="1" x14ac:dyDescent="0.3">
      <c r="B11" s="102"/>
      <c r="C11" s="93" t="s">
        <v>141</v>
      </c>
      <c r="D11" s="109">
        <f>Despesas!E32</f>
        <v>13999.922</v>
      </c>
    </row>
    <row r="12" spans="1:24" s="34" customFormat="1" ht="15" thickBot="1" x14ac:dyDescent="0.35">
      <c r="B12" s="103"/>
      <c r="C12" s="95" t="s">
        <v>142</v>
      </c>
      <c r="D12" s="113">
        <f>Despesas!E31</f>
        <v>45407</v>
      </c>
    </row>
    <row r="13" spans="1:24" ht="15.6" thickTop="1" thickBot="1" x14ac:dyDescent="0.35">
      <c r="B13" s="106" t="s">
        <v>138</v>
      </c>
      <c r="C13" s="99"/>
      <c r="D13" s="114">
        <f>D5-D10</f>
        <v>-58651.11</v>
      </c>
    </row>
    <row r="14" spans="1:24" ht="15" thickTop="1" x14ac:dyDescent="0.3">
      <c r="B14" s="107" t="s">
        <v>9</v>
      </c>
      <c r="C14" s="97"/>
      <c r="D14" s="115">
        <f>Investimentos!E12</f>
        <v>400000</v>
      </c>
    </row>
    <row r="15" spans="1:24" x14ac:dyDescent="0.3">
      <c r="B15" s="102" t="s">
        <v>139</v>
      </c>
      <c r="C15" s="98"/>
      <c r="D15" s="109">
        <v>300</v>
      </c>
    </row>
    <row r="16" spans="1:24" x14ac:dyDescent="0.3">
      <c r="B16" s="102" t="s">
        <v>145</v>
      </c>
      <c r="C16" s="98"/>
      <c r="D16" s="127">
        <f>D13-D14-D15</f>
        <v>-458951.11</v>
      </c>
    </row>
    <row r="17" spans="2:4" ht="15" thickBot="1" x14ac:dyDescent="0.35">
      <c r="B17" s="103" t="s">
        <v>2</v>
      </c>
      <c r="C17" s="100"/>
      <c r="D17" s="113">
        <f>IF(D20&gt;1000,0.3*D16,0)</f>
        <v>0</v>
      </c>
    </row>
    <row r="18" spans="2:4" ht="15" thickTop="1" x14ac:dyDescent="0.3">
      <c r="B18" s="116" t="s">
        <v>8</v>
      </c>
      <c r="C18" s="117"/>
      <c r="D18" s="128">
        <f>D16-D17</f>
        <v>-458951.11</v>
      </c>
    </row>
    <row r="19" spans="2:4" x14ac:dyDescent="0.3">
      <c r="B19" s="37"/>
    </row>
  </sheetData>
  <conditionalFormatting sqref="D9 D13 D16 D18">
    <cfRule type="cellIs" dxfId="1" priority="2" operator="lessThan">
      <formula>0</formula>
    </cfRule>
  </conditionalFormatting>
  <conditionalFormatting sqref="F14 D13 D16 D18">
    <cfRule type="cellIs" dxfId="0" priority="1" operator="greater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29" fitToHeight="0" orientation="portrait" r:id="rId1"/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B2:Y51"/>
  <sheetViews>
    <sheetView showGridLines="0" topLeftCell="A37" workbookViewId="0">
      <selection activeCell="U10" sqref="U10"/>
    </sheetView>
  </sheetViews>
  <sheetFormatPr defaultRowHeight="14.4" x14ac:dyDescent="0.3"/>
  <cols>
    <col min="1" max="1" width="3.21875" customWidth="1"/>
    <col min="2" max="2" width="12.77734375" customWidth="1"/>
    <col min="3" max="3" width="37.33203125" bestFit="1" customWidth="1"/>
    <col min="4" max="4" width="15.5546875" bestFit="1" customWidth="1"/>
    <col min="5" max="5" width="4.44140625" customWidth="1"/>
    <col min="6" max="6" width="2.109375" customWidth="1"/>
    <col min="14" max="14" width="2.44140625" customWidth="1"/>
    <col min="15" max="15" width="8.88671875" customWidth="1"/>
    <col min="16" max="16" width="6.33203125" customWidth="1"/>
  </cols>
  <sheetData>
    <row r="2" spans="2:25" ht="21" x14ac:dyDescent="0.3">
      <c r="B2" s="118" t="s">
        <v>148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</row>
    <row r="3" spans="2:25" s="34" customFormat="1" ht="21" x14ac:dyDescent="0.3">
      <c r="B3" s="122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</row>
    <row r="4" spans="2:25" s="34" customFormat="1" ht="21" x14ac:dyDescent="0.3">
      <c r="B4" s="122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</row>
    <row r="5" spans="2:25" ht="15" thickBot="1" x14ac:dyDescent="0.35">
      <c r="S5" s="126"/>
      <c r="T5" s="126"/>
      <c r="U5" s="126"/>
      <c r="V5" s="126"/>
      <c r="W5" s="126"/>
      <c r="X5" s="126"/>
      <c r="Y5" s="126"/>
    </row>
    <row r="6" spans="2:25" s="34" customFormat="1" ht="21.6" thickTop="1" x14ac:dyDescent="0.4">
      <c r="B6" s="54"/>
      <c r="C6" s="55" t="s">
        <v>123</v>
      </c>
      <c r="D6" s="56">
        <f>'Semana 1'!M31</f>
        <v>644.41199999999992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8"/>
      <c r="S6" s="126"/>
      <c r="T6" s="126"/>
      <c r="U6" s="126"/>
      <c r="V6" s="126"/>
      <c r="W6" s="126"/>
      <c r="X6" s="126"/>
      <c r="Y6" s="126"/>
    </row>
    <row r="7" spans="2:25" s="34" customFormat="1" ht="21" x14ac:dyDescent="0.4">
      <c r="B7" s="59"/>
      <c r="C7" s="50" t="s">
        <v>124</v>
      </c>
      <c r="D7" s="51">
        <f>'Semana 2'!M33</f>
        <v>62.9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60"/>
    </row>
    <row r="8" spans="2:25" s="34" customFormat="1" ht="21" x14ac:dyDescent="0.4">
      <c r="B8" s="59"/>
      <c r="C8" s="50" t="s">
        <v>125</v>
      </c>
      <c r="D8" s="51">
        <f>'Semana 3'!M33</f>
        <v>0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60"/>
    </row>
    <row r="9" spans="2:25" s="34" customFormat="1" ht="21" x14ac:dyDescent="0.4">
      <c r="B9" s="59"/>
      <c r="C9" s="50" t="s">
        <v>126</v>
      </c>
      <c r="D9" s="51">
        <f>'Semana 4'!M41</f>
        <v>0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60"/>
    </row>
    <row r="10" spans="2:25" s="34" customFormat="1" ht="21" x14ac:dyDescent="0.4">
      <c r="B10" s="59"/>
      <c r="C10" s="50" t="s">
        <v>127</v>
      </c>
      <c r="D10" s="51">
        <f>'Semana 5'!M30</f>
        <v>0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60"/>
    </row>
    <row r="11" spans="2:25" s="34" customFormat="1" ht="21" x14ac:dyDescent="0.4">
      <c r="B11" s="59"/>
      <c r="C11" s="50" t="s">
        <v>131</v>
      </c>
      <c r="D11" s="50">
        <f>SUM('Semana 1'!M33+'Semana 2'!M35+'Semana 3'!M35+'Semana 4'!M43+'Semana 5'!M32)</f>
        <v>14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60"/>
    </row>
    <row r="12" spans="2:25" s="34" customFormat="1" ht="21" x14ac:dyDescent="0.4">
      <c r="B12" s="59"/>
      <c r="C12" s="50" t="s">
        <v>122</v>
      </c>
      <c r="D12" s="51">
        <f>D13/D11</f>
        <v>50.522285714285708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60"/>
    </row>
    <row r="13" spans="2:25" ht="21" x14ac:dyDescent="0.4">
      <c r="B13" s="59"/>
      <c r="C13" s="52" t="s">
        <v>129</v>
      </c>
      <c r="D13" s="53">
        <f>SUM(D6:D10)</f>
        <v>707.3119999999999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60"/>
    </row>
    <row r="14" spans="2:25" x14ac:dyDescent="0.3">
      <c r="B14" s="59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60"/>
    </row>
    <row r="15" spans="2:25" x14ac:dyDescent="0.3">
      <c r="B15" s="59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60"/>
    </row>
    <row r="16" spans="2:25" x14ac:dyDescent="0.3">
      <c r="B16" s="59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60"/>
    </row>
    <row r="17" spans="2:17" x14ac:dyDescent="0.3">
      <c r="B17" s="59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60"/>
    </row>
    <row r="18" spans="2:17" x14ac:dyDescent="0.3">
      <c r="B18" s="59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60"/>
    </row>
    <row r="19" spans="2:17" x14ac:dyDescent="0.3">
      <c r="B19" s="59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60"/>
    </row>
    <row r="20" spans="2:17" x14ac:dyDescent="0.3">
      <c r="B20" s="59"/>
      <c r="C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60"/>
    </row>
    <row r="21" spans="2:17" x14ac:dyDescent="0.3">
      <c r="B21" s="59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60"/>
    </row>
    <row r="22" spans="2:17" x14ac:dyDescent="0.3">
      <c r="B22" s="59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60"/>
    </row>
    <row r="23" spans="2:17" x14ac:dyDescent="0.3">
      <c r="B23" s="59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60"/>
    </row>
    <row r="24" spans="2:17" x14ac:dyDescent="0.3">
      <c r="B24" s="59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60"/>
    </row>
    <row r="25" spans="2:17" x14ac:dyDescent="0.3">
      <c r="B25" s="59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60"/>
    </row>
    <row r="26" spans="2:17" ht="15" thickBot="1" x14ac:dyDescent="0.35">
      <c r="B26" s="61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3"/>
    </row>
    <row r="27" spans="2:17" ht="15" thickTop="1" x14ac:dyDescent="0.3"/>
    <row r="28" spans="2:17" ht="1.2" customHeight="1" thickBot="1" x14ac:dyDescent="0.35"/>
    <row r="29" spans="2:17" ht="15" thickTop="1" x14ac:dyDescent="0.3">
      <c r="B29" s="74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6"/>
    </row>
    <row r="30" spans="2:17" ht="18" x14ac:dyDescent="0.35">
      <c r="B30" s="77"/>
      <c r="C30" s="71" t="s">
        <v>133</v>
      </c>
      <c r="D30" s="71">
        <f>SUM(COUNTIF(Tabela5[Valor de Entrega],"&gt;0"),COUNTIF(Tabela58[Valor de Entrega],"&gt;0"),COUNTIF(Tabela589[Valor de Entrega],"&gt;0"),COUNTIF(Tabela58910[Valor de Entrega],"&gt;0"),COUNTIF(Tabela5891011[Valor de Entrega],"&gt;0"))</f>
        <v>7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78"/>
    </row>
    <row r="31" spans="2:17" ht="18" x14ac:dyDescent="0.35">
      <c r="B31" s="77"/>
      <c r="C31" s="71" t="s">
        <v>130</v>
      </c>
      <c r="D31" s="72">
        <f>D30/D11</f>
        <v>0.5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78"/>
    </row>
    <row r="32" spans="2:17" ht="18" x14ac:dyDescent="0.35">
      <c r="B32" s="77"/>
      <c r="C32" s="71" t="s">
        <v>135</v>
      </c>
      <c r="D32" s="73">
        <f>SUM('Semana 1'!M32+'Semana 3'!M34+'Semana 2'!M34+'Semana 4'!M42+'Semana 5'!M31)</f>
        <v>48.5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78"/>
    </row>
    <row r="33" spans="2:17" ht="18" x14ac:dyDescent="0.35">
      <c r="B33" s="77"/>
      <c r="C33" s="71" t="s">
        <v>143</v>
      </c>
      <c r="D33" s="83">
        <f>SUM(SUMIF(Tabela5[Valor de Entrega],"&gt;0",Tabela5[Total Para o Cliente]),SUMIF(Tabela58[Valor de Entrega],"&gt;0",Tabela58[Total Para o Cliente]),SUMIF(Tabela589[Valor de Entrega],"&gt;0",Tabela589[Total Para o Cliente]),SUMIF(Tabela58910[Valor de Entrega],"&gt;0",Tabela58910[Total Para o Cliente]),SUMIF(Tabela5891011[Valor de Entrega],"&gt;0",Tabela5891011[Total Para o Cliente]))/D30</f>
        <v>54.730285714285721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78"/>
    </row>
    <row r="34" spans="2:17" ht="18" x14ac:dyDescent="0.35">
      <c r="B34" s="77"/>
      <c r="C34" s="84" t="s">
        <v>144</v>
      </c>
      <c r="D34" s="83">
        <f>(D13-(SUM(SUMIF(Tabela5[Valor de Entrega],"&gt;0",Tabela5[Total Para o Cliente]),SUMIF(Tabela58[Valor de Entrega],"&gt;0",Tabela58[Total Para o Cliente]),SUMIF(Tabela589[Valor de Entrega],"&gt;0",Tabela589[Total Para o Cliente]),SUMIF(Tabela58910[Valor de Entrega],"&gt;0",Tabela58910[Total Para o Cliente]),SUMIF(Tabela5891011[Valor de Entrega],"&gt;0",Tabela5891011[Total Para o Cliente]))))/(D11-D30)</f>
        <v>46.314285714285695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78"/>
    </row>
    <row r="35" spans="2:17" ht="41.4" customHeight="1" thickBot="1" x14ac:dyDescent="0.35">
      <c r="B35" s="79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1"/>
    </row>
    <row r="36" spans="2:17" ht="15" thickTop="1" x14ac:dyDescent="0.3"/>
    <row r="37" spans="2:17" ht="15" thickBot="1" x14ac:dyDescent="0.35"/>
    <row r="38" spans="2:17" ht="15" thickTop="1" x14ac:dyDescent="0.3">
      <c r="B38" s="54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8"/>
    </row>
    <row r="39" spans="2:17" ht="18" x14ac:dyDescent="0.35">
      <c r="B39" s="59"/>
      <c r="C39" s="71" t="s">
        <v>134</v>
      </c>
      <c r="D39" s="71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60"/>
    </row>
    <row r="40" spans="2:17" ht="18" x14ac:dyDescent="0.35">
      <c r="B40" s="59"/>
      <c r="C40" s="71" t="s">
        <v>110</v>
      </c>
      <c r="D40" s="71">
        <f>COUNTIFS(Tabela5[Entrega],Vendas!C40,Tabela5[Total Para o Cliente],"&gt;0")+COUNTIFS(Tabela58[Entrega],Vendas!C40,Tabela58[Total Para o Cliente],"&gt;0")+COUNTIFS(Tabela589[Entrega],Vendas!C40,Tabela589[Total Para o Cliente],"&gt;0")+COUNTIFS(Tabela58910[Entrega],Vendas!C40,Tabela58910[Total Para o Cliente],"&gt;0")+COUNTIFS(Tabela5891011[Entrega],Vendas!C40,Tabela5891011[Total Para o Cliente],"&gt;0")</f>
        <v>7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60"/>
    </row>
    <row r="41" spans="2:17" ht="18" x14ac:dyDescent="0.35">
      <c r="B41" s="59"/>
      <c r="C41" s="71" t="s">
        <v>109</v>
      </c>
      <c r="D41" s="71">
        <f>COUNTIFS(Tabela5[Entrega],Vendas!C41,Tabela5[Total Para o Cliente],"&gt;0")+COUNTIFS(Tabela58[Entrega],Vendas!C41,Tabela58[Total Para o Cliente],"&gt;0")+COUNTIFS(Tabela589[Entrega],Vendas!C41,Tabela589[Total Para o Cliente],"&gt;0")+COUNTIFS(Tabela58910[Entrega],Vendas!C41,Tabela58910[Total Para o Cliente],"&gt;0")+COUNTIFS(Tabela5891011[Entrega],Vendas!C41,Tabela5891011[Total Para o Cliente],"&gt;0")</f>
        <v>0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60"/>
    </row>
    <row r="42" spans="2:17" ht="18" x14ac:dyDescent="0.35">
      <c r="B42" s="59"/>
      <c r="C42" s="71" t="s">
        <v>112</v>
      </c>
      <c r="D42" s="71">
        <f>COUNTIFS(Tabela5[Entrega],Vendas!C42,Tabela5[Total Para o Cliente],"&gt;0")+COUNTIFS(Tabela58[Entrega],Vendas!C42,Tabela58[Total Para o Cliente],"&gt;0")+COUNTIFS(Tabela589[Entrega],Vendas!C42,Tabela589[Total Para o Cliente],"&gt;0")+COUNTIFS(Tabela58910[Entrega],Vendas!C42,Tabela58910[Total Para o Cliente],"&gt;0")+COUNTIFS(Tabela5891011[Entrega],Vendas!C42,Tabela5891011[Total Para o Cliente],"&gt;0")</f>
        <v>2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60"/>
    </row>
    <row r="43" spans="2:17" ht="18" x14ac:dyDescent="0.35">
      <c r="B43" s="59"/>
      <c r="C43" s="71" t="s">
        <v>113</v>
      </c>
      <c r="D43" s="71">
        <f>COUNTIFS(Tabela5[Entrega],Vendas!C43,Tabela5[Total Para o Cliente],"&gt;0")+COUNTIFS(Tabela58[Entrega],Vendas!C43,Tabela58[Total Para o Cliente],"&gt;0")+COUNTIFS(Tabela589[Entrega],Vendas!C43,Tabela589[Total Para o Cliente],"&gt;0")+COUNTIFS(Tabela58910[Entrega],Vendas!C43,Tabela58910[Total Para o Cliente],"&gt;0")+COUNTIFS(Tabela5891011[Entrega],Vendas!C43,Tabela5891011[Total Para o Cliente],"&gt;0")</f>
        <v>3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60"/>
    </row>
    <row r="44" spans="2:17" ht="18" x14ac:dyDescent="0.35">
      <c r="B44" s="59"/>
      <c r="C44" s="71" t="s">
        <v>111</v>
      </c>
      <c r="D44" s="71">
        <f>COUNTIFS(Tabela5[Entrega],Vendas!C44,Tabela5[Total Para o Cliente],"&gt;0")+COUNTIFS(Tabela58[Entrega],Vendas!C44,Tabela58[Total Para o Cliente],"&gt;0")+COUNTIFS(Tabela589[Entrega],Vendas!C44,Tabela589[Total Para o Cliente],"&gt;0")+COUNTIFS(Tabela58910[Entrega],Vendas!C44,Tabela58910[Total Para o Cliente],"&gt;0")+COUNTIFS(Tabela5891011[Entrega],Vendas!C44,Tabela5891011[Total Para o Cliente],"&gt;0")</f>
        <v>2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60"/>
    </row>
    <row r="45" spans="2:17" x14ac:dyDescent="0.3">
      <c r="B45" s="59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60"/>
    </row>
    <row r="46" spans="2:17" x14ac:dyDescent="0.3">
      <c r="B46" s="59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60"/>
    </row>
    <row r="47" spans="2:17" x14ac:dyDescent="0.3">
      <c r="B47" s="59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60"/>
    </row>
    <row r="48" spans="2:17" x14ac:dyDescent="0.3">
      <c r="B48" s="59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60"/>
    </row>
    <row r="49" spans="2:17" x14ac:dyDescent="0.3">
      <c r="B49" s="59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60"/>
    </row>
    <row r="50" spans="2:17" ht="15" thickBot="1" x14ac:dyDescent="0.35">
      <c r="B50" s="61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3"/>
    </row>
    <row r="51" spans="2:17" ht="15" thickTop="1" x14ac:dyDescent="0.3"/>
  </sheetData>
  <phoneticPr fontId="9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95923-0F9C-4185-A75B-4D6C129F10FA}">
  <sheetPr codeName="Planilha8"/>
  <dimension ref="A2:X39"/>
  <sheetViews>
    <sheetView showGridLines="0" topLeftCell="A5" zoomScaleNormal="100" workbookViewId="0">
      <selection activeCell="B5" sqref="B5:M29"/>
    </sheetView>
  </sheetViews>
  <sheetFormatPr defaultRowHeight="14.4" x14ac:dyDescent="0.3"/>
  <cols>
    <col min="1" max="1" width="2.6640625" customWidth="1"/>
    <col min="2" max="2" width="14.5546875" customWidth="1"/>
    <col min="3" max="3" width="21.77734375" customWidth="1"/>
    <col min="4" max="4" width="17.21875" bestFit="1" customWidth="1"/>
    <col min="5" max="5" width="12" customWidth="1"/>
    <col min="6" max="6" width="16.109375" customWidth="1"/>
    <col min="7" max="7" width="13.44140625" customWidth="1"/>
    <col min="8" max="8" width="15" customWidth="1"/>
    <col min="9" max="9" width="14.6640625" customWidth="1"/>
    <col min="10" max="10" width="11.44140625" customWidth="1"/>
    <col min="11" max="11" width="23.44140625" customWidth="1"/>
    <col min="12" max="12" width="12.88671875" customWidth="1"/>
    <col min="13" max="13" width="21.88671875" bestFit="1" customWidth="1"/>
  </cols>
  <sheetData>
    <row r="2" spans="1:24" ht="21" x14ac:dyDescent="0.3">
      <c r="A2" s="2" t="s">
        <v>103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ht="28.2" customHeight="1" x14ac:dyDescent="0.3"/>
    <row r="5" spans="1:24" x14ac:dyDescent="0.3">
      <c r="B5" s="12" t="s">
        <v>104</v>
      </c>
      <c r="C5" s="12" t="s">
        <v>44</v>
      </c>
      <c r="D5" s="12" t="s">
        <v>96</v>
      </c>
      <c r="E5" s="12" t="s">
        <v>56</v>
      </c>
      <c r="F5" s="12" t="s">
        <v>57</v>
      </c>
      <c r="G5" s="12" t="s">
        <v>105</v>
      </c>
      <c r="H5" s="12" t="s">
        <v>106</v>
      </c>
      <c r="I5" s="12" t="s">
        <v>59</v>
      </c>
      <c r="J5" s="12" t="s">
        <v>107</v>
      </c>
      <c r="K5" s="12" t="s">
        <v>114</v>
      </c>
      <c r="L5" s="12" t="s">
        <v>115</v>
      </c>
      <c r="M5" s="12" t="s">
        <v>116</v>
      </c>
    </row>
    <row r="6" spans="1:24" x14ac:dyDescent="0.3">
      <c r="B6" s="12">
        <v>13</v>
      </c>
      <c r="C6" s="27">
        <v>42190</v>
      </c>
      <c r="D6" s="12" t="s">
        <v>36</v>
      </c>
      <c r="E6" s="12" t="str">
        <f>IFERROR(VLOOKUP(D6,cálculos!$B$2:$E$32,4,FALSE),"")</f>
        <v>Pacote</v>
      </c>
      <c r="F6" s="32">
        <v>1</v>
      </c>
      <c r="G6" s="28">
        <f>IFERROR(VLOOKUP(D6,cálculos!$B$2:$E$32,3,FALSE),"")</f>
        <v>0.79</v>
      </c>
      <c r="H6" s="28">
        <f>IFERROR((Tabela5[[#This Row],[Quantidade]]*G6),"")</f>
        <v>0.79</v>
      </c>
      <c r="I6" s="35"/>
      <c r="J6" s="33"/>
      <c r="K6" s="28" t="str">
        <f>IFERROR(IF(Tabela5[[#This Row],[idvenda]]=B7,"0",(VLOOKUP(Tabela5[[#This Row],[Entrega]],cálculos!$G$3:$H$7,2,FALSE))),"0")</f>
        <v>0</v>
      </c>
      <c r="L6" s="28">
        <f>IFERROR(SUM(Tabela5[[#This Row],[Subtotal]]*(1-Tabela5[[#This Row],[Desconto]])+Tabela5[[#This Row],[Valor de Entrega]]),"")</f>
        <v>0.79</v>
      </c>
      <c r="M6" s="46" t="str">
        <f>IF(Tabela5[[#This Row],[idvenda]]=B7,"",SUMIF(Tabela5[idvenda],Tabela5[[#This Row],[idvenda]],Tabela5[Total]))</f>
        <v/>
      </c>
    </row>
    <row r="7" spans="1:24" x14ac:dyDescent="0.3">
      <c r="B7" s="12">
        <v>13</v>
      </c>
      <c r="C7" s="27">
        <v>42190</v>
      </c>
      <c r="D7" s="12" t="s">
        <v>24</v>
      </c>
      <c r="E7" s="12" t="str">
        <f>IFERROR(VLOOKUP(D7,cálculos!$B$2:$E$32,4,FALSE),"")</f>
        <v>Kg</v>
      </c>
      <c r="F7" s="32">
        <v>10</v>
      </c>
      <c r="G7" s="28">
        <f>IFERROR(VLOOKUP(D7,cálculos!$B$2:$E$32,3,FALSE),"")</f>
        <v>15.9</v>
      </c>
      <c r="H7" s="28">
        <f>IFERROR((Tabela5[[#This Row],[Quantidade]]*G7),"")</f>
        <v>159</v>
      </c>
      <c r="I7" s="35">
        <v>0.05</v>
      </c>
      <c r="J7" s="33"/>
      <c r="K7" s="28" t="str">
        <f>IFERROR(IF(Tabela5[[#This Row],[idvenda]]=B8,"0",(VLOOKUP(Tabela5[[#This Row],[Entrega]],cálculos!$G$3:$H$7,2,FALSE))),"0")</f>
        <v>0</v>
      </c>
      <c r="L7" s="28">
        <f>IFERROR(SUM(Tabela5[[#This Row],[Subtotal]]*(1-Tabela5[[#This Row],[Desconto]])+Tabela5[[#This Row],[Valor de Entrega]]),"")</f>
        <v>151.04999999999998</v>
      </c>
      <c r="M7" s="46" t="str">
        <f>IF(Tabela5[[#This Row],[idvenda]]=B8,"",SUMIF(Tabela5[idvenda],Tabela5[[#This Row],[idvenda]],Tabela5[Total]))</f>
        <v/>
      </c>
    </row>
    <row r="8" spans="1:24" x14ac:dyDescent="0.3">
      <c r="B8" s="12">
        <v>13</v>
      </c>
      <c r="C8" s="27">
        <v>42190</v>
      </c>
      <c r="D8" s="12" t="s">
        <v>33</v>
      </c>
      <c r="E8" s="12" t="str">
        <f>IFERROR(VLOOKUP(D8,cálculos!$B$2:$E$32,4,FALSE),"")</f>
        <v>Lata</v>
      </c>
      <c r="F8" s="32">
        <v>24</v>
      </c>
      <c r="G8" s="28">
        <f>IFERROR(VLOOKUP(D8,cálculos!$B$2:$E$32,3,FALSE),"")</f>
        <v>2.19</v>
      </c>
      <c r="H8" s="28">
        <f>IFERROR((Tabela5[[#This Row],[Quantidade]]*G8),"")</f>
        <v>52.56</v>
      </c>
      <c r="I8" s="35">
        <v>0.05</v>
      </c>
      <c r="J8" s="33" t="s">
        <v>113</v>
      </c>
      <c r="K8" s="28">
        <f>IFERROR(IF(Tabela5[[#This Row],[idvenda]]=B9,"0",(VLOOKUP(Tabela5[[#This Row],[Entrega]],cálculos!$G$3:$H$7,2,FALSE))),"0")</f>
        <v>6.5</v>
      </c>
      <c r="L8" s="28">
        <f>IFERROR(SUM(Tabela5[[#This Row],[Subtotal]]*(1-Tabela5[[#This Row],[Desconto]])+Tabela5[[#This Row],[Valor de Entrega]]),"")</f>
        <v>56.432000000000002</v>
      </c>
      <c r="M8" s="46">
        <f>IF(Tabela5[[#This Row],[idvenda]]=B9,"",SUMIF(Tabela5[idvenda],Tabela5[[#This Row],[idvenda]],Tabela5[Total]))</f>
        <v>208.27199999999999</v>
      </c>
    </row>
    <row r="9" spans="1:24" x14ac:dyDescent="0.3">
      <c r="B9" s="12">
        <v>12</v>
      </c>
      <c r="C9" s="27">
        <v>42189</v>
      </c>
      <c r="D9" s="12" t="s">
        <v>33</v>
      </c>
      <c r="E9" s="12" t="str">
        <f>IFERROR(VLOOKUP(D9,cálculos!$B$2:$E$32,4,FALSE),"")</f>
        <v>Lata</v>
      </c>
      <c r="F9" s="32">
        <v>1</v>
      </c>
      <c r="G9" s="28">
        <f>IFERROR(VLOOKUP(D9,cálculos!$B$2:$E$32,3,FALSE),"")</f>
        <v>2.19</v>
      </c>
      <c r="H9" s="28">
        <f>IFERROR((Tabela5[[#This Row],[Quantidade]]*G9),"")</f>
        <v>2.19</v>
      </c>
      <c r="I9" s="35"/>
      <c r="J9" s="33" t="s">
        <v>110</v>
      </c>
      <c r="K9" s="28">
        <f>IFERROR(IF(Tabela5[[#This Row],[idvenda]]=B10,"0",(VLOOKUP(Tabela5[[#This Row],[Entrega]],cálculos!$G$3:$H$7,2,FALSE))),"0")</f>
        <v>0</v>
      </c>
      <c r="L9" s="28">
        <f>IFERROR(SUM(Tabela5[[#This Row],[Subtotal]]*(1-Tabela5[[#This Row],[Desconto]])+Tabela5[[#This Row],[Valor de Entrega]]),"")</f>
        <v>2.19</v>
      </c>
      <c r="M9" s="12">
        <f>IF(Tabela5[[#This Row],[idvenda]]=B10,"",SUMIF(Tabela5[idvenda],Tabela5[[#This Row],[idvenda]],Tabela5[Total]))</f>
        <v>2.19</v>
      </c>
    </row>
    <row r="10" spans="1:24" x14ac:dyDescent="0.3">
      <c r="B10" s="12">
        <v>11</v>
      </c>
      <c r="C10" s="27">
        <v>42189</v>
      </c>
      <c r="D10" s="12" t="s">
        <v>33</v>
      </c>
      <c r="E10" s="12" t="str">
        <f>IFERROR(VLOOKUP(D10,cálculos!$B$2:$E$32,4,FALSE),"")</f>
        <v>Lata</v>
      </c>
      <c r="F10" s="32">
        <v>10</v>
      </c>
      <c r="G10" s="28">
        <f>IFERROR(VLOOKUP(D10,cálculos!$B$2:$E$32,3,FALSE),"")</f>
        <v>2.19</v>
      </c>
      <c r="H10" s="28">
        <f>IFERROR((Tabela5[[#This Row],[Quantidade]]*G10),"")</f>
        <v>21.9</v>
      </c>
      <c r="I10" s="35"/>
      <c r="J10" s="33" t="s">
        <v>110</v>
      </c>
      <c r="K10" s="28">
        <f>IFERROR(IF(Tabela5[[#This Row],[idvenda]]=B11,"0",(VLOOKUP(Tabela5[[#This Row],[Entrega]],cálculos!$G$3:$H$7,2,FALSE))),"0")</f>
        <v>0</v>
      </c>
      <c r="L10" s="28">
        <f>IFERROR(SUM(Tabela5[[#This Row],[Subtotal]]*(1-Tabela5[[#This Row],[Desconto]])+Tabela5[[#This Row],[Valor de Entrega]]),"")</f>
        <v>21.9</v>
      </c>
      <c r="M10" s="12">
        <f>IF(Tabela5[[#This Row],[idvenda]]=B11,"",SUMIF(Tabela5[idvenda],Tabela5[[#This Row],[idvenda]],Tabela5[Total]))</f>
        <v>21.9</v>
      </c>
    </row>
    <row r="11" spans="1:24" x14ac:dyDescent="0.3">
      <c r="B11" s="12">
        <v>10</v>
      </c>
      <c r="C11" s="27">
        <v>42189</v>
      </c>
      <c r="D11" s="12" t="s">
        <v>21</v>
      </c>
      <c r="E11" s="12" t="str">
        <f>IFERROR(VLOOKUP(D11,cálculos!$B$2:$E$32,4,FALSE),"")</f>
        <v>Kg</v>
      </c>
      <c r="F11" s="32">
        <v>6</v>
      </c>
      <c r="G11" s="28">
        <f>IFERROR(VLOOKUP(D11,cálculos!$B$2:$E$32,3,FALSE),"")</f>
        <v>4.28</v>
      </c>
      <c r="H11" s="28">
        <f>IFERROR((Tabela5[[#This Row],[Quantidade]]*G11),"")</f>
        <v>25.68</v>
      </c>
      <c r="I11" s="35"/>
      <c r="J11" s="33" t="s">
        <v>110</v>
      </c>
      <c r="K11" s="28" t="str">
        <f>IFERROR(IF(Tabela5[[#This Row],[idvenda]]=B12,"0",(VLOOKUP(Tabela5[[#This Row],[Entrega]],cálculos!$G$3:$H$7,2,FALSE))),"0")</f>
        <v>0</v>
      </c>
      <c r="L11" s="28">
        <f>IFERROR(SUM(Tabela5[[#This Row],[Subtotal]]*(1-Tabela5[[#This Row],[Desconto]])+Tabela5[[#This Row],[Valor de Entrega]]),"")</f>
        <v>25.68</v>
      </c>
      <c r="M11" s="12" t="str">
        <f>IF(Tabela5[[#This Row],[idvenda]]=B12,"",SUMIF(Tabela5[idvenda],Tabela5[[#This Row],[idvenda]],Tabela5[Total]))</f>
        <v/>
      </c>
    </row>
    <row r="12" spans="1:24" x14ac:dyDescent="0.3">
      <c r="B12" s="12">
        <v>10</v>
      </c>
      <c r="C12" s="27">
        <v>42189</v>
      </c>
      <c r="D12" s="12" t="s">
        <v>73</v>
      </c>
      <c r="E12" s="12" t="str">
        <f>IFERROR(VLOOKUP(D12,cálculos!$B$2:$E$32,4,FALSE),"")</f>
        <v>Litro</v>
      </c>
      <c r="F12" s="32">
        <v>4</v>
      </c>
      <c r="G12" s="28">
        <f>IFERROR(VLOOKUP(D12,cálculos!$B$2:$E$32,3,FALSE),"")</f>
        <v>2.39</v>
      </c>
      <c r="H12" s="28">
        <f>IFERROR((Tabela5[[#This Row],[Quantidade]]*G12),"")</f>
        <v>9.56</v>
      </c>
      <c r="I12" s="35"/>
      <c r="J12" s="33" t="s">
        <v>110</v>
      </c>
      <c r="K12" s="28">
        <f>IFERROR(IF(Tabela5[[#This Row],[idvenda]]=B13,"0",(VLOOKUP(Tabela5[[#This Row],[Entrega]],cálculos!$G$3:$H$7,2,FALSE))),"0")</f>
        <v>0</v>
      </c>
      <c r="L12" s="28">
        <f>IFERROR(SUM(Tabela5[[#This Row],[Subtotal]]*(1-Tabela5[[#This Row],[Desconto]])+Tabela5[[#This Row],[Valor de Entrega]]),"")</f>
        <v>9.56</v>
      </c>
      <c r="M12" s="12">
        <f>IF(Tabela5[[#This Row],[idvenda]]=B13,"",SUMIF(Tabela5[idvenda],Tabela5[[#This Row],[idvenda]],Tabela5[Total]))</f>
        <v>35.24</v>
      </c>
    </row>
    <row r="13" spans="1:24" x14ac:dyDescent="0.3">
      <c r="B13" s="12">
        <v>9</v>
      </c>
      <c r="C13" s="27">
        <v>42188</v>
      </c>
      <c r="D13" s="12" t="s">
        <v>72</v>
      </c>
      <c r="E13" s="12" t="str">
        <f>IFERROR(VLOOKUP(D13,cálculos!$B$2:$E$32,4,FALSE),"")</f>
        <v>Unidade</v>
      </c>
      <c r="F13" s="32">
        <v>5</v>
      </c>
      <c r="G13" s="28">
        <f>IFERROR(VLOOKUP(D13,cálculos!$B$2:$E$32,3,FALSE),"")</f>
        <v>2.89</v>
      </c>
      <c r="H13" s="28">
        <f>IFERROR((Tabela5[[#This Row],[Quantidade]]*G13),"")</f>
        <v>14.450000000000001</v>
      </c>
      <c r="I13" s="35"/>
      <c r="J13" s="33" t="s">
        <v>110</v>
      </c>
      <c r="K13" s="28" t="str">
        <f>IFERROR(IF(Tabela5[[#This Row],[idvenda]]=B14,"0",(VLOOKUP(Tabela5[[#This Row],[Entrega]],cálculos!$G$3:$H$7,2,FALSE))),"0")</f>
        <v>0</v>
      </c>
      <c r="L13" s="28">
        <f>IFERROR(SUM(Tabela5[[#This Row],[Subtotal]]*(1-Tabela5[[#This Row],[Desconto]])+Tabela5[[#This Row],[Valor de Entrega]]),"")</f>
        <v>14.450000000000001</v>
      </c>
      <c r="M13" s="12" t="str">
        <f>IF(Tabela5[[#This Row],[idvenda]]=B14,"",SUMIF(Tabela5[idvenda],Tabela5[[#This Row],[idvenda]],Tabela5[Total]))</f>
        <v/>
      </c>
    </row>
    <row r="14" spans="1:24" x14ac:dyDescent="0.3">
      <c r="B14" s="12">
        <v>9</v>
      </c>
      <c r="C14" s="27">
        <v>42188</v>
      </c>
      <c r="D14" s="12" t="s">
        <v>31</v>
      </c>
      <c r="E14" s="12" t="str">
        <f>IFERROR(VLOOKUP(D14,cálculos!$B$2:$E$32,4,FALSE),"")</f>
        <v>Kg</v>
      </c>
      <c r="F14" s="32">
        <v>2</v>
      </c>
      <c r="G14" s="28">
        <f>IFERROR(VLOOKUP(D14,cálculos!$B$2:$E$32,3,FALSE),"")</f>
        <v>9.58</v>
      </c>
      <c r="H14" s="28">
        <f>IFERROR((Tabela5[[#This Row],[Quantidade]]*G14),"")</f>
        <v>19.16</v>
      </c>
      <c r="I14" s="35"/>
      <c r="J14" s="33" t="s">
        <v>110</v>
      </c>
      <c r="K14" s="28" t="str">
        <f>IFERROR(IF(Tabela5[[#This Row],[idvenda]]=B15,"0",(VLOOKUP(Tabela5[[#This Row],[Entrega]],cálculos!$G$3:$H$7,2,FALSE))),"0")</f>
        <v>0</v>
      </c>
      <c r="L14" s="28">
        <f>IFERROR(SUM(Tabela5[[#This Row],[Subtotal]]*(1-Tabela5[[#This Row],[Desconto]])+Tabela5[[#This Row],[Valor de Entrega]]),"")</f>
        <v>19.16</v>
      </c>
      <c r="M14" s="12" t="str">
        <f>IF(Tabela5[[#This Row],[idvenda]]=B15,"",SUMIF(Tabela5[idvenda],Tabela5[[#This Row],[idvenda]],Tabela5[Total]))</f>
        <v/>
      </c>
    </row>
    <row r="15" spans="1:24" x14ac:dyDescent="0.3">
      <c r="B15" s="12">
        <v>9</v>
      </c>
      <c r="C15" s="27">
        <v>42188</v>
      </c>
      <c r="D15" s="12" t="s">
        <v>27</v>
      </c>
      <c r="E15" s="12" t="str">
        <f>IFERROR(VLOOKUP(D15,cálculos!$B$2:$E$32,4,FALSE),"")</f>
        <v>Kg</v>
      </c>
      <c r="F15" s="32">
        <v>1.5</v>
      </c>
      <c r="G15" s="28">
        <f>IFERROR(VLOOKUP(D15,cálculos!$B$2:$E$32,3,FALSE),"")</f>
        <v>25.9</v>
      </c>
      <c r="H15" s="28">
        <f>IFERROR((Tabela5[[#This Row],[Quantidade]]*G15),"")</f>
        <v>38.849999999999994</v>
      </c>
      <c r="I15" s="35"/>
      <c r="J15" s="33" t="s">
        <v>110</v>
      </c>
      <c r="K15" s="28" t="str">
        <f>IFERROR(IF(Tabela5[[#This Row],[idvenda]]=B16,"0",(VLOOKUP(Tabela5[[#This Row],[Entrega]],cálculos!$G$3:$H$7,2,FALSE))),"0")</f>
        <v>0</v>
      </c>
      <c r="L15" s="28">
        <f>IFERROR(SUM(Tabela5[[#This Row],[Subtotal]]*(1-Tabela5[[#This Row],[Desconto]])+Tabela5[[#This Row],[Valor de Entrega]]),"")</f>
        <v>38.849999999999994</v>
      </c>
      <c r="M15" s="12" t="str">
        <f>IF(Tabela5[[#This Row],[idvenda]]=B16,"",SUMIF(Tabela5[idvenda],Tabela5[[#This Row],[idvenda]],Tabela5[Total]))</f>
        <v/>
      </c>
    </row>
    <row r="16" spans="1:24" x14ac:dyDescent="0.3">
      <c r="B16" s="12">
        <v>9</v>
      </c>
      <c r="C16" s="27">
        <v>42188</v>
      </c>
      <c r="D16" s="12" t="s">
        <v>21</v>
      </c>
      <c r="E16" s="12" t="str">
        <f>IFERROR(VLOOKUP(D16,cálculos!$B$2:$E$32,4,FALSE),"")</f>
        <v>Kg</v>
      </c>
      <c r="F16" s="32">
        <v>4</v>
      </c>
      <c r="G16" s="28">
        <f>IFERROR(VLOOKUP(D16,cálculos!$B$2:$E$32,3,FALSE),"")</f>
        <v>4.28</v>
      </c>
      <c r="H16" s="28">
        <f>IFERROR((Tabela5[[#This Row],[Quantidade]]*G16),"")</f>
        <v>17.12</v>
      </c>
      <c r="I16" s="35"/>
      <c r="J16" s="33" t="s">
        <v>110</v>
      </c>
      <c r="K16" s="28">
        <f>IFERROR(IF(Tabela5[[#This Row],[idvenda]]=B17,"0",(VLOOKUP(Tabela5[[#This Row],[Entrega]],cálculos!$G$3:$H$7,2,FALSE))),"0")</f>
        <v>0</v>
      </c>
      <c r="L16" s="28">
        <f>IFERROR(SUM(Tabela5[[#This Row],[Subtotal]]*(1-Tabela5[[#This Row],[Desconto]])+Tabela5[[#This Row],[Valor de Entrega]]),"")</f>
        <v>17.12</v>
      </c>
      <c r="M16" s="12">
        <f>IF(Tabela5[[#This Row],[idvenda]]=B17,"",SUMIF(Tabela5[idvenda],Tabela5[[#This Row],[idvenda]],Tabela5[Total]))</f>
        <v>89.58</v>
      </c>
    </row>
    <row r="17" spans="2:13" x14ac:dyDescent="0.3">
      <c r="B17" s="12">
        <v>8</v>
      </c>
      <c r="C17" s="27">
        <v>42188</v>
      </c>
      <c r="D17" s="12" t="s">
        <v>33</v>
      </c>
      <c r="E17" s="12" t="str">
        <f>IFERROR(VLOOKUP(D17,cálculos!$B$2:$E$32,4,FALSE),"")</f>
        <v>Lata</v>
      </c>
      <c r="F17" s="32">
        <v>20</v>
      </c>
      <c r="G17" s="28">
        <f>IFERROR(VLOOKUP(D17,cálculos!$B$2:$E$32,3,FALSE),"")</f>
        <v>2.19</v>
      </c>
      <c r="H17" s="28">
        <f>IFERROR((Tabela5[[#This Row],[Quantidade]]*G17),"")</f>
        <v>43.8</v>
      </c>
      <c r="I17" s="35">
        <v>0.05</v>
      </c>
      <c r="J17" s="33" t="s">
        <v>113</v>
      </c>
      <c r="K17" s="28">
        <f>IFERROR(IF(Tabela5[[#This Row],[idvenda]]=B18,"0",(VLOOKUP(Tabela5[[#This Row],[Entrega]],cálculos!$G$3:$H$7,2,FALSE))),"0")</f>
        <v>6.5</v>
      </c>
      <c r="L17" s="28">
        <f>IFERROR(SUM(Tabela5[[#This Row],[Subtotal]]*(1-Tabela5[[#This Row],[Desconto]])+Tabela5[[#This Row],[Valor de Entrega]]),"")</f>
        <v>48.109999999999992</v>
      </c>
      <c r="M17" s="12">
        <f>IF(Tabela5[[#This Row],[idvenda]]=B18,"",SUMIF(Tabela5[idvenda],Tabela5[[#This Row],[idvenda]],Tabela5[Total]))</f>
        <v>48.109999999999992</v>
      </c>
    </row>
    <row r="18" spans="2:13" x14ac:dyDescent="0.3">
      <c r="B18" s="12">
        <v>7</v>
      </c>
      <c r="C18" s="27">
        <v>42188</v>
      </c>
      <c r="D18" s="12" t="s">
        <v>33</v>
      </c>
      <c r="E18" s="12" t="str">
        <f>IFERROR(VLOOKUP(D18,cálculos!$B$2:$E$32,4,FALSE),"")</f>
        <v>Lata</v>
      </c>
      <c r="F18" s="32">
        <v>20</v>
      </c>
      <c r="G18" s="28">
        <f>IFERROR(VLOOKUP(D18,cálculos!$B$2:$E$32,3,FALSE),"")</f>
        <v>2.19</v>
      </c>
      <c r="H18" s="28">
        <f>IFERROR((Tabela5[[#This Row],[Quantidade]]*G18),"")</f>
        <v>43.8</v>
      </c>
      <c r="I18" s="35">
        <v>0.05</v>
      </c>
      <c r="J18" s="33" t="s">
        <v>110</v>
      </c>
      <c r="K18" s="28">
        <f>IFERROR(IF(Tabela5[[#This Row],[idvenda]]=B19,"0",(VLOOKUP(Tabela5[[#This Row],[Entrega]],cálculos!$G$3:$H$7,2,FALSE))),"0")</f>
        <v>0</v>
      </c>
      <c r="L18" s="28">
        <f>IFERROR(SUM(Tabela5[[#This Row],[Subtotal]]*(1-Tabela5[[#This Row],[Desconto]])+Tabela5[[#This Row],[Valor de Entrega]]),"")</f>
        <v>41.609999999999992</v>
      </c>
      <c r="M18" s="12">
        <f>IF(Tabela5[[#This Row],[idvenda]]=B19,"",SUMIF(Tabela5[idvenda],Tabela5[[#This Row],[idvenda]],Tabela5[Total]))</f>
        <v>41.609999999999992</v>
      </c>
    </row>
    <row r="19" spans="2:13" x14ac:dyDescent="0.3">
      <c r="B19" s="12">
        <v>6</v>
      </c>
      <c r="C19" s="27">
        <v>42188</v>
      </c>
      <c r="D19" s="12" t="s">
        <v>36</v>
      </c>
      <c r="E19" s="12" t="str">
        <f>IFERROR(VLOOKUP(D19,cálculos!$B$2:$E$32,4,FALSE),"")</f>
        <v>Pacote</v>
      </c>
      <c r="F19" s="32">
        <v>2</v>
      </c>
      <c r="G19" s="28">
        <f>IFERROR(VLOOKUP(D19,cálculos!$B$2:$E$32,3,FALSE),"")</f>
        <v>0.79</v>
      </c>
      <c r="H19" s="28">
        <f>IFERROR((Tabela5[[#This Row],[Quantidade]]*G19),"")</f>
        <v>1.58</v>
      </c>
      <c r="I19" s="35"/>
      <c r="J19" s="33" t="s">
        <v>110</v>
      </c>
      <c r="K19" s="28" t="str">
        <f>IFERROR(IF(Tabela5[[#This Row],[idvenda]]=B20,"0",(VLOOKUP(Tabela5[[#This Row],[Entrega]],cálculos!$G$3:$H$7,2,FALSE))),"0")</f>
        <v>0</v>
      </c>
      <c r="L19" s="28">
        <f>IFERROR(SUM(Tabela5[[#This Row],[Subtotal]]*(1-Tabela5[[#This Row],[Desconto]])+Tabela5[[#This Row],[Valor de Entrega]]),"")</f>
        <v>1.58</v>
      </c>
      <c r="M19" s="12" t="str">
        <f>IF(Tabela5[[#This Row],[idvenda]]=B20,"",SUMIF(Tabela5[idvenda],Tabela5[[#This Row],[idvenda]],Tabela5[Total]))</f>
        <v/>
      </c>
    </row>
    <row r="20" spans="2:13" x14ac:dyDescent="0.3">
      <c r="B20" s="12">
        <v>6</v>
      </c>
      <c r="C20" s="27">
        <v>42188</v>
      </c>
      <c r="D20" s="12" t="s">
        <v>24</v>
      </c>
      <c r="E20" s="12" t="str">
        <f>IFERROR(VLOOKUP(D20,cálculos!$B$2:$E$32,4,FALSE),"")</f>
        <v>Kg</v>
      </c>
      <c r="F20" s="32">
        <v>6</v>
      </c>
      <c r="G20" s="28">
        <f>IFERROR(VLOOKUP(D20,cálculos!$B$2:$E$32,3,FALSE),"")</f>
        <v>15.9</v>
      </c>
      <c r="H20" s="28">
        <f>IFERROR((Tabela5[[#This Row],[Quantidade]]*G20),"")</f>
        <v>95.4</v>
      </c>
      <c r="I20" s="35"/>
      <c r="J20" s="33" t="s">
        <v>110</v>
      </c>
      <c r="K20" s="28" t="str">
        <f>IFERROR(IF(Tabela5[[#This Row],[idvenda]]=B21,"0",(VLOOKUP(Tabela5[[#This Row],[Entrega]],cálculos!$G$3:$H$7,2,FALSE))),"0")</f>
        <v>0</v>
      </c>
      <c r="L20" s="28">
        <f>IFERROR(SUM(Tabela5[[#This Row],[Subtotal]]*(1-Tabela5[[#This Row],[Desconto]])+Tabela5[[#This Row],[Valor de Entrega]]),"")</f>
        <v>95.4</v>
      </c>
      <c r="M20" s="12" t="str">
        <f>IF(Tabela5[[#This Row],[idvenda]]=B21,"",SUMIF(Tabela5[idvenda],Tabela5[[#This Row],[idvenda]],Tabela5[Total]))</f>
        <v/>
      </c>
    </row>
    <row r="21" spans="2:13" x14ac:dyDescent="0.3">
      <c r="B21" s="12">
        <v>6</v>
      </c>
      <c r="C21" s="27">
        <v>42188</v>
      </c>
      <c r="D21" s="12" t="s">
        <v>33</v>
      </c>
      <c r="E21" s="12" t="str">
        <f>IFERROR(VLOOKUP(D21,cálculos!$B$2:$E$32,4,FALSE),"")</f>
        <v>Lata</v>
      </c>
      <c r="F21" s="32">
        <v>12</v>
      </c>
      <c r="G21" s="28">
        <f>IFERROR(VLOOKUP(D21,cálculos!$B$2:$E$32,3,FALSE),"")</f>
        <v>2.19</v>
      </c>
      <c r="H21" s="28">
        <f>IFERROR((Tabela5[[#This Row],[Quantidade]]*G21),"")</f>
        <v>26.28</v>
      </c>
      <c r="I21" s="35"/>
      <c r="J21" s="33" t="s">
        <v>110</v>
      </c>
      <c r="K21" s="28">
        <f>IFERROR(IF(Tabela5[[#This Row],[idvenda]]=B22,"0",(VLOOKUP(Tabela5[[#This Row],[Entrega]],cálculos!$G$3:$H$7,2,FALSE))),"0")</f>
        <v>0</v>
      </c>
      <c r="L21" s="28">
        <f>IFERROR(SUM(Tabela5[[#This Row],[Subtotal]]*(1-Tabela5[[#This Row],[Desconto]])+Tabela5[[#This Row],[Valor de Entrega]]),"")</f>
        <v>26.28</v>
      </c>
      <c r="M21" s="12">
        <f>IF(Tabela5[[#This Row],[idvenda]]=B22,"",SUMIF(Tabela5[idvenda],Tabela5[[#This Row],[idvenda]],Tabela5[Total]))</f>
        <v>123.26</v>
      </c>
    </row>
    <row r="22" spans="2:13" x14ac:dyDescent="0.3">
      <c r="B22" s="12">
        <v>5</v>
      </c>
      <c r="C22" s="27">
        <v>42187</v>
      </c>
      <c r="D22" s="12" t="s">
        <v>23</v>
      </c>
      <c r="E22" s="12" t="str">
        <f>IFERROR(VLOOKUP(D22,cálculos!$B$2:$E$32,4,FALSE),"")</f>
        <v>Unidade</v>
      </c>
      <c r="F22" s="32">
        <v>3</v>
      </c>
      <c r="G22" s="28">
        <f>IFERROR(VLOOKUP(D22,cálculos!$B$2:$E$32,3,FALSE),"")</f>
        <v>2.99</v>
      </c>
      <c r="H22" s="28">
        <f>IFERROR((Tabela5[[#This Row],[Quantidade]]*G22),"")</f>
        <v>8.9700000000000006</v>
      </c>
      <c r="I22" s="35"/>
      <c r="J22" s="33" t="s">
        <v>113</v>
      </c>
      <c r="K22" s="28">
        <f>IFERROR(IF(Tabela5[[#This Row],[idvenda]]=B23,"0",(VLOOKUP(Tabela5[[#This Row],[Entrega]],cálculos!$G$3:$H$7,2,FALSE))),"0")</f>
        <v>6.5</v>
      </c>
      <c r="L22" s="28">
        <f>IFERROR(SUM(Tabela5[[#This Row],[Subtotal]]*(1-Tabela5[[#This Row],[Desconto]])+Tabela5[[#This Row],[Valor de Entrega]]),"")</f>
        <v>15.47</v>
      </c>
      <c r="M22" s="12">
        <f>IF(Tabela5[[#This Row],[idvenda]]=B23,"",SUMIF(Tabela5[idvenda],Tabela5[[#This Row],[idvenda]],Tabela5[Total]))</f>
        <v>15.47</v>
      </c>
    </row>
    <row r="23" spans="2:13" x14ac:dyDescent="0.3">
      <c r="B23" s="12">
        <v>4</v>
      </c>
      <c r="C23" s="27">
        <v>42187</v>
      </c>
      <c r="D23" s="12" t="s">
        <v>37</v>
      </c>
      <c r="E23" s="12" t="str">
        <f>IFERROR(VLOOKUP(D23,cálculos!$B$2:$E$32,4,FALSE),"")</f>
        <v>Pacote</v>
      </c>
      <c r="F23" s="32">
        <v>2</v>
      </c>
      <c r="G23" s="28">
        <f>IFERROR(VLOOKUP(D23,cálculos!$B$2:$E$32,3,FALSE),"")</f>
        <v>1.99</v>
      </c>
      <c r="H23" s="28">
        <f>IFERROR((Tabela5[[#This Row],[Quantidade]]*G23),"")</f>
        <v>3.98</v>
      </c>
      <c r="I23" s="35"/>
      <c r="J23" s="33" t="s">
        <v>111</v>
      </c>
      <c r="K23" s="28" t="str">
        <f>IFERROR(IF(Tabela5[[#This Row],[idvenda]]=B24,"0",(VLOOKUP(Tabela5[[#This Row],[Entrega]],cálculos!$G$3:$H$7,2,FALSE))),"0")</f>
        <v>0</v>
      </c>
      <c r="L23" s="28">
        <f>IFERROR(SUM(Tabela5[[#This Row],[Subtotal]]*(1-Tabela5[[#This Row],[Desconto]])+Tabela5[[#This Row],[Valor de Entrega]]),"")</f>
        <v>3.98</v>
      </c>
      <c r="M23" s="12" t="str">
        <f>IF(Tabela5[[#This Row],[idvenda]]=B24,"",SUMIF(Tabela5[idvenda],Tabela5[[#This Row],[idvenda]],Tabela5[Total]))</f>
        <v/>
      </c>
    </row>
    <row r="24" spans="2:13" x14ac:dyDescent="0.3">
      <c r="B24" s="12">
        <v>4</v>
      </c>
      <c r="C24" s="27">
        <v>42187</v>
      </c>
      <c r="D24" s="12" t="s">
        <v>20</v>
      </c>
      <c r="E24" s="12" t="str">
        <f>IFERROR(VLOOKUP(D24,cálculos!$B$2:$E$32,4,FALSE),"")</f>
        <v>Kg</v>
      </c>
      <c r="F24" s="32">
        <v>5</v>
      </c>
      <c r="G24" s="28">
        <f>IFERROR(VLOOKUP(D24,cálculos!$B$2:$E$32,3,FALSE),"")</f>
        <v>2.4900000000000002</v>
      </c>
      <c r="H24" s="28">
        <f>IFERROR((Tabela5[[#This Row],[Quantidade]]*G24),"")</f>
        <v>12.450000000000001</v>
      </c>
      <c r="I24" s="35"/>
      <c r="J24" s="33" t="s">
        <v>111</v>
      </c>
      <c r="K24" s="28">
        <f>IFERROR(IF(Tabela5[[#This Row],[idvenda]]=B25,"0",(VLOOKUP(Tabela5[[#This Row],[Entrega]],cálculos!$G$3:$H$7,2,FALSE))),"0")</f>
        <v>6.5</v>
      </c>
      <c r="L24" s="28">
        <f>IFERROR(SUM(Tabela5[[#This Row],[Subtotal]]*(1-Tabela5[[#This Row],[Desconto]])+Tabela5[[#This Row],[Valor de Entrega]]),"")</f>
        <v>18.950000000000003</v>
      </c>
      <c r="M24" s="12">
        <f>IF(Tabela5[[#This Row],[idvenda]]=B25,"",SUMIF(Tabela5[idvenda],Tabela5[[#This Row],[idvenda]],Tabela5[Total]))</f>
        <v>22.930000000000003</v>
      </c>
    </row>
    <row r="25" spans="2:13" x14ac:dyDescent="0.3">
      <c r="B25" s="12">
        <v>3</v>
      </c>
      <c r="C25" s="27">
        <v>42187</v>
      </c>
      <c r="D25" s="12" t="s">
        <v>67</v>
      </c>
      <c r="E25" s="12" t="str">
        <f>IFERROR(VLOOKUP(D25,cálculos!$B$2:$E$32,4,FALSE),"")</f>
        <v>Litro</v>
      </c>
      <c r="F25" s="32">
        <v>6</v>
      </c>
      <c r="G25" s="28">
        <f>IFERROR(VLOOKUP(D25,cálculos!$B$2:$E$32,3,FALSE),"")</f>
        <v>1.49</v>
      </c>
      <c r="H25" s="28">
        <f>IFERROR((Tabela5[[#This Row],[Quantidade]]*G25),"")</f>
        <v>8.94</v>
      </c>
      <c r="I25" s="35"/>
      <c r="J25" s="33" t="s">
        <v>112</v>
      </c>
      <c r="K25" s="28">
        <f>IFERROR(IF(Tabela5[[#This Row],[idvenda]]=B26,"0",(VLOOKUP(Tabela5[[#This Row],[Entrega]],cálculos!$G$3:$H$7,2,FALSE))),"0")</f>
        <v>8</v>
      </c>
      <c r="L25" s="28">
        <f>IFERROR(SUM(Tabela5[[#This Row],[Subtotal]]*(1-Tabela5[[#This Row],[Desconto]])+Tabela5[[#This Row],[Valor de Entrega]]),"")</f>
        <v>16.939999999999998</v>
      </c>
      <c r="M25" s="12">
        <f>IF(Tabela5[[#This Row],[idvenda]]=B26,"",SUMIF(Tabela5[idvenda],Tabela5[[#This Row],[idvenda]],Tabela5[Total]))</f>
        <v>16.939999999999998</v>
      </c>
    </row>
    <row r="26" spans="2:13" x14ac:dyDescent="0.3">
      <c r="B26" s="12">
        <v>2</v>
      </c>
      <c r="C26" s="27">
        <v>42187</v>
      </c>
      <c r="D26" s="12" t="s">
        <v>37</v>
      </c>
      <c r="E26" s="12" t="str">
        <f>IFERROR(VLOOKUP(D26,cálculos!$B$2:$E$32,4,FALSE),"")</f>
        <v>Pacote</v>
      </c>
      <c r="F26" s="32">
        <v>1</v>
      </c>
      <c r="G26" s="28">
        <f>IFERROR(VLOOKUP(D26,cálculos!$B$2:$E$32,3,FALSE),"")</f>
        <v>1.99</v>
      </c>
      <c r="H26" s="28">
        <f>IFERROR((Tabela5[[#This Row],[Quantidade]]*G26),"")</f>
        <v>1.99</v>
      </c>
      <c r="I26" s="35"/>
      <c r="J26" s="33" t="s">
        <v>111</v>
      </c>
      <c r="K26" s="28">
        <f>IFERROR(IF(Tabela5[[#This Row],[idvenda]]=B27,"0",(VLOOKUP(Tabela5[[#This Row],[Entrega]],cálculos!$G$3:$H$7,2,FALSE))),"0")</f>
        <v>6.5</v>
      </c>
      <c r="L26" s="28">
        <f>IFERROR(SUM(Tabela5[[#This Row],[Subtotal]]*(1-Tabela5[[#This Row],[Desconto]])+Tabela5[[#This Row],[Valor de Entrega]]),"")</f>
        <v>8.49</v>
      </c>
      <c r="M26" s="12">
        <f>IF(Tabela5[[#This Row],[idvenda]]=B27,"",SUMIF(Tabela5[idvenda],Tabela5[[#This Row],[idvenda]],Tabela5[Total]))</f>
        <v>8.49</v>
      </c>
    </row>
    <row r="27" spans="2:13" x14ac:dyDescent="0.3">
      <c r="B27" s="12">
        <v>1</v>
      </c>
      <c r="C27" s="27">
        <v>42187</v>
      </c>
      <c r="D27" s="12" t="s">
        <v>20</v>
      </c>
      <c r="E27" s="12" t="str">
        <f>IFERROR(VLOOKUP(D27,cálculos!$B$2:$E$32,4,FALSE),"")</f>
        <v>Kg</v>
      </c>
      <c r="F27" s="32">
        <v>2</v>
      </c>
      <c r="G27" s="28">
        <f>IFERROR(VLOOKUP(D27,cálculos!$B$2:$E$32,3,FALSE),"")</f>
        <v>2.4900000000000002</v>
      </c>
      <c r="H27" s="28">
        <f>IFERROR((Tabela5[[#This Row],[Quantidade]]*G27),"")</f>
        <v>4.9800000000000004</v>
      </c>
      <c r="I27" s="35"/>
      <c r="J27" s="33" t="s">
        <v>110</v>
      </c>
      <c r="K27" s="28" t="str">
        <f>IFERROR(IF(Tabela5[[#This Row],[idvenda]]=B28,"0",(VLOOKUP(Tabela5[[#This Row],[Entrega]],cálculos!$G$3:$H$7,2,FALSE))),"0")</f>
        <v>0</v>
      </c>
      <c r="L27" s="28">
        <f>IFERROR(SUM(Tabela5[[#This Row],[Subtotal]]*(1-Tabela5[[#This Row],[Desconto]])+Tabela5[[#This Row],[Valor de Entrega]]),"")</f>
        <v>4.9800000000000004</v>
      </c>
      <c r="M27" s="12" t="str">
        <f>IF(Tabela5[[#This Row],[idvenda]]=B28,"",SUMIF(Tabela5[idvenda],Tabela5[[#This Row],[idvenda]],Tabela5[Total]))</f>
        <v/>
      </c>
    </row>
    <row r="28" spans="2:13" x14ac:dyDescent="0.3">
      <c r="B28" s="12">
        <v>1</v>
      </c>
      <c r="C28" s="27">
        <v>42187</v>
      </c>
      <c r="D28" s="12" t="s">
        <v>32</v>
      </c>
      <c r="E28" s="12" t="str">
        <f>IFERROR(VLOOKUP(D28,cálculos!$B$2:$E$32,4,FALSE),"")</f>
        <v>Pacote</v>
      </c>
      <c r="F28" s="32">
        <v>3</v>
      </c>
      <c r="G28" s="28">
        <f>IFERROR(VLOOKUP(D28,cálculos!$B$2:$E$32,3,FALSE),"")</f>
        <v>1.1499999999999999</v>
      </c>
      <c r="H28" s="28">
        <f>IFERROR((Tabela5[[#This Row],[Quantidade]]*G28),"")</f>
        <v>3.4499999999999997</v>
      </c>
      <c r="I28" s="35"/>
      <c r="J28" s="33" t="s">
        <v>110</v>
      </c>
      <c r="K28" s="28" t="str">
        <f>IFERROR(IF(Tabela5[[#This Row],[idvenda]]=B29,"0",(VLOOKUP(Tabela5[[#This Row],[Entrega]],cálculos!$G$3:$H$7,2,FALSE))),"0")</f>
        <v>0</v>
      </c>
      <c r="L28" s="28">
        <f>IFERROR(SUM(Tabela5[[#This Row],[Subtotal]]*(1-Tabela5[[#This Row],[Desconto]])+Tabela5[[#This Row],[Valor de Entrega]]),"")</f>
        <v>3.4499999999999997</v>
      </c>
      <c r="M28" s="12" t="str">
        <f>IF(Tabela5[[#This Row],[idvenda]]=B29,"",SUMIF(Tabela5[idvenda],Tabela5[[#This Row],[idvenda]],Tabela5[Total]))</f>
        <v/>
      </c>
    </row>
    <row r="29" spans="2:13" x14ac:dyDescent="0.3">
      <c r="B29" s="12">
        <v>1</v>
      </c>
      <c r="C29" s="27">
        <v>42187</v>
      </c>
      <c r="D29" s="12" t="s">
        <v>37</v>
      </c>
      <c r="E29" s="12" t="str">
        <f>IFERROR(VLOOKUP(D29,cálculos!$B$2:$E$32,4,FALSE),"")</f>
        <v>Pacote</v>
      </c>
      <c r="F29" s="32">
        <v>1</v>
      </c>
      <c r="G29" s="28">
        <f>IFERROR(VLOOKUP(D29,cálculos!$B$2:$E$32,3,FALSE),"")</f>
        <v>1.99</v>
      </c>
      <c r="H29" s="28">
        <f>IFERROR((Tabela5[[#This Row],[Quantidade]]*G29),"")</f>
        <v>1.99</v>
      </c>
      <c r="I29" s="35"/>
      <c r="J29" s="33" t="s">
        <v>110</v>
      </c>
      <c r="K29" s="28">
        <f>IFERROR(IF(Tabela5[[#This Row],[idvenda]]=B30,"0",(VLOOKUP(Tabela5[[#This Row],[Entrega]],cálculos!$G$3:$H$7,2,FALSE))),"0")</f>
        <v>0</v>
      </c>
      <c r="L29" s="28">
        <f>IFERROR(SUM(Tabela5[[#This Row],[Subtotal]]*(1-Tabela5[[#This Row],[Desconto]])+Tabela5[[#This Row],[Valor de Entrega]]),"")</f>
        <v>1.99</v>
      </c>
      <c r="M29" s="12">
        <f>IF(Tabela5[[#This Row],[idvenda]]=B30,"",SUMIF(Tabela5[idvenda],Tabela5[[#This Row],[idvenda]],Tabela5[Total]))</f>
        <v>10.42</v>
      </c>
    </row>
    <row r="30" spans="2:13" x14ac:dyDescent="0.3">
      <c r="G30" s="7"/>
      <c r="H30" s="7"/>
    </row>
    <row r="31" spans="2:13" ht="16.2" thickBot="1" x14ac:dyDescent="0.35">
      <c r="B31" s="43" t="s">
        <v>118</v>
      </c>
      <c r="C31" s="43"/>
      <c r="D31" s="43"/>
      <c r="E31" s="47"/>
      <c r="F31" s="47"/>
      <c r="G31" s="44"/>
      <c r="H31" s="44"/>
      <c r="I31" s="44"/>
      <c r="J31" s="44"/>
      <c r="K31" s="44"/>
      <c r="L31" s="44"/>
      <c r="M31" s="44">
        <f>SUM(Tabela5[Total Para o Cliente])</f>
        <v>644.41199999999992</v>
      </c>
    </row>
    <row r="32" spans="2:13" ht="16.2" thickBot="1" x14ac:dyDescent="0.35">
      <c r="B32" s="65" t="s">
        <v>117</v>
      </c>
      <c r="C32" s="65"/>
      <c r="D32" s="65"/>
      <c r="E32" s="66"/>
      <c r="F32" s="66"/>
      <c r="G32" s="67"/>
      <c r="H32" s="67"/>
      <c r="I32" s="67"/>
      <c r="J32" s="67"/>
      <c r="K32" s="67"/>
      <c r="L32" s="67"/>
      <c r="M32" s="68">
        <f>SUM(Tabela5[Valor de Entrega])</f>
        <v>40.5</v>
      </c>
    </row>
    <row r="33" spans="2:13" ht="15.6" x14ac:dyDescent="0.3">
      <c r="B33" s="31" t="s">
        <v>132</v>
      </c>
      <c r="C33" s="31"/>
      <c r="D33" s="31"/>
      <c r="E33" s="34"/>
      <c r="M33" s="64">
        <f>SUM(IF(FREQUENCY(Tabela5[idvenda],Tabela5[idvenda])&gt;0,1))</f>
        <v>13</v>
      </c>
    </row>
    <row r="34" spans="2:13" ht="14.4" customHeight="1" x14ac:dyDescent="0.3"/>
    <row r="36" spans="2:13" x14ac:dyDescent="0.3">
      <c r="G36" s="18">
        <v>8</v>
      </c>
    </row>
    <row r="37" spans="2:13" x14ac:dyDescent="0.3">
      <c r="G37" s="18"/>
    </row>
    <row r="39" spans="2:13" x14ac:dyDescent="0.3">
      <c r="I39" s="18">
        <v>8</v>
      </c>
      <c r="J39" s="18"/>
    </row>
  </sheetData>
  <mergeCells count="6">
    <mergeCell ref="B33:D33"/>
    <mergeCell ref="G36:G37"/>
    <mergeCell ref="I39:J39"/>
    <mergeCell ref="A2:X2"/>
    <mergeCell ref="B31:D31"/>
    <mergeCell ref="B32:D32"/>
  </mergeCells>
  <phoneticPr fontId="9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BBCD85E-BA43-4CCE-BB29-72C72150B5C7}">
          <x14:formula1>
            <xm:f>Estoque!$B$6:$B$29</xm:f>
          </x14:formula1>
          <xm:sqref>D6:D29</xm:sqref>
        </x14:dataValidation>
        <x14:dataValidation type="list" allowBlank="1" showInputMessage="1" showErrorMessage="1" xr:uid="{980E35F5-57F3-4332-BA45-2055C243B0A0}">
          <x14:formula1>
            <xm:f>cálculos!$G$3:$G$7</xm:f>
          </x14:formula1>
          <xm:sqref>J6:J29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7F33D-76C1-401C-9554-A9D240A8F9B1}">
  <dimension ref="A3:I26"/>
  <sheetViews>
    <sheetView showGridLines="0" workbookViewId="0">
      <selection activeCell="P21" sqref="P21"/>
    </sheetView>
  </sheetViews>
  <sheetFormatPr defaultRowHeight="14.4" x14ac:dyDescent="0.3"/>
  <cols>
    <col min="1" max="1" width="18.77734375" bestFit="1" customWidth="1"/>
    <col min="2" max="2" width="18.88671875" bestFit="1" customWidth="1"/>
    <col min="3" max="3" width="13.109375" bestFit="1" customWidth="1"/>
    <col min="4" max="4" width="10.88671875" customWidth="1"/>
    <col min="5" max="5" width="5.21875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  <col min="10" max="13" width="2" bestFit="1" customWidth="1"/>
    <col min="14" max="17" width="3" bestFit="1" customWidth="1"/>
    <col min="18" max="18" width="10" bestFit="1" customWidth="1"/>
    <col min="19" max="22" width="18.5546875" bestFit="1" customWidth="1"/>
    <col min="23" max="23" width="11.33203125" bestFit="1" customWidth="1"/>
  </cols>
  <sheetData>
    <row r="3" spans="1:9" x14ac:dyDescent="0.3">
      <c r="A3" s="38" t="s">
        <v>149</v>
      </c>
      <c r="B3" s="34" t="s">
        <v>154</v>
      </c>
      <c r="C3" s="34" t="s">
        <v>151</v>
      </c>
      <c r="F3" s="38" t="s">
        <v>149</v>
      </c>
      <c r="G3" s="34" t="s">
        <v>154</v>
      </c>
      <c r="H3" s="34" t="s">
        <v>153</v>
      </c>
      <c r="I3" s="34" t="s">
        <v>151</v>
      </c>
    </row>
    <row r="4" spans="1:9" x14ac:dyDescent="0.3">
      <c r="A4" s="39">
        <v>42187</v>
      </c>
      <c r="B4" s="36">
        <v>23</v>
      </c>
      <c r="C4" s="36">
        <v>74.25</v>
      </c>
      <c r="F4" s="40" t="s">
        <v>110</v>
      </c>
      <c r="G4" s="36">
        <v>79.5</v>
      </c>
      <c r="H4" s="36">
        <v>0</v>
      </c>
      <c r="I4" s="36">
        <v>324.2</v>
      </c>
    </row>
    <row r="5" spans="1:9" x14ac:dyDescent="0.3">
      <c r="A5" s="41" t="s">
        <v>23</v>
      </c>
      <c r="B5" s="36">
        <v>3</v>
      </c>
      <c r="C5" s="36">
        <v>15.47</v>
      </c>
      <c r="F5" s="40" t="s">
        <v>111</v>
      </c>
      <c r="G5" s="36">
        <v>8</v>
      </c>
      <c r="H5" s="36">
        <v>13</v>
      </c>
      <c r="I5" s="36">
        <v>31.42</v>
      </c>
    </row>
    <row r="6" spans="1:9" x14ac:dyDescent="0.3">
      <c r="A6" s="41" t="s">
        <v>32</v>
      </c>
      <c r="B6" s="36">
        <v>3</v>
      </c>
      <c r="C6" s="36">
        <v>3.4499999999999997</v>
      </c>
      <c r="F6" s="40" t="s">
        <v>112</v>
      </c>
      <c r="G6" s="36">
        <v>6</v>
      </c>
      <c r="H6" s="36">
        <v>8</v>
      </c>
      <c r="I6" s="36">
        <v>16.939999999999998</v>
      </c>
    </row>
    <row r="7" spans="1:9" x14ac:dyDescent="0.3">
      <c r="A7" s="41" t="s">
        <v>20</v>
      </c>
      <c r="B7" s="36">
        <v>7</v>
      </c>
      <c r="C7" s="36">
        <v>23.930000000000003</v>
      </c>
      <c r="F7" s="40" t="s">
        <v>113</v>
      </c>
      <c r="G7" s="36">
        <v>47</v>
      </c>
      <c r="H7" s="36">
        <v>19.5</v>
      </c>
      <c r="I7" s="36">
        <v>120.012</v>
      </c>
    </row>
    <row r="8" spans="1:9" x14ac:dyDescent="0.3">
      <c r="A8" s="41" t="s">
        <v>37</v>
      </c>
      <c r="B8" s="36">
        <v>4</v>
      </c>
      <c r="C8" s="36">
        <v>14.46</v>
      </c>
      <c r="F8" s="40" t="s">
        <v>152</v>
      </c>
      <c r="G8" s="36">
        <v>11</v>
      </c>
      <c r="H8" s="36">
        <v>0</v>
      </c>
      <c r="I8" s="36">
        <v>151.83999999999997</v>
      </c>
    </row>
    <row r="9" spans="1:9" x14ac:dyDescent="0.3">
      <c r="A9" s="41" t="s">
        <v>67</v>
      </c>
      <c r="B9" s="36">
        <v>6</v>
      </c>
      <c r="C9" s="36">
        <v>16.939999999999998</v>
      </c>
      <c r="F9" s="40" t="s">
        <v>150</v>
      </c>
      <c r="G9" s="36">
        <v>151.5</v>
      </c>
      <c r="H9" s="36">
        <v>40.5</v>
      </c>
      <c r="I9" s="36">
        <v>644.41200000000003</v>
      </c>
    </row>
    <row r="10" spans="1:9" x14ac:dyDescent="0.3">
      <c r="A10" s="39">
        <v>42188</v>
      </c>
      <c r="B10" s="36">
        <v>72.5</v>
      </c>
      <c r="C10" s="36">
        <v>302.56</v>
      </c>
    </row>
    <row r="11" spans="1:9" x14ac:dyDescent="0.3">
      <c r="A11" s="41" t="s">
        <v>36</v>
      </c>
      <c r="B11" s="36">
        <v>2</v>
      </c>
      <c r="C11" s="36">
        <v>1.58</v>
      </c>
    </row>
    <row r="12" spans="1:9" x14ac:dyDescent="0.3">
      <c r="A12" s="41" t="s">
        <v>24</v>
      </c>
      <c r="B12" s="36">
        <v>6</v>
      </c>
      <c r="C12" s="36">
        <v>95.4</v>
      </c>
    </row>
    <row r="13" spans="1:9" x14ac:dyDescent="0.3">
      <c r="A13" s="41" t="s">
        <v>33</v>
      </c>
      <c r="B13" s="36">
        <v>52</v>
      </c>
      <c r="C13" s="36">
        <v>115.99999999999999</v>
      </c>
    </row>
    <row r="14" spans="1:9" x14ac:dyDescent="0.3">
      <c r="A14" s="41" t="s">
        <v>21</v>
      </c>
      <c r="B14" s="36">
        <v>4</v>
      </c>
      <c r="C14" s="36">
        <v>17.12</v>
      </c>
    </row>
    <row r="15" spans="1:9" x14ac:dyDescent="0.3">
      <c r="A15" s="41" t="s">
        <v>72</v>
      </c>
      <c r="B15" s="36">
        <v>5</v>
      </c>
      <c r="C15" s="36">
        <v>14.450000000000001</v>
      </c>
    </row>
    <row r="16" spans="1:9" x14ac:dyDescent="0.3">
      <c r="A16" s="41" t="s">
        <v>27</v>
      </c>
      <c r="B16" s="36">
        <v>1.5</v>
      </c>
      <c r="C16" s="36">
        <v>38.849999999999994</v>
      </c>
    </row>
    <row r="17" spans="1:3" x14ac:dyDescent="0.3">
      <c r="A17" s="41" t="s">
        <v>31</v>
      </c>
      <c r="B17" s="36">
        <v>2</v>
      </c>
      <c r="C17" s="36">
        <v>19.16</v>
      </c>
    </row>
    <row r="18" spans="1:3" x14ac:dyDescent="0.3">
      <c r="A18" s="39">
        <v>42189</v>
      </c>
      <c r="B18" s="36">
        <v>21</v>
      </c>
      <c r="C18" s="36">
        <v>59.33</v>
      </c>
    </row>
    <row r="19" spans="1:3" x14ac:dyDescent="0.3">
      <c r="A19" s="41" t="s">
        <v>33</v>
      </c>
      <c r="B19" s="36">
        <v>11</v>
      </c>
      <c r="C19" s="36">
        <v>24.09</v>
      </c>
    </row>
    <row r="20" spans="1:3" x14ac:dyDescent="0.3">
      <c r="A20" s="41" t="s">
        <v>21</v>
      </c>
      <c r="B20" s="36">
        <v>6</v>
      </c>
      <c r="C20" s="36">
        <v>25.68</v>
      </c>
    </row>
    <row r="21" spans="1:3" x14ac:dyDescent="0.3">
      <c r="A21" s="41" t="s">
        <v>73</v>
      </c>
      <c r="B21" s="36">
        <v>4</v>
      </c>
      <c r="C21" s="36">
        <v>9.56</v>
      </c>
    </row>
    <row r="22" spans="1:3" x14ac:dyDescent="0.3">
      <c r="A22" s="39">
        <v>42190</v>
      </c>
      <c r="B22" s="36">
        <v>35</v>
      </c>
      <c r="C22" s="36">
        <v>208.27199999999999</v>
      </c>
    </row>
    <row r="23" spans="1:3" x14ac:dyDescent="0.3">
      <c r="A23" s="41" t="s">
        <v>36</v>
      </c>
      <c r="B23" s="36">
        <v>1</v>
      </c>
      <c r="C23" s="36">
        <v>0.79</v>
      </c>
    </row>
    <row r="24" spans="1:3" x14ac:dyDescent="0.3">
      <c r="A24" s="41" t="s">
        <v>24</v>
      </c>
      <c r="B24" s="36">
        <v>10</v>
      </c>
      <c r="C24" s="36">
        <v>151.04999999999998</v>
      </c>
    </row>
    <row r="25" spans="1:3" x14ac:dyDescent="0.3">
      <c r="A25" s="41" t="s">
        <v>33</v>
      </c>
      <c r="B25" s="36">
        <v>24</v>
      </c>
      <c r="C25" s="36">
        <v>56.432000000000002</v>
      </c>
    </row>
    <row r="26" spans="1:3" x14ac:dyDescent="0.3">
      <c r="A26" s="39" t="s">
        <v>150</v>
      </c>
      <c r="B26" s="36">
        <v>151.5</v>
      </c>
      <c r="C26" s="36">
        <v>644.41200000000003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6B861-062F-49B3-8176-127178F14ACE}">
  <sheetPr codeName="Planilha9"/>
  <dimension ref="B2:Y35"/>
  <sheetViews>
    <sheetView showGridLines="0" topLeftCell="A11" zoomScaleNormal="100" workbookViewId="0">
      <selection activeCell="C6" sqref="C6"/>
    </sheetView>
  </sheetViews>
  <sheetFormatPr defaultRowHeight="14.4" x14ac:dyDescent="0.3"/>
  <cols>
    <col min="1" max="1" width="1.88671875" style="34" customWidth="1"/>
    <col min="2" max="2" width="15.88671875" style="34" customWidth="1"/>
    <col min="3" max="3" width="20.6640625" style="34" customWidth="1"/>
    <col min="4" max="4" width="21.77734375" style="34" customWidth="1"/>
    <col min="5" max="5" width="17.21875" style="34" bestFit="1" customWidth="1"/>
    <col min="6" max="6" width="12" style="34" customWidth="1"/>
    <col min="7" max="7" width="16.109375" style="34" customWidth="1"/>
    <col min="8" max="8" width="13.44140625" style="34" customWidth="1"/>
    <col min="9" max="9" width="15" style="34" customWidth="1"/>
    <col min="10" max="10" width="14.6640625" style="34" customWidth="1"/>
    <col min="11" max="11" width="19.44140625" style="34" bestFit="1" customWidth="1"/>
    <col min="12" max="12" width="11.88671875" style="34" customWidth="1"/>
    <col min="13" max="14" width="21.88671875" style="34" bestFit="1" customWidth="1"/>
    <col min="15" max="16384" width="8.88671875" style="34"/>
  </cols>
  <sheetData>
    <row r="2" spans="2:25" ht="21" x14ac:dyDescent="0.3">
      <c r="B2" s="2" t="s">
        <v>119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2:25" ht="37.200000000000003" customHeight="1" x14ac:dyDescent="0.3">
      <c r="B3" s="124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</row>
    <row r="5" spans="2:25" x14ac:dyDescent="0.3">
      <c r="B5" s="12" t="s">
        <v>104</v>
      </c>
      <c r="C5" s="12" t="s">
        <v>44</v>
      </c>
      <c r="D5" s="12" t="s">
        <v>96</v>
      </c>
      <c r="E5" s="12" t="s">
        <v>56</v>
      </c>
      <c r="F5" s="12" t="s">
        <v>57</v>
      </c>
      <c r="G5" s="12" t="s">
        <v>105</v>
      </c>
      <c r="H5" s="12" t="s">
        <v>106</v>
      </c>
      <c r="I5" s="12" t="s">
        <v>59</v>
      </c>
      <c r="J5" s="12" t="s">
        <v>107</v>
      </c>
      <c r="K5" s="12" t="s">
        <v>114</v>
      </c>
      <c r="L5" s="12" t="s">
        <v>115</v>
      </c>
      <c r="M5" s="12" t="s">
        <v>116</v>
      </c>
    </row>
    <row r="6" spans="2:25" x14ac:dyDescent="0.3">
      <c r="B6" s="12">
        <v>100</v>
      </c>
      <c r="C6" s="27">
        <v>42139</v>
      </c>
      <c r="D6" s="12" t="s">
        <v>34</v>
      </c>
      <c r="E6" s="12" t="str">
        <f>IFERROR(VLOOKUP(D6,cálculos!$B$2:$E$32,4,FALSE),"")</f>
        <v>Garrafa</v>
      </c>
      <c r="F6" s="34">
        <v>1</v>
      </c>
      <c r="G6" s="28">
        <f>IFERROR(VLOOKUP(D6,cálculos!$B$2:$E$32,3,FALSE),"")</f>
        <v>54.9</v>
      </c>
      <c r="H6" s="28">
        <f>IFERROR((Tabela58[[#This Row],[Quantidade]]*G6),"")</f>
        <v>54.9</v>
      </c>
      <c r="I6" s="35"/>
      <c r="J6" s="34" t="s">
        <v>112</v>
      </c>
      <c r="K6" s="28">
        <f>IFERROR(IF(Tabela58[[#This Row],[idvenda]]=B8,"0",(VLOOKUP(Tabela58[[#This Row],[Entrega]],cálculos!$G$3:$H$7,2,FALSE))),"0")</f>
        <v>8</v>
      </c>
      <c r="L6" s="28">
        <f>IFERROR(SUM(Tabela58[[#This Row],[Subtotal]]*(1-Tabela58[[#This Row],[Desconto]])+Tabela58[[#This Row],[Valor de Entrega]]),"")</f>
        <v>62.9</v>
      </c>
      <c r="M6" s="12">
        <f>IF(Tabela58[[#This Row],[idvenda]]=B7,"",SUMIF(Tabela58[idvenda],Tabela58[[#This Row],[idvenda]],Tabela58[Total]))</f>
        <v>62.9</v>
      </c>
      <c r="N6" s="12"/>
    </row>
    <row r="7" spans="2:25" x14ac:dyDescent="0.3">
      <c r="B7" s="12"/>
      <c r="C7" s="27"/>
      <c r="D7" s="12"/>
      <c r="E7" s="12" t="str">
        <f>IFERROR(VLOOKUP(D7,cálculos!$B$2:$E$32,4,FALSE),"")</f>
        <v/>
      </c>
      <c r="G7" s="28" t="str">
        <f>IFERROR(VLOOKUP(D7,cálculos!$B$2:$E$32,3,FALSE),"")</f>
        <v/>
      </c>
      <c r="H7" s="28" t="str">
        <f>IFERROR((Tabela58[[#This Row],[Quantidade]]*G7),"")</f>
        <v/>
      </c>
      <c r="I7" s="35"/>
      <c r="K7" s="28" t="str">
        <f>IFERROR(IF(Tabela58[[#This Row],[idvenda]]=B9,"0",(VLOOKUP(Tabela58[[#This Row],[Entrega]],cálculos!$G$3:$H$7,2,FALSE))),"0")</f>
        <v>0</v>
      </c>
      <c r="L7" s="28" t="str">
        <f>IFERROR(SUM(Tabela58[[#This Row],[Subtotal]]*(1-Tabela58[[#This Row],[Desconto]])+Tabela58[[#This Row],[Valor de Entrega]]),"")</f>
        <v/>
      </c>
      <c r="M7" s="12" t="str">
        <f>IF(Tabela58[[#This Row],[idvenda]]=B8,"",SUMIF(Tabela58[idvenda],Tabela58[[#This Row],[idvenda]],Tabela58[Total]))</f>
        <v/>
      </c>
      <c r="N7" s="12"/>
    </row>
    <row r="8" spans="2:25" x14ac:dyDescent="0.3">
      <c r="B8" s="12"/>
      <c r="C8" s="27"/>
      <c r="D8" s="12"/>
      <c r="E8" s="12" t="str">
        <f>IFERROR(VLOOKUP(D8,cálculos!$B$2:$E$32,4,FALSE),"")</f>
        <v/>
      </c>
      <c r="G8" s="28" t="str">
        <f>IFERROR(VLOOKUP(D8,cálculos!$B$2:$E$32,3,FALSE),"")</f>
        <v/>
      </c>
      <c r="H8" s="28" t="str">
        <f>IFERROR((Tabela58[[#This Row],[Quantidade]]*G8),"")</f>
        <v/>
      </c>
      <c r="I8" s="35"/>
      <c r="K8" s="28" t="str">
        <f>IFERROR(IF(Tabela58[[#This Row],[idvenda]]=B10,"0",(VLOOKUP(Tabela58[[#This Row],[Entrega]],cálculos!$G$3:$H$7,2,FALSE))),"0")</f>
        <v>0</v>
      </c>
      <c r="L8" s="28" t="str">
        <f>IFERROR(SUM(Tabela58[[#This Row],[Subtotal]]*(1-Tabela58[[#This Row],[Desconto]])+Tabela58[[#This Row],[Valor de Entrega]]),"")</f>
        <v/>
      </c>
      <c r="M8" s="12" t="str">
        <f>IF(Tabela58[[#This Row],[idvenda]]=B9,"",SUMIF(Tabela58[idvenda],Tabela58[[#This Row],[idvenda]],Tabela58[Total]))</f>
        <v/>
      </c>
      <c r="N8" s="12"/>
    </row>
    <row r="9" spans="2:25" x14ac:dyDescent="0.3">
      <c r="B9" s="12"/>
      <c r="C9" s="27"/>
      <c r="D9" s="12"/>
      <c r="E9" s="12" t="str">
        <f>IFERROR(VLOOKUP(D9,cálculos!$B$2:$E$32,4,FALSE),"")</f>
        <v/>
      </c>
      <c r="G9" s="28" t="str">
        <f>IFERROR(VLOOKUP(D9,cálculos!$B$2:$E$32,3,FALSE),"")</f>
        <v/>
      </c>
      <c r="H9" s="28" t="str">
        <f>IFERROR((Tabela58[[#This Row],[Quantidade]]*G9),"")</f>
        <v/>
      </c>
      <c r="I9" s="35"/>
      <c r="K9" s="28" t="str">
        <f>IFERROR(IF(Tabela58[[#This Row],[idvenda]]=B11,"0",(VLOOKUP(Tabela58[[#This Row],[Entrega]],cálculos!$G$3:$H$7,2,FALSE))),"0")</f>
        <v>0</v>
      </c>
      <c r="L9" s="28" t="str">
        <f>IFERROR(SUM(Tabela58[[#This Row],[Subtotal]]*(1-Tabela58[[#This Row],[Desconto]])+Tabela58[[#This Row],[Valor de Entrega]]),"")</f>
        <v/>
      </c>
      <c r="M9" s="46" t="str">
        <f>IF(Tabela58[[#This Row],[idvenda]]=B10,"",SUMIF(Tabela58[idvenda],Tabela58[[#This Row],[idvenda]],Tabela58[Total]))</f>
        <v/>
      </c>
      <c r="N9" s="12"/>
    </row>
    <row r="10" spans="2:25" x14ac:dyDescent="0.3">
      <c r="B10" s="12"/>
      <c r="C10" s="27"/>
      <c r="D10" s="12"/>
      <c r="E10" s="12" t="str">
        <f>IFERROR(VLOOKUP(D10,cálculos!$B$2:$E$32,4,FALSE),"")</f>
        <v/>
      </c>
      <c r="G10" s="28" t="str">
        <f>IFERROR(VLOOKUP(D10,cálculos!$B$2:$E$32,3,FALSE),"")</f>
        <v/>
      </c>
      <c r="H10" s="28" t="str">
        <f>IFERROR((Tabela58[[#This Row],[Quantidade]]*G10),"")</f>
        <v/>
      </c>
      <c r="I10" s="35"/>
      <c r="K10" s="28" t="str">
        <f>IFERROR(IF(Tabela58[[#This Row],[idvenda]]=B12,"0",(VLOOKUP(Tabela58[[#This Row],[Entrega]],cálculos!$G$3:$H$7,2,FALSE))),"0")</f>
        <v>0</v>
      </c>
      <c r="L10" s="28" t="str">
        <f>IFERROR(SUM(Tabela58[[#This Row],[Subtotal]]*(1-Tabela58[[#This Row],[Desconto]])+Tabela58[[#This Row],[Valor de Entrega]]),"")</f>
        <v/>
      </c>
      <c r="M10" s="12" t="str">
        <f>IF(Tabela58[[#This Row],[idvenda]]=B11,"",SUMIF(Tabela58[idvenda],Tabela58[[#This Row],[idvenda]],Tabela58[Total]))</f>
        <v/>
      </c>
      <c r="N10" s="46"/>
    </row>
    <row r="11" spans="2:25" x14ac:dyDescent="0.3">
      <c r="B11" s="12"/>
      <c r="C11" s="27"/>
      <c r="D11" s="12"/>
      <c r="E11" s="12" t="str">
        <f>IFERROR(VLOOKUP(D11,cálculos!$B$2:$E$32,4,FALSE),"")</f>
        <v/>
      </c>
      <c r="G11" s="28" t="str">
        <f>IFERROR(VLOOKUP(D11,cálculos!$B$2:$E$32,3,FALSE),"")</f>
        <v/>
      </c>
      <c r="H11" s="28" t="str">
        <f>IFERROR((Tabela58[[#This Row],[Quantidade]]*G11),"")</f>
        <v/>
      </c>
      <c r="I11" s="35"/>
      <c r="K11" s="28" t="str">
        <f>IFERROR(IF(Tabela58[[#This Row],[idvenda]]=B13,"0",(VLOOKUP(Tabela58[[#This Row],[Entrega]],cálculos!$G$3:$H$7,2,FALSE))),"0")</f>
        <v>0</v>
      </c>
      <c r="L11" s="28" t="str">
        <f>IFERROR(SUM(Tabela58[[#This Row],[Subtotal]]*(1-Tabela58[[#This Row],[Desconto]])+Tabela58[[#This Row],[Valor de Entrega]]),"")</f>
        <v/>
      </c>
      <c r="M11" s="12" t="str">
        <f>IF(Tabela58[[#This Row],[idvenda]]=B12,"",SUMIF(Tabela58[idvenda],Tabela58[[#This Row],[idvenda]],Tabela58[Total]))</f>
        <v/>
      </c>
      <c r="N11" s="12"/>
    </row>
    <row r="12" spans="2:25" x14ac:dyDescent="0.3">
      <c r="B12" s="12"/>
      <c r="C12" s="27"/>
      <c r="D12" s="12"/>
      <c r="E12" s="12" t="str">
        <f>IFERROR(VLOOKUP(D12,cálculos!$B$2:$E$32,4,FALSE),"")</f>
        <v/>
      </c>
      <c r="G12" s="28" t="str">
        <f>IFERROR(VLOOKUP(D12,cálculos!$B$2:$E$32,3,FALSE),"")</f>
        <v/>
      </c>
      <c r="H12" s="28" t="str">
        <f>IFERROR((Tabela58[[#This Row],[Quantidade]]*G12),"")</f>
        <v/>
      </c>
      <c r="I12" s="35"/>
      <c r="K12" s="28" t="str">
        <f>IFERROR(IF(Tabela58[[#This Row],[idvenda]]=B14,"0",(VLOOKUP(Tabela58[[#This Row],[Entrega]],cálculos!$G$3:$H$7,2,FALSE))),"0")</f>
        <v>0</v>
      </c>
      <c r="L12" s="28" t="str">
        <f>IFERROR(SUM(Tabela58[[#This Row],[Subtotal]]*(1-Tabela58[[#This Row],[Desconto]])+Tabela58[[#This Row],[Valor de Entrega]]),"")</f>
        <v/>
      </c>
      <c r="M12" s="12" t="str">
        <f>IF(Tabela58[[#This Row],[idvenda]]=B13,"",SUMIF(Tabela58[idvenda],Tabela58[[#This Row],[idvenda]],Tabela58[Total]))</f>
        <v/>
      </c>
      <c r="N12" s="12"/>
    </row>
    <row r="13" spans="2:25" x14ac:dyDescent="0.3">
      <c r="B13" s="12"/>
      <c r="C13" s="27"/>
      <c r="D13" s="12"/>
      <c r="E13" s="12" t="str">
        <f>IFERROR(VLOOKUP(D13,cálculos!$B$2:$E$32,4,FALSE),"")</f>
        <v/>
      </c>
      <c r="G13" s="28" t="str">
        <f>IFERROR(VLOOKUP(D13,cálculos!$B$2:$E$32,3,FALSE),"")</f>
        <v/>
      </c>
      <c r="H13" s="28" t="str">
        <f>IFERROR((Tabela58[[#This Row],[Quantidade]]*G13),"")</f>
        <v/>
      </c>
      <c r="I13" s="35"/>
      <c r="K13" s="28" t="str">
        <f>IFERROR(IF(Tabela58[[#This Row],[idvenda]]=B15,"0",(VLOOKUP(Tabela58[[#This Row],[Entrega]],cálculos!$G$3:$H$7,2,FALSE))),"0")</f>
        <v>0</v>
      </c>
      <c r="L13" s="28" t="str">
        <f>IFERROR(SUM(Tabela58[[#This Row],[Subtotal]]*(1-Tabela58[[#This Row],[Desconto]])+Tabela58[[#This Row],[Valor de Entrega]]),"")</f>
        <v/>
      </c>
      <c r="M13" s="12" t="str">
        <f>IF(Tabela58[[#This Row],[idvenda]]=B14,"",SUMIF(Tabela58[idvenda],Tabela58[[#This Row],[idvenda]],Tabela58[Total]))</f>
        <v/>
      </c>
      <c r="N13" s="12"/>
    </row>
    <row r="14" spans="2:25" x14ac:dyDescent="0.3">
      <c r="B14" s="12"/>
      <c r="C14" s="27"/>
      <c r="D14" s="12"/>
      <c r="E14" s="12" t="str">
        <f>IFERROR(VLOOKUP(D14,cálculos!$B$2:$E$32,4,FALSE),"")</f>
        <v/>
      </c>
      <c r="G14" s="28" t="str">
        <f>IFERROR(VLOOKUP(D14,cálculos!$B$2:$E$32,3,FALSE),"")</f>
        <v/>
      </c>
      <c r="H14" s="28" t="str">
        <f>IFERROR((Tabela58[[#This Row],[Quantidade]]*G14),"")</f>
        <v/>
      </c>
      <c r="I14" s="35"/>
      <c r="K14" s="28" t="str">
        <f>IFERROR(IF(Tabela58[[#This Row],[idvenda]]=B16,"0",(VLOOKUP(Tabela58[[#This Row],[Entrega]],cálculos!$G$3:$H$7,2,FALSE))),"0")</f>
        <v>0</v>
      </c>
      <c r="L14" s="28" t="str">
        <f>IFERROR(SUM(Tabela58[[#This Row],[Subtotal]]*(1-Tabela58[[#This Row],[Desconto]])+Tabela58[[#This Row],[Valor de Entrega]]),"")</f>
        <v/>
      </c>
      <c r="M14" s="12" t="str">
        <f>IF(Tabela58[[#This Row],[idvenda]]=B15,"",SUMIF(Tabela58[idvenda],Tabela58[[#This Row],[idvenda]],Tabela58[Total]))</f>
        <v/>
      </c>
      <c r="N14" s="12"/>
    </row>
    <row r="15" spans="2:25" x14ac:dyDescent="0.3">
      <c r="B15" s="12"/>
      <c r="C15" s="27"/>
      <c r="D15" s="12"/>
      <c r="E15" s="12" t="str">
        <f>IFERROR(VLOOKUP(D15,cálculos!$B$2:$E$32,4,FALSE),"")</f>
        <v/>
      </c>
      <c r="G15" s="28" t="str">
        <f>IFERROR(VLOOKUP(D15,cálculos!$B$2:$E$32,3,FALSE),"")</f>
        <v/>
      </c>
      <c r="H15" s="28" t="str">
        <f>IFERROR((Tabela58[[#This Row],[Quantidade]]*G15),"")</f>
        <v/>
      </c>
      <c r="I15" s="35"/>
      <c r="K15" s="28" t="str">
        <f>IFERROR(IF(Tabela58[[#This Row],[idvenda]]=B17,"0",(VLOOKUP(Tabela58[[#This Row],[Entrega]],cálculos!$G$3:$H$7,2,FALSE))),"0")</f>
        <v>0</v>
      </c>
      <c r="L15" s="28" t="str">
        <f>IFERROR(SUM(Tabela58[[#This Row],[Subtotal]]*(1-Tabela58[[#This Row],[Desconto]])+Tabela58[[#This Row],[Valor de Entrega]]),"")</f>
        <v/>
      </c>
      <c r="M15" s="12" t="str">
        <f>IF(Tabela58[[#This Row],[idvenda]]=B16,"",SUMIF(Tabela58[idvenda],Tabela58[[#This Row],[idvenda]],Tabela58[Total]))</f>
        <v/>
      </c>
      <c r="N15" s="12"/>
    </row>
    <row r="16" spans="2:25" x14ac:dyDescent="0.3">
      <c r="B16" s="12"/>
      <c r="C16" s="27"/>
      <c r="D16" s="12"/>
      <c r="E16" s="12" t="str">
        <f>IFERROR(VLOOKUP(D16,cálculos!$B$2:$E$32,4,FALSE),"")</f>
        <v/>
      </c>
      <c r="G16" s="28" t="str">
        <f>IFERROR(VLOOKUP(D16,cálculos!$B$2:$E$32,3,FALSE),"")</f>
        <v/>
      </c>
      <c r="H16" s="28" t="str">
        <f>IFERROR((Tabela58[[#This Row],[Quantidade]]*G16),"")</f>
        <v/>
      </c>
      <c r="I16" s="35"/>
      <c r="K16" s="28" t="str">
        <f>IFERROR(IF(Tabela58[[#This Row],[idvenda]]=B18,"0",(VLOOKUP(Tabela58[[#This Row],[Entrega]],cálculos!$G$3:$H$7,2,FALSE))),"0")</f>
        <v>0</v>
      </c>
      <c r="L16" s="28" t="str">
        <f>IFERROR(SUM(Tabela58[[#This Row],[Subtotal]]*(1-Tabela58[[#This Row],[Desconto]])+Tabela58[[#This Row],[Valor de Entrega]]),"")</f>
        <v/>
      </c>
      <c r="M16" s="12" t="str">
        <f>IF(Tabela58[[#This Row],[idvenda]]=B17,"",SUMIF(Tabela58[idvenda],Tabela58[[#This Row],[idvenda]],Tabela58[Total]))</f>
        <v/>
      </c>
      <c r="N16" s="12"/>
    </row>
    <row r="17" spans="2:14" x14ac:dyDescent="0.3">
      <c r="B17" s="12"/>
      <c r="C17" s="27"/>
      <c r="D17" s="12"/>
      <c r="E17" s="12" t="str">
        <f>IFERROR(VLOOKUP(D17,cálculos!$B$2:$E$32,4,FALSE),"")</f>
        <v/>
      </c>
      <c r="G17" s="28" t="str">
        <f>IFERROR(VLOOKUP(D17,cálculos!$B$2:$E$32,3,FALSE),"")</f>
        <v/>
      </c>
      <c r="H17" s="28" t="str">
        <f>IFERROR((Tabela58[[#This Row],[Quantidade]]*G17),"")</f>
        <v/>
      </c>
      <c r="I17" s="35"/>
      <c r="K17" s="28" t="str">
        <f>IFERROR(IF(Tabela58[[#This Row],[idvenda]]=B19,"0",(VLOOKUP(Tabela58[[#This Row],[Entrega]],cálculos!$G$3:$H$7,2,FALSE))),"0")</f>
        <v>0</v>
      </c>
      <c r="L17" s="28" t="str">
        <f>IFERROR(SUM(Tabela58[[#This Row],[Subtotal]]*(1-Tabela58[[#This Row],[Desconto]])+Tabela58[[#This Row],[Valor de Entrega]]),"")</f>
        <v/>
      </c>
      <c r="M17" s="12" t="str">
        <f>IF(Tabela58[[#This Row],[idvenda]]=B18,"",SUMIF(Tabela58[idvenda],Tabela58[[#This Row],[idvenda]],Tabela58[Total]))</f>
        <v/>
      </c>
      <c r="N17" s="12"/>
    </row>
    <row r="18" spans="2:14" x14ac:dyDescent="0.3">
      <c r="B18" s="12"/>
      <c r="C18" s="27"/>
      <c r="D18" s="12"/>
      <c r="E18" s="12" t="str">
        <f>IFERROR(VLOOKUP(D18,cálculos!$B$2:$E$32,4,FALSE),"")</f>
        <v/>
      </c>
      <c r="G18" s="28" t="str">
        <f>IFERROR(VLOOKUP(D18,cálculos!$B$2:$E$32,3,FALSE),"")</f>
        <v/>
      </c>
      <c r="H18" s="28" t="str">
        <f>IFERROR((Tabela58[[#This Row],[Quantidade]]*G18),"")</f>
        <v/>
      </c>
      <c r="I18" s="35"/>
      <c r="K18" s="28" t="str">
        <f>IFERROR(IF(Tabela58[[#This Row],[idvenda]]=B20,"0",(VLOOKUP(Tabela58[[#This Row],[Entrega]],cálculos!$G$3:$H$7,2,FALSE))),"0")</f>
        <v>0</v>
      </c>
      <c r="L18" s="28" t="str">
        <f>IFERROR(SUM(Tabela58[[#This Row],[Subtotal]]*(1-Tabela58[[#This Row],[Desconto]])+Tabela58[[#This Row],[Valor de Entrega]]),"")</f>
        <v/>
      </c>
      <c r="M18" s="12" t="str">
        <f>IF(Tabela58[[#This Row],[idvenda]]=B19,"",SUMIF(Tabela58[idvenda],Tabela58[[#This Row],[idvenda]],Tabela58[Total]))</f>
        <v/>
      </c>
      <c r="N18" s="12"/>
    </row>
    <row r="19" spans="2:14" x14ac:dyDescent="0.3">
      <c r="B19" s="12"/>
      <c r="C19" s="27"/>
      <c r="D19" s="12"/>
      <c r="E19" s="12" t="str">
        <f>IFERROR(VLOOKUP(D19,cálculos!$B$2:$E$32,4,FALSE),"")</f>
        <v/>
      </c>
      <c r="G19" s="28" t="str">
        <f>IFERROR(VLOOKUP(D19,cálculos!$B$2:$E$32,3,FALSE),"")</f>
        <v/>
      </c>
      <c r="H19" s="28" t="str">
        <f>IFERROR((Tabela58[[#This Row],[Quantidade]]*G19),"")</f>
        <v/>
      </c>
      <c r="I19" s="35"/>
      <c r="K19" s="28" t="str">
        <f>IFERROR(IF(Tabela58[[#This Row],[idvenda]]=B21,"0",(VLOOKUP(Tabela58[[#This Row],[Entrega]],cálculos!$G$3:$H$7,2,FALSE))),"0")</f>
        <v>0</v>
      </c>
      <c r="L19" s="28" t="str">
        <f>IFERROR(SUM(Tabela58[[#This Row],[Subtotal]]*(1-Tabela58[[#This Row],[Desconto]])+Tabela58[[#This Row],[Valor de Entrega]]),"")</f>
        <v/>
      </c>
      <c r="M19" s="12" t="str">
        <f>IF(Tabela58[[#This Row],[idvenda]]=B20,"",SUMIF(Tabela58[idvenda],Tabela58[[#This Row],[idvenda]],Tabela58[Total]))</f>
        <v/>
      </c>
      <c r="N19" s="12"/>
    </row>
    <row r="20" spans="2:14" x14ac:dyDescent="0.3">
      <c r="B20" s="12"/>
      <c r="C20" s="27"/>
      <c r="D20" s="12"/>
      <c r="E20" s="12" t="str">
        <f>IFERROR(VLOOKUP(D20,cálculos!$B$2:$E$32,4,FALSE),"")</f>
        <v/>
      </c>
      <c r="G20" s="28" t="str">
        <f>IFERROR(VLOOKUP(D20,cálculos!$B$2:$E$32,3,FALSE),"")</f>
        <v/>
      </c>
      <c r="H20" s="28" t="str">
        <f>IFERROR((Tabela58[[#This Row],[Quantidade]]*G20),"")</f>
        <v/>
      </c>
      <c r="I20" s="35"/>
      <c r="K20" s="28" t="str">
        <f>IFERROR(IF(Tabela58[[#This Row],[idvenda]]=B22,"0",(VLOOKUP(Tabela58[[#This Row],[Entrega]],cálculos!$G$3:$H$7,2,FALSE))),"0")</f>
        <v>0</v>
      </c>
      <c r="L20" s="28" t="str">
        <f>IFERROR(SUM(Tabela58[[#This Row],[Subtotal]]*(1-Tabela58[[#This Row],[Desconto]])+Tabela58[[#This Row],[Valor de Entrega]]),"")</f>
        <v/>
      </c>
      <c r="M20" s="12" t="str">
        <f>IF(Tabela58[[#This Row],[idvenda]]=B21,"",SUMIF(Tabela58[idvenda],Tabela58[[#This Row],[idvenda]],Tabela58[Total]))</f>
        <v/>
      </c>
      <c r="N20" s="12"/>
    </row>
    <row r="21" spans="2:14" x14ac:dyDescent="0.3">
      <c r="B21" s="12"/>
      <c r="C21" s="27"/>
      <c r="D21" s="12"/>
      <c r="E21" s="12" t="str">
        <f>IFERROR(VLOOKUP(D21,cálculos!$B$2:$E$32,4,FALSE),"")</f>
        <v/>
      </c>
      <c r="G21" s="28" t="str">
        <f>IFERROR(VLOOKUP(D21,cálculos!$B$2:$E$32,3,FALSE),"")</f>
        <v/>
      </c>
      <c r="H21" s="28" t="str">
        <f>IFERROR((Tabela58[[#This Row],[Quantidade]]*G21),"")</f>
        <v/>
      </c>
      <c r="I21" s="35"/>
      <c r="K21" s="28" t="str">
        <f>IFERROR(IF(Tabela58[[#This Row],[idvenda]]=B23,"0",(VLOOKUP(Tabela58[[#This Row],[Entrega]],cálculos!$G$3:$H$7,2,FALSE))),"0")</f>
        <v>0</v>
      </c>
      <c r="L21" s="28" t="str">
        <f>IFERROR(SUM(Tabela58[[#This Row],[Subtotal]]*(1-Tabela58[[#This Row],[Desconto]])+Tabela58[[#This Row],[Valor de Entrega]]),"")</f>
        <v/>
      </c>
      <c r="M21" s="12" t="str">
        <f>IF(Tabela58[[#This Row],[idvenda]]=B22,"",SUMIF(Tabela58[idvenda],Tabela58[[#This Row],[idvenda]],Tabela58[Total]))</f>
        <v/>
      </c>
      <c r="N21" s="12"/>
    </row>
    <row r="22" spans="2:14" x14ac:dyDescent="0.3">
      <c r="B22" s="12"/>
      <c r="C22" s="27"/>
      <c r="D22" s="12"/>
      <c r="E22" s="12" t="str">
        <f>IFERROR(VLOOKUP(D22,cálculos!$B$2:$E$32,4,FALSE),"")</f>
        <v/>
      </c>
      <c r="G22" s="28" t="str">
        <f>IFERROR(VLOOKUP(D22,cálculos!$B$2:$E$32,3,FALSE),"")</f>
        <v/>
      </c>
      <c r="H22" s="28" t="str">
        <f>IFERROR((Tabela58[[#This Row],[Quantidade]]*G22),"")</f>
        <v/>
      </c>
      <c r="I22" s="35"/>
      <c r="K22" s="28" t="str">
        <f>IFERROR(IF(Tabela58[[#This Row],[idvenda]]=B24,"0",(VLOOKUP(Tabela58[[#This Row],[Entrega]],cálculos!$G$3:$H$7,2,FALSE))),"0")</f>
        <v>0</v>
      </c>
      <c r="L22" s="28" t="str">
        <f>IFERROR(SUM(Tabela58[[#This Row],[Subtotal]]*(1-Tabela58[[#This Row],[Desconto]])+Tabela58[[#This Row],[Valor de Entrega]]),"")</f>
        <v/>
      </c>
      <c r="M22" s="12" t="str">
        <f>IF(Tabela58[[#This Row],[idvenda]]=B23,"",SUMIF(Tabela58[idvenda],Tabela58[[#This Row],[idvenda]],Tabela58[Total]))</f>
        <v/>
      </c>
      <c r="N22" s="12"/>
    </row>
    <row r="23" spans="2:14" x14ac:dyDescent="0.3">
      <c r="B23" s="12"/>
      <c r="C23" s="27"/>
      <c r="D23" s="12"/>
      <c r="E23" s="12" t="str">
        <f>IFERROR(VLOOKUP(D23,cálculos!$B$2:$E$32,4,FALSE),"")</f>
        <v/>
      </c>
      <c r="G23" s="28" t="str">
        <f>IFERROR(VLOOKUP(D23,cálculos!$B$2:$E$32,3,FALSE),"")</f>
        <v/>
      </c>
      <c r="H23" s="28" t="str">
        <f>IFERROR((Tabela58[[#This Row],[Quantidade]]*G23),"")</f>
        <v/>
      </c>
      <c r="I23" s="35"/>
      <c r="K23" s="28" t="str">
        <f>IFERROR(IF(Tabela58[[#This Row],[idvenda]]=B25,"0",(VLOOKUP(Tabela58[[#This Row],[Entrega]],cálculos!$G$3:$H$7,2,FALSE))),"0")</f>
        <v>0</v>
      </c>
      <c r="L23" s="28" t="str">
        <f>IFERROR(SUM(Tabela58[[#This Row],[Subtotal]]*(1-Tabela58[[#This Row],[Desconto]])+Tabela58[[#This Row],[Valor de Entrega]]),"")</f>
        <v/>
      </c>
      <c r="M23" s="12" t="str">
        <f>IF(Tabela58[[#This Row],[idvenda]]=B24,"",SUMIF(Tabela58[idvenda],Tabela58[[#This Row],[idvenda]],Tabela58[Total]))</f>
        <v/>
      </c>
      <c r="N23" s="12"/>
    </row>
    <row r="24" spans="2:14" x14ac:dyDescent="0.3">
      <c r="B24" s="12"/>
      <c r="C24" s="27"/>
      <c r="D24" s="12"/>
      <c r="E24" s="12" t="str">
        <f>IFERROR(VLOOKUP(D24,cálculos!$B$2:$E$32,4,FALSE),"")</f>
        <v/>
      </c>
      <c r="G24" s="28" t="str">
        <f>IFERROR(VLOOKUP(D24,cálculos!$B$2:$E$32,3,FALSE),"")</f>
        <v/>
      </c>
      <c r="H24" s="28" t="str">
        <f>IFERROR((Tabela58[[#This Row],[Quantidade]]*G24),"")</f>
        <v/>
      </c>
      <c r="I24" s="35"/>
      <c r="K24" s="28" t="str">
        <f>IFERROR(IF(Tabela58[[#This Row],[idvenda]]=B26,"0",(VLOOKUP(Tabela58[[#This Row],[Entrega]],cálculos!$G$3:$H$7,2,FALSE))),"0")</f>
        <v>0</v>
      </c>
      <c r="L24" s="28" t="str">
        <f>IFERROR(SUM(Tabela58[[#This Row],[Subtotal]]*(1-Tabela58[[#This Row],[Desconto]])+Tabela58[[#This Row],[Valor de Entrega]]),"")</f>
        <v/>
      </c>
      <c r="M24" s="12" t="str">
        <f>IF(Tabela58[[#This Row],[idvenda]]=B25,"",SUMIF(Tabela58[idvenda],Tabela58[[#This Row],[idvenda]],Tabela58[Total]))</f>
        <v/>
      </c>
      <c r="N24" s="12"/>
    </row>
    <row r="25" spans="2:14" x14ac:dyDescent="0.3">
      <c r="B25" s="12"/>
      <c r="C25" s="27"/>
      <c r="D25" s="12"/>
      <c r="E25" s="12" t="str">
        <f>IFERROR(VLOOKUP(D25,cálculos!$B$2:$E$32,4,FALSE),"")</f>
        <v/>
      </c>
      <c r="G25" s="28" t="str">
        <f>IFERROR(VLOOKUP(D25,cálculos!$B$2:$E$32,3,FALSE),"")</f>
        <v/>
      </c>
      <c r="H25" s="28" t="str">
        <f>IFERROR((Tabela58[[#This Row],[Quantidade]]*G25),"")</f>
        <v/>
      </c>
      <c r="I25" s="35"/>
      <c r="K25" s="28" t="str">
        <f>IFERROR(IF(Tabela58[[#This Row],[idvenda]]=B27,"0",(VLOOKUP(Tabela58[[#This Row],[Entrega]],cálculos!$G$3:$H$7,2,FALSE))),"0")</f>
        <v>0</v>
      </c>
      <c r="L25" s="28" t="str">
        <f>IFERROR(SUM(Tabela58[[#This Row],[Subtotal]]*(1-Tabela58[[#This Row],[Desconto]])+Tabela58[[#This Row],[Valor de Entrega]]),"")</f>
        <v/>
      </c>
      <c r="M25" s="12" t="str">
        <f>IF(Tabela58[[#This Row],[idvenda]]=B26,"",SUMIF(Tabela58[idvenda],Tabela58[[#This Row],[idvenda]],Tabela58[Total]))</f>
        <v/>
      </c>
      <c r="N25" s="12"/>
    </row>
    <row r="26" spans="2:14" x14ac:dyDescent="0.3">
      <c r="B26" s="12"/>
      <c r="C26" s="27"/>
      <c r="D26" s="12"/>
      <c r="E26" s="12" t="str">
        <f>IFERROR(VLOOKUP(D26,cálculos!$B$2:$E$32,4,FALSE),"")</f>
        <v/>
      </c>
      <c r="G26" s="28" t="str">
        <f>IFERROR(VLOOKUP(D26,cálculos!$B$2:$E$32,3,FALSE),"")</f>
        <v/>
      </c>
      <c r="H26" s="28" t="str">
        <f>IFERROR((Tabela58[[#This Row],[Quantidade]]*G26),"")</f>
        <v/>
      </c>
      <c r="I26" s="35"/>
      <c r="K26" s="28" t="str">
        <f>IFERROR(IF(Tabela58[[#This Row],[idvenda]]=B28,"0",(VLOOKUP(Tabela58[[#This Row],[Entrega]],cálculos!$G$3:$H$7,2,FALSE))),"0")</f>
        <v>0</v>
      </c>
      <c r="L26" s="28" t="str">
        <f>IFERROR(SUM(Tabela58[[#This Row],[Subtotal]]*(1-Tabela58[[#This Row],[Desconto]])+Tabela58[[#This Row],[Valor de Entrega]]),"")</f>
        <v/>
      </c>
      <c r="M26" s="12" t="str">
        <f>IF(Tabela58[[#This Row],[idvenda]]=B27,"",SUMIF(Tabela58[idvenda],Tabela58[[#This Row],[idvenda]],Tabela58[Total]))</f>
        <v/>
      </c>
      <c r="N26" s="12"/>
    </row>
    <row r="27" spans="2:14" x14ac:dyDescent="0.3">
      <c r="B27" s="12"/>
      <c r="C27" s="27"/>
      <c r="D27" s="12"/>
      <c r="E27" s="12" t="str">
        <f>IFERROR(VLOOKUP(D27,cálculos!$B$2:$E$32,4,FALSE),"")</f>
        <v/>
      </c>
      <c r="G27" s="28" t="str">
        <f>IFERROR(VLOOKUP(D27,cálculos!$B$2:$E$32,3,FALSE),"")</f>
        <v/>
      </c>
      <c r="H27" s="28" t="str">
        <f>IFERROR((Tabela58[[#This Row],[Quantidade]]*G27),"")</f>
        <v/>
      </c>
      <c r="I27" s="35"/>
      <c r="K27" s="28" t="str">
        <f>IFERROR(IF(Tabela58[[#This Row],[idvenda]]=B29,"0",(VLOOKUP(Tabela58[[#This Row],[Entrega]],cálculos!$G$3:$H$7,2,FALSE))),"0")</f>
        <v>0</v>
      </c>
      <c r="L27" s="28" t="str">
        <f>IFERROR(SUM(Tabela58[[#This Row],[Subtotal]]*(1-Tabela58[[#This Row],[Desconto]])+Tabela58[[#This Row],[Valor de Entrega]]),"")</f>
        <v/>
      </c>
      <c r="M27" s="12" t="str">
        <f>IF(Tabela58[[#This Row],[idvenda]]=B28,"",SUMIF(Tabela58[idvenda],Tabela58[[#This Row],[idvenda]],Tabela58[Total]))</f>
        <v/>
      </c>
      <c r="N27" s="12"/>
    </row>
    <row r="28" spans="2:14" x14ac:dyDescent="0.3">
      <c r="B28" s="12"/>
      <c r="C28" s="27"/>
      <c r="D28" s="12"/>
      <c r="E28" s="12" t="str">
        <f>IFERROR(VLOOKUP(D28,cálculos!$B$2:$E$32,4,FALSE),"")</f>
        <v/>
      </c>
      <c r="G28" s="28" t="str">
        <f>IFERROR(VLOOKUP(D28,cálculos!$B$2:$E$32,3,FALSE),"")</f>
        <v/>
      </c>
      <c r="H28" s="28" t="str">
        <f>IFERROR((Tabela58[[#This Row],[Quantidade]]*G28),"")</f>
        <v/>
      </c>
      <c r="I28" s="35"/>
      <c r="K28" s="28" t="str">
        <f>IFERROR(IF(Tabela58[[#This Row],[idvenda]]=B30,"0",(VLOOKUP(Tabela58[[#This Row],[Entrega]],cálculos!$G$3:$H$7,2,FALSE))),"0")</f>
        <v>0</v>
      </c>
      <c r="L28" s="28" t="str">
        <f>IFERROR(SUM(Tabela58[[#This Row],[Subtotal]]*(1-Tabela58[[#This Row],[Desconto]])+Tabela58[[#This Row],[Valor de Entrega]]),"")</f>
        <v/>
      </c>
      <c r="M28" s="12" t="str">
        <f>IF(Tabela58[[#This Row],[idvenda]]=B29,"",SUMIF(Tabela58[idvenda],Tabela58[[#This Row],[idvenda]],Tabela58[Total]))</f>
        <v/>
      </c>
      <c r="N28" s="12"/>
    </row>
    <row r="29" spans="2:14" x14ac:dyDescent="0.3">
      <c r="B29" s="12"/>
      <c r="C29" s="27"/>
      <c r="D29" s="12"/>
      <c r="E29" s="12" t="str">
        <f>IFERROR(VLOOKUP(D29,cálculos!$B$2:$E$32,4,FALSE),"")</f>
        <v/>
      </c>
      <c r="G29" s="28" t="str">
        <f>IFERROR(VLOOKUP(D29,cálculos!$B$2:$E$32,3,FALSE),"")</f>
        <v/>
      </c>
      <c r="H29" s="28" t="str">
        <f>IFERROR((Tabela58[[#This Row],[Quantidade]]*G29),"")</f>
        <v/>
      </c>
      <c r="I29" s="35"/>
      <c r="K29" s="28" t="str">
        <f>IFERROR(IF(Tabela58[[#This Row],[idvenda]]=B31,"0",(VLOOKUP(Tabela58[[#This Row],[Entrega]],cálculos!$G$3:$H$7,2,FALSE))),"0")</f>
        <v>0</v>
      </c>
      <c r="L29" s="28" t="str">
        <f>IFERROR(SUM(Tabela58[[#This Row],[Subtotal]]*(1-Tabela58[[#This Row],[Desconto]])+Tabela58[[#This Row],[Valor de Entrega]]),"")</f>
        <v/>
      </c>
      <c r="M29" s="12" t="str">
        <f>IF(Tabela58[[#This Row],[idvenda]]=B30,"",SUMIF(Tabela58[idvenda],Tabela58[[#This Row],[idvenda]],Tabela58[Total]))</f>
        <v/>
      </c>
      <c r="N29" s="12"/>
    </row>
    <row r="30" spans="2:14" x14ac:dyDescent="0.3">
      <c r="B30" s="12"/>
      <c r="C30" s="27"/>
      <c r="D30" s="12"/>
      <c r="E30" s="12" t="str">
        <f>IFERROR(VLOOKUP(D30,cálculos!$B$2:$E$32,4,FALSE),"")</f>
        <v/>
      </c>
      <c r="G30" s="28" t="str">
        <f>IFERROR(VLOOKUP(D30,cálculos!$B$2:$E$32,3,FALSE),"")</f>
        <v/>
      </c>
      <c r="H30" s="28" t="str">
        <f>IFERROR((Tabela58[[#This Row],[Quantidade]]*G30),"")</f>
        <v/>
      </c>
      <c r="I30" s="35"/>
      <c r="K30" s="28" t="str">
        <f>IFERROR(IF(Tabela58[[#This Row],[idvenda]]=B32,"0",(VLOOKUP(Tabela58[[#This Row],[Entrega]],cálculos!$G$3:$H$7,2,FALSE))),"0")</f>
        <v>0</v>
      </c>
      <c r="L30" s="28" t="str">
        <f>IFERROR(SUM(Tabela58[[#This Row],[Subtotal]]*(1-Tabela58[[#This Row],[Desconto]])+Tabela58[[#This Row],[Valor de Entrega]]),"")</f>
        <v/>
      </c>
      <c r="M30" s="12" t="str">
        <f>IF(Tabela58[[#This Row],[idvenda]]=B31,"",SUMIF(Tabela58[idvenda],Tabela58[[#This Row],[idvenda]],Tabela58[Total]))</f>
        <v/>
      </c>
      <c r="N30" s="12"/>
    </row>
    <row r="31" spans="2:14" x14ac:dyDescent="0.3">
      <c r="C31" s="12"/>
      <c r="D31" s="70"/>
      <c r="E31" s="12"/>
      <c r="F31" s="12"/>
      <c r="H31" s="28"/>
      <c r="I31" s="28"/>
      <c r="J31" s="35"/>
      <c r="L31" s="28"/>
      <c r="M31" s="28"/>
      <c r="N31" s="12"/>
    </row>
    <row r="32" spans="2:14" x14ac:dyDescent="0.3">
      <c r="H32" s="7"/>
      <c r="I32" s="7"/>
    </row>
    <row r="33" spans="2:14" ht="16.2" thickBot="1" x14ac:dyDescent="0.35">
      <c r="B33" s="43" t="s">
        <v>118</v>
      </c>
      <c r="C33" s="43"/>
      <c r="D33" s="43"/>
      <c r="E33" s="47"/>
      <c r="F33" s="47"/>
      <c r="G33" s="44"/>
      <c r="H33" s="44"/>
      <c r="I33" s="44"/>
      <c r="J33" s="44"/>
      <c r="K33" s="44"/>
      <c r="L33" s="44"/>
      <c r="M33" s="44">
        <f>SUM(Tabela58[Total Para o Cliente])</f>
        <v>62.9</v>
      </c>
      <c r="N33" s="48"/>
    </row>
    <row r="34" spans="2:14" ht="16.2" thickBot="1" x14ac:dyDescent="0.35">
      <c r="B34" s="65" t="s">
        <v>117</v>
      </c>
      <c r="C34" s="65"/>
      <c r="D34" s="65"/>
      <c r="E34" s="66"/>
      <c r="F34" s="66"/>
      <c r="G34" s="67"/>
      <c r="H34" s="67"/>
      <c r="I34" s="67"/>
      <c r="J34" s="67"/>
      <c r="K34" s="67"/>
      <c r="L34" s="67"/>
      <c r="M34" s="68">
        <f>SUM(Tabela58[Valor de Entrega])</f>
        <v>8</v>
      </c>
      <c r="N34" s="49"/>
    </row>
    <row r="35" spans="2:14" ht="14.4" customHeight="1" x14ac:dyDescent="0.3">
      <c r="B35" s="31" t="s">
        <v>132</v>
      </c>
      <c r="C35" s="31"/>
      <c r="D35" s="31"/>
      <c r="M35" s="64">
        <f>SUM(IF(FREQUENCY(Tabela58[idvenda],Tabela58[idvenda])&gt;0,1))</f>
        <v>1</v>
      </c>
      <c r="N35" s="42"/>
    </row>
  </sheetData>
  <mergeCells count="4">
    <mergeCell ref="B2:Y2"/>
    <mergeCell ref="B33:D33"/>
    <mergeCell ref="B34:D34"/>
    <mergeCell ref="B35:D35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0364DC7-1C16-40A6-A695-1BB5B5234EB3}">
          <x14:formula1>
            <xm:f>cálculos!$G$3:$G$7</xm:f>
          </x14:formula1>
          <xm:sqref>K31 J6:J30</xm:sqref>
        </x14:dataValidation>
        <x14:dataValidation type="list" allowBlank="1" showInputMessage="1" showErrorMessage="1" xr:uid="{77B75C34-74CA-4122-9ECB-3D85762F3011}">
          <x14:formula1>
            <xm:f>Estoque!$B$6:$B$29</xm:f>
          </x14:formula1>
          <xm:sqref>E31 D6:D30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FCF4C-4625-4738-A708-C1475681BCF7}">
  <dimension ref="A3:I26"/>
  <sheetViews>
    <sheetView showGridLines="0" workbookViewId="0">
      <selection activeCell="R8" sqref="R8"/>
    </sheetView>
  </sheetViews>
  <sheetFormatPr defaultRowHeight="14.4" x14ac:dyDescent="0.3"/>
  <cols>
    <col min="1" max="1" width="17.21875" style="34" bestFit="1" customWidth="1"/>
    <col min="2" max="2" width="18.88671875" style="34" bestFit="1" customWidth="1"/>
    <col min="3" max="3" width="13.109375" style="34" bestFit="1" customWidth="1"/>
    <col min="4" max="4" width="10.88671875" style="34" customWidth="1"/>
    <col min="5" max="5" width="5.21875" style="34" customWidth="1"/>
    <col min="6" max="6" width="17.21875" style="34" bestFit="1" customWidth="1"/>
    <col min="7" max="7" width="18.88671875" style="34" bestFit="1" customWidth="1"/>
    <col min="8" max="8" width="23" style="34" bestFit="1" customWidth="1"/>
    <col min="9" max="9" width="13.109375" style="34" bestFit="1" customWidth="1"/>
    <col min="10" max="13" width="2" style="34" bestFit="1" customWidth="1"/>
    <col min="14" max="17" width="3" style="34" bestFit="1" customWidth="1"/>
    <col min="18" max="18" width="10" style="34" bestFit="1" customWidth="1"/>
    <col min="19" max="22" width="18.5546875" style="34" bestFit="1" customWidth="1"/>
    <col min="23" max="23" width="11.33203125" style="34" bestFit="1" customWidth="1"/>
    <col min="24" max="16384" width="8.88671875" style="34"/>
  </cols>
  <sheetData>
    <row r="3" spans="1:9" x14ac:dyDescent="0.3">
      <c r="A3" s="38" t="s">
        <v>149</v>
      </c>
      <c r="B3" s="34" t="s">
        <v>154</v>
      </c>
      <c r="C3" s="34" t="s">
        <v>151</v>
      </c>
      <c r="F3" s="38" t="s">
        <v>149</v>
      </c>
      <c r="G3" s="34" t="s">
        <v>154</v>
      </c>
      <c r="H3" s="34" t="s">
        <v>153</v>
      </c>
      <c r="I3" s="34" t="s">
        <v>151</v>
      </c>
    </row>
    <row r="4" spans="1:9" x14ac:dyDescent="0.3">
      <c r="A4" s="39">
        <v>42139</v>
      </c>
      <c r="B4" s="36">
        <v>1</v>
      </c>
      <c r="C4" s="36">
        <v>62.9</v>
      </c>
      <c r="F4" s="40" t="s">
        <v>112</v>
      </c>
      <c r="G4" s="36">
        <v>1</v>
      </c>
      <c r="H4" s="36">
        <v>8</v>
      </c>
      <c r="I4" s="36">
        <v>62.9</v>
      </c>
    </row>
    <row r="5" spans="1:9" x14ac:dyDescent="0.3">
      <c r="A5" s="41" t="s">
        <v>34</v>
      </c>
      <c r="B5" s="36">
        <v>1</v>
      </c>
      <c r="C5" s="36">
        <v>62.9</v>
      </c>
      <c r="F5" s="40" t="s">
        <v>152</v>
      </c>
      <c r="G5" s="36"/>
      <c r="H5" s="36">
        <v>0</v>
      </c>
      <c r="I5" s="36">
        <v>0</v>
      </c>
    </row>
    <row r="6" spans="1:9" x14ac:dyDescent="0.3">
      <c r="A6" s="39" t="s">
        <v>152</v>
      </c>
      <c r="B6" s="36"/>
      <c r="C6" s="36">
        <v>0</v>
      </c>
      <c r="F6" s="40" t="s">
        <v>150</v>
      </c>
      <c r="G6" s="36">
        <v>1</v>
      </c>
      <c r="H6" s="36">
        <v>8</v>
      </c>
      <c r="I6" s="36">
        <v>62.9</v>
      </c>
    </row>
    <row r="7" spans="1:9" x14ac:dyDescent="0.3">
      <c r="A7" s="41" t="s">
        <v>152</v>
      </c>
      <c r="B7" s="36"/>
      <c r="C7" s="36">
        <v>0</v>
      </c>
      <c r="F7"/>
      <c r="G7"/>
      <c r="H7"/>
      <c r="I7"/>
    </row>
    <row r="8" spans="1:9" x14ac:dyDescent="0.3">
      <c r="A8" s="39" t="s">
        <v>150</v>
      </c>
      <c r="B8" s="36">
        <v>1</v>
      </c>
      <c r="C8" s="36">
        <v>62.9</v>
      </c>
      <c r="F8"/>
      <c r="G8"/>
      <c r="H8"/>
      <c r="I8"/>
    </row>
    <row r="9" spans="1:9" x14ac:dyDescent="0.3">
      <c r="A9"/>
      <c r="B9"/>
      <c r="C9"/>
      <c r="F9"/>
      <c r="G9"/>
      <c r="H9"/>
      <c r="I9"/>
    </row>
    <row r="10" spans="1:9" x14ac:dyDescent="0.3">
      <c r="A10"/>
      <c r="B10"/>
      <c r="C10"/>
    </row>
    <row r="11" spans="1:9" x14ac:dyDescent="0.3">
      <c r="A11"/>
      <c r="B11"/>
      <c r="C11"/>
    </row>
    <row r="12" spans="1:9" x14ac:dyDescent="0.3">
      <c r="A12"/>
      <c r="B12"/>
      <c r="C12"/>
    </row>
    <row r="13" spans="1:9" x14ac:dyDescent="0.3">
      <c r="A13"/>
      <c r="B13"/>
      <c r="C13"/>
    </row>
    <row r="14" spans="1:9" x14ac:dyDescent="0.3">
      <c r="A14"/>
      <c r="B14"/>
      <c r="C14"/>
    </row>
    <row r="15" spans="1:9" x14ac:dyDescent="0.3">
      <c r="A15"/>
      <c r="B15"/>
      <c r="C15"/>
    </row>
    <row r="16" spans="1:9" x14ac:dyDescent="0.3">
      <c r="A16"/>
      <c r="B16"/>
      <c r="C16"/>
    </row>
    <row r="17" spans="1:3" x14ac:dyDescent="0.3">
      <c r="A17"/>
      <c r="B17"/>
      <c r="C17"/>
    </row>
    <row r="18" spans="1:3" x14ac:dyDescent="0.3">
      <c r="A18"/>
      <c r="B18"/>
      <c r="C18"/>
    </row>
    <row r="19" spans="1:3" x14ac:dyDescent="0.3">
      <c r="A19"/>
      <c r="B19"/>
      <c r="C19"/>
    </row>
    <row r="20" spans="1:3" x14ac:dyDescent="0.3">
      <c r="A20"/>
      <c r="B20"/>
      <c r="C20"/>
    </row>
    <row r="21" spans="1:3" x14ac:dyDescent="0.3">
      <c r="A21"/>
      <c r="B21"/>
      <c r="C21"/>
    </row>
    <row r="22" spans="1:3" x14ac:dyDescent="0.3">
      <c r="A22"/>
      <c r="B22"/>
      <c r="C22"/>
    </row>
    <row r="23" spans="1:3" x14ac:dyDescent="0.3">
      <c r="A23"/>
      <c r="B23"/>
      <c r="C23"/>
    </row>
    <row r="24" spans="1:3" x14ac:dyDescent="0.3">
      <c r="A24"/>
      <c r="B24"/>
      <c r="C24"/>
    </row>
    <row r="25" spans="1:3" x14ac:dyDescent="0.3">
      <c r="A25"/>
      <c r="B25"/>
      <c r="C25"/>
    </row>
    <row r="26" spans="1:3" x14ac:dyDescent="0.3">
      <c r="A26"/>
      <c r="B26"/>
      <c r="C26"/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87DA1-5C0D-44C5-AAEB-3FE7FEFB369B}">
  <sheetPr codeName="Planilha10"/>
  <dimension ref="A2:AA35"/>
  <sheetViews>
    <sheetView showGridLines="0" topLeftCell="A4" zoomScaleNormal="100" workbookViewId="0">
      <selection activeCell="F3" sqref="F3"/>
    </sheetView>
  </sheetViews>
  <sheetFormatPr defaultRowHeight="14.4" x14ac:dyDescent="0.3"/>
  <cols>
    <col min="1" max="1" width="8.88671875" style="34"/>
    <col min="2" max="2" width="12.21875" style="34" bestFit="1" customWidth="1"/>
    <col min="3" max="3" width="14.5546875" style="34" customWidth="1"/>
    <col min="4" max="4" width="21.77734375" style="34" customWidth="1"/>
    <col min="5" max="5" width="17.21875" style="34" bestFit="1" customWidth="1"/>
    <col min="6" max="6" width="15.33203125" style="34" bestFit="1" customWidth="1"/>
    <col min="7" max="7" width="16.109375" style="34" customWidth="1"/>
    <col min="8" max="8" width="13.44140625" style="34" customWidth="1"/>
    <col min="9" max="9" width="15" style="34" customWidth="1"/>
    <col min="10" max="10" width="14.6640625" style="34" customWidth="1"/>
    <col min="11" max="11" width="19.44140625" style="34" bestFit="1" customWidth="1"/>
    <col min="12" max="12" width="11.88671875" style="34" customWidth="1"/>
    <col min="13" max="14" width="21.88671875" style="34" bestFit="1" customWidth="1"/>
    <col min="15" max="16384" width="8.88671875" style="34"/>
  </cols>
  <sheetData>
    <row r="2" spans="1:27" ht="21" x14ac:dyDescent="0.3">
      <c r="B2" s="2" t="s">
        <v>120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7" ht="21" x14ac:dyDescent="0.3">
      <c r="A3" s="126"/>
      <c r="B3" s="124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6"/>
      <c r="AA3" s="126"/>
    </row>
    <row r="4" spans="1:27" ht="25.2" customHeight="1" x14ac:dyDescent="0.3"/>
    <row r="5" spans="1:27" x14ac:dyDescent="0.3">
      <c r="B5" s="12" t="s">
        <v>104</v>
      </c>
      <c r="C5" s="12" t="s">
        <v>44</v>
      </c>
      <c r="D5" s="12" t="s">
        <v>96</v>
      </c>
      <c r="E5" s="12" t="s">
        <v>56</v>
      </c>
      <c r="F5" s="12" t="s">
        <v>57</v>
      </c>
      <c r="G5" s="12" t="s">
        <v>105</v>
      </c>
      <c r="H5" s="12" t="s">
        <v>106</v>
      </c>
      <c r="I5" s="12" t="s">
        <v>59</v>
      </c>
      <c r="J5" s="12" t="s">
        <v>107</v>
      </c>
      <c r="K5" s="12" t="s">
        <v>114</v>
      </c>
      <c r="L5" s="12" t="s">
        <v>115</v>
      </c>
      <c r="M5" s="12" t="s">
        <v>116</v>
      </c>
    </row>
    <row r="6" spans="1:27" x14ac:dyDescent="0.3">
      <c r="B6" s="12"/>
      <c r="C6" s="27"/>
      <c r="D6" s="12"/>
      <c r="E6" s="12" t="str">
        <f>IFERROR(VLOOKUP(D6,cálculos!$B$2:$E$32,4,FALSE),"")</f>
        <v/>
      </c>
      <c r="G6" s="28" t="str">
        <f>IFERROR(VLOOKUP(D6,cálculos!$B$2:$E$32,3,FALSE),"")</f>
        <v/>
      </c>
      <c r="H6" s="28" t="str">
        <f>IFERROR((Tabela589[[#This Row],[Quantidade]]*G6),"")</f>
        <v/>
      </c>
      <c r="I6" s="35"/>
      <c r="K6" s="28" t="str">
        <f>IFERROR(IF(Tabela589[[#This Row],[idvenda]]=B8,"0",(VLOOKUP(Tabela589[[#This Row],[Entrega]],cálculos!$G$3:$H$7,2,FALSE))),"0")</f>
        <v>0</v>
      </c>
      <c r="L6" s="28" t="str">
        <f>IFERROR(SUM(Tabela589[[#This Row],[Subtotal]]*(1-Tabela589[[#This Row],[Desconto]])+Tabela589[[#This Row],[Valor de Entrega]]),"")</f>
        <v/>
      </c>
      <c r="M6" s="12" t="str">
        <f>IF(Tabela589[[#This Row],[idvenda]]=B7,"",SUMIF(Tabela589[idvenda],Tabela589[[#This Row],[idvenda]],Tabela589[Total]))</f>
        <v/>
      </c>
      <c r="N6" s="12"/>
    </row>
    <row r="7" spans="1:27" x14ac:dyDescent="0.3">
      <c r="B7" s="12"/>
      <c r="C7" s="27"/>
      <c r="D7" s="12"/>
      <c r="E7" s="12" t="str">
        <f>IFERROR(VLOOKUP(D7,cálculos!$B$2:$E$32,4,FALSE),"")</f>
        <v/>
      </c>
      <c r="G7" s="28" t="str">
        <f>IFERROR(VLOOKUP(D7,cálculos!$B$2:$E$32,3,FALSE),"")</f>
        <v/>
      </c>
      <c r="H7" s="28" t="str">
        <f>IFERROR((Tabela589[[#This Row],[Quantidade]]*G7),"")</f>
        <v/>
      </c>
      <c r="I7" s="35"/>
      <c r="K7" s="28" t="str">
        <f>IFERROR(IF(Tabela589[[#This Row],[idvenda]]=B9,"0",(VLOOKUP(Tabela589[[#This Row],[Entrega]],cálculos!$G$3:$H$7,2,FALSE))),"0")</f>
        <v>0</v>
      </c>
      <c r="L7" s="28" t="str">
        <f>IFERROR(SUM(Tabela589[[#This Row],[Subtotal]]*(1-Tabela589[[#This Row],[Desconto]])+Tabela589[[#This Row],[Valor de Entrega]]),"")</f>
        <v/>
      </c>
      <c r="M7" s="12" t="str">
        <f>IF(Tabela589[[#This Row],[idvenda]]=B8,"",SUMIF(Tabela589[idvenda],Tabela589[[#This Row],[idvenda]],Tabela589[Total]))</f>
        <v/>
      </c>
      <c r="N7" s="12"/>
    </row>
    <row r="8" spans="1:27" x14ac:dyDescent="0.3">
      <c r="B8" s="12"/>
      <c r="C8" s="27"/>
      <c r="D8" s="12"/>
      <c r="E8" s="12" t="str">
        <f>IFERROR(VLOOKUP(D8,cálculos!$B$2:$E$32,4,FALSE),"")</f>
        <v/>
      </c>
      <c r="G8" s="28" t="str">
        <f>IFERROR(VLOOKUP(D8,cálculos!$B$2:$E$32,3,FALSE),"")</f>
        <v/>
      </c>
      <c r="H8" s="28" t="str">
        <f>IFERROR((Tabela589[[#This Row],[Quantidade]]*G8),"")</f>
        <v/>
      </c>
      <c r="I8" s="35"/>
      <c r="K8" s="28" t="str">
        <f>IFERROR(IF(Tabela589[[#This Row],[idvenda]]=B10,"0",(VLOOKUP(Tabela589[[#This Row],[Entrega]],cálculos!$G$3:$H$7,2,FALSE))),"0")</f>
        <v>0</v>
      </c>
      <c r="L8" s="28" t="str">
        <f>IFERROR(SUM(Tabela589[[#This Row],[Subtotal]]*(1-Tabela589[[#This Row],[Desconto]])+Tabela589[[#This Row],[Valor de Entrega]]),"")</f>
        <v/>
      </c>
      <c r="M8" s="12" t="str">
        <f>IF(Tabela589[[#This Row],[idvenda]]=B9,"",SUMIF(Tabela589[idvenda],Tabela589[[#This Row],[idvenda]],Tabela589[Total]))</f>
        <v/>
      </c>
      <c r="N8" s="12"/>
    </row>
    <row r="9" spans="1:27" x14ac:dyDescent="0.3">
      <c r="B9" s="12"/>
      <c r="C9" s="27"/>
      <c r="D9" s="12"/>
      <c r="E9" s="12" t="str">
        <f>IFERROR(VLOOKUP(D9,cálculos!$B$2:$E$32,4,FALSE),"")</f>
        <v/>
      </c>
      <c r="G9" s="28" t="str">
        <f>IFERROR(VLOOKUP(D9,cálculos!$B$2:$E$32,3,FALSE),"")</f>
        <v/>
      </c>
      <c r="H9" s="28" t="str">
        <f>IFERROR((Tabela589[[#This Row],[Quantidade]]*G9),"")</f>
        <v/>
      </c>
      <c r="I9" s="35"/>
      <c r="K9" s="28" t="str">
        <f>IFERROR(IF(Tabela589[[#This Row],[idvenda]]=B11,"0",(VLOOKUP(Tabela589[[#This Row],[Entrega]],cálculos!$G$3:$H$7,2,FALSE))),"0")</f>
        <v>0</v>
      </c>
      <c r="L9" s="28" t="str">
        <f>IFERROR(SUM(Tabela589[[#This Row],[Subtotal]]*(1-Tabela589[[#This Row],[Desconto]])+Tabela589[[#This Row],[Valor de Entrega]]),"")</f>
        <v/>
      </c>
      <c r="M9" s="46" t="str">
        <f>IF(Tabela589[[#This Row],[idvenda]]=B10,"",SUMIF(Tabela589[idvenda],Tabela589[[#This Row],[idvenda]],Tabela589[Total]))</f>
        <v/>
      </c>
      <c r="N9" s="12"/>
    </row>
    <row r="10" spans="1:27" x14ac:dyDescent="0.3">
      <c r="B10" s="12"/>
      <c r="C10" s="27"/>
      <c r="D10" s="12"/>
      <c r="E10" s="12" t="str">
        <f>IFERROR(VLOOKUP(D10,cálculos!$B$2:$E$32,4,FALSE),"")</f>
        <v/>
      </c>
      <c r="G10" s="28" t="str">
        <f>IFERROR(VLOOKUP(D10,cálculos!$B$2:$E$32,3,FALSE),"")</f>
        <v/>
      </c>
      <c r="H10" s="28" t="str">
        <f>IFERROR((Tabela589[[#This Row],[Quantidade]]*G10),"")</f>
        <v/>
      </c>
      <c r="I10" s="35"/>
      <c r="K10" s="28" t="str">
        <f>IFERROR(IF(Tabela589[[#This Row],[idvenda]]=B12,"0",(VLOOKUP(Tabela589[[#This Row],[Entrega]],cálculos!$G$3:$H$7,2,FALSE))),"0")</f>
        <v>0</v>
      </c>
      <c r="L10" s="28" t="str">
        <f>IFERROR(SUM(Tabela589[[#This Row],[Subtotal]]*(1-Tabela589[[#This Row],[Desconto]])+Tabela589[[#This Row],[Valor de Entrega]]),"")</f>
        <v/>
      </c>
      <c r="M10" s="12" t="str">
        <f>IF(Tabela589[[#This Row],[idvenda]]=B11,"",SUMIF(Tabela589[idvenda],Tabela589[[#This Row],[idvenda]],Tabela589[Total]))</f>
        <v/>
      </c>
      <c r="N10" s="46"/>
    </row>
    <row r="11" spans="1:27" x14ac:dyDescent="0.3">
      <c r="B11" s="12"/>
      <c r="C11" s="27"/>
      <c r="D11" s="12"/>
      <c r="E11" s="12" t="str">
        <f>IFERROR(VLOOKUP(D11,cálculos!$B$2:$E$32,4,FALSE),"")</f>
        <v/>
      </c>
      <c r="G11" s="28" t="str">
        <f>IFERROR(VLOOKUP(D11,cálculos!$B$2:$E$32,3,FALSE),"")</f>
        <v/>
      </c>
      <c r="H11" s="28" t="str">
        <f>IFERROR((Tabela589[[#This Row],[Quantidade]]*G11),"")</f>
        <v/>
      </c>
      <c r="I11" s="35"/>
      <c r="K11" s="28" t="str">
        <f>IFERROR(IF(Tabela589[[#This Row],[idvenda]]=B13,"0",(VLOOKUP(Tabela589[[#This Row],[Entrega]],cálculos!$G$3:$H$7,2,FALSE))),"0")</f>
        <v>0</v>
      </c>
      <c r="L11" s="28" t="str">
        <f>IFERROR(SUM(Tabela589[[#This Row],[Subtotal]]*(1-Tabela589[[#This Row],[Desconto]])+Tabela589[[#This Row],[Valor de Entrega]]),"")</f>
        <v/>
      </c>
      <c r="M11" s="12" t="str">
        <f>IF(Tabela589[[#This Row],[idvenda]]=B12,"",SUMIF(Tabela589[idvenda],Tabela589[[#This Row],[idvenda]],Tabela589[Total]))</f>
        <v/>
      </c>
      <c r="N11" s="12"/>
    </row>
    <row r="12" spans="1:27" x14ac:dyDescent="0.3">
      <c r="B12" s="12"/>
      <c r="C12" s="27"/>
      <c r="D12" s="12"/>
      <c r="E12" s="12" t="str">
        <f>IFERROR(VLOOKUP(D12,cálculos!$B$2:$E$32,4,FALSE),"")</f>
        <v/>
      </c>
      <c r="G12" s="28" t="str">
        <f>IFERROR(VLOOKUP(D12,cálculos!$B$2:$E$32,3,FALSE),"")</f>
        <v/>
      </c>
      <c r="H12" s="28" t="str">
        <f>IFERROR((Tabela589[[#This Row],[Quantidade]]*G12),"")</f>
        <v/>
      </c>
      <c r="I12" s="35"/>
      <c r="K12" s="28" t="str">
        <f>IFERROR(IF(Tabela589[[#This Row],[idvenda]]=B14,"0",(VLOOKUP(Tabela589[[#This Row],[Entrega]],cálculos!$G$3:$H$7,2,FALSE))),"0")</f>
        <v>0</v>
      </c>
      <c r="L12" s="28" t="str">
        <f>IFERROR(SUM(Tabela589[[#This Row],[Subtotal]]*(1-Tabela589[[#This Row],[Desconto]])+Tabela589[[#This Row],[Valor de Entrega]]),"")</f>
        <v/>
      </c>
      <c r="M12" s="12" t="str">
        <f>IF(Tabela589[[#This Row],[idvenda]]=B13,"",SUMIF(Tabela589[idvenda],Tabela589[[#This Row],[idvenda]],Tabela589[Total]))</f>
        <v/>
      </c>
      <c r="N12" s="12"/>
    </row>
    <row r="13" spans="1:27" x14ac:dyDescent="0.3">
      <c r="B13" s="12"/>
      <c r="C13" s="27"/>
      <c r="D13" s="12"/>
      <c r="E13" s="12" t="str">
        <f>IFERROR(VLOOKUP(D13,cálculos!$B$2:$E$32,4,FALSE),"")</f>
        <v/>
      </c>
      <c r="G13" s="28" t="str">
        <f>IFERROR(VLOOKUP(D13,cálculos!$B$2:$E$32,3,FALSE),"")</f>
        <v/>
      </c>
      <c r="H13" s="28" t="str">
        <f>IFERROR((Tabela589[[#This Row],[Quantidade]]*G13),"")</f>
        <v/>
      </c>
      <c r="I13" s="35"/>
      <c r="K13" s="28" t="str">
        <f>IFERROR(IF(Tabela589[[#This Row],[idvenda]]=B15,"0",(VLOOKUP(Tabela589[[#This Row],[Entrega]],cálculos!$G$3:$H$7,2,FALSE))),"0")</f>
        <v>0</v>
      </c>
      <c r="L13" s="28" t="str">
        <f>IFERROR(SUM(Tabela589[[#This Row],[Subtotal]]*(1-Tabela589[[#This Row],[Desconto]])+Tabela589[[#This Row],[Valor de Entrega]]),"")</f>
        <v/>
      </c>
      <c r="M13" s="12" t="str">
        <f>IF(Tabela589[[#This Row],[idvenda]]=B14,"",SUMIF(Tabela589[idvenda],Tabela589[[#This Row],[idvenda]],Tabela589[Total]))</f>
        <v/>
      </c>
      <c r="N13" s="12"/>
    </row>
    <row r="14" spans="1:27" x14ac:dyDescent="0.3">
      <c r="B14" s="12"/>
      <c r="C14" s="27"/>
      <c r="D14" s="12"/>
      <c r="E14" s="12" t="str">
        <f>IFERROR(VLOOKUP(D14,cálculos!$B$2:$E$32,4,FALSE),"")</f>
        <v/>
      </c>
      <c r="G14" s="28" t="str">
        <f>IFERROR(VLOOKUP(D14,cálculos!$B$2:$E$32,3,FALSE),"")</f>
        <v/>
      </c>
      <c r="H14" s="28" t="str">
        <f>IFERROR((Tabela589[[#This Row],[Quantidade]]*G14),"")</f>
        <v/>
      </c>
      <c r="I14" s="35"/>
      <c r="K14" s="28" t="str">
        <f>IFERROR(IF(Tabela589[[#This Row],[idvenda]]=B16,"0",(VLOOKUP(Tabela589[[#This Row],[Entrega]],cálculos!$G$3:$H$7,2,FALSE))),"0")</f>
        <v>0</v>
      </c>
      <c r="L14" s="28" t="str">
        <f>IFERROR(SUM(Tabela589[[#This Row],[Subtotal]]*(1-Tabela589[[#This Row],[Desconto]])+Tabela589[[#This Row],[Valor de Entrega]]),"")</f>
        <v/>
      </c>
      <c r="M14" s="12" t="str">
        <f>IF(Tabela589[[#This Row],[idvenda]]=B15,"",SUMIF(Tabela589[idvenda],Tabela589[[#This Row],[idvenda]],Tabela589[Total]))</f>
        <v/>
      </c>
      <c r="N14" s="12"/>
    </row>
    <row r="15" spans="1:27" x14ac:dyDescent="0.3">
      <c r="B15" s="12"/>
      <c r="C15" s="27"/>
      <c r="D15" s="12"/>
      <c r="E15" s="12" t="str">
        <f>IFERROR(VLOOKUP(D15,cálculos!$B$2:$E$32,4,FALSE),"")</f>
        <v/>
      </c>
      <c r="G15" s="28" t="str">
        <f>IFERROR(VLOOKUP(D15,cálculos!$B$2:$E$32,3,FALSE),"")</f>
        <v/>
      </c>
      <c r="H15" s="28" t="str">
        <f>IFERROR((Tabela589[[#This Row],[Quantidade]]*G15),"")</f>
        <v/>
      </c>
      <c r="I15" s="35"/>
      <c r="K15" s="28" t="str">
        <f>IFERROR(IF(Tabela589[[#This Row],[idvenda]]=B17,"0",(VLOOKUP(Tabela589[[#This Row],[Entrega]],cálculos!$G$3:$H$7,2,FALSE))),"0")</f>
        <v>0</v>
      </c>
      <c r="L15" s="28" t="str">
        <f>IFERROR(SUM(Tabela589[[#This Row],[Subtotal]]*(1-Tabela589[[#This Row],[Desconto]])+Tabela589[[#This Row],[Valor de Entrega]]),"")</f>
        <v/>
      </c>
      <c r="M15" s="12" t="str">
        <f>IF(Tabela589[[#This Row],[idvenda]]=B16,"",SUMIF(Tabela589[idvenda],Tabela589[[#This Row],[idvenda]],Tabela589[Total]))</f>
        <v/>
      </c>
      <c r="N15" s="12"/>
    </row>
    <row r="16" spans="1:27" x14ac:dyDescent="0.3">
      <c r="B16" s="12"/>
      <c r="C16" s="27"/>
      <c r="D16" s="12"/>
      <c r="E16" s="12" t="str">
        <f>IFERROR(VLOOKUP(D16,cálculos!$B$2:$E$32,4,FALSE),"")</f>
        <v/>
      </c>
      <c r="G16" s="28" t="str">
        <f>IFERROR(VLOOKUP(D16,cálculos!$B$2:$E$32,3,FALSE),"")</f>
        <v/>
      </c>
      <c r="H16" s="28" t="str">
        <f>IFERROR((Tabela589[[#This Row],[Quantidade]]*G16),"")</f>
        <v/>
      </c>
      <c r="I16" s="35"/>
      <c r="K16" s="28" t="str">
        <f>IFERROR(IF(Tabela589[[#This Row],[idvenda]]=B18,"0",(VLOOKUP(Tabela589[[#This Row],[Entrega]],cálculos!$G$3:$H$7,2,FALSE))),"0")</f>
        <v>0</v>
      </c>
      <c r="L16" s="28" t="str">
        <f>IFERROR(SUM(Tabela589[[#This Row],[Subtotal]]*(1-Tabela589[[#This Row],[Desconto]])+Tabela589[[#This Row],[Valor de Entrega]]),"")</f>
        <v/>
      </c>
      <c r="M16" s="12" t="str">
        <f>IF(Tabela589[[#This Row],[idvenda]]=B17,"",SUMIF(Tabela589[idvenda],Tabela589[[#This Row],[idvenda]],Tabela589[Total]))</f>
        <v/>
      </c>
      <c r="N16" s="12"/>
    </row>
    <row r="17" spans="2:14" x14ac:dyDescent="0.3">
      <c r="B17" s="12"/>
      <c r="C17" s="27"/>
      <c r="D17" s="12"/>
      <c r="E17" s="12" t="str">
        <f>IFERROR(VLOOKUP(D17,cálculos!$B$2:$E$32,4,FALSE),"")</f>
        <v/>
      </c>
      <c r="G17" s="28" t="str">
        <f>IFERROR(VLOOKUP(D17,cálculos!$B$2:$E$32,3,FALSE),"")</f>
        <v/>
      </c>
      <c r="H17" s="28" t="str">
        <f>IFERROR((Tabela589[[#This Row],[Quantidade]]*G17),"")</f>
        <v/>
      </c>
      <c r="I17" s="35"/>
      <c r="K17" s="28" t="str">
        <f>IFERROR(IF(Tabela589[[#This Row],[idvenda]]=B19,"0",(VLOOKUP(Tabela589[[#This Row],[Entrega]],cálculos!$G$3:$H$7,2,FALSE))),"0")</f>
        <v>0</v>
      </c>
      <c r="L17" s="28" t="str">
        <f>IFERROR(SUM(Tabela589[[#This Row],[Subtotal]]*(1-Tabela589[[#This Row],[Desconto]])+Tabela589[[#This Row],[Valor de Entrega]]),"")</f>
        <v/>
      </c>
      <c r="M17" s="12" t="str">
        <f>IF(Tabela589[[#This Row],[idvenda]]=B18,"",SUMIF(Tabela589[idvenda],Tabela589[[#This Row],[idvenda]],Tabela589[Total]))</f>
        <v/>
      </c>
      <c r="N17" s="12"/>
    </row>
    <row r="18" spans="2:14" x14ac:dyDescent="0.3">
      <c r="B18" s="12"/>
      <c r="C18" s="27"/>
      <c r="D18" s="12"/>
      <c r="E18" s="12" t="str">
        <f>IFERROR(VLOOKUP(D18,cálculos!$B$2:$E$32,4,FALSE),"")</f>
        <v/>
      </c>
      <c r="G18" s="28" t="str">
        <f>IFERROR(VLOOKUP(D18,cálculos!$B$2:$E$32,3,FALSE),"")</f>
        <v/>
      </c>
      <c r="H18" s="28" t="str">
        <f>IFERROR((Tabela589[[#This Row],[Quantidade]]*G18),"")</f>
        <v/>
      </c>
      <c r="I18" s="35"/>
      <c r="K18" s="28" t="str">
        <f>IFERROR(IF(Tabela589[[#This Row],[idvenda]]=B20,"0",(VLOOKUP(Tabela589[[#This Row],[Entrega]],cálculos!$G$3:$H$7,2,FALSE))),"0")</f>
        <v>0</v>
      </c>
      <c r="L18" s="28" t="str">
        <f>IFERROR(SUM(Tabela589[[#This Row],[Subtotal]]*(1-Tabela589[[#This Row],[Desconto]])+Tabela589[[#This Row],[Valor de Entrega]]),"")</f>
        <v/>
      </c>
      <c r="M18" s="12" t="str">
        <f>IF(Tabela589[[#This Row],[idvenda]]=B19,"",SUMIF(Tabela589[idvenda],Tabela589[[#This Row],[idvenda]],Tabela589[Total]))</f>
        <v/>
      </c>
      <c r="N18" s="12"/>
    </row>
    <row r="19" spans="2:14" x14ac:dyDescent="0.3">
      <c r="B19" s="12"/>
      <c r="C19" s="27"/>
      <c r="D19" s="12"/>
      <c r="E19" s="12" t="str">
        <f>IFERROR(VLOOKUP(D19,cálculos!$B$2:$E$32,4,FALSE),"")</f>
        <v/>
      </c>
      <c r="G19" s="28" t="str">
        <f>IFERROR(VLOOKUP(D19,cálculos!$B$2:$E$32,3,FALSE),"")</f>
        <v/>
      </c>
      <c r="H19" s="28" t="str">
        <f>IFERROR((Tabela589[[#This Row],[Quantidade]]*G19),"")</f>
        <v/>
      </c>
      <c r="I19" s="35"/>
      <c r="K19" s="28" t="str">
        <f>IFERROR(IF(Tabela589[[#This Row],[idvenda]]=B21,"0",(VLOOKUP(Tabela589[[#This Row],[Entrega]],cálculos!$G$3:$H$7,2,FALSE))),"0")</f>
        <v>0</v>
      </c>
      <c r="L19" s="28" t="str">
        <f>IFERROR(SUM(Tabela589[[#This Row],[Subtotal]]*(1-Tabela589[[#This Row],[Desconto]])+Tabela589[[#This Row],[Valor de Entrega]]),"")</f>
        <v/>
      </c>
      <c r="M19" s="12" t="str">
        <f>IF(Tabela589[[#This Row],[idvenda]]=B20,"",SUMIF(Tabela589[idvenda],Tabela589[[#This Row],[idvenda]],Tabela589[Total]))</f>
        <v/>
      </c>
      <c r="N19" s="12"/>
    </row>
    <row r="20" spans="2:14" x14ac:dyDescent="0.3">
      <c r="B20" s="12"/>
      <c r="C20" s="27"/>
      <c r="D20" s="12"/>
      <c r="E20" s="12" t="str">
        <f>IFERROR(VLOOKUP(D20,cálculos!$B$2:$E$32,4,FALSE),"")</f>
        <v/>
      </c>
      <c r="G20" s="28" t="str">
        <f>IFERROR(VLOOKUP(D20,cálculos!$B$2:$E$32,3,FALSE),"")</f>
        <v/>
      </c>
      <c r="H20" s="28" t="str">
        <f>IFERROR((Tabela589[[#This Row],[Quantidade]]*G20),"")</f>
        <v/>
      </c>
      <c r="I20" s="35"/>
      <c r="K20" s="28" t="str">
        <f>IFERROR(IF(Tabela589[[#This Row],[idvenda]]=B22,"0",(VLOOKUP(Tabela589[[#This Row],[Entrega]],cálculos!$G$3:$H$7,2,FALSE))),"0")</f>
        <v>0</v>
      </c>
      <c r="L20" s="28" t="str">
        <f>IFERROR(SUM(Tabela589[[#This Row],[Subtotal]]*(1-Tabela589[[#This Row],[Desconto]])+Tabela589[[#This Row],[Valor de Entrega]]),"")</f>
        <v/>
      </c>
      <c r="M20" s="12" t="str">
        <f>IF(Tabela589[[#This Row],[idvenda]]=B21,"",SUMIF(Tabela589[idvenda],Tabela589[[#This Row],[idvenda]],Tabela589[Total]))</f>
        <v/>
      </c>
      <c r="N20" s="12"/>
    </row>
    <row r="21" spans="2:14" x14ac:dyDescent="0.3">
      <c r="B21" s="12"/>
      <c r="C21" s="27"/>
      <c r="D21" s="12"/>
      <c r="E21" s="12" t="str">
        <f>IFERROR(VLOOKUP(D21,cálculos!$B$2:$E$32,4,FALSE),"")</f>
        <v/>
      </c>
      <c r="G21" s="28" t="str">
        <f>IFERROR(VLOOKUP(D21,cálculos!$B$2:$E$32,3,FALSE),"")</f>
        <v/>
      </c>
      <c r="H21" s="28" t="str">
        <f>IFERROR((Tabela589[[#This Row],[Quantidade]]*G21),"")</f>
        <v/>
      </c>
      <c r="I21" s="35"/>
      <c r="K21" s="28" t="str">
        <f>IFERROR(IF(Tabela589[[#This Row],[idvenda]]=B23,"0",(VLOOKUP(Tabela589[[#This Row],[Entrega]],cálculos!$G$3:$H$7,2,FALSE))),"0")</f>
        <v>0</v>
      </c>
      <c r="L21" s="28" t="str">
        <f>IFERROR(SUM(Tabela589[[#This Row],[Subtotal]]*(1-Tabela589[[#This Row],[Desconto]])+Tabela589[[#This Row],[Valor de Entrega]]),"")</f>
        <v/>
      </c>
      <c r="M21" s="12" t="str">
        <f>IF(Tabela589[[#This Row],[idvenda]]=B22,"",SUMIF(Tabela589[idvenda],Tabela589[[#This Row],[idvenda]],Tabela589[Total]))</f>
        <v/>
      </c>
      <c r="N21" s="12"/>
    </row>
    <row r="22" spans="2:14" x14ac:dyDescent="0.3">
      <c r="B22" s="12"/>
      <c r="C22" s="27"/>
      <c r="D22" s="12"/>
      <c r="E22" s="12" t="str">
        <f>IFERROR(VLOOKUP(D22,cálculos!$B$2:$E$32,4,FALSE),"")</f>
        <v/>
      </c>
      <c r="G22" s="28" t="str">
        <f>IFERROR(VLOOKUP(D22,cálculos!$B$2:$E$32,3,FALSE),"")</f>
        <v/>
      </c>
      <c r="H22" s="28" t="str">
        <f>IFERROR((Tabela589[[#This Row],[Quantidade]]*G22),"")</f>
        <v/>
      </c>
      <c r="I22" s="35"/>
      <c r="K22" s="28" t="str">
        <f>IFERROR(IF(Tabela589[[#This Row],[idvenda]]=B24,"0",(VLOOKUP(Tabela589[[#This Row],[Entrega]],cálculos!$G$3:$H$7,2,FALSE))),"0")</f>
        <v>0</v>
      </c>
      <c r="L22" s="28" t="str">
        <f>IFERROR(SUM(Tabela589[[#This Row],[Subtotal]]*(1-Tabela589[[#This Row],[Desconto]])+Tabela589[[#This Row],[Valor de Entrega]]),"")</f>
        <v/>
      </c>
      <c r="M22" s="12" t="str">
        <f>IF(Tabela589[[#This Row],[idvenda]]=B23,"",SUMIF(Tabela589[idvenda],Tabela589[[#This Row],[idvenda]],Tabela589[Total]))</f>
        <v/>
      </c>
      <c r="N22" s="12"/>
    </row>
    <row r="23" spans="2:14" x14ac:dyDescent="0.3">
      <c r="B23" s="12"/>
      <c r="C23" s="27"/>
      <c r="D23" s="12"/>
      <c r="E23" s="12" t="str">
        <f>IFERROR(VLOOKUP(D23,cálculos!$B$2:$E$32,4,FALSE),"")</f>
        <v/>
      </c>
      <c r="G23" s="28" t="str">
        <f>IFERROR(VLOOKUP(D23,cálculos!$B$2:$E$32,3,FALSE),"")</f>
        <v/>
      </c>
      <c r="H23" s="28" t="str">
        <f>IFERROR((Tabela589[[#This Row],[Quantidade]]*G23),"")</f>
        <v/>
      </c>
      <c r="I23" s="35"/>
      <c r="K23" s="28" t="str">
        <f>IFERROR(IF(Tabela589[[#This Row],[idvenda]]=B25,"0",(VLOOKUP(Tabela589[[#This Row],[Entrega]],cálculos!$G$3:$H$7,2,FALSE))),"0")</f>
        <v>0</v>
      </c>
      <c r="L23" s="28" t="str">
        <f>IFERROR(SUM(Tabela589[[#This Row],[Subtotal]]*(1-Tabela589[[#This Row],[Desconto]])+Tabela589[[#This Row],[Valor de Entrega]]),"")</f>
        <v/>
      </c>
      <c r="M23" s="12" t="str">
        <f>IF(Tabela589[[#This Row],[idvenda]]=B24,"",SUMIF(Tabela589[idvenda],Tabela589[[#This Row],[idvenda]],Tabela589[Total]))</f>
        <v/>
      </c>
      <c r="N23" s="12"/>
    </row>
    <row r="24" spans="2:14" x14ac:dyDescent="0.3">
      <c r="B24" s="12"/>
      <c r="C24" s="27"/>
      <c r="D24" s="12"/>
      <c r="E24" s="12" t="str">
        <f>IFERROR(VLOOKUP(D24,cálculos!$B$2:$E$32,4,FALSE),"")</f>
        <v/>
      </c>
      <c r="G24" s="28" t="str">
        <f>IFERROR(VLOOKUP(D24,cálculos!$B$2:$E$32,3,FALSE),"")</f>
        <v/>
      </c>
      <c r="H24" s="28" t="str">
        <f>IFERROR((Tabela589[[#This Row],[Quantidade]]*G24),"")</f>
        <v/>
      </c>
      <c r="I24" s="35"/>
      <c r="K24" s="28" t="str">
        <f>IFERROR(IF(Tabela589[[#This Row],[idvenda]]=B26,"0",(VLOOKUP(Tabela589[[#This Row],[Entrega]],cálculos!$G$3:$H$7,2,FALSE))),"0")</f>
        <v>0</v>
      </c>
      <c r="L24" s="28" t="str">
        <f>IFERROR(SUM(Tabela589[[#This Row],[Subtotal]]*(1-Tabela589[[#This Row],[Desconto]])+Tabela589[[#This Row],[Valor de Entrega]]),"")</f>
        <v/>
      </c>
      <c r="M24" s="12" t="str">
        <f>IF(Tabela589[[#This Row],[idvenda]]=B25,"",SUMIF(Tabela589[idvenda],Tabela589[[#This Row],[idvenda]],Tabela589[Total]))</f>
        <v/>
      </c>
      <c r="N24" s="12"/>
    </row>
    <row r="25" spans="2:14" x14ac:dyDescent="0.3">
      <c r="B25" s="12"/>
      <c r="C25" s="27"/>
      <c r="D25" s="12"/>
      <c r="E25" s="12" t="str">
        <f>IFERROR(VLOOKUP(D25,cálculos!$B$2:$E$32,4,FALSE),"")</f>
        <v/>
      </c>
      <c r="G25" s="28" t="str">
        <f>IFERROR(VLOOKUP(D25,cálculos!$B$2:$E$32,3,FALSE),"")</f>
        <v/>
      </c>
      <c r="H25" s="28" t="str">
        <f>IFERROR((Tabela589[[#This Row],[Quantidade]]*G25),"")</f>
        <v/>
      </c>
      <c r="I25" s="35"/>
      <c r="K25" s="28" t="str">
        <f>IFERROR(IF(Tabela589[[#This Row],[idvenda]]=B27,"0",(VLOOKUP(Tabela589[[#This Row],[Entrega]],cálculos!$G$3:$H$7,2,FALSE))),"0")</f>
        <v>0</v>
      </c>
      <c r="L25" s="28" t="str">
        <f>IFERROR(SUM(Tabela589[[#This Row],[Subtotal]]*(1-Tabela589[[#This Row],[Desconto]])+Tabela589[[#This Row],[Valor de Entrega]]),"")</f>
        <v/>
      </c>
      <c r="M25" s="12" t="str">
        <f>IF(Tabela589[[#This Row],[idvenda]]=B26,"",SUMIF(Tabela589[idvenda],Tabela589[[#This Row],[idvenda]],Tabela589[Total]))</f>
        <v/>
      </c>
      <c r="N25" s="12"/>
    </row>
    <row r="26" spans="2:14" x14ac:dyDescent="0.3">
      <c r="B26" s="12"/>
      <c r="C26" s="27"/>
      <c r="D26" s="12"/>
      <c r="E26" s="12" t="str">
        <f>IFERROR(VLOOKUP(D26,cálculos!$B$2:$E$32,4,FALSE),"")</f>
        <v/>
      </c>
      <c r="G26" s="28" t="str">
        <f>IFERROR(VLOOKUP(D26,cálculos!$B$2:$E$32,3,FALSE),"")</f>
        <v/>
      </c>
      <c r="H26" s="28" t="str">
        <f>IFERROR((Tabela589[[#This Row],[Quantidade]]*G26),"")</f>
        <v/>
      </c>
      <c r="I26" s="35"/>
      <c r="K26" s="28" t="str">
        <f>IFERROR(IF(Tabela589[[#This Row],[idvenda]]=B28,"0",(VLOOKUP(Tabela589[[#This Row],[Entrega]],cálculos!$G$3:$H$7,2,FALSE))),"0")</f>
        <v>0</v>
      </c>
      <c r="L26" s="28" t="str">
        <f>IFERROR(SUM(Tabela589[[#This Row],[Subtotal]]*(1-Tabela589[[#This Row],[Desconto]])+Tabela589[[#This Row],[Valor de Entrega]]),"")</f>
        <v/>
      </c>
      <c r="M26" s="12" t="str">
        <f>IF(Tabela589[[#This Row],[idvenda]]=B27,"",SUMIF(Tabela589[idvenda],Tabela589[[#This Row],[idvenda]],Tabela589[Total]))</f>
        <v/>
      </c>
      <c r="N26" s="12"/>
    </row>
    <row r="27" spans="2:14" x14ac:dyDescent="0.3">
      <c r="B27" s="12"/>
      <c r="C27" s="27"/>
      <c r="D27" s="12"/>
      <c r="E27" s="12" t="str">
        <f>IFERROR(VLOOKUP(D27,cálculos!$B$2:$E$32,4,FALSE),"")</f>
        <v/>
      </c>
      <c r="G27" s="28" t="str">
        <f>IFERROR(VLOOKUP(D27,cálculos!$B$2:$E$32,3,FALSE),"")</f>
        <v/>
      </c>
      <c r="H27" s="28" t="str">
        <f>IFERROR((Tabela589[[#This Row],[Quantidade]]*G27),"")</f>
        <v/>
      </c>
      <c r="I27" s="35"/>
      <c r="K27" s="28" t="str">
        <f>IFERROR(IF(Tabela589[[#This Row],[idvenda]]=B29,"0",(VLOOKUP(Tabela589[[#This Row],[Entrega]],cálculos!$G$3:$H$7,2,FALSE))),"0")</f>
        <v>0</v>
      </c>
      <c r="L27" s="28" t="str">
        <f>IFERROR(SUM(Tabela589[[#This Row],[Subtotal]]*(1-Tabela589[[#This Row],[Desconto]])+Tabela589[[#This Row],[Valor de Entrega]]),"")</f>
        <v/>
      </c>
      <c r="M27" s="12" t="str">
        <f>IF(Tabela589[[#This Row],[idvenda]]=B28,"",SUMIF(Tabela589[idvenda],Tabela589[[#This Row],[idvenda]],Tabela589[Total]))</f>
        <v/>
      </c>
      <c r="N27" s="12"/>
    </row>
    <row r="28" spans="2:14" x14ac:dyDescent="0.3">
      <c r="B28" s="12"/>
      <c r="C28" s="27"/>
      <c r="D28" s="12"/>
      <c r="E28" s="12" t="str">
        <f>IFERROR(VLOOKUP(D28,cálculos!$B$2:$E$32,4,FALSE),"")</f>
        <v/>
      </c>
      <c r="G28" s="28" t="str">
        <f>IFERROR(VLOOKUP(D28,cálculos!$B$2:$E$32,3,FALSE),"")</f>
        <v/>
      </c>
      <c r="H28" s="28" t="str">
        <f>IFERROR((Tabela589[[#This Row],[Quantidade]]*G28),"")</f>
        <v/>
      </c>
      <c r="I28" s="35"/>
      <c r="K28" s="28" t="str">
        <f>IFERROR(IF(Tabela589[[#This Row],[idvenda]]=B30,"0",(VLOOKUP(Tabela589[[#This Row],[Entrega]],cálculos!$G$3:$H$7,2,FALSE))),"0")</f>
        <v>0</v>
      </c>
      <c r="L28" s="28" t="str">
        <f>IFERROR(SUM(Tabela589[[#This Row],[Subtotal]]*(1-Tabela589[[#This Row],[Desconto]])+Tabela589[[#This Row],[Valor de Entrega]]),"")</f>
        <v/>
      </c>
      <c r="M28" s="12" t="str">
        <f>IF(Tabela589[[#This Row],[idvenda]]=B29,"",SUMIF(Tabela589[idvenda],Tabela589[[#This Row],[idvenda]],Tabela589[Total]))</f>
        <v/>
      </c>
      <c r="N28" s="12"/>
    </row>
    <row r="29" spans="2:14" x14ac:dyDescent="0.3">
      <c r="B29" s="12"/>
      <c r="C29" s="27"/>
      <c r="D29" s="12"/>
      <c r="E29" s="12" t="str">
        <f>IFERROR(VLOOKUP(D29,cálculos!$B$2:$E$32,4,FALSE),"")</f>
        <v/>
      </c>
      <c r="G29" s="28" t="str">
        <f>IFERROR(VLOOKUP(D29,cálculos!$B$2:$E$32,3,FALSE),"")</f>
        <v/>
      </c>
      <c r="H29" s="28" t="str">
        <f>IFERROR((Tabela589[[#This Row],[Quantidade]]*G29),"")</f>
        <v/>
      </c>
      <c r="I29" s="35"/>
      <c r="K29" s="28" t="str">
        <f>IFERROR(IF(Tabela589[[#This Row],[idvenda]]=B31,"0",(VLOOKUP(Tabela589[[#This Row],[Entrega]],cálculos!$G$3:$H$7,2,FALSE))),"0")</f>
        <v>0</v>
      </c>
      <c r="L29" s="28" t="str">
        <f>IFERROR(SUM(Tabela589[[#This Row],[Subtotal]]*(1-Tabela589[[#This Row],[Desconto]])+Tabela589[[#This Row],[Valor de Entrega]]),"")</f>
        <v/>
      </c>
      <c r="M29" s="12" t="str">
        <f>IF(Tabela589[[#This Row],[idvenda]]=B30,"",SUMIF(Tabela589[idvenda],Tabela589[[#This Row],[idvenda]],Tabela589[Total]))</f>
        <v/>
      </c>
      <c r="N29" s="12"/>
    </row>
    <row r="30" spans="2:14" x14ac:dyDescent="0.3">
      <c r="B30" s="12"/>
      <c r="C30" s="27"/>
      <c r="D30" s="12"/>
      <c r="E30" s="12" t="str">
        <f>IFERROR(VLOOKUP(D30,cálculos!$B$2:$E$32,4,FALSE),"")</f>
        <v/>
      </c>
      <c r="G30" s="28" t="str">
        <f>IFERROR(VLOOKUP(D30,cálculos!$B$2:$E$32,3,FALSE),"")</f>
        <v/>
      </c>
      <c r="H30" s="28" t="str">
        <f>IFERROR((Tabela589[[#This Row],[Quantidade]]*G30),"")</f>
        <v/>
      </c>
      <c r="I30" s="35"/>
      <c r="K30" s="28" t="str">
        <f>IFERROR(IF(Tabela589[[#This Row],[idvenda]]=B32,"0",(VLOOKUP(Tabela589[[#This Row],[Entrega]],cálculos!$G$3:$H$7,2,FALSE))),"0")</f>
        <v>0</v>
      </c>
      <c r="L30" s="28" t="str">
        <f>IFERROR(SUM(Tabela589[[#This Row],[Subtotal]]*(1-Tabela589[[#This Row],[Desconto]])+Tabela589[[#This Row],[Valor de Entrega]]),"")</f>
        <v/>
      </c>
      <c r="M30" s="12" t="str">
        <f>IF(Tabela589[[#This Row],[idvenda]]=B31,"",SUMIF(Tabela589[idvenda],Tabela589[[#This Row],[idvenda]],Tabela589[Total]))</f>
        <v/>
      </c>
      <c r="N30" s="12"/>
    </row>
    <row r="31" spans="2:14" x14ac:dyDescent="0.3">
      <c r="C31" s="12"/>
      <c r="D31" s="70"/>
      <c r="E31" s="12"/>
      <c r="F31" s="12"/>
      <c r="H31" s="28"/>
      <c r="I31" s="28"/>
      <c r="J31" s="35"/>
      <c r="L31" s="28"/>
      <c r="M31" s="28"/>
      <c r="N31" s="12"/>
    </row>
    <row r="32" spans="2:14" x14ac:dyDescent="0.3">
      <c r="D32" s="42"/>
      <c r="H32" s="7"/>
      <c r="I32" s="7"/>
    </row>
    <row r="33" spans="2:14" ht="16.2" thickBot="1" x14ac:dyDescent="0.35">
      <c r="B33" s="43" t="s">
        <v>118</v>
      </c>
      <c r="C33" s="43"/>
      <c r="D33" s="43"/>
      <c r="E33" s="47"/>
      <c r="F33" s="47"/>
      <c r="G33" s="44"/>
      <c r="H33" s="44"/>
      <c r="I33" s="44"/>
      <c r="J33" s="44"/>
      <c r="K33" s="44"/>
      <c r="L33" s="44"/>
      <c r="M33" s="44">
        <f>SUM(Tabela589[Total Para o Cliente])</f>
        <v>0</v>
      </c>
      <c r="N33" s="48"/>
    </row>
    <row r="34" spans="2:14" ht="16.2" thickBot="1" x14ac:dyDescent="0.35">
      <c r="B34" s="65" t="s">
        <v>117</v>
      </c>
      <c r="C34" s="65"/>
      <c r="D34" s="65"/>
      <c r="E34" s="66"/>
      <c r="F34" s="66"/>
      <c r="G34" s="67"/>
      <c r="H34" s="67"/>
      <c r="I34" s="67"/>
      <c r="J34" s="67"/>
      <c r="K34" s="67"/>
      <c r="L34" s="67"/>
      <c r="M34" s="68">
        <f>SUM(Tabela589[Valor de Entrega])</f>
        <v>0</v>
      </c>
      <c r="N34" s="49"/>
    </row>
    <row r="35" spans="2:14" ht="14.4" customHeight="1" x14ac:dyDescent="0.3">
      <c r="B35" s="45" t="s">
        <v>132</v>
      </c>
      <c r="C35" s="45"/>
      <c r="D35" s="45"/>
      <c r="M35" s="64">
        <f>SUM(IF(FREQUENCY(Tabela589[idvenda],Tabela589[idvenda])&gt;0,1))</f>
        <v>0</v>
      </c>
      <c r="N35" s="42"/>
    </row>
  </sheetData>
  <mergeCells count="4">
    <mergeCell ref="B2:Y2"/>
    <mergeCell ref="B33:D33"/>
    <mergeCell ref="B34:D34"/>
    <mergeCell ref="B35:D35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00BD007-538D-41F6-B58E-18396B1D56A6}">
          <x14:formula1>
            <xm:f>Estoque!$B$6:$B$29</xm:f>
          </x14:formula1>
          <xm:sqref>E31 D6:D30</xm:sqref>
        </x14:dataValidation>
        <x14:dataValidation type="list" allowBlank="1" showInputMessage="1" showErrorMessage="1" xr:uid="{8C00D47B-6B48-43B8-BCEB-EB6BE4DCE623}">
          <x14:formula1>
            <xm:f>cálculos!$G$3:$G$7</xm:f>
          </x14:formula1>
          <xm:sqref>K31 J6:J30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1BB93-C678-4FC0-A429-280933235F6A}">
  <dimension ref="A3:I8"/>
  <sheetViews>
    <sheetView showGridLines="0" workbookViewId="0">
      <selection activeCell="M11" sqref="M11"/>
    </sheetView>
  </sheetViews>
  <sheetFormatPr defaultRowHeight="14.4" x14ac:dyDescent="0.3"/>
  <cols>
    <col min="1" max="1" width="17.21875" style="34" bestFit="1" customWidth="1"/>
    <col min="2" max="2" width="18.88671875" style="34" bestFit="1" customWidth="1"/>
    <col min="3" max="3" width="13.109375" style="34" bestFit="1" customWidth="1"/>
    <col min="4" max="4" width="10.88671875" style="34" customWidth="1"/>
    <col min="5" max="5" width="5.21875" style="34" customWidth="1"/>
    <col min="6" max="6" width="17.21875" style="34" bestFit="1" customWidth="1"/>
    <col min="7" max="7" width="18.88671875" style="34" bestFit="1" customWidth="1"/>
    <col min="8" max="8" width="23" style="34" bestFit="1" customWidth="1"/>
    <col min="9" max="9" width="13.109375" style="34" bestFit="1" customWidth="1"/>
    <col min="10" max="13" width="2" style="34" bestFit="1" customWidth="1"/>
    <col min="14" max="17" width="3" style="34" bestFit="1" customWidth="1"/>
    <col min="18" max="18" width="10" style="34" bestFit="1" customWidth="1"/>
    <col min="19" max="22" width="18.5546875" style="34" bestFit="1" customWidth="1"/>
    <col min="23" max="23" width="11.33203125" style="34" bestFit="1" customWidth="1"/>
    <col min="24" max="16384" width="8.88671875" style="34"/>
  </cols>
  <sheetData>
    <row r="3" spans="1:9" x14ac:dyDescent="0.3">
      <c r="A3" s="38" t="s">
        <v>149</v>
      </c>
      <c r="B3" s="34" t="s">
        <v>154</v>
      </c>
      <c r="C3" s="34" t="s">
        <v>151</v>
      </c>
      <c r="F3" s="38" t="s">
        <v>149</v>
      </c>
      <c r="G3" s="34" t="s">
        <v>154</v>
      </c>
      <c r="H3" s="34" t="s">
        <v>153</v>
      </c>
      <c r="I3" s="34" t="s">
        <v>151</v>
      </c>
    </row>
    <row r="4" spans="1:9" x14ac:dyDescent="0.3">
      <c r="A4" s="39" t="s">
        <v>152</v>
      </c>
      <c r="B4" s="36"/>
      <c r="C4" s="36">
        <v>0</v>
      </c>
      <c r="F4" s="40" t="s">
        <v>152</v>
      </c>
      <c r="G4" s="36"/>
      <c r="H4" s="36">
        <v>0</v>
      </c>
      <c r="I4" s="36">
        <v>0</v>
      </c>
    </row>
    <row r="5" spans="1:9" x14ac:dyDescent="0.3">
      <c r="A5" s="41" t="s">
        <v>152</v>
      </c>
      <c r="B5" s="36"/>
      <c r="C5" s="36">
        <v>0</v>
      </c>
      <c r="F5" s="40" t="s">
        <v>150</v>
      </c>
      <c r="G5" s="36"/>
      <c r="H5" s="36">
        <v>0</v>
      </c>
      <c r="I5" s="36">
        <v>0</v>
      </c>
    </row>
    <row r="6" spans="1:9" x14ac:dyDescent="0.3">
      <c r="A6" s="39" t="s">
        <v>150</v>
      </c>
      <c r="B6" s="36"/>
      <c r="C6" s="36">
        <v>0</v>
      </c>
      <c r="F6"/>
      <c r="G6"/>
      <c r="H6"/>
      <c r="I6"/>
    </row>
    <row r="7" spans="1:9" x14ac:dyDescent="0.3">
      <c r="A7"/>
      <c r="B7"/>
      <c r="C7"/>
    </row>
    <row r="8" spans="1:9" x14ac:dyDescent="0.3">
      <c r="A8"/>
      <c r="B8"/>
      <c r="C8"/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EFE2B-E025-4E4D-818E-D825954A4DE7}">
  <sheetPr codeName="Planilha11"/>
  <dimension ref="B2:Y43"/>
  <sheetViews>
    <sheetView showGridLines="0" topLeftCell="A6" zoomScaleNormal="100" workbookViewId="0">
      <selection activeCell="C38" sqref="B6:C38"/>
    </sheetView>
  </sheetViews>
  <sheetFormatPr defaultRowHeight="14.4" x14ac:dyDescent="0.3"/>
  <cols>
    <col min="1" max="1" width="8.88671875" style="34"/>
    <col min="2" max="2" width="12" style="34" customWidth="1"/>
    <col min="3" max="3" width="14.5546875" style="34" customWidth="1"/>
    <col min="4" max="4" width="21.77734375" style="34" customWidth="1"/>
    <col min="5" max="5" width="17.21875" style="34" bestFit="1" customWidth="1"/>
    <col min="6" max="6" width="15.33203125" style="34" customWidth="1"/>
    <col min="7" max="7" width="16.109375" style="34" customWidth="1"/>
    <col min="8" max="8" width="13.44140625" style="34" customWidth="1"/>
    <col min="9" max="9" width="15" style="34" customWidth="1"/>
    <col min="10" max="10" width="14.6640625" style="34" customWidth="1"/>
    <col min="11" max="11" width="16.21875" style="34" customWidth="1"/>
    <col min="12" max="12" width="11.88671875" style="34" customWidth="1"/>
    <col min="13" max="13" width="20.88671875" style="34" customWidth="1"/>
    <col min="14" max="14" width="21.88671875" style="34" bestFit="1" customWidth="1"/>
    <col min="15" max="16384" width="8.88671875" style="34"/>
  </cols>
  <sheetData>
    <row r="2" spans="2:25" ht="21" x14ac:dyDescent="0.3">
      <c r="B2" s="2" t="s">
        <v>121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2:25" ht="21" x14ac:dyDescent="0.3">
      <c r="B3" s="124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</row>
    <row r="4" spans="2:25" ht="27.6" customHeight="1" x14ac:dyDescent="0.3"/>
    <row r="5" spans="2:25" x14ac:dyDescent="0.3">
      <c r="B5" s="12" t="s">
        <v>104</v>
      </c>
      <c r="C5" s="12" t="s">
        <v>44</v>
      </c>
      <c r="D5" s="12" t="s">
        <v>96</v>
      </c>
      <c r="E5" s="12" t="s">
        <v>56</v>
      </c>
      <c r="F5" s="12" t="s">
        <v>57</v>
      </c>
      <c r="G5" s="12" t="s">
        <v>105</v>
      </c>
      <c r="H5" s="12" t="s">
        <v>106</v>
      </c>
      <c r="I5" s="12" t="s">
        <v>59</v>
      </c>
      <c r="J5" s="12" t="s">
        <v>107</v>
      </c>
      <c r="K5" s="12" t="s">
        <v>114</v>
      </c>
      <c r="L5" s="12" t="s">
        <v>115</v>
      </c>
      <c r="M5" s="12" t="s">
        <v>116</v>
      </c>
    </row>
    <row r="6" spans="2:25" x14ac:dyDescent="0.3">
      <c r="B6" s="82"/>
      <c r="C6" s="27"/>
      <c r="D6" s="12"/>
      <c r="E6" s="82" t="str">
        <f>IFERROR(VLOOKUP(D6,cálculos!$B$2:$E$32,4,FALSE),"")</f>
        <v/>
      </c>
      <c r="F6" s="12"/>
      <c r="G6" s="28" t="str">
        <f>IFERROR(VLOOKUP(D6,cálculos!$B$2:$E$32,3,FALSE),"")</f>
        <v/>
      </c>
      <c r="H6" s="28" t="str">
        <f>IFERROR((Tabela58910[[#This Row],[Quantidade]]*G6),"")</f>
        <v/>
      </c>
      <c r="I6" s="29"/>
      <c r="J6" s="12"/>
      <c r="K6" s="28" t="str">
        <f>IFERROR(IF(Tabela58910[[#This Row],[idvenda]]=B8,"0",(VLOOKUP(Tabela58910[[#This Row],[Entrega]],cálculos!$G$3:$H$7,2,FALSE))),"0")</f>
        <v>0</v>
      </c>
      <c r="L6" s="28" t="str">
        <f>IFERROR(SUM(Tabela58910[[#This Row],[Subtotal]]*(1-Tabela58910[[#This Row],[Desconto]])+Tabela58910[[#This Row],[Valor de Entrega]]),"")</f>
        <v/>
      </c>
      <c r="M6" s="82" t="str">
        <f>IF(Tabela58910[[#This Row],[idvenda]]=B7,"",SUMIF(Tabela58910[idvenda],Tabela58910[[#This Row],[idvenda]],Tabela58910[Total]))</f>
        <v/>
      </c>
      <c r="N6" s="12"/>
    </row>
    <row r="7" spans="2:25" x14ac:dyDescent="0.3">
      <c r="B7" s="82"/>
      <c r="C7" s="27"/>
      <c r="D7" s="12"/>
      <c r="E7" s="82" t="str">
        <f>IFERROR(VLOOKUP(D7,cálculos!$B$2:$E$32,4,FALSE),"")</f>
        <v/>
      </c>
      <c r="F7" s="12"/>
      <c r="G7" s="28" t="str">
        <f>IFERROR(VLOOKUP(D7,cálculos!$B$2:$E$32,3,FALSE),"")</f>
        <v/>
      </c>
      <c r="H7" s="28" t="str">
        <f>IFERROR((Tabela58910[[#This Row],[Quantidade]]*G7),"")</f>
        <v/>
      </c>
      <c r="I7" s="29"/>
      <c r="J7" s="12"/>
      <c r="K7" s="28" t="str">
        <f>IFERROR(IF(Tabela58910[[#This Row],[idvenda]]=B9,"0",(VLOOKUP(Tabela58910[[#This Row],[Entrega]],cálculos!$G$3:$H$7,2,FALSE))),"0")</f>
        <v>0</v>
      </c>
      <c r="L7" s="28" t="str">
        <f>IFERROR(SUM(Tabela58910[[#This Row],[Subtotal]]*(1-Tabela58910[[#This Row],[Desconto]])+Tabela58910[[#This Row],[Valor de Entrega]]),"")</f>
        <v/>
      </c>
      <c r="M7" s="82" t="str">
        <f>IF(Tabela58910[[#This Row],[idvenda]]=B8,"",SUMIF(Tabela58910[idvenda],Tabela58910[[#This Row],[idvenda]],Tabela58910[Total]))</f>
        <v/>
      </c>
      <c r="N7" s="12"/>
    </row>
    <row r="8" spans="2:25" x14ac:dyDescent="0.3">
      <c r="B8" s="82"/>
      <c r="C8" s="27"/>
      <c r="D8" s="12"/>
      <c r="E8" s="82" t="str">
        <f>IFERROR(VLOOKUP(D8,cálculos!$B$2:$E$32,4,FALSE),"")</f>
        <v/>
      </c>
      <c r="F8" s="12"/>
      <c r="G8" s="28" t="str">
        <f>IFERROR(VLOOKUP(D8,cálculos!$B$2:$E$32,3,FALSE),"")</f>
        <v/>
      </c>
      <c r="H8" s="28" t="str">
        <f>IFERROR((Tabela58910[[#This Row],[Quantidade]]*G8),"")</f>
        <v/>
      </c>
      <c r="I8" s="29"/>
      <c r="J8" s="12"/>
      <c r="K8" s="28" t="str">
        <f>IFERROR(IF(Tabela58910[[#This Row],[idvenda]]=B10,"0",(VLOOKUP(Tabela58910[[#This Row],[Entrega]],cálculos!$G$3:$H$7,2,FALSE))),"0")</f>
        <v>0</v>
      </c>
      <c r="L8" s="28" t="str">
        <f>IFERROR(SUM(Tabela58910[[#This Row],[Subtotal]]*(1-Tabela58910[[#This Row],[Desconto]])+Tabela58910[[#This Row],[Valor de Entrega]]),"")</f>
        <v/>
      </c>
      <c r="M8" s="82" t="str">
        <f>IF(Tabela58910[[#This Row],[idvenda]]=B9,"",SUMIF(Tabela58910[idvenda],Tabela58910[[#This Row],[idvenda]],Tabela58910[Total]))</f>
        <v/>
      </c>
      <c r="N8" s="12"/>
    </row>
    <row r="9" spans="2:25" x14ac:dyDescent="0.3">
      <c r="B9" s="82"/>
      <c r="C9" s="27"/>
      <c r="D9" s="12"/>
      <c r="E9" s="82" t="str">
        <f>IFERROR(VLOOKUP(D9,cálculos!$B$2:$E$32,4,FALSE),"")</f>
        <v/>
      </c>
      <c r="F9" s="12"/>
      <c r="G9" s="28" t="str">
        <f>IFERROR(VLOOKUP(D9,cálculos!$B$2:$E$32,3,FALSE),"")</f>
        <v/>
      </c>
      <c r="H9" s="28" t="str">
        <f>IFERROR((Tabela58910[[#This Row],[Quantidade]]*G9),"")</f>
        <v/>
      </c>
      <c r="I9" s="29"/>
      <c r="J9" s="12"/>
      <c r="K9" s="28" t="str">
        <f>IFERROR(IF(Tabela58910[[#This Row],[idvenda]]=B11,"0",(VLOOKUP(Tabela58910[[#This Row],[Entrega]],cálculos!$G$3:$H$7,2,FALSE))),"0")</f>
        <v>0</v>
      </c>
      <c r="L9" s="28" t="str">
        <f>IFERROR(SUM(Tabela58910[[#This Row],[Subtotal]]*(1-Tabela58910[[#This Row],[Desconto]])+Tabela58910[[#This Row],[Valor de Entrega]]),"")</f>
        <v/>
      </c>
      <c r="M9" s="82" t="str">
        <f>IF(Tabela58910[[#This Row],[idvenda]]=B10,"",SUMIF(Tabela58910[idvenda],Tabela58910[[#This Row],[idvenda]],Tabela58910[Total]))</f>
        <v/>
      </c>
      <c r="N9" s="12"/>
    </row>
    <row r="10" spans="2:25" x14ac:dyDescent="0.3">
      <c r="B10" s="82"/>
      <c r="C10" s="27"/>
      <c r="D10" s="12"/>
      <c r="E10" s="82" t="str">
        <f>IFERROR(VLOOKUP(D10,cálculos!$B$2:$E$32,4,FALSE),"")</f>
        <v/>
      </c>
      <c r="F10" s="12"/>
      <c r="G10" s="28" t="str">
        <f>IFERROR(VLOOKUP(D10,cálculos!$B$2:$E$32,3,FALSE),"")</f>
        <v/>
      </c>
      <c r="H10" s="28" t="str">
        <f>IFERROR((Tabela58910[[#This Row],[Quantidade]]*G10),"")</f>
        <v/>
      </c>
      <c r="I10" s="29"/>
      <c r="J10" s="12"/>
      <c r="K10" s="28" t="str">
        <f>IFERROR(IF(Tabela58910[[#This Row],[idvenda]]=B12,"0",(VLOOKUP(Tabela58910[[#This Row],[Entrega]],cálculos!$G$3:$H$7,2,FALSE))),"0")</f>
        <v>0</v>
      </c>
      <c r="L10" s="28" t="str">
        <f>IFERROR(SUM(Tabela58910[[#This Row],[Subtotal]]*(1-Tabela58910[[#This Row],[Desconto]])+Tabela58910[[#This Row],[Valor de Entrega]]),"")</f>
        <v/>
      </c>
      <c r="M10" s="82" t="str">
        <f>IF(Tabela58910[[#This Row],[idvenda]]=B11,"",SUMIF(Tabela58910[idvenda],Tabela58910[[#This Row],[idvenda]],Tabela58910[Total]))</f>
        <v/>
      </c>
      <c r="N10" s="46"/>
    </row>
    <row r="11" spans="2:25" x14ac:dyDescent="0.3">
      <c r="B11" s="82"/>
      <c r="C11" s="27"/>
      <c r="D11" s="12"/>
      <c r="E11" s="82" t="str">
        <f>IFERROR(VLOOKUP(D11,cálculos!$B$2:$E$32,4,FALSE),"")</f>
        <v/>
      </c>
      <c r="F11" s="12"/>
      <c r="G11" s="28" t="str">
        <f>IFERROR(VLOOKUP(D11,cálculos!$B$2:$E$32,3,FALSE),"")</f>
        <v/>
      </c>
      <c r="H11" s="28" t="str">
        <f>IFERROR((Tabela58910[[#This Row],[Quantidade]]*G11),"")</f>
        <v/>
      </c>
      <c r="I11" s="29"/>
      <c r="J11" s="12"/>
      <c r="K11" s="28" t="str">
        <f>IFERROR(IF(Tabela58910[[#This Row],[idvenda]]=B13,"0",(VLOOKUP(Tabela58910[[#This Row],[Entrega]],cálculos!$G$3:$H$7,2,FALSE))),"0")</f>
        <v>0</v>
      </c>
      <c r="L11" s="28" t="str">
        <f>IFERROR(SUM(Tabela58910[[#This Row],[Subtotal]]*(1-Tabela58910[[#This Row],[Desconto]])+Tabela58910[[#This Row],[Valor de Entrega]]),"")</f>
        <v/>
      </c>
      <c r="M11" s="82" t="str">
        <f>IF(Tabela58910[[#This Row],[idvenda]]=B12,"",SUMIF(Tabela58910[idvenda],Tabela58910[[#This Row],[idvenda]],Tabela58910[Total]))</f>
        <v/>
      </c>
      <c r="N11" s="12"/>
    </row>
    <row r="12" spans="2:25" x14ac:dyDescent="0.3">
      <c r="B12" s="82"/>
      <c r="C12" s="27"/>
      <c r="D12" s="12"/>
      <c r="E12" s="82" t="str">
        <f>IFERROR(VLOOKUP(D12,cálculos!$B$2:$E$32,4,FALSE),"")</f>
        <v/>
      </c>
      <c r="F12" s="12"/>
      <c r="G12" s="28" t="str">
        <f>IFERROR(VLOOKUP(D12,cálculos!$B$2:$E$32,3,FALSE),"")</f>
        <v/>
      </c>
      <c r="H12" s="28" t="str">
        <f>IFERROR((Tabela58910[[#This Row],[Quantidade]]*G12),"")</f>
        <v/>
      </c>
      <c r="I12" s="29"/>
      <c r="J12" s="12"/>
      <c r="K12" s="28" t="str">
        <f>IFERROR(IF(Tabela58910[[#This Row],[idvenda]]=B14,"0",(VLOOKUP(Tabela58910[[#This Row],[Entrega]],cálculos!$G$3:$H$7,2,FALSE))),"0")</f>
        <v>0</v>
      </c>
      <c r="L12" s="28" t="str">
        <f>IFERROR(SUM(Tabela58910[[#This Row],[Subtotal]]*(1-Tabela58910[[#This Row],[Desconto]])+Tabela58910[[#This Row],[Valor de Entrega]]),"")</f>
        <v/>
      </c>
      <c r="M12" s="82" t="str">
        <f>IF(Tabela58910[[#This Row],[idvenda]]=B13,"",SUMIF(Tabela58910[idvenda],Tabela58910[[#This Row],[idvenda]],Tabela58910[Total]))</f>
        <v/>
      </c>
      <c r="N12" s="12"/>
    </row>
    <row r="13" spans="2:25" x14ac:dyDescent="0.3">
      <c r="B13" s="12"/>
      <c r="C13" s="27"/>
      <c r="D13" s="12"/>
      <c r="E13" s="82" t="str">
        <f>IFERROR(VLOOKUP(D13,cálculos!$B$2:$E$32,4,FALSE),"")</f>
        <v/>
      </c>
      <c r="F13" s="12"/>
      <c r="G13" s="28" t="str">
        <f>IFERROR(VLOOKUP(D13,cálculos!$B$2:$E$32,3,FALSE),"")</f>
        <v/>
      </c>
      <c r="H13" s="28" t="str">
        <f>IFERROR((Tabela58910[[#This Row],[Quantidade]]*G13),"")</f>
        <v/>
      </c>
      <c r="I13" s="29"/>
      <c r="J13" s="12"/>
      <c r="K13" s="28" t="str">
        <f>IFERROR(IF(Tabela58910[[#This Row],[idvenda]]=B15,"0",(VLOOKUP(Tabela58910[[#This Row],[Entrega]],cálculos!$G$3:$H$7,2,FALSE))),"0")</f>
        <v>0</v>
      </c>
      <c r="L13" s="28" t="str">
        <f>IFERROR(SUM(Tabela58910[[#This Row],[Subtotal]]*(1-Tabela58910[[#This Row],[Desconto]])+Tabela58910[[#This Row],[Valor de Entrega]]),"")</f>
        <v/>
      </c>
      <c r="M13" s="82" t="str">
        <f>IF(Tabela58910[[#This Row],[idvenda]]=B14,"",SUMIF(Tabela58910[idvenda],Tabela58910[[#This Row],[idvenda]],Tabela58910[Total]))</f>
        <v/>
      </c>
      <c r="N13" s="12"/>
    </row>
    <row r="14" spans="2:25" x14ac:dyDescent="0.3">
      <c r="B14" s="12"/>
      <c r="C14" s="27"/>
      <c r="D14" s="12"/>
      <c r="E14" s="12" t="str">
        <f>IFERROR(VLOOKUP(D14,cálculos!$B$2:$E$32,4,FALSE),"")</f>
        <v/>
      </c>
      <c r="G14" s="28" t="str">
        <f>IFERROR(VLOOKUP(D14,cálculos!$B$2:$E$32,3,FALSE),"")</f>
        <v/>
      </c>
      <c r="H14" s="28" t="str">
        <f>IFERROR((Tabela58910[[#This Row],[Quantidade]]*G14),"")</f>
        <v/>
      </c>
      <c r="I14" s="35"/>
      <c r="K14" s="28" t="str">
        <f>IFERROR(IF(Tabela58910[[#This Row],[idvenda]]=B16,"0",(VLOOKUP(Tabela58910[[#This Row],[Entrega]],cálculos!$G$3:$H$7,2,FALSE))),"0")</f>
        <v>0</v>
      </c>
      <c r="L14" s="28" t="str">
        <f>IFERROR(SUM(Tabela58910[[#This Row],[Subtotal]]*(1-Tabela58910[[#This Row],[Desconto]])+Tabela58910[[#This Row],[Valor de Entrega]]),"")</f>
        <v/>
      </c>
      <c r="M14" s="12" t="str">
        <f>IF(Tabela58910[[#This Row],[idvenda]]=B15,"",SUMIF(Tabela58910[idvenda],Tabela58910[[#This Row],[idvenda]],Tabela58910[Total]))</f>
        <v/>
      </c>
      <c r="N14" s="12"/>
    </row>
    <row r="15" spans="2:25" x14ac:dyDescent="0.3">
      <c r="B15" s="12"/>
      <c r="C15" s="27"/>
      <c r="D15" s="12"/>
      <c r="E15" s="12" t="str">
        <f>IFERROR(VLOOKUP(D15,cálculos!$B$2:$E$32,4,FALSE),"")</f>
        <v/>
      </c>
      <c r="G15" s="28" t="str">
        <f>IFERROR(VLOOKUP(D15,cálculos!$B$2:$E$32,3,FALSE),"")</f>
        <v/>
      </c>
      <c r="H15" s="28" t="str">
        <f>IFERROR((Tabela58910[[#This Row],[Quantidade]]*G15),"")</f>
        <v/>
      </c>
      <c r="I15" s="35"/>
      <c r="K15" s="28" t="str">
        <f>IFERROR(IF(Tabela58910[[#This Row],[idvenda]]=B17,"0",(VLOOKUP(Tabela58910[[#This Row],[Entrega]],cálculos!$G$3:$H$7,2,FALSE))),"0")</f>
        <v>0</v>
      </c>
      <c r="L15" s="28" t="str">
        <f>IFERROR(SUM(Tabela58910[[#This Row],[Subtotal]]*(1-Tabela58910[[#This Row],[Desconto]])+Tabela58910[[#This Row],[Valor de Entrega]]),"")</f>
        <v/>
      </c>
      <c r="M15" s="12" t="str">
        <f>IF(Tabela58910[[#This Row],[idvenda]]=B16,"",SUMIF(Tabela58910[idvenda],Tabela58910[[#This Row],[idvenda]],Tabela58910[Total]))</f>
        <v/>
      </c>
      <c r="N15" s="12"/>
    </row>
    <row r="16" spans="2:25" x14ac:dyDescent="0.3">
      <c r="B16" s="12"/>
      <c r="C16" s="27"/>
      <c r="D16" s="12"/>
      <c r="E16" s="12" t="str">
        <f>IFERROR(VLOOKUP(D16,cálculos!$B$2:$E$32,4,FALSE),"")</f>
        <v/>
      </c>
      <c r="G16" s="28" t="str">
        <f>IFERROR(VLOOKUP(D16,cálculos!$B$2:$E$32,3,FALSE),"")</f>
        <v/>
      </c>
      <c r="H16" s="28" t="str">
        <f>IFERROR((Tabela58910[[#This Row],[Quantidade]]*G16),"")</f>
        <v/>
      </c>
      <c r="I16" s="35"/>
      <c r="K16" s="28" t="str">
        <f>IFERROR(IF(Tabela58910[[#This Row],[idvenda]]=B18,"0",(VLOOKUP(Tabela58910[[#This Row],[Entrega]],cálculos!$G$3:$H$7,2,FALSE))),"0")</f>
        <v>0</v>
      </c>
      <c r="L16" s="28" t="str">
        <f>IFERROR(SUM(Tabela58910[[#This Row],[Subtotal]]*(1-Tabela58910[[#This Row],[Desconto]])+Tabela58910[[#This Row],[Valor de Entrega]]),"")</f>
        <v/>
      </c>
      <c r="M16" s="12" t="str">
        <f>IF(Tabela58910[[#This Row],[idvenda]]=B17,"",SUMIF(Tabela58910[idvenda],Tabela58910[[#This Row],[idvenda]],Tabela58910[Total]))</f>
        <v/>
      </c>
      <c r="N16" s="12"/>
    </row>
    <row r="17" spans="2:14" x14ac:dyDescent="0.3">
      <c r="B17" s="12"/>
      <c r="C17" s="27"/>
      <c r="D17" s="12"/>
      <c r="E17" s="12" t="str">
        <f>IFERROR(VLOOKUP(D17,cálculos!$B$2:$E$32,4,FALSE),"")</f>
        <v/>
      </c>
      <c r="G17" s="28" t="str">
        <f>IFERROR(VLOOKUP(D17,cálculos!$B$2:$E$32,3,FALSE),"")</f>
        <v/>
      </c>
      <c r="H17" s="28" t="str">
        <f>IFERROR((Tabela58910[[#This Row],[Quantidade]]*G17),"")</f>
        <v/>
      </c>
      <c r="I17" s="35"/>
      <c r="K17" s="28" t="str">
        <f>IFERROR(IF(Tabela58910[[#This Row],[idvenda]]=B19,"0",(VLOOKUP(Tabela58910[[#This Row],[Entrega]],cálculos!$G$3:$H$7,2,FALSE))),"0")</f>
        <v>0</v>
      </c>
      <c r="L17" s="28" t="str">
        <f>IFERROR(SUM(Tabela58910[[#This Row],[Subtotal]]*(1-Tabela58910[[#This Row],[Desconto]])+Tabela58910[[#This Row],[Valor de Entrega]]),"")</f>
        <v/>
      </c>
      <c r="M17" s="46" t="str">
        <f>IF(Tabela58910[[#This Row],[idvenda]]=B18,"",SUMIF(Tabela58910[idvenda],Tabela58910[[#This Row],[idvenda]],Tabela58910[Total]))</f>
        <v/>
      </c>
      <c r="N17" s="12"/>
    </row>
    <row r="18" spans="2:14" x14ac:dyDescent="0.3">
      <c r="B18" s="12"/>
      <c r="C18" s="27"/>
      <c r="D18" s="12"/>
      <c r="E18" s="12" t="str">
        <f>IFERROR(VLOOKUP(D18,cálculos!$B$2:$E$32,4,FALSE),"")</f>
        <v/>
      </c>
      <c r="G18" s="28" t="str">
        <f>IFERROR(VLOOKUP(D18,cálculos!$B$2:$E$32,3,FALSE),"")</f>
        <v/>
      </c>
      <c r="H18" s="28" t="str">
        <f>IFERROR((Tabela58910[[#This Row],[Quantidade]]*G18),"")</f>
        <v/>
      </c>
      <c r="I18" s="35"/>
      <c r="K18" s="28" t="str">
        <f>IFERROR(IF(Tabela58910[[#This Row],[idvenda]]=B20,"0",(VLOOKUP(Tabela58910[[#This Row],[Entrega]],cálculos!$G$3:$H$7,2,FALSE))),"0")</f>
        <v>0</v>
      </c>
      <c r="L18" s="28" t="str">
        <f>IFERROR(SUM(Tabela58910[[#This Row],[Subtotal]]*(1-Tabela58910[[#This Row],[Desconto]])+Tabela58910[[#This Row],[Valor de Entrega]]),"")</f>
        <v/>
      </c>
      <c r="M18" s="12" t="str">
        <f>IF(Tabela58910[[#This Row],[idvenda]]=B19,"",SUMIF(Tabela58910[idvenda],Tabela58910[[#This Row],[idvenda]],Tabela58910[Total]))</f>
        <v/>
      </c>
      <c r="N18" s="12"/>
    </row>
    <row r="19" spans="2:14" x14ac:dyDescent="0.3">
      <c r="B19" s="12"/>
      <c r="C19" s="27"/>
      <c r="D19" s="12"/>
      <c r="E19" s="12" t="str">
        <f>IFERROR(VLOOKUP(D19,cálculos!$B$2:$E$32,4,FALSE),"")</f>
        <v/>
      </c>
      <c r="G19" s="28" t="str">
        <f>IFERROR(VLOOKUP(D19,cálculos!$B$2:$E$32,3,FALSE),"")</f>
        <v/>
      </c>
      <c r="H19" s="28" t="str">
        <f>IFERROR((Tabela58910[[#This Row],[Quantidade]]*G19),"")</f>
        <v/>
      </c>
      <c r="I19" s="35"/>
      <c r="K19" s="28" t="str">
        <f>IFERROR(IF(Tabela58910[[#This Row],[idvenda]]=B21,"0",(VLOOKUP(Tabela58910[[#This Row],[Entrega]],cálculos!$G$3:$H$7,2,FALSE))),"0")</f>
        <v>0</v>
      </c>
      <c r="L19" s="28" t="str">
        <f>IFERROR(SUM(Tabela58910[[#This Row],[Subtotal]]*(1-Tabela58910[[#This Row],[Desconto]])+Tabela58910[[#This Row],[Valor de Entrega]]),"")</f>
        <v/>
      </c>
      <c r="M19" s="12" t="str">
        <f>IF(Tabela58910[[#This Row],[idvenda]]=B20,"",SUMIF(Tabela58910[idvenda],Tabela58910[[#This Row],[idvenda]],Tabela58910[Total]))</f>
        <v/>
      </c>
      <c r="N19" s="12"/>
    </row>
    <row r="20" spans="2:14" x14ac:dyDescent="0.3">
      <c r="B20" s="12"/>
      <c r="C20" s="27"/>
      <c r="D20" s="12"/>
      <c r="E20" s="12" t="str">
        <f>IFERROR(VLOOKUP(D20,cálculos!$B$2:$E$32,4,FALSE),"")</f>
        <v/>
      </c>
      <c r="G20" s="28" t="str">
        <f>IFERROR(VLOOKUP(D20,cálculos!$B$2:$E$32,3,FALSE),"")</f>
        <v/>
      </c>
      <c r="H20" s="28" t="str">
        <f>IFERROR((Tabela58910[[#This Row],[Quantidade]]*G20),"")</f>
        <v/>
      </c>
      <c r="I20" s="35"/>
      <c r="K20" s="28" t="str">
        <f>IFERROR(IF(Tabela58910[[#This Row],[idvenda]]=B22,"0",(VLOOKUP(Tabela58910[[#This Row],[Entrega]],cálculos!$G$3:$H$7,2,FALSE))),"0")</f>
        <v>0</v>
      </c>
      <c r="L20" s="28" t="str">
        <f>IFERROR(SUM(Tabela58910[[#This Row],[Subtotal]]*(1-Tabela58910[[#This Row],[Desconto]])+Tabela58910[[#This Row],[Valor de Entrega]]),"")</f>
        <v/>
      </c>
      <c r="M20" s="12" t="str">
        <f>IF(Tabela58910[[#This Row],[idvenda]]=B21,"",SUMIF(Tabela58910[idvenda],Tabela58910[[#This Row],[idvenda]],Tabela58910[Total]))</f>
        <v/>
      </c>
      <c r="N20" s="12"/>
    </row>
    <row r="21" spans="2:14" x14ac:dyDescent="0.3">
      <c r="B21" s="12"/>
      <c r="C21" s="27"/>
      <c r="D21" s="12"/>
      <c r="E21" s="12" t="str">
        <f>IFERROR(VLOOKUP(D21,cálculos!$B$2:$E$32,4,FALSE),"")</f>
        <v/>
      </c>
      <c r="G21" s="28" t="str">
        <f>IFERROR(VLOOKUP(D21,cálculos!$B$2:$E$32,3,FALSE),"")</f>
        <v/>
      </c>
      <c r="H21" s="28" t="str">
        <f>IFERROR((Tabela58910[[#This Row],[Quantidade]]*G21),"")</f>
        <v/>
      </c>
      <c r="I21" s="35"/>
      <c r="K21" s="28" t="str">
        <f>IFERROR(IF(Tabela58910[[#This Row],[idvenda]]=B23,"0",(VLOOKUP(Tabela58910[[#This Row],[Entrega]],cálculos!$G$3:$H$7,2,FALSE))),"0")</f>
        <v>0</v>
      </c>
      <c r="L21" s="28" t="str">
        <f>IFERROR(SUM(Tabela58910[[#This Row],[Subtotal]]*(1-Tabela58910[[#This Row],[Desconto]])+Tabela58910[[#This Row],[Valor de Entrega]]),"")</f>
        <v/>
      </c>
      <c r="M21" s="12" t="str">
        <f>IF(Tabela58910[[#This Row],[idvenda]]=B22,"",SUMIF(Tabela58910[idvenda],Tabela58910[[#This Row],[idvenda]],Tabela58910[Total]))</f>
        <v/>
      </c>
      <c r="N21" s="12"/>
    </row>
    <row r="22" spans="2:14" x14ac:dyDescent="0.3">
      <c r="B22" s="12"/>
      <c r="C22" s="27"/>
      <c r="D22" s="12"/>
      <c r="E22" s="12" t="str">
        <f>IFERROR(VLOOKUP(D22,cálculos!$B$2:$E$32,4,FALSE),"")</f>
        <v/>
      </c>
      <c r="G22" s="28" t="str">
        <f>IFERROR(VLOOKUP(D22,cálculos!$B$2:$E$32,3,FALSE),"")</f>
        <v/>
      </c>
      <c r="H22" s="28" t="str">
        <f>IFERROR((Tabela58910[[#This Row],[Quantidade]]*G22),"")</f>
        <v/>
      </c>
      <c r="I22" s="35"/>
      <c r="K22" s="28" t="str">
        <f>IFERROR(IF(Tabela58910[[#This Row],[idvenda]]=B24,"0",(VLOOKUP(Tabela58910[[#This Row],[Entrega]],cálculos!$G$3:$H$7,2,FALSE))),"0")</f>
        <v>0</v>
      </c>
      <c r="L22" s="28" t="str">
        <f>IFERROR(SUM(Tabela58910[[#This Row],[Subtotal]]*(1-Tabela58910[[#This Row],[Desconto]])+Tabela58910[[#This Row],[Valor de Entrega]]),"")</f>
        <v/>
      </c>
      <c r="M22" s="12" t="str">
        <f>IF(Tabela58910[[#This Row],[idvenda]]=B23,"",SUMIF(Tabela58910[idvenda],Tabela58910[[#This Row],[idvenda]],Tabela58910[Total]))</f>
        <v/>
      </c>
      <c r="N22" s="12"/>
    </row>
    <row r="23" spans="2:14" x14ac:dyDescent="0.3">
      <c r="B23" s="12"/>
      <c r="C23" s="27"/>
      <c r="D23" s="12"/>
      <c r="E23" s="12" t="str">
        <f>IFERROR(VLOOKUP(D23,cálculos!$B$2:$E$32,4,FALSE),"")</f>
        <v/>
      </c>
      <c r="G23" s="28" t="str">
        <f>IFERROR(VLOOKUP(D23,cálculos!$B$2:$E$32,3,FALSE),"")</f>
        <v/>
      </c>
      <c r="H23" s="28" t="str">
        <f>IFERROR((Tabela58910[[#This Row],[Quantidade]]*G23),"")</f>
        <v/>
      </c>
      <c r="I23" s="35"/>
      <c r="K23" s="28" t="str">
        <f>IFERROR(IF(Tabela58910[[#This Row],[idvenda]]=B25,"0",(VLOOKUP(Tabela58910[[#This Row],[Entrega]],cálculos!$G$3:$H$7,2,FALSE))),"0")</f>
        <v>0</v>
      </c>
      <c r="L23" s="28" t="str">
        <f>IFERROR(SUM(Tabela58910[[#This Row],[Subtotal]]*(1-Tabela58910[[#This Row],[Desconto]])+Tabela58910[[#This Row],[Valor de Entrega]]),"")</f>
        <v/>
      </c>
      <c r="M23" s="12" t="str">
        <f>IF(Tabela58910[[#This Row],[idvenda]]=B24,"",SUMIF(Tabela58910[idvenda],Tabela58910[[#This Row],[idvenda]],Tabela58910[Total]))</f>
        <v/>
      </c>
      <c r="N23" s="12"/>
    </row>
    <row r="24" spans="2:14" x14ac:dyDescent="0.3">
      <c r="B24" s="12"/>
      <c r="C24" s="27"/>
      <c r="D24" s="12"/>
      <c r="E24" s="12" t="str">
        <f>IFERROR(VLOOKUP(D24,cálculos!$B$2:$E$32,4,FALSE),"")</f>
        <v/>
      </c>
      <c r="G24" s="28" t="str">
        <f>IFERROR(VLOOKUP(D24,cálculos!$B$2:$E$32,3,FALSE),"")</f>
        <v/>
      </c>
      <c r="H24" s="28" t="str">
        <f>IFERROR((Tabela58910[[#This Row],[Quantidade]]*G24),"")</f>
        <v/>
      </c>
      <c r="I24" s="35"/>
      <c r="K24" s="28" t="str">
        <f>IFERROR(IF(Tabela58910[[#This Row],[idvenda]]=B26,"0",(VLOOKUP(Tabela58910[[#This Row],[Entrega]],cálculos!$G$3:$H$7,2,FALSE))),"0")</f>
        <v>0</v>
      </c>
      <c r="L24" s="28" t="str">
        <f>IFERROR(SUM(Tabela58910[[#This Row],[Subtotal]]*(1-Tabela58910[[#This Row],[Desconto]])+Tabela58910[[#This Row],[Valor de Entrega]]),"")</f>
        <v/>
      </c>
      <c r="M24" s="12" t="str">
        <f>IF(Tabela58910[[#This Row],[idvenda]]=B25,"",SUMIF(Tabela58910[idvenda],Tabela58910[[#This Row],[idvenda]],Tabela58910[Total]))</f>
        <v/>
      </c>
      <c r="N24" s="12"/>
    </row>
    <row r="25" spans="2:14" x14ac:dyDescent="0.3">
      <c r="B25" s="12"/>
      <c r="C25" s="27"/>
      <c r="D25" s="12"/>
      <c r="E25" s="12" t="str">
        <f>IFERROR(VLOOKUP(D25,cálculos!$B$2:$E$32,4,FALSE),"")</f>
        <v/>
      </c>
      <c r="G25" s="28" t="str">
        <f>IFERROR(VLOOKUP(D25,cálculos!$B$2:$E$32,3,FALSE),"")</f>
        <v/>
      </c>
      <c r="H25" s="28" t="str">
        <f>IFERROR((Tabela58910[[#This Row],[Quantidade]]*G25),"")</f>
        <v/>
      </c>
      <c r="I25" s="35"/>
      <c r="K25" s="28" t="str">
        <f>IFERROR(IF(Tabela58910[[#This Row],[idvenda]]=B27,"0",(VLOOKUP(Tabela58910[[#This Row],[Entrega]],cálculos!$G$3:$H$7,2,FALSE))),"0")</f>
        <v>0</v>
      </c>
      <c r="L25" s="28" t="str">
        <f>IFERROR(SUM(Tabela58910[[#This Row],[Subtotal]]*(1-Tabela58910[[#This Row],[Desconto]])+Tabela58910[[#This Row],[Valor de Entrega]]),"")</f>
        <v/>
      </c>
      <c r="M25" s="12" t="str">
        <f>IF(Tabela58910[[#This Row],[idvenda]]=B26,"",SUMIF(Tabela58910[idvenda],Tabela58910[[#This Row],[idvenda]],Tabela58910[Total]))</f>
        <v/>
      </c>
      <c r="N25" s="12"/>
    </row>
    <row r="26" spans="2:14" x14ac:dyDescent="0.3">
      <c r="B26" s="12"/>
      <c r="C26" s="27"/>
      <c r="D26" s="12"/>
      <c r="E26" s="12" t="str">
        <f>IFERROR(VLOOKUP(D26,cálculos!$B$2:$E$32,4,FALSE),"")</f>
        <v/>
      </c>
      <c r="G26" s="28" t="str">
        <f>IFERROR(VLOOKUP(D26,cálculos!$B$2:$E$32,3,FALSE),"")</f>
        <v/>
      </c>
      <c r="H26" s="28" t="str">
        <f>IFERROR((Tabela58910[[#This Row],[Quantidade]]*G26),"")</f>
        <v/>
      </c>
      <c r="I26" s="35"/>
      <c r="K26" s="28" t="str">
        <f>IFERROR(IF(Tabela58910[[#This Row],[idvenda]]=B28,"0",(VLOOKUP(Tabela58910[[#This Row],[Entrega]],cálculos!$G$3:$H$7,2,FALSE))),"0")</f>
        <v>0</v>
      </c>
      <c r="L26" s="28" t="str">
        <f>IFERROR(SUM(Tabela58910[[#This Row],[Subtotal]]*(1-Tabela58910[[#This Row],[Desconto]])+Tabela58910[[#This Row],[Valor de Entrega]]),"")</f>
        <v/>
      </c>
      <c r="M26" s="12" t="str">
        <f>IF(Tabela58910[[#This Row],[idvenda]]=B27,"",SUMIF(Tabela58910[idvenda],Tabela58910[[#This Row],[idvenda]],Tabela58910[Total]))</f>
        <v/>
      </c>
      <c r="N26" s="12"/>
    </row>
    <row r="27" spans="2:14" x14ac:dyDescent="0.3">
      <c r="B27" s="12"/>
      <c r="C27" s="27"/>
      <c r="D27" s="12"/>
      <c r="E27" s="12" t="str">
        <f>IFERROR(VLOOKUP(D27,cálculos!$B$2:$E$32,4,FALSE),"")</f>
        <v/>
      </c>
      <c r="G27" s="28" t="str">
        <f>IFERROR(VLOOKUP(D27,cálculos!$B$2:$E$32,3,FALSE),"")</f>
        <v/>
      </c>
      <c r="H27" s="28" t="str">
        <f>IFERROR((Tabela58910[[#This Row],[Quantidade]]*G27),"")</f>
        <v/>
      </c>
      <c r="I27" s="35"/>
      <c r="K27" s="28" t="str">
        <f>IFERROR(IF(Tabela58910[[#This Row],[idvenda]]=B29,"0",(VLOOKUP(Tabela58910[[#This Row],[Entrega]],cálculos!$G$3:$H$7,2,FALSE))),"0")</f>
        <v>0</v>
      </c>
      <c r="L27" s="28" t="str">
        <f>IFERROR(SUM(Tabela58910[[#This Row],[Subtotal]]*(1-Tabela58910[[#This Row],[Desconto]])+Tabela58910[[#This Row],[Valor de Entrega]]),"")</f>
        <v/>
      </c>
      <c r="M27" s="12" t="str">
        <f>IF(Tabela58910[[#This Row],[idvenda]]=B28,"",SUMIF(Tabela58910[idvenda],Tabela58910[[#This Row],[idvenda]],Tabela58910[Total]))</f>
        <v/>
      </c>
      <c r="N27" s="12"/>
    </row>
    <row r="28" spans="2:14" x14ac:dyDescent="0.3">
      <c r="B28" s="12"/>
      <c r="C28" s="27"/>
      <c r="D28" s="12"/>
      <c r="E28" s="12" t="str">
        <f>IFERROR(VLOOKUP(D28,cálculos!$B$2:$E$32,4,FALSE),"")</f>
        <v/>
      </c>
      <c r="G28" s="28" t="str">
        <f>IFERROR(VLOOKUP(D28,cálculos!$B$2:$E$32,3,FALSE),"")</f>
        <v/>
      </c>
      <c r="H28" s="28" t="str">
        <f>IFERROR((Tabela58910[[#This Row],[Quantidade]]*G28),"")</f>
        <v/>
      </c>
      <c r="I28" s="35"/>
      <c r="K28" s="28" t="str">
        <f>IFERROR(IF(Tabela58910[[#This Row],[idvenda]]=B30,"0",(VLOOKUP(Tabela58910[[#This Row],[Entrega]],cálculos!$G$3:$H$7,2,FALSE))),"0")</f>
        <v>0</v>
      </c>
      <c r="L28" s="28" t="str">
        <f>IFERROR(SUM(Tabela58910[[#This Row],[Subtotal]]*(1-Tabela58910[[#This Row],[Desconto]])+Tabela58910[[#This Row],[Valor de Entrega]]),"")</f>
        <v/>
      </c>
      <c r="M28" s="12" t="str">
        <f>IF(Tabela58910[[#This Row],[idvenda]]=B29,"",SUMIF(Tabela58910[idvenda],Tabela58910[[#This Row],[idvenda]],Tabela58910[Total]))</f>
        <v/>
      </c>
      <c r="N28" s="12"/>
    </row>
    <row r="29" spans="2:14" x14ac:dyDescent="0.3">
      <c r="B29" s="12"/>
      <c r="C29" s="27"/>
      <c r="D29" s="12"/>
      <c r="E29" s="12" t="str">
        <f>IFERROR(VLOOKUP(D29,cálculos!$B$2:$E$32,4,FALSE),"")</f>
        <v/>
      </c>
      <c r="G29" s="28" t="str">
        <f>IFERROR(VLOOKUP(D29,cálculos!$B$2:$E$32,3,FALSE),"")</f>
        <v/>
      </c>
      <c r="H29" s="28" t="str">
        <f>IFERROR((Tabela58910[[#This Row],[Quantidade]]*G29),"")</f>
        <v/>
      </c>
      <c r="I29" s="35"/>
      <c r="K29" s="28" t="str">
        <f>IFERROR(IF(Tabela58910[[#This Row],[idvenda]]=B31,"0",(VLOOKUP(Tabela58910[[#This Row],[Entrega]],cálculos!$G$3:$H$7,2,FALSE))),"0")</f>
        <v>0</v>
      </c>
      <c r="L29" s="28" t="str">
        <f>IFERROR(SUM(Tabela58910[[#This Row],[Subtotal]]*(1-Tabela58910[[#This Row],[Desconto]])+Tabela58910[[#This Row],[Valor de Entrega]]),"")</f>
        <v/>
      </c>
      <c r="M29" s="12" t="str">
        <f>IF(Tabela58910[[#This Row],[idvenda]]=B30,"",SUMIF(Tabela58910[idvenda],Tabela58910[[#This Row],[idvenda]],Tabela58910[Total]))</f>
        <v/>
      </c>
      <c r="N29" s="12"/>
    </row>
    <row r="30" spans="2:14" x14ac:dyDescent="0.3">
      <c r="B30" s="12"/>
      <c r="C30" s="27"/>
      <c r="D30" s="12"/>
      <c r="E30" s="12" t="str">
        <f>IFERROR(VLOOKUP(D30,cálculos!$B$2:$E$32,4,FALSE),"")</f>
        <v/>
      </c>
      <c r="G30" s="28" t="str">
        <f>IFERROR(VLOOKUP(D30,cálculos!$B$2:$E$32,3,FALSE),"")</f>
        <v/>
      </c>
      <c r="H30" s="28" t="str">
        <f>IFERROR((Tabela58910[[#This Row],[Quantidade]]*G30),"")</f>
        <v/>
      </c>
      <c r="I30" s="35"/>
      <c r="K30" s="28" t="str">
        <f>IFERROR(IF(Tabela58910[[#This Row],[idvenda]]=B32,"0",(VLOOKUP(Tabela58910[[#This Row],[Entrega]],cálculos!$G$3:$H$7,2,FALSE))),"0")</f>
        <v>0</v>
      </c>
      <c r="L30" s="28" t="str">
        <f>IFERROR(SUM(Tabela58910[[#This Row],[Subtotal]]*(1-Tabela58910[[#This Row],[Desconto]])+Tabela58910[[#This Row],[Valor de Entrega]]),"")</f>
        <v/>
      </c>
      <c r="M30" s="12" t="str">
        <f>IF(Tabela58910[[#This Row],[idvenda]]=B31,"",SUMIF(Tabela58910[idvenda],Tabela58910[[#This Row],[idvenda]],Tabela58910[Total]))</f>
        <v/>
      </c>
      <c r="N30" s="12"/>
    </row>
    <row r="31" spans="2:14" x14ac:dyDescent="0.3">
      <c r="B31" s="12"/>
      <c r="C31" s="27"/>
      <c r="D31" s="12"/>
      <c r="E31" s="12" t="str">
        <f>IFERROR(VLOOKUP(D31,cálculos!$B$2:$E$32,4,FALSE),"")</f>
        <v/>
      </c>
      <c r="G31" s="28" t="str">
        <f>IFERROR(VLOOKUP(D31,cálculos!$B$2:$E$32,3,FALSE),"")</f>
        <v/>
      </c>
      <c r="H31" s="28" t="str">
        <f>IFERROR((Tabela58910[[#This Row],[Quantidade]]*G31),"")</f>
        <v/>
      </c>
      <c r="I31" s="35"/>
      <c r="K31" s="28" t="str">
        <f>IFERROR(IF(Tabela58910[[#This Row],[idvenda]]=B33,"0",(VLOOKUP(Tabela58910[[#This Row],[Entrega]],cálculos!$G$3:$H$7,2,FALSE))),"0")</f>
        <v>0</v>
      </c>
      <c r="L31" s="28" t="str">
        <f>IFERROR(SUM(Tabela58910[[#This Row],[Subtotal]]*(1-Tabela58910[[#This Row],[Desconto]])+Tabela58910[[#This Row],[Valor de Entrega]]),"")</f>
        <v/>
      </c>
      <c r="M31" s="12" t="str">
        <f>IF(Tabela58910[[#This Row],[idvenda]]=B32,"",SUMIF(Tabela58910[idvenda],Tabela58910[[#This Row],[idvenda]],Tabela58910[Total]))</f>
        <v/>
      </c>
      <c r="N31" s="12"/>
    </row>
    <row r="32" spans="2:14" x14ac:dyDescent="0.3">
      <c r="B32" s="12"/>
      <c r="C32" s="27"/>
      <c r="D32" s="12"/>
      <c r="E32" s="12" t="str">
        <f>IFERROR(VLOOKUP(D32,cálculos!$B$2:$E$32,4,FALSE),"")</f>
        <v/>
      </c>
      <c r="G32" s="28" t="str">
        <f>IFERROR(VLOOKUP(D32,cálculos!$B$2:$E$32,3,FALSE),"")</f>
        <v/>
      </c>
      <c r="H32" s="28" t="str">
        <f>IFERROR((Tabela58910[[#This Row],[Quantidade]]*G32),"")</f>
        <v/>
      </c>
      <c r="I32" s="35"/>
      <c r="K32" s="28" t="str">
        <f>IFERROR(IF(Tabela58910[[#This Row],[idvenda]]=B34,"0",(VLOOKUP(Tabela58910[[#This Row],[Entrega]],cálculos!$G$3:$H$7,2,FALSE))),"0")</f>
        <v>0</v>
      </c>
      <c r="L32" s="28" t="str">
        <f>IFERROR(SUM(Tabela58910[[#This Row],[Subtotal]]*(1-Tabela58910[[#This Row],[Desconto]])+Tabela58910[[#This Row],[Valor de Entrega]]),"")</f>
        <v/>
      </c>
      <c r="M32" s="12" t="str">
        <f>IF(Tabela58910[[#This Row],[idvenda]]=B33,"",SUMIF(Tabela58910[idvenda],Tabela58910[[#This Row],[idvenda]],Tabela58910[Total]))</f>
        <v/>
      </c>
    </row>
    <row r="33" spans="2:14" ht="15.6" x14ac:dyDescent="0.3">
      <c r="B33" s="12"/>
      <c r="C33" s="27"/>
      <c r="D33" s="12"/>
      <c r="E33" s="12" t="str">
        <f>IFERROR(VLOOKUP(D33,cálculos!$B$2:$E$32,4,FALSE),"")</f>
        <v/>
      </c>
      <c r="G33" s="28" t="str">
        <f>IFERROR(VLOOKUP(D33,cálculos!$B$2:$E$32,3,FALSE),"")</f>
        <v/>
      </c>
      <c r="H33" s="28" t="str">
        <f>IFERROR((Tabela58910[[#This Row],[Quantidade]]*G33),"")</f>
        <v/>
      </c>
      <c r="I33" s="35"/>
      <c r="K33" s="28" t="str">
        <f>IFERROR(IF(Tabela58910[[#This Row],[idvenda]]=B35,"0",(VLOOKUP(Tabela58910[[#This Row],[Entrega]],cálculos!$G$3:$H$7,2,FALSE))),"0")</f>
        <v>0</v>
      </c>
      <c r="L33" s="28" t="str">
        <f>IFERROR(SUM(Tabela58910[[#This Row],[Subtotal]]*(1-Tabela58910[[#This Row],[Desconto]])+Tabela58910[[#This Row],[Valor de Entrega]]),"")</f>
        <v/>
      </c>
      <c r="M33" s="12" t="str">
        <f>IF(Tabela58910[[#This Row],[idvenda]]=B34,"",SUMIF(Tabela58910[idvenda],Tabela58910[[#This Row],[idvenda]],Tabela58910[Total]))</f>
        <v/>
      </c>
      <c r="N33" s="48"/>
    </row>
    <row r="34" spans="2:14" ht="15.6" x14ac:dyDescent="0.3">
      <c r="B34" s="12"/>
      <c r="C34" s="27"/>
      <c r="D34" s="12"/>
      <c r="E34" s="12" t="str">
        <f>IFERROR(VLOOKUP(D34,cálculos!$B$2:$E$32,4,FALSE),"")</f>
        <v/>
      </c>
      <c r="G34" s="28" t="str">
        <f>IFERROR(VLOOKUP(D34,cálculos!$B$2:$E$32,3,FALSE),"")</f>
        <v/>
      </c>
      <c r="H34" s="28" t="str">
        <f>IFERROR((Tabela58910[[#This Row],[Quantidade]]*G34),"")</f>
        <v/>
      </c>
      <c r="I34" s="35"/>
      <c r="K34" s="28" t="str">
        <f>IFERROR(IF(Tabela58910[[#This Row],[idvenda]]=B36,"0",(VLOOKUP(Tabela58910[[#This Row],[Entrega]],cálculos!$G$3:$H$7,2,FALSE))),"0")</f>
        <v>0</v>
      </c>
      <c r="L34" s="28" t="str">
        <f>IFERROR(SUM(Tabela58910[[#This Row],[Subtotal]]*(1-Tabela58910[[#This Row],[Desconto]])+Tabela58910[[#This Row],[Valor de Entrega]]),"")</f>
        <v/>
      </c>
      <c r="M34" s="12" t="str">
        <f>IF(Tabela58910[[#This Row],[idvenda]]=B35,"",SUMIF(Tabela58910[idvenda],Tabela58910[[#This Row],[idvenda]],Tabela58910[Total]))</f>
        <v/>
      </c>
      <c r="N34" s="49"/>
    </row>
    <row r="35" spans="2:14" ht="14.4" customHeight="1" x14ac:dyDescent="0.3">
      <c r="B35" s="12"/>
      <c r="C35" s="27"/>
      <c r="D35" s="12"/>
      <c r="E35" s="12" t="str">
        <f>IFERROR(VLOOKUP(D35,cálculos!$B$2:$E$32,4,FALSE),"")</f>
        <v/>
      </c>
      <c r="G35" s="28" t="str">
        <f>IFERROR(VLOOKUP(D35,cálculos!$B$2:$E$32,3,FALSE),"")</f>
        <v/>
      </c>
      <c r="H35" s="28" t="str">
        <f>IFERROR((Tabela58910[[#This Row],[Quantidade]]*G35),"")</f>
        <v/>
      </c>
      <c r="I35" s="35"/>
      <c r="K35" s="28" t="str">
        <f>IFERROR(IF(Tabela58910[[#This Row],[idvenda]]=B37,"0",(VLOOKUP(Tabela58910[[#This Row],[Entrega]],cálculos!$G$3:$H$7,2,FALSE))),"0")</f>
        <v>0</v>
      </c>
      <c r="L35" s="28" t="str">
        <f>IFERROR(SUM(Tabela58910[[#This Row],[Subtotal]]*(1-Tabela58910[[#This Row],[Desconto]])+Tabela58910[[#This Row],[Valor de Entrega]]),"")</f>
        <v/>
      </c>
      <c r="M35" s="12" t="str">
        <f>IF(Tabela58910[[#This Row],[idvenda]]=B36,"",SUMIF(Tabela58910[idvenda],Tabela58910[[#This Row],[idvenda]],Tabela58910[Total]))</f>
        <v/>
      </c>
      <c r="N35" s="42"/>
    </row>
    <row r="36" spans="2:14" x14ac:dyDescent="0.3">
      <c r="B36" s="12"/>
      <c r="C36" s="27"/>
      <c r="D36" s="12"/>
      <c r="E36" s="12" t="str">
        <f>IFERROR(VLOOKUP(D36,cálculos!$B$2:$E$32,4,FALSE),"")</f>
        <v/>
      </c>
      <c r="G36" s="28" t="str">
        <f>IFERROR(VLOOKUP(D36,cálculos!$B$2:$E$32,3,FALSE),"")</f>
        <v/>
      </c>
      <c r="H36" s="28" t="str">
        <f>IFERROR((Tabela58910[[#This Row],[Quantidade]]*G36),"")</f>
        <v/>
      </c>
      <c r="I36" s="35"/>
      <c r="K36" s="28" t="str">
        <f>IFERROR(IF(Tabela58910[[#This Row],[idvenda]]=B38,"0",(VLOOKUP(Tabela58910[[#This Row],[Entrega]],cálculos!$G$3:$H$7,2,FALSE))),"0")</f>
        <v>0</v>
      </c>
      <c r="L36" s="28" t="str">
        <f>IFERROR(SUM(Tabela58910[[#This Row],[Subtotal]]*(1-Tabela58910[[#This Row],[Desconto]])+Tabela58910[[#This Row],[Valor de Entrega]]),"")</f>
        <v/>
      </c>
      <c r="M36" s="12" t="str">
        <f>IF(Tabela58910[[#This Row],[idvenda]]=B37,"",SUMIF(Tabela58910[idvenda],Tabela58910[[#This Row],[idvenda]],Tabela58910[Total]))</f>
        <v/>
      </c>
    </row>
    <row r="37" spans="2:14" x14ac:dyDescent="0.3">
      <c r="B37" s="12"/>
      <c r="C37" s="27"/>
      <c r="D37" s="12"/>
      <c r="E37" s="12" t="str">
        <f>IFERROR(VLOOKUP(D37,cálculos!$B$2:$E$32,4,FALSE),"")</f>
        <v/>
      </c>
      <c r="G37" s="28" t="str">
        <f>IFERROR(VLOOKUP(D37,cálculos!$B$2:$E$32,3,FALSE),"")</f>
        <v/>
      </c>
      <c r="H37" s="28" t="str">
        <f>IFERROR((Tabela58910[[#This Row],[Quantidade]]*G37),"")</f>
        <v/>
      </c>
      <c r="I37" s="35"/>
      <c r="K37" s="28" t="str">
        <f>IFERROR(IF(Tabela58910[[#This Row],[idvenda]]=B39,"0",(VLOOKUP(Tabela58910[[#This Row],[Entrega]],cálculos!$G$3:$H$7,2,FALSE))),"0")</f>
        <v>0</v>
      </c>
      <c r="L37" s="28" t="str">
        <f>IFERROR(SUM(Tabela58910[[#This Row],[Subtotal]]*(1-Tabela58910[[#This Row],[Desconto]])+Tabela58910[[#This Row],[Valor de Entrega]]),"")</f>
        <v/>
      </c>
      <c r="M37" s="12" t="str">
        <f>IF(Tabela58910[[#This Row],[idvenda]]=B38,"",SUMIF(Tabela58910[idvenda],Tabela58910[[#This Row],[idvenda]],Tabela58910[Total]))</f>
        <v/>
      </c>
    </row>
    <row r="38" spans="2:14" x14ac:dyDescent="0.3">
      <c r="B38" s="12"/>
      <c r="C38" s="27"/>
      <c r="D38" s="12"/>
      <c r="E38" s="12" t="str">
        <f>IFERROR(VLOOKUP(D38,cálculos!$B$2:$E$32,4,FALSE),"")</f>
        <v/>
      </c>
      <c r="G38" s="28" t="str">
        <f>IFERROR(VLOOKUP(D38,cálculos!$B$2:$E$32,3,FALSE),"")</f>
        <v/>
      </c>
      <c r="H38" s="28" t="str">
        <f>IFERROR((Tabela58910[[#This Row],[Quantidade]]*G38),"")</f>
        <v/>
      </c>
      <c r="I38" s="35"/>
      <c r="K38" s="28" t="str">
        <f>IFERROR(IF(Tabela58910[[#This Row],[idvenda]]=B40,"0",(VLOOKUP(Tabela58910[[#This Row],[Entrega]],cálculos!$G$3:$H$7,2,FALSE))),"0")</f>
        <v>0</v>
      </c>
      <c r="L38" s="28" t="str">
        <f>IFERROR(SUM(Tabela58910[[#This Row],[Subtotal]]*(1-Tabela58910[[#This Row],[Desconto]])+Tabela58910[[#This Row],[Valor de Entrega]]),"")</f>
        <v/>
      </c>
      <c r="M38" s="12" t="str">
        <f>IF(Tabela58910[[#This Row],[idvenda]]=B39,"",SUMIF(Tabela58910[idvenda],Tabela58910[[#This Row],[idvenda]],Tabela58910[Total]))</f>
        <v/>
      </c>
    </row>
    <row r="39" spans="2:14" x14ac:dyDescent="0.3">
      <c r="C39" s="12"/>
      <c r="D39" s="70"/>
      <c r="E39" s="12"/>
      <c r="F39" s="12"/>
      <c r="H39" s="28"/>
      <c r="I39" s="28"/>
      <c r="J39" s="35"/>
      <c r="L39" s="28"/>
      <c r="M39" s="28"/>
    </row>
    <row r="40" spans="2:14" x14ac:dyDescent="0.3">
      <c r="D40" s="42"/>
      <c r="H40" s="7"/>
      <c r="I40" s="7"/>
    </row>
    <row r="41" spans="2:14" ht="16.2" thickBot="1" x14ac:dyDescent="0.35">
      <c r="B41" s="43" t="s">
        <v>118</v>
      </c>
      <c r="C41" s="43"/>
      <c r="D41" s="43"/>
      <c r="E41" s="47"/>
      <c r="F41" s="47"/>
      <c r="G41" s="44"/>
      <c r="H41" s="44"/>
      <c r="I41" s="44"/>
      <c r="J41" s="44"/>
      <c r="K41" s="44"/>
      <c r="L41" s="44"/>
      <c r="M41" s="44">
        <f>SUM(Tabela58910[Total Para o Cliente])</f>
        <v>0</v>
      </c>
    </row>
    <row r="42" spans="2:14" ht="16.2" thickBot="1" x14ac:dyDescent="0.35">
      <c r="B42" s="65" t="s">
        <v>117</v>
      </c>
      <c r="C42" s="65"/>
      <c r="D42" s="65"/>
      <c r="E42" s="66"/>
      <c r="F42" s="66"/>
      <c r="G42" s="67"/>
      <c r="H42" s="67"/>
      <c r="I42" s="67"/>
      <c r="J42" s="67"/>
      <c r="K42" s="67"/>
      <c r="L42" s="67"/>
      <c r="M42" s="68">
        <f>SUM(Tabela58910[Valor de Entrega])</f>
        <v>0</v>
      </c>
    </row>
    <row r="43" spans="2:14" ht="15.6" x14ac:dyDescent="0.3">
      <c r="B43" s="45" t="s">
        <v>132</v>
      </c>
      <c r="C43" s="45"/>
      <c r="D43" s="45"/>
      <c r="M43" s="64">
        <f>SUM(IF(FREQUENCY(Tabela58910[idvenda],Tabela58910[idvenda])&gt;0,1))</f>
        <v>0</v>
      </c>
    </row>
  </sheetData>
  <mergeCells count="4">
    <mergeCell ref="B2:Y2"/>
    <mergeCell ref="B41:D41"/>
    <mergeCell ref="B42:D42"/>
    <mergeCell ref="B43:D43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462772-E735-4E20-AC5F-9C500886BCE4}">
          <x14:formula1>
            <xm:f>cálculos!$G$3:$G$7</xm:f>
          </x14:formula1>
          <xm:sqref>K39 J6:J38</xm:sqref>
        </x14:dataValidation>
        <x14:dataValidation type="list" allowBlank="1" showInputMessage="1" showErrorMessage="1" xr:uid="{36C95EEF-8ED7-4EEA-ACF6-96A0C0D9FC8A}">
          <x14:formula1>
            <xm:f>Estoque!$B$6:$B$29</xm:f>
          </x14:formula1>
          <xm:sqref>E39 D6:D38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E2E8-61F1-4F40-B779-FA4136AA1846}">
  <dimension ref="A3:I6"/>
  <sheetViews>
    <sheetView showGridLines="0" workbookViewId="0">
      <selection activeCell="K18" sqref="K18"/>
    </sheetView>
  </sheetViews>
  <sheetFormatPr defaultRowHeight="14.4" x14ac:dyDescent="0.3"/>
  <cols>
    <col min="1" max="1" width="17.21875" style="34" bestFit="1" customWidth="1"/>
    <col min="2" max="2" width="18.88671875" style="34" bestFit="1" customWidth="1"/>
    <col min="3" max="3" width="13.109375" style="34" bestFit="1" customWidth="1"/>
    <col min="4" max="4" width="10.88671875" style="34" customWidth="1"/>
    <col min="5" max="5" width="5.21875" style="34" customWidth="1"/>
    <col min="6" max="6" width="17.21875" style="34" bestFit="1" customWidth="1"/>
    <col min="7" max="7" width="18.88671875" style="34" bestFit="1" customWidth="1"/>
    <col min="8" max="8" width="23" style="34" bestFit="1" customWidth="1"/>
    <col min="9" max="9" width="13.109375" style="34" bestFit="1" customWidth="1"/>
    <col min="10" max="13" width="2" style="34" bestFit="1" customWidth="1"/>
    <col min="14" max="17" width="3" style="34" bestFit="1" customWidth="1"/>
    <col min="18" max="18" width="10" style="34" bestFit="1" customWidth="1"/>
    <col min="19" max="22" width="18.5546875" style="34" bestFit="1" customWidth="1"/>
    <col min="23" max="23" width="11.33203125" style="34" bestFit="1" customWidth="1"/>
    <col min="24" max="16384" width="8.88671875" style="34"/>
  </cols>
  <sheetData>
    <row r="3" spans="1:9" x14ac:dyDescent="0.3">
      <c r="A3" s="38" t="s">
        <v>149</v>
      </c>
      <c r="B3" s="34" t="s">
        <v>154</v>
      </c>
      <c r="C3" s="34" t="s">
        <v>151</v>
      </c>
      <c r="F3" s="38" t="s">
        <v>149</v>
      </c>
      <c r="G3" s="34" t="s">
        <v>154</v>
      </c>
      <c r="H3" s="34" t="s">
        <v>153</v>
      </c>
      <c r="I3" s="34" t="s">
        <v>151</v>
      </c>
    </row>
    <row r="4" spans="1:9" x14ac:dyDescent="0.3">
      <c r="A4" s="39" t="s">
        <v>152</v>
      </c>
      <c r="B4" s="36"/>
      <c r="C4" s="36">
        <v>0</v>
      </c>
      <c r="F4" s="40" t="s">
        <v>152</v>
      </c>
      <c r="G4" s="36"/>
      <c r="H4" s="36">
        <v>0</v>
      </c>
      <c r="I4" s="36">
        <v>0</v>
      </c>
    </row>
    <row r="5" spans="1:9" x14ac:dyDescent="0.3">
      <c r="A5" s="41" t="s">
        <v>152</v>
      </c>
      <c r="B5" s="36"/>
      <c r="C5" s="36">
        <v>0</v>
      </c>
      <c r="F5" s="40" t="s">
        <v>150</v>
      </c>
      <c r="G5" s="36"/>
      <c r="H5" s="36">
        <v>0</v>
      </c>
      <c r="I5" s="36">
        <v>0</v>
      </c>
    </row>
    <row r="6" spans="1:9" x14ac:dyDescent="0.3">
      <c r="A6" s="39" t="s">
        <v>150</v>
      </c>
      <c r="B6" s="36"/>
      <c r="C6" s="36">
        <v>0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C0C7A-3677-43FC-91D3-B8FB3C4DA104}">
  <sheetPr codeName="Planilha12"/>
  <dimension ref="B2:Y35"/>
  <sheetViews>
    <sheetView showGridLines="0" zoomScaleNormal="100" workbookViewId="0">
      <selection activeCell="G27" sqref="G27"/>
    </sheetView>
  </sheetViews>
  <sheetFormatPr defaultRowHeight="14.4" x14ac:dyDescent="0.3"/>
  <cols>
    <col min="1" max="1" width="8.88671875" style="34"/>
    <col min="2" max="2" width="12" style="34" customWidth="1"/>
    <col min="3" max="3" width="14.5546875" style="34" customWidth="1"/>
    <col min="4" max="4" width="21.77734375" style="34" customWidth="1"/>
    <col min="5" max="5" width="17.21875" style="34" bestFit="1" customWidth="1"/>
    <col min="6" max="6" width="15.33203125" style="34" customWidth="1"/>
    <col min="7" max="7" width="16.109375" style="34" customWidth="1"/>
    <col min="8" max="8" width="13.44140625" style="34" customWidth="1"/>
    <col min="9" max="9" width="15" style="34" customWidth="1"/>
    <col min="10" max="10" width="14.6640625" style="34" customWidth="1"/>
    <col min="11" max="11" width="16.21875" style="34" customWidth="1"/>
    <col min="12" max="12" width="11.88671875" style="34" customWidth="1"/>
    <col min="13" max="13" width="20.88671875" style="34" customWidth="1"/>
    <col min="14" max="14" width="21.88671875" style="34" bestFit="1" customWidth="1"/>
    <col min="15" max="16384" width="8.88671875" style="34"/>
  </cols>
  <sheetData>
    <row r="2" spans="2:25" ht="21" x14ac:dyDescent="0.3">
      <c r="B2" s="2" t="s">
        <v>128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2:25" ht="40.799999999999997" customHeight="1" x14ac:dyDescent="0.3">
      <c r="B3" s="124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</row>
    <row r="4" spans="2:25" ht="6" customHeight="1" x14ac:dyDescent="0.3"/>
    <row r="5" spans="2:25" x14ac:dyDescent="0.3">
      <c r="B5" s="12" t="s">
        <v>104</v>
      </c>
      <c r="C5" s="12" t="s">
        <v>44</v>
      </c>
      <c r="D5" s="12" t="s">
        <v>96</v>
      </c>
      <c r="E5" s="12" t="s">
        <v>56</v>
      </c>
      <c r="F5" s="12" t="s">
        <v>57</v>
      </c>
      <c r="G5" s="12" t="s">
        <v>105</v>
      </c>
      <c r="H5" s="12" t="s">
        <v>106</v>
      </c>
      <c r="I5" s="12" t="s">
        <v>59</v>
      </c>
      <c r="J5" s="12" t="s">
        <v>107</v>
      </c>
      <c r="K5" s="12" t="s">
        <v>114</v>
      </c>
      <c r="L5" s="12" t="s">
        <v>115</v>
      </c>
      <c r="M5" s="12" t="s">
        <v>116</v>
      </c>
    </row>
    <row r="6" spans="2:25" x14ac:dyDescent="0.3">
      <c r="B6" s="82"/>
      <c r="C6" s="27"/>
      <c r="D6" s="12"/>
      <c r="E6" s="82" t="str">
        <f>IFERROR(VLOOKUP(D6,cálculos!$B$2:$E$32,4,FALSE),"")</f>
        <v/>
      </c>
      <c r="F6" s="12"/>
      <c r="G6" s="28" t="str">
        <f>IFERROR(VLOOKUP(D6,cálculos!$B$2:$E$32,3,FALSE),"")</f>
        <v/>
      </c>
      <c r="H6" s="28" t="str">
        <f>IFERROR((Tabela5891011[[#This Row],[Quantidade]]*G6),"")</f>
        <v/>
      </c>
      <c r="I6" s="29"/>
      <c r="J6" s="12"/>
      <c r="K6" s="28" t="str">
        <f>IFERROR(IF(Tabela5891011[[#This Row],[idvenda]]=B8,"0",(VLOOKUP(Tabela5891011[[#This Row],[Entrega]],cálculos!$G$3:$H$7,2,FALSE))),"0")</f>
        <v>0</v>
      </c>
      <c r="L6" s="28" t="str">
        <f>IFERROR(SUM(Tabela5891011[[#This Row],[Subtotal]]*(1-Tabela5891011[[#This Row],[Desconto]])+Tabela5891011[[#This Row],[Valor de Entrega]]),"")</f>
        <v/>
      </c>
      <c r="M6" s="82" t="str">
        <f>IF(Tabela5891011[[#This Row],[idvenda]]=B7,"",SUMIF(Tabela5891011[idvenda],Tabela5891011[[#This Row],[idvenda]],Tabela5891011[Total]))</f>
        <v/>
      </c>
      <c r="N6" s="12"/>
    </row>
    <row r="7" spans="2:25" x14ac:dyDescent="0.3">
      <c r="B7" s="82"/>
      <c r="C7" s="27"/>
      <c r="D7" s="12"/>
      <c r="E7" s="82" t="str">
        <f>IFERROR(VLOOKUP(D7,cálculos!$B$2:$E$32,4,FALSE),"")</f>
        <v/>
      </c>
      <c r="F7" s="12"/>
      <c r="G7" s="28" t="str">
        <f>IFERROR(VLOOKUP(D7,cálculos!$B$2:$E$32,3,FALSE),"")</f>
        <v/>
      </c>
      <c r="H7" s="28" t="str">
        <f>IFERROR((Tabela5891011[[#This Row],[Quantidade]]*G7),"")</f>
        <v/>
      </c>
      <c r="I7" s="29"/>
      <c r="J7" s="12"/>
      <c r="K7" s="28" t="str">
        <f>IFERROR(IF(Tabela5891011[[#This Row],[idvenda]]=B9,"0",(VLOOKUP(Tabela5891011[[#This Row],[Entrega]],cálculos!$G$3:$H$7,2,FALSE))),"0")</f>
        <v>0</v>
      </c>
      <c r="L7" s="28" t="str">
        <f>IFERROR(SUM(Tabela5891011[[#This Row],[Subtotal]]*(1-Tabela5891011[[#This Row],[Desconto]])+Tabela5891011[[#This Row],[Valor de Entrega]]),"")</f>
        <v/>
      </c>
      <c r="M7" s="82" t="str">
        <f>IF(Tabela5891011[[#This Row],[idvenda]]=B8,"",SUMIF(Tabela5891011[idvenda],Tabela5891011[[#This Row],[idvenda]],Tabela5891011[Total]))</f>
        <v/>
      </c>
      <c r="N7" s="12"/>
    </row>
    <row r="8" spans="2:25" x14ac:dyDescent="0.3">
      <c r="B8" s="12"/>
      <c r="C8" s="27"/>
      <c r="D8" s="12"/>
      <c r="E8" s="12" t="str">
        <f>IFERROR(VLOOKUP(D8,cálculos!$B$2:$E$32,4,FALSE),"")</f>
        <v/>
      </c>
      <c r="G8" s="28" t="str">
        <f>IFERROR(VLOOKUP(D8,cálculos!$B$2:$E$32,3,FALSE),"")</f>
        <v/>
      </c>
      <c r="H8" s="28" t="str">
        <f>IFERROR((Tabela5891011[[#This Row],[Quantidade]]*G8),"")</f>
        <v/>
      </c>
      <c r="I8" s="35"/>
      <c r="K8" s="28" t="str">
        <f>IFERROR(IF(Tabela5891011[[#This Row],[idvenda]]=B10,"0",(VLOOKUP(Tabela5891011[[#This Row],[Entrega]],cálculos!$G$3:$H$7,2,FALSE))),"0")</f>
        <v>0</v>
      </c>
      <c r="L8" s="28" t="str">
        <f>IFERROR(SUM(Tabela5891011[[#This Row],[Subtotal]]*(1-Tabela5891011[[#This Row],[Desconto]])+Tabela5891011[[#This Row],[Valor de Entrega]]),"")</f>
        <v/>
      </c>
      <c r="M8" s="12" t="str">
        <f>IF(Tabela5891011[[#This Row],[idvenda]]=B9,"",SUMIF(Tabela5891011[idvenda],Tabela5891011[[#This Row],[idvenda]],Tabela5891011[Total]))</f>
        <v/>
      </c>
      <c r="N8" s="12"/>
    </row>
    <row r="9" spans="2:25" x14ac:dyDescent="0.3">
      <c r="B9" s="12"/>
      <c r="C9" s="27"/>
      <c r="D9" s="12"/>
      <c r="E9" s="12" t="str">
        <f>IFERROR(VLOOKUP(D9,cálculos!$B$2:$E$32,4,FALSE),"")</f>
        <v/>
      </c>
      <c r="G9" s="28" t="str">
        <f>IFERROR(VLOOKUP(D9,cálculos!$B$2:$E$32,3,FALSE),"")</f>
        <v/>
      </c>
      <c r="H9" s="28" t="str">
        <f>IFERROR((Tabela5891011[[#This Row],[Quantidade]]*G9),"")</f>
        <v/>
      </c>
      <c r="I9" s="35"/>
      <c r="K9" s="28" t="str">
        <f>IFERROR(IF(Tabela5891011[[#This Row],[idvenda]]=B11,"0",(VLOOKUP(Tabela5891011[[#This Row],[Entrega]],cálculos!$G$3:$H$7,2,FALSE))),"0")</f>
        <v>0</v>
      </c>
      <c r="L9" s="28" t="str">
        <f>IFERROR(SUM(Tabela5891011[[#This Row],[Subtotal]]*(1-Tabela5891011[[#This Row],[Desconto]])+Tabela5891011[[#This Row],[Valor de Entrega]]),"")</f>
        <v/>
      </c>
      <c r="M9" s="12" t="str">
        <f>IF(Tabela5891011[[#This Row],[idvenda]]=B10,"",SUMIF(Tabela5891011[idvenda],Tabela5891011[[#This Row],[idvenda]],Tabela5891011[Total]))</f>
        <v/>
      </c>
      <c r="N9" s="12"/>
    </row>
    <row r="10" spans="2:25" x14ac:dyDescent="0.3">
      <c r="B10" s="12"/>
      <c r="C10" s="27"/>
      <c r="D10" s="12"/>
      <c r="E10" s="12" t="str">
        <f>IFERROR(VLOOKUP(D10,cálculos!$B$2:$E$32,4,FALSE),"")</f>
        <v/>
      </c>
      <c r="G10" s="28" t="str">
        <f>IFERROR(VLOOKUP(D10,cálculos!$B$2:$E$32,3,FALSE),"")</f>
        <v/>
      </c>
      <c r="H10" s="28" t="str">
        <f>IFERROR((Tabela5891011[[#This Row],[Quantidade]]*G10),"")</f>
        <v/>
      </c>
      <c r="I10" s="35"/>
      <c r="K10" s="28" t="str">
        <f>IFERROR(IF(Tabela5891011[[#This Row],[idvenda]]=B12,"0",(VLOOKUP(Tabela5891011[[#This Row],[Entrega]],cálculos!$G$3:$H$7,2,FALSE))),"0")</f>
        <v>0</v>
      </c>
      <c r="L10" s="28" t="str">
        <f>IFERROR(SUM(Tabela5891011[[#This Row],[Subtotal]]*(1-Tabela5891011[[#This Row],[Desconto]])+Tabela5891011[[#This Row],[Valor de Entrega]]),"")</f>
        <v/>
      </c>
      <c r="M10" s="12" t="str">
        <f>IF(Tabela5891011[[#This Row],[idvenda]]=B11,"",SUMIF(Tabela5891011[idvenda],Tabela5891011[[#This Row],[idvenda]],Tabela5891011[Total]))</f>
        <v/>
      </c>
      <c r="N10" s="46"/>
    </row>
    <row r="11" spans="2:25" x14ac:dyDescent="0.3">
      <c r="B11" s="12"/>
      <c r="C11" s="27"/>
      <c r="D11" s="12"/>
      <c r="E11" s="12" t="str">
        <f>IFERROR(VLOOKUP(D11,cálculos!$B$2:$E$32,4,FALSE),"")</f>
        <v/>
      </c>
      <c r="G11" s="28" t="str">
        <f>IFERROR(VLOOKUP(D11,cálculos!$B$2:$E$32,3,FALSE),"")</f>
        <v/>
      </c>
      <c r="H11" s="28" t="str">
        <f>IFERROR((Tabela5891011[[#This Row],[Quantidade]]*G11),"")</f>
        <v/>
      </c>
      <c r="I11" s="35"/>
      <c r="K11" s="28" t="str">
        <f>IFERROR(IF(Tabela5891011[[#This Row],[idvenda]]=B13,"0",(VLOOKUP(Tabela5891011[[#This Row],[Entrega]],cálculos!$G$3:$H$7,2,FALSE))),"0")</f>
        <v>0</v>
      </c>
      <c r="L11" s="28" t="str">
        <f>IFERROR(SUM(Tabela5891011[[#This Row],[Subtotal]]*(1-Tabela5891011[[#This Row],[Desconto]])+Tabela5891011[[#This Row],[Valor de Entrega]]),"")</f>
        <v/>
      </c>
      <c r="M11" s="12" t="str">
        <f>IF(Tabela5891011[[#This Row],[idvenda]]=B12,"",SUMIF(Tabela5891011[idvenda],Tabela5891011[[#This Row],[idvenda]],Tabela5891011[Total]))</f>
        <v/>
      </c>
      <c r="N11" s="12"/>
    </row>
    <row r="12" spans="2:25" x14ac:dyDescent="0.3">
      <c r="B12" s="12"/>
      <c r="C12" s="27"/>
      <c r="D12" s="12"/>
      <c r="E12" s="12" t="str">
        <f>IFERROR(VLOOKUP(D12,cálculos!$B$2:$E$32,4,FALSE),"")</f>
        <v/>
      </c>
      <c r="G12" s="28" t="str">
        <f>IFERROR(VLOOKUP(D12,cálculos!$B$2:$E$32,3,FALSE),"")</f>
        <v/>
      </c>
      <c r="H12" s="28" t="str">
        <f>IFERROR((Tabela5891011[[#This Row],[Quantidade]]*G12),"")</f>
        <v/>
      </c>
      <c r="I12" s="35"/>
      <c r="K12" s="28" t="str">
        <f>IFERROR(IF(Tabela5891011[[#This Row],[idvenda]]=B14,"0",(VLOOKUP(Tabela5891011[[#This Row],[Entrega]],cálculos!$G$3:$H$7,2,FALSE))),"0")</f>
        <v>0</v>
      </c>
      <c r="L12" s="28" t="str">
        <f>IFERROR(SUM(Tabela5891011[[#This Row],[Subtotal]]*(1-Tabela5891011[[#This Row],[Desconto]])+Tabela5891011[[#This Row],[Valor de Entrega]]),"")</f>
        <v/>
      </c>
      <c r="M12" s="12" t="str">
        <f>IF(Tabela5891011[[#This Row],[idvenda]]=B13,"",SUMIF(Tabela5891011[idvenda],Tabela5891011[[#This Row],[idvenda]],Tabela5891011[Total]))</f>
        <v/>
      </c>
      <c r="N12" s="12"/>
    </row>
    <row r="13" spans="2:25" x14ac:dyDescent="0.3">
      <c r="B13" s="12"/>
      <c r="C13" s="27"/>
      <c r="D13" s="12"/>
      <c r="E13" s="12" t="str">
        <f>IFERROR(VLOOKUP(D13,cálculos!$B$2:$E$32,4,FALSE),"")</f>
        <v/>
      </c>
      <c r="G13" s="28" t="str">
        <f>IFERROR(VLOOKUP(D13,cálculos!$B$2:$E$32,3,FALSE),"")</f>
        <v/>
      </c>
      <c r="H13" s="28" t="str">
        <f>IFERROR((Tabela5891011[[#This Row],[Quantidade]]*G13),"")</f>
        <v/>
      </c>
      <c r="I13" s="35"/>
      <c r="K13" s="28" t="str">
        <f>IFERROR(IF(Tabela5891011[[#This Row],[idvenda]]=B15,"0",(VLOOKUP(Tabela5891011[[#This Row],[Entrega]],cálculos!$G$3:$H$7,2,FALSE))),"0")</f>
        <v>0</v>
      </c>
      <c r="L13" s="28" t="str">
        <f>IFERROR(SUM(Tabela5891011[[#This Row],[Subtotal]]*(1-Tabela5891011[[#This Row],[Desconto]])+Tabela5891011[[#This Row],[Valor de Entrega]]),"")</f>
        <v/>
      </c>
      <c r="M13" s="12" t="str">
        <f>IF(Tabela5891011[[#This Row],[idvenda]]=B14,"",SUMIF(Tabela5891011[idvenda],Tabela5891011[[#This Row],[idvenda]],Tabela5891011[Total]))</f>
        <v/>
      </c>
      <c r="N13" s="12"/>
    </row>
    <row r="14" spans="2:25" x14ac:dyDescent="0.3">
      <c r="B14" s="12"/>
      <c r="C14" s="27"/>
      <c r="D14" s="12"/>
      <c r="E14" s="12" t="str">
        <f>IFERROR(VLOOKUP(D14,cálculos!$B$2:$E$32,4,FALSE),"")</f>
        <v/>
      </c>
      <c r="G14" s="28" t="str">
        <f>IFERROR(VLOOKUP(D14,cálculos!$B$2:$E$32,3,FALSE),"")</f>
        <v/>
      </c>
      <c r="H14" s="28" t="str">
        <f>IFERROR((Tabela5891011[[#This Row],[Quantidade]]*G14),"")</f>
        <v/>
      </c>
      <c r="I14" s="35"/>
      <c r="K14" s="28" t="str">
        <f>IFERROR(IF(Tabela5891011[[#This Row],[idvenda]]=B16,"0",(VLOOKUP(Tabela5891011[[#This Row],[Entrega]],cálculos!$G$3:$H$7,2,FALSE))),"0")</f>
        <v>0</v>
      </c>
      <c r="L14" s="28" t="str">
        <f>IFERROR(SUM(Tabela5891011[[#This Row],[Subtotal]]*(1-Tabela5891011[[#This Row],[Desconto]])+Tabela5891011[[#This Row],[Valor de Entrega]]),"")</f>
        <v/>
      </c>
      <c r="M14" s="12" t="str">
        <f>IF(Tabela5891011[[#This Row],[idvenda]]=B15,"",SUMIF(Tabela5891011[idvenda],Tabela5891011[[#This Row],[idvenda]],Tabela5891011[Total]))</f>
        <v/>
      </c>
      <c r="N14" s="12"/>
    </row>
    <row r="15" spans="2:25" x14ac:dyDescent="0.3">
      <c r="B15" s="12"/>
      <c r="C15" s="27"/>
      <c r="D15" s="12"/>
      <c r="E15" s="12" t="str">
        <f>IFERROR(VLOOKUP(D15,cálculos!$B$2:$E$32,4,FALSE),"")</f>
        <v/>
      </c>
      <c r="G15" s="28" t="str">
        <f>IFERROR(VLOOKUP(D15,cálculos!$B$2:$E$32,3,FALSE),"")</f>
        <v/>
      </c>
      <c r="H15" s="28" t="str">
        <f>IFERROR((Tabela5891011[[#This Row],[Quantidade]]*G15),"")</f>
        <v/>
      </c>
      <c r="I15" s="35"/>
      <c r="K15" s="28" t="str">
        <f>IFERROR(IF(Tabela5891011[[#This Row],[idvenda]]=B17,"0",(VLOOKUP(Tabela5891011[[#This Row],[Entrega]],cálculos!$G$3:$H$7,2,FALSE))),"0")</f>
        <v>0</v>
      </c>
      <c r="L15" s="28" t="str">
        <f>IFERROR(SUM(Tabela5891011[[#This Row],[Subtotal]]*(1-Tabela5891011[[#This Row],[Desconto]])+Tabela5891011[[#This Row],[Valor de Entrega]]),"")</f>
        <v/>
      </c>
      <c r="M15" s="12" t="str">
        <f>IF(Tabela5891011[[#This Row],[idvenda]]=B16,"",SUMIF(Tabela5891011[idvenda],Tabela5891011[[#This Row],[idvenda]],Tabela5891011[Total]))</f>
        <v/>
      </c>
      <c r="N15" s="12"/>
    </row>
    <row r="16" spans="2:25" x14ac:dyDescent="0.3">
      <c r="B16" s="12"/>
      <c r="C16" s="27"/>
      <c r="D16" s="12"/>
      <c r="E16" s="12" t="str">
        <f>IFERROR(VLOOKUP(D16,cálculos!$B$2:$E$32,4,FALSE),"")</f>
        <v/>
      </c>
      <c r="G16" s="28" t="str">
        <f>IFERROR(VLOOKUP(D16,cálculos!$B$2:$E$32,3,FALSE),"")</f>
        <v/>
      </c>
      <c r="H16" s="28" t="str">
        <f>IFERROR((Tabela5891011[[#This Row],[Quantidade]]*G16),"")</f>
        <v/>
      </c>
      <c r="I16" s="35"/>
      <c r="K16" s="28" t="str">
        <f>IFERROR(IF(Tabela5891011[[#This Row],[idvenda]]=B18,"0",(VLOOKUP(Tabela5891011[[#This Row],[Entrega]],cálculos!$G$3:$H$7,2,FALSE))),"0")</f>
        <v>0</v>
      </c>
      <c r="L16" s="28" t="str">
        <f>IFERROR(SUM(Tabela5891011[[#This Row],[Subtotal]]*(1-Tabela5891011[[#This Row],[Desconto]])+Tabela5891011[[#This Row],[Valor de Entrega]]),"")</f>
        <v/>
      </c>
      <c r="M16" s="12" t="str">
        <f>IF(Tabela5891011[[#This Row],[idvenda]]=B17,"",SUMIF(Tabela5891011[idvenda],Tabela5891011[[#This Row],[idvenda]],Tabela5891011[Total]))</f>
        <v/>
      </c>
      <c r="N16" s="12"/>
    </row>
    <row r="17" spans="2:14" x14ac:dyDescent="0.3">
      <c r="B17" s="12"/>
      <c r="C17" s="27"/>
      <c r="D17" s="12"/>
      <c r="E17" s="12" t="str">
        <f>IFERROR(VLOOKUP(D17,cálculos!$B$2:$E$32,4,FALSE),"")</f>
        <v/>
      </c>
      <c r="G17" s="28" t="str">
        <f>IFERROR(VLOOKUP(D17,cálculos!$B$2:$E$32,3,FALSE),"")</f>
        <v/>
      </c>
      <c r="H17" s="28" t="str">
        <f>IFERROR((Tabela5891011[[#This Row],[Quantidade]]*G17),"")</f>
        <v/>
      </c>
      <c r="I17" s="35"/>
      <c r="K17" s="28" t="str">
        <f>IFERROR(IF(Tabela5891011[[#This Row],[idvenda]]=B19,"0",(VLOOKUP(Tabela5891011[[#This Row],[Entrega]],cálculos!$G$3:$H$7,2,FALSE))),"0")</f>
        <v>0</v>
      </c>
      <c r="L17" s="28" t="str">
        <f>IFERROR(SUM(Tabela5891011[[#This Row],[Subtotal]]*(1-Tabela5891011[[#This Row],[Desconto]])+Tabela5891011[[#This Row],[Valor de Entrega]]),"")</f>
        <v/>
      </c>
      <c r="M17" s="12" t="str">
        <f>IF(Tabela5891011[[#This Row],[idvenda]]=B18,"",SUMIF(Tabela5891011[idvenda],Tabela5891011[[#This Row],[idvenda]],Tabela5891011[Total]))</f>
        <v/>
      </c>
      <c r="N17" s="12"/>
    </row>
    <row r="18" spans="2:14" x14ac:dyDescent="0.3">
      <c r="B18" s="12"/>
      <c r="C18" s="27"/>
      <c r="D18" s="12"/>
      <c r="E18" s="12" t="str">
        <f>IFERROR(VLOOKUP(D18,cálculos!$B$2:$E$32,4,FALSE),"")</f>
        <v/>
      </c>
      <c r="G18" s="28" t="str">
        <f>IFERROR(VLOOKUP(D18,cálculos!$B$2:$E$32,3,FALSE),"")</f>
        <v/>
      </c>
      <c r="H18" s="28" t="str">
        <f>IFERROR((Tabela5891011[[#This Row],[Quantidade]]*G18),"")</f>
        <v/>
      </c>
      <c r="I18" s="35"/>
      <c r="K18" s="28" t="str">
        <f>IFERROR(IF(Tabela5891011[[#This Row],[idvenda]]=B20,"0",(VLOOKUP(Tabela5891011[[#This Row],[Entrega]],cálculos!$G$3:$H$7,2,FALSE))),"0")</f>
        <v>0</v>
      </c>
      <c r="L18" s="28" t="str">
        <f>IFERROR(SUM(Tabela5891011[[#This Row],[Subtotal]]*(1-Tabela5891011[[#This Row],[Desconto]])+Tabela5891011[[#This Row],[Valor de Entrega]]),"")</f>
        <v/>
      </c>
      <c r="M18" s="12" t="str">
        <f>IF(Tabela5891011[[#This Row],[idvenda]]=B19,"",SUMIF(Tabela5891011[idvenda],Tabela5891011[[#This Row],[idvenda]],Tabela5891011[Total]))</f>
        <v/>
      </c>
      <c r="N18" s="12"/>
    </row>
    <row r="19" spans="2:14" x14ac:dyDescent="0.3">
      <c r="B19" s="12"/>
      <c r="C19" s="27"/>
      <c r="D19" s="12"/>
      <c r="E19" s="12" t="str">
        <f>IFERROR(VLOOKUP(D19,cálculos!$B$2:$E$32,4,FALSE),"")</f>
        <v/>
      </c>
      <c r="G19" s="28" t="str">
        <f>IFERROR(VLOOKUP(D19,cálculos!$B$2:$E$32,3,FALSE),"")</f>
        <v/>
      </c>
      <c r="H19" s="28" t="str">
        <f>IFERROR((Tabela5891011[[#This Row],[Quantidade]]*G19),"")</f>
        <v/>
      </c>
      <c r="I19" s="35"/>
      <c r="K19" s="28" t="str">
        <f>IFERROR(IF(Tabela5891011[[#This Row],[idvenda]]=B21,"0",(VLOOKUP(Tabela5891011[[#This Row],[Entrega]],cálculos!$G$3:$H$7,2,FALSE))),"0")</f>
        <v>0</v>
      </c>
      <c r="L19" s="28" t="str">
        <f>IFERROR(SUM(Tabela5891011[[#This Row],[Subtotal]]*(1-Tabela5891011[[#This Row],[Desconto]])+Tabela5891011[[#This Row],[Valor de Entrega]]),"")</f>
        <v/>
      </c>
      <c r="M19" s="12" t="str">
        <f>IF(Tabela5891011[[#This Row],[idvenda]]=B20,"",SUMIF(Tabela5891011[idvenda],Tabela5891011[[#This Row],[idvenda]],Tabela5891011[Total]))</f>
        <v/>
      </c>
      <c r="N19" s="12"/>
    </row>
    <row r="20" spans="2:14" x14ac:dyDescent="0.3">
      <c r="B20" s="12"/>
      <c r="C20" s="27"/>
      <c r="D20" s="12"/>
      <c r="E20" s="12" t="str">
        <f>IFERROR(VLOOKUP(D20,cálculos!$B$2:$E$32,4,FALSE),"")</f>
        <v/>
      </c>
      <c r="G20" s="28" t="str">
        <f>IFERROR(VLOOKUP(D20,cálculos!$B$2:$E$32,3,FALSE),"")</f>
        <v/>
      </c>
      <c r="H20" s="28" t="str">
        <f>IFERROR((Tabela5891011[[#This Row],[Quantidade]]*G20),"")</f>
        <v/>
      </c>
      <c r="I20" s="35"/>
      <c r="K20" s="28" t="str">
        <f>IFERROR(IF(Tabela5891011[[#This Row],[idvenda]]=B22,"0",(VLOOKUP(Tabela5891011[[#This Row],[Entrega]],cálculos!$G$3:$H$7,2,FALSE))),"0")</f>
        <v>0</v>
      </c>
      <c r="L20" s="28" t="str">
        <f>IFERROR(SUM(Tabela5891011[[#This Row],[Subtotal]]*(1-Tabela5891011[[#This Row],[Desconto]])+Tabela5891011[[#This Row],[Valor de Entrega]]),"")</f>
        <v/>
      </c>
      <c r="M20" s="12" t="str">
        <f>IF(Tabela5891011[[#This Row],[idvenda]]=B21,"",SUMIF(Tabela5891011[idvenda],Tabela5891011[[#This Row],[idvenda]],Tabela5891011[Total]))</f>
        <v/>
      </c>
      <c r="N20" s="12"/>
    </row>
    <row r="21" spans="2:14" x14ac:dyDescent="0.3">
      <c r="B21" s="12"/>
      <c r="C21" s="27"/>
      <c r="D21" s="12"/>
      <c r="E21" s="12" t="str">
        <f>IFERROR(VLOOKUP(D21,cálculos!$B$2:$E$32,4,FALSE),"")</f>
        <v/>
      </c>
      <c r="G21" s="28" t="str">
        <f>IFERROR(VLOOKUP(D21,cálculos!$B$2:$E$32,3,FALSE),"")</f>
        <v/>
      </c>
      <c r="H21" s="28" t="str">
        <f>IFERROR((Tabela5891011[[#This Row],[Quantidade]]*G21),"")</f>
        <v/>
      </c>
      <c r="I21" s="35"/>
      <c r="K21" s="28" t="str">
        <f>IFERROR(IF(Tabela5891011[[#This Row],[idvenda]]=B23,"0",(VLOOKUP(Tabela5891011[[#This Row],[Entrega]],cálculos!$G$3:$H$7,2,FALSE))),"0")</f>
        <v>0</v>
      </c>
      <c r="L21" s="28" t="str">
        <f>IFERROR(SUM(Tabela5891011[[#This Row],[Subtotal]]*(1-Tabela5891011[[#This Row],[Desconto]])+Tabela5891011[[#This Row],[Valor de Entrega]]),"")</f>
        <v/>
      </c>
      <c r="M21" s="12" t="str">
        <f>IF(Tabela5891011[[#This Row],[idvenda]]=B22,"",SUMIF(Tabela5891011[idvenda],Tabela5891011[[#This Row],[idvenda]],Tabela5891011[Total]))</f>
        <v/>
      </c>
      <c r="N21" s="12"/>
    </row>
    <row r="22" spans="2:14" x14ac:dyDescent="0.3">
      <c r="B22" s="12"/>
      <c r="C22" s="27"/>
      <c r="D22" s="12"/>
      <c r="E22" s="12" t="str">
        <f>IFERROR(VLOOKUP(D22,cálculos!$B$2:$E$32,4,FALSE),"")</f>
        <v/>
      </c>
      <c r="G22" s="28" t="str">
        <f>IFERROR(VLOOKUP(D22,cálculos!$B$2:$E$32,3,FALSE),"")</f>
        <v/>
      </c>
      <c r="H22" s="28" t="str">
        <f>IFERROR((Tabela5891011[[#This Row],[Quantidade]]*G22),"")</f>
        <v/>
      </c>
      <c r="I22" s="35"/>
      <c r="K22" s="28" t="str">
        <f>IFERROR(IF(Tabela5891011[[#This Row],[idvenda]]=B24,"0",(VLOOKUP(Tabela5891011[[#This Row],[Entrega]],cálculos!$G$3:$H$7,2,FALSE))),"0")</f>
        <v>0</v>
      </c>
      <c r="L22" s="28" t="str">
        <f>IFERROR(SUM(Tabela5891011[[#This Row],[Subtotal]]*(1-Tabela5891011[[#This Row],[Desconto]])+Tabela5891011[[#This Row],[Valor de Entrega]]),"")</f>
        <v/>
      </c>
      <c r="M22" s="12" t="str">
        <f>IF(Tabela5891011[[#This Row],[idvenda]]=B23,"",SUMIF(Tabela5891011[idvenda],Tabela5891011[[#This Row],[idvenda]],Tabela5891011[Total]))</f>
        <v/>
      </c>
      <c r="N22" s="12"/>
    </row>
    <row r="23" spans="2:14" x14ac:dyDescent="0.3">
      <c r="B23" s="12"/>
      <c r="C23" s="27"/>
      <c r="D23" s="12"/>
      <c r="E23" s="12" t="str">
        <f>IFERROR(VLOOKUP(D23,cálculos!$B$2:$E$32,4,FALSE),"")</f>
        <v/>
      </c>
      <c r="G23" s="28" t="str">
        <f>IFERROR(VLOOKUP(D23,cálculos!$B$2:$E$32,3,FALSE),"")</f>
        <v/>
      </c>
      <c r="H23" s="28" t="str">
        <f>IFERROR((Tabela5891011[[#This Row],[Quantidade]]*G23),"")</f>
        <v/>
      </c>
      <c r="I23" s="35"/>
      <c r="K23" s="28" t="str">
        <f>IFERROR(IF(Tabela5891011[[#This Row],[idvenda]]=B25,"0",(VLOOKUP(Tabela5891011[[#This Row],[Entrega]],cálculos!$G$3:$H$7,2,FALSE))),"0")</f>
        <v>0</v>
      </c>
      <c r="L23" s="28" t="str">
        <f>IFERROR(SUM(Tabela5891011[[#This Row],[Subtotal]]*(1-Tabela5891011[[#This Row],[Desconto]])+Tabela5891011[[#This Row],[Valor de Entrega]]),"")</f>
        <v/>
      </c>
      <c r="M23" s="12" t="str">
        <f>IF(Tabela5891011[[#This Row],[idvenda]]=B24,"",SUMIF(Tabela5891011[idvenda],Tabela5891011[[#This Row],[idvenda]],Tabela5891011[Total]))</f>
        <v/>
      </c>
      <c r="N23" s="12"/>
    </row>
    <row r="24" spans="2:14" x14ac:dyDescent="0.3">
      <c r="B24" s="12"/>
      <c r="C24" s="27"/>
      <c r="D24" s="12"/>
      <c r="E24" s="12" t="str">
        <f>IFERROR(VLOOKUP(D24,cálculos!$B$2:$E$32,4,FALSE),"")</f>
        <v/>
      </c>
      <c r="G24" s="28" t="str">
        <f>IFERROR(VLOOKUP(D24,cálculos!$B$2:$E$32,3,FALSE),"")</f>
        <v/>
      </c>
      <c r="H24" s="28" t="str">
        <f>IFERROR((Tabela5891011[[#This Row],[Quantidade]]*G24),"")</f>
        <v/>
      </c>
      <c r="I24" s="35"/>
      <c r="K24" s="28" t="str">
        <f>IFERROR(IF(Tabela5891011[[#This Row],[idvenda]]=B26,"0",(VLOOKUP(Tabela5891011[[#This Row],[Entrega]],cálculos!$G$3:$H$7,2,FALSE))),"0")</f>
        <v>0</v>
      </c>
      <c r="L24" s="28" t="str">
        <f>IFERROR(SUM(Tabela5891011[[#This Row],[Subtotal]]*(1-Tabela5891011[[#This Row],[Desconto]])+Tabela5891011[[#This Row],[Valor de Entrega]]),"")</f>
        <v/>
      </c>
      <c r="M24" s="12" t="str">
        <f>IF(Tabela5891011[[#This Row],[idvenda]]=B25,"",SUMIF(Tabela5891011[idvenda],Tabela5891011[[#This Row],[idvenda]],Tabela5891011[Total]))</f>
        <v/>
      </c>
      <c r="N24" s="12"/>
    </row>
    <row r="25" spans="2:14" x14ac:dyDescent="0.3">
      <c r="B25" s="12"/>
      <c r="C25" s="27"/>
      <c r="D25" s="12"/>
      <c r="E25" s="12" t="str">
        <f>IFERROR(VLOOKUP(D25,cálculos!$B$2:$E$32,4,FALSE),"")</f>
        <v/>
      </c>
      <c r="G25" s="28" t="str">
        <f>IFERROR(VLOOKUP(D25,cálculos!$B$2:$E$32,3,FALSE),"")</f>
        <v/>
      </c>
      <c r="H25" s="28" t="str">
        <f>IFERROR((Tabela5891011[[#This Row],[Quantidade]]*G25),"")</f>
        <v/>
      </c>
      <c r="I25" s="35"/>
      <c r="K25" s="28" t="str">
        <f>IFERROR(IF(Tabela5891011[[#This Row],[idvenda]]=B27,"0",(VLOOKUP(Tabela5891011[[#This Row],[Entrega]],cálculos!$G$3:$H$7,2,FALSE))),"0")</f>
        <v>0</v>
      </c>
      <c r="L25" s="28" t="str">
        <f>IFERROR(SUM(Tabela5891011[[#This Row],[Subtotal]]*(1-Tabela5891011[[#This Row],[Desconto]])+Tabela5891011[[#This Row],[Valor de Entrega]]),"")</f>
        <v/>
      </c>
      <c r="M25" s="12" t="str">
        <f>IF(Tabela5891011[[#This Row],[idvenda]]=B26,"",SUMIF(Tabela5891011[idvenda],Tabela5891011[[#This Row],[idvenda]],Tabela5891011[Total]))</f>
        <v/>
      </c>
      <c r="N25" s="12"/>
    </row>
    <row r="26" spans="2:14" x14ac:dyDescent="0.3">
      <c r="B26" s="12"/>
      <c r="C26" s="27"/>
      <c r="D26" s="12"/>
      <c r="E26" s="12" t="str">
        <f>IFERROR(VLOOKUP(D26,cálculos!$B$2:$E$32,4,FALSE),"")</f>
        <v/>
      </c>
      <c r="G26" s="28" t="str">
        <f>IFERROR(VLOOKUP(D26,cálculos!$B$2:$E$32,3,FALSE),"")</f>
        <v/>
      </c>
      <c r="H26" s="28" t="str">
        <f>IFERROR((Tabela5891011[[#This Row],[Quantidade]]*G26),"")</f>
        <v/>
      </c>
      <c r="I26" s="35"/>
      <c r="K26" s="28" t="str">
        <f>IFERROR(IF(Tabela5891011[[#This Row],[idvenda]]=B28,"0",(VLOOKUP(Tabela5891011[[#This Row],[Entrega]],cálculos!$G$3:$H$7,2,FALSE))),"0")</f>
        <v>0</v>
      </c>
      <c r="L26" s="28" t="str">
        <f>IFERROR(SUM(Tabela5891011[[#This Row],[Subtotal]]*(1-Tabela5891011[[#This Row],[Desconto]])+Tabela5891011[[#This Row],[Valor de Entrega]]),"")</f>
        <v/>
      </c>
      <c r="M26" s="12" t="str">
        <f>IF(Tabela5891011[[#This Row],[idvenda]]=B27,"",SUMIF(Tabela5891011[idvenda],Tabela5891011[[#This Row],[idvenda]],Tabela5891011[Total]))</f>
        <v/>
      </c>
      <c r="N26" s="12"/>
    </row>
    <row r="27" spans="2:14" x14ac:dyDescent="0.3">
      <c r="B27" s="12"/>
      <c r="C27" s="27"/>
      <c r="D27" s="12"/>
      <c r="E27" s="12" t="str">
        <f>IFERROR(VLOOKUP(D27,cálculos!$B$2:$E$32,4,FALSE),"")</f>
        <v/>
      </c>
      <c r="G27" s="28" t="str">
        <f>IFERROR(VLOOKUP(D27,cálculos!$B$2:$E$32,3,FALSE),"")</f>
        <v/>
      </c>
      <c r="H27" s="28" t="str">
        <f>IFERROR((Tabela5891011[[#This Row],[Quantidade]]*G27),"")</f>
        <v/>
      </c>
      <c r="I27" s="35"/>
      <c r="K27" s="28" t="str">
        <f>IFERROR(IF(Tabela5891011[[#This Row],[idvenda]]=B29,"0",(VLOOKUP(Tabela5891011[[#This Row],[Entrega]],cálculos!$G$3:$H$7,2,FALSE))),"0")</f>
        <v>0</v>
      </c>
      <c r="L27" s="28" t="str">
        <f>IFERROR(SUM(Tabela5891011[[#This Row],[Subtotal]]*(1-Tabela5891011[[#This Row],[Desconto]])+Tabela5891011[[#This Row],[Valor de Entrega]]),"")</f>
        <v/>
      </c>
      <c r="M27" s="12" t="str">
        <f>IF(Tabela5891011[[#This Row],[idvenda]]=B28,"",SUMIF(Tabela5891011[idvenda],Tabela5891011[[#This Row],[idvenda]],Tabela5891011[Total]))</f>
        <v/>
      </c>
      <c r="N27" s="12"/>
    </row>
    <row r="28" spans="2:14" x14ac:dyDescent="0.3">
      <c r="C28" s="12"/>
      <c r="D28" s="69"/>
      <c r="E28" s="12"/>
      <c r="F28" s="12"/>
      <c r="H28" s="28"/>
      <c r="I28" s="28"/>
      <c r="J28" s="35"/>
      <c r="L28" s="28"/>
      <c r="M28" s="28"/>
      <c r="N28" s="12"/>
    </row>
    <row r="29" spans="2:14" x14ac:dyDescent="0.3">
      <c r="H29" s="7"/>
      <c r="I29" s="7"/>
      <c r="N29" s="12"/>
    </row>
    <row r="30" spans="2:14" ht="16.2" thickBot="1" x14ac:dyDescent="0.35">
      <c r="B30" s="43" t="s">
        <v>118</v>
      </c>
      <c r="C30" s="43"/>
      <c r="D30" s="43"/>
      <c r="E30" s="47"/>
      <c r="F30" s="47"/>
      <c r="G30" s="44"/>
      <c r="H30" s="44"/>
      <c r="I30" s="44"/>
      <c r="J30" s="44"/>
      <c r="K30" s="44"/>
      <c r="L30" s="44"/>
      <c r="M30" s="44">
        <f>SUM(Tabela5891011[Total Para o Cliente])</f>
        <v>0</v>
      </c>
      <c r="N30" s="12"/>
    </row>
    <row r="31" spans="2:14" ht="16.2" thickBot="1" x14ac:dyDescent="0.35">
      <c r="B31" s="65" t="s">
        <v>117</v>
      </c>
      <c r="C31" s="65"/>
      <c r="D31" s="65"/>
      <c r="E31" s="66"/>
      <c r="F31" s="66"/>
      <c r="G31" s="67"/>
      <c r="H31" s="67"/>
      <c r="I31" s="67"/>
      <c r="J31" s="67"/>
      <c r="K31" s="67"/>
      <c r="L31" s="67"/>
      <c r="M31" s="68">
        <f>SUM(Tabela5891011[Valor de Entrega])</f>
        <v>0</v>
      </c>
      <c r="N31" s="12"/>
    </row>
    <row r="32" spans="2:14" ht="15.6" x14ac:dyDescent="0.3">
      <c r="B32" s="45" t="s">
        <v>132</v>
      </c>
      <c r="C32" s="45"/>
      <c r="D32" s="45"/>
      <c r="M32" s="64">
        <f>SUM(IF(FREQUENCY(Tabela5891011[idvenda],Tabela5891011[idvenda])&gt;0,1))</f>
        <v>0</v>
      </c>
    </row>
    <row r="33" spans="14:14" ht="15.6" x14ac:dyDescent="0.3">
      <c r="N33" s="48"/>
    </row>
    <row r="34" spans="14:14" ht="15.6" x14ac:dyDescent="0.3">
      <c r="N34" s="49"/>
    </row>
    <row r="35" spans="14:14" ht="14.4" customHeight="1" x14ac:dyDescent="0.3">
      <c r="N35" s="42"/>
    </row>
  </sheetData>
  <mergeCells count="4">
    <mergeCell ref="B2:Y2"/>
    <mergeCell ref="B30:D30"/>
    <mergeCell ref="B31:D31"/>
    <mergeCell ref="B32:D3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0465D6-9DFE-4CCE-8B96-241994E0BE55}">
          <x14:formula1>
            <xm:f>Estoque!$B$6:$B$29</xm:f>
          </x14:formula1>
          <xm:sqref>E28 D6:D27</xm:sqref>
        </x14:dataValidation>
        <x14:dataValidation type="list" allowBlank="1" showInputMessage="1" showErrorMessage="1" xr:uid="{2366A752-4EF2-4575-8EEE-6CC61B501BEB}">
          <x14:formula1>
            <xm:f>cálculos!$G$3:$G$7</xm:f>
          </x14:formula1>
          <xm:sqref>K28 J6:J27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6142-23F6-46CC-82FB-1A016E880D68}">
  <dimension ref="A3:I6"/>
  <sheetViews>
    <sheetView showGridLines="0" workbookViewId="0">
      <selection activeCell="R7" sqref="R7"/>
    </sheetView>
  </sheetViews>
  <sheetFormatPr defaultRowHeight="14.4" x14ac:dyDescent="0.3"/>
  <cols>
    <col min="1" max="1" width="17.21875" style="34" bestFit="1" customWidth="1"/>
    <col min="2" max="2" width="18.88671875" style="34" bestFit="1" customWidth="1"/>
    <col min="3" max="3" width="13.109375" style="34" bestFit="1" customWidth="1"/>
    <col min="4" max="4" width="10.88671875" style="34" customWidth="1"/>
    <col min="5" max="5" width="5.21875" style="34" customWidth="1"/>
    <col min="6" max="6" width="17.21875" style="34" bestFit="1" customWidth="1"/>
    <col min="7" max="7" width="18.88671875" style="34" bestFit="1" customWidth="1"/>
    <col min="8" max="8" width="23" style="34" bestFit="1" customWidth="1"/>
    <col min="9" max="9" width="13.109375" style="34" bestFit="1" customWidth="1"/>
    <col min="10" max="13" width="2" style="34" bestFit="1" customWidth="1"/>
    <col min="14" max="17" width="3" style="34" bestFit="1" customWidth="1"/>
    <col min="18" max="18" width="10" style="34" bestFit="1" customWidth="1"/>
    <col min="19" max="22" width="18.5546875" style="34" bestFit="1" customWidth="1"/>
    <col min="23" max="23" width="11.33203125" style="34" bestFit="1" customWidth="1"/>
    <col min="24" max="16384" width="8.88671875" style="34"/>
  </cols>
  <sheetData>
    <row r="3" spans="1:9" x14ac:dyDescent="0.3">
      <c r="A3" s="38" t="s">
        <v>149</v>
      </c>
      <c r="B3" s="34" t="s">
        <v>154</v>
      </c>
      <c r="C3" s="34" t="s">
        <v>151</v>
      </c>
      <c r="F3" s="38" t="s">
        <v>149</v>
      </c>
      <c r="G3" s="34" t="s">
        <v>154</v>
      </c>
      <c r="H3" s="34" t="s">
        <v>153</v>
      </c>
      <c r="I3" s="34" t="s">
        <v>151</v>
      </c>
    </row>
    <row r="4" spans="1:9" x14ac:dyDescent="0.3">
      <c r="A4" s="39" t="s">
        <v>152</v>
      </c>
      <c r="B4" s="36"/>
      <c r="C4" s="36">
        <v>0</v>
      </c>
      <c r="F4" s="40" t="s">
        <v>152</v>
      </c>
      <c r="G4" s="36"/>
      <c r="H4" s="36">
        <v>0</v>
      </c>
      <c r="I4" s="36">
        <v>0</v>
      </c>
    </row>
    <row r="5" spans="1:9" x14ac:dyDescent="0.3">
      <c r="A5" s="41" t="s">
        <v>152</v>
      </c>
      <c r="B5" s="36"/>
      <c r="C5" s="36">
        <v>0</v>
      </c>
      <c r="F5" s="40" t="s">
        <v>150</v>
      </c>
      <c r="G5" s="36"/>
      <c r="H5" s="36">
        <v>0</v>
      </c>
      <c r="I5" s="36">
        <v>0</v>
      </c>
    </row>
    <row r="6" spans="1:9" x14ac:dyDescent="0.3">
      <c r="A6" s="39" t="s">
        <v>150</v>
      </c>
      <c r="B6" s="36"/>
      <c r="C6" s="36">
        <v>0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B1:H25"/>
  <sheetViews>
    <sheetView topLeftCell="A3" workbookViewId="0">
      <selection activeCell="D5" sqref="D5"/>
    </sheetView>
  </sheetViews>
  <sheetFormatPr defaultRowHeight="14.4" x14ac:dyDescent="0.3"/>
  <cols>
    <col min="2" max="2" width="14.77734375" bestFit="1" customWidth="1"/>
    <col min="3" max="3" width="25.21875" bestFit="1" customWidth="1"/>
    <col min="4" max="4" width="24" bestFit="1" customWidth="1"/>
    <col min="5" max="5" width="9.6640625" bestFit="1" customWidth="1"/>
    <col min="7" max="7" width="22.5546875" customWidth="1"/>
    <col min="10" max="10" width="5.33203125" bestFit="1" customWidth="1"/>
  </cols>
  <sheetData>
    <row r="1" spans="2:8" x14ac:dyDescent="0.3">
      <c r="B1" s="10" t="s">
        <v>61</v>
      </c>
      <c r="C1" s="10" t="s">
        <v>62</v>
      </c>
      <c r="D1" s="10" t="s">
        <v>63</v>
      </c>
      <c r="E1" s="10" t="s">
        <v>56</v>
      </c>
    </row>
    <row r="2" spans="2:8" x14ac:dyDescent="0.3">
      <c r="B2" s="8" t="s">
        <v>23</v>
      </c>
      <c r="C2" s="9">
        <v>2.8405</v>
      </c>
      <c r="D2" s="9">
        <v>2.99</v>
      </c>
      <c r="E2" s="8" t="s">
        <v>64</v>
      </c>
      <c r="G2" t="s">
        <v>108</v>
      </c>
    </row>
    <row r="3" spans="2:8" x14ac:dyDescent="0.3">
      <c r="B3" s="8" t="s">
        <v>32</v>
      </c>
      <c r="C3" s="9">
        <v>1.0580000000000001</v>
      </c>
      <c r="D3" s="9">
        <v>1.1499999999999999</v>
      </c>
      <c r="E3" s="8" t="s">
        <v>65</v>
      </c>
      <c r="G3" t="s">
        <v>109</v>
      </c>
      <c r="H3" s="30">
        <v>5</v>
      </c>
    </row>
    <row r="4" spans="2:8" x14ac:dyDescent="0.3">
      <c r="B4" s="8" t="s">
        <v>20</v>
      </c>
      <c r="C4" s="9">
        <v>2.3406000000000002</v>
      </c>
      <c r="D4" s="9">
        <v>2.4900000000000002</v>
      </c>
      <c r="E4" s="8" t="s">
        <v>66</v>
      </c>
      <c r="G4" t="s">
        <v>110</v>
      </c>
      <c r="H4" s="30">
        <v>0</v>
      </c>
    </row>
    <row r="5" spans="2:8" x14ac:dyDescent="0.3">
      <c r="B5" s="8" t="s">
        <v>37</v>
      </c>
      <c r="C5" s="9">
        <v>1.8506999999999998</v>
      </c>
      <c r="D5" s="9">
        <v>1.99</v>
      </c>
      <c r="E5" s="8" t="s">
        <v>65</v>
      </c>
      <c r="G5" t="s">
        <v>111</v>
      </c>
      <c r="H5" s="30">
        <v>6.5</v>
      </c>
    </row>
    <row r="6" spans="2:8" x14ac:dyDescent="0.3">
      <c r="B6" s="8" t="s">
        <v>40</v>
      </c>
      <c r="C6" s="9">
        <v>1.0924999999999998</v>
      </c>
      <c r="D6" s="9">
        <v>1.1499999999999999</v>
      </c>
      <c r="E6" s="8" t="s">
        <v>65</v>
      </c>
      <c r="G6" t="s">
        <v>112</v>
      </c>
      <c r="H6" s="30">
        <v>8</v>
      </c>
    </row>
    <row r="7" spans="2:8" x14ac:dyDescent="0.3">
      <c r="B7" s="8" t="s">
        <v>36</v>
      </c>
      <c r="C7" s="9">
        <v>0.74260000000000004</v>
      </c>
      <c r="D7" s="9">
        <v>0.79</v>
      </c>
      <c r="E7" s="8" t="s">
        <v>65</v>
      </c>
      <c r="G7" t="s">
        <v>113</v>
      </c>
      <c r="H7" s="30">
        <v>6.5</v>
      </c>
    </row>
    <row r="8" spans="2:8" x14ac:dyDescent="0.3">
      <c r="B8" s="8" t="s">
        <v>24</v>
      </c>
      <c r="C8" s="9">
        <v>14.469000000000001</v>
      </c>
      <c r="D8" s="9">
        <v>15.9</v>
      </c>
      <c r="E8" s="8" t="s">
        <v>66</v>
      </c>
    </row>
    <row r="9" spans="2:8" x14ac:dyDescent="0.3">
      <c r="B9" s="8" t="s">
        <v>30</v>
      </c>
      <c r="C9" s="9">
        <v>3.6309000000000005</v>
      </c>
      <c r="D9" s="9">
        <v>3.99</v>
      </c>
      <c r="E9" s="8" t="s">
        <v>66</v>
      </c>
    </row>
    <row r="10" spans="2:8" x14ac:dyDescent="0.3">
      <c r="B10" s="8" t="s">
        <v>33</v>
      </c>
      <c r="C10" s="9">
        <v>2.1023999999999998</v>
      </c>
      <c r="D10" s="9">
        <v>2.19</v>
      </c>
      <c r="E10" s="8" t="s">
        <v>69</v>
      </c>
    </row>
    <row r="11" spans="2:8" x14ac:dyDescent="0.3">
      <c r="B11" s="8" t="s">
        <v>38</v>
      </c>
      <c r="C11" s="9">
        <v>4.5409000000000006</v>
      </c>
      <c r="D11" s="9">
        <v>4.99</v>
      </c>
      <c r="E11" s="8" t="s">
        <v>70</v>
      </c>
    </row>
    <row r="12" spans="2:8" x14ac:dyDescent="0.3">
      <c r="B12" s="8" t="s">
        <v>39</v>
      </c>
      <c r="C12" s="9">
        <v>6.3449999999999998</v>
      </c>
      <c r="D12" s="9">
        <v>6.75</v>
      </c>
      <c r="E12" s="8" t="s">
        <v>71</v>
      </c>
    </row>
    <row r="13" spans="2:8" x14ac:dyDescent="0.3">
      <c r="B13" s="8" t="s">
        <v>35</v>
      </c>
      <c r="C13" s="9">
        <v>2.3660000000000001</v>
      </c>
      <c r="D13" s="9">
        <v>2.6</v>
      </c>
      <c r="E13" s="8" t="s">
        <v>64</v>
      </c>
    </row>
    <row r="14" spans="2:8" x14ac:dyDescent="0.3">
      <c r="B14" s="8" t="s">
        <v>21</v>
      </c>
      <c r="C14" s="9">
        <v>4.0659999999999998</v>
      </c>
      <c r="D14" s="9">
        <v>4.28</v>
      </c>
      <c r="E14" s="8" t="s">
        <v>66</v>
      </c>
    </row>
    <row r="15" spans="2:8" x14ac:dyDescent="0.3">
      <c r="B15" s="8" t="s">
        <v>25</v>
      </c>
      <c r="C15" s="9">
        <v>6.4216000000000006</v>
      </c>
      <c r="D15" s="9">
        <v>6.98</v>
      </c>
      <c r="E15" s="8" t="s">
        <v>66</v>
      </c>
    </row>
    <row r="16" spans="2:8" x14ac:dyDescent="0.3">
      <c r="B16" s="8" t="s">
        <v>67</v>
      </c>
      <c r="C16" s="9">
        <v>1.3708</v>
      </c>
      <c r="D16" s="9">
        <v>1.49</v>
      </c>
      <c r="E16" s="8" t="s">
        <v>68</v>
      </c>
    </row>
    <row r="17" spans="2:5" x14ac:dyDescent="0.3">
      <c r="B17" s="8" t="s">
        <v>72</v>
      </c>
      <c r="C17" s="9">
        <v>2.6299000000000001</v>
      </c>
      <c r="D17" s="9">
        <v>2.89</v>
      </c>
      <c r="E17" s="8" t="s">
        <v>64</v>
      </c>
    </row>
    <row r="18" spans="2:5" x14ac:dyDescent="0.3">
      <c r="B18" s="8" t="s">
        <v>26</v>
      </c>
      <c r="C18" s="9">
        <v>22.226999999999997</v>
      </c>
      <c r="D18" s="9">
        <v>23.9</v>
      </c>
      <c r="E18" s="8" t="s">
        <v>66</v>
      </c>
    </row>
    <row r="19" spans="2:5" x14ac:dyDescent="0.3">
      <c r="B19" s="8" t="s">
        <v>27</v>
      </c>
      <c r="C19" s="9">
        <v>23.827999999999999</v>
      </c>
      <c r="D19" s="9">
        <v>25.9</v>
      </c>
      <c r="E19" s="8" t="s">
        <v>66</v>
      </c>
    </row>
    <row r="20" spans="2:5" x14ac:dyDescent="0.3">
      <c r="B20" s="8" t="s">
        <v>73</v>
      </c>
      <c r="C20" s="9">
        <v>2.1749000000000001</v>
      </c>
      <c r="D20" s="9">
        <v>2.39</v>
      </c>
      <c r="E20" s="8" t="s">
        <v>68</v>
      </c>
    </row>
    <row r="21" spans="2:5" x14ac:dyDescent="0.3">
      <c r="B21" s="8" t="s">
        <v>29</v>
      </c>
      <c r="C21" s="9">
        <v>3.2084999999999999</v>
      </c>
      <c r="D21" s="9">
        <v>3.45</v>
      </c>
      <c r="E21" s="8" t="s">
        <v>68</v>
      </c>
    </row>
    <row r="22" spans="2:5" x14ac:dyDescent="0.3">
      <c r="B22" s="8" t="s">
        <v>22</v>
      </c>
      <c r="C22" s="9">
        <v>5.3544000000000009</v>
      </c>
      <c r="D22" s="9">
        <v>5.82</v>
      </c>
      <c r="E22" s="8" t="s">
        <v>66</v>
      </c>
    </row>
    <row r="23" spans="2:5" x14ac:dyDescent="0.3">
      <c r="B23" s="8" t="s">
        <v>31</v>
      </c>
      <c r="C23" s="9">
        <v>9.1009999999999991</v>
      </c>
      <c r="D23" s="9">
        <v>9.58</v>
      </c>
      <c r="E23" s="8" t="s">
        <v>66</v>
      </c>
    </row>
    <row r="24" spans="2:5" x14ac:dyDescent="0.3">
      <c r="B24" s="8" t="s">
        <v>28</v>
      </c>
      <c r="C24" s="9">
        <v>26.012999999999998</v>
      </c>
      <c r="D24" s="9">
        <v>29.9</v>
      </c>
      <c r="E24" s="8" t="s">
        <v>74</v>
      </c>
    </row>
    <row r="25" spans="2:5" x14ac:dyDescent="0.3">
      <c r="B25" s="8" t="s">
        <v>34</v>
      </c>
      <c r="C25" s="9">
        <v>46.664999999999999</v>
      </c>
      <c r="D25" s="9">
        <v>54.9</v>
      </c>
      <c r="E25" s="8" t="s">
        <v>74</v>
      </c>
    </row>
  </sheetData>
  <autoFilter ref="B1:E1" xr:uid="{00000000-0001-0000-0700-000000000000}">
    <sortState xmlns:xlrd2="http://schemas.microsoft.com/office/spreadsheetml/2017/richdata2" ref="B2:E25">
      <sortCondition ref="B1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Menu</vt:lpstr>
      <vt:lpstr>Despesas</vt:lpstr>
      <vt:lpstr>Compras</vt:lpstr>
      <vt:lpstr>Investimentos</vt:lpstr>
      <vt:lpstr>Estoque</vt:lpstr>
      <vt:lpstr>Resultados</vt:lpstr>
      <vt:lpstr>Vendas</vt:lpstr>
      <vt:lpstr>Semana 1</vt:lpstr>
      <vt:lpstr>Análise Sem 1</vt:lpstr>
      <vt:lpstr>Semana 2</vt:lpstr>
      <vt:lpstr>Análise Sem 2</vt:lpstr>
      <vt:lpstr>Semana 3</vt:lpstr>
      <vt:lpstr>Análise Sem 3</vt:lpstr>
      <vt:lpstr>Semana 4</vt:lpstr>
      <vt:lpstr>Análise Sem 4</vt:lpstr>
      <vt:lpstr>Semana 5</vt:lpstr>
      <vt:lpstr>Análise Sem 5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Diogo .</cp:lastModifiedBy>
  <cp:lastPrinted>2021-11-28T17:48:59Z</cp:lastPrinted>
  <dcterms:created xsi:type="dcterms:W3CDTF">2015-06-24T19:21:22Z</dcterms:created>
  <dcterms:modified xsi:type="dcterms:W3CDTF">2021-11-29T00:58:58Z</dcterms:modified>
</cp:coreProperties>
</file>