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dgagl\Desktop\"/>
    </mc:Choice>
  </mc:AlternateContent>
  <xr:revisionPtr revIDLastSave="0" documentId="13_ncr:1_{89B01688-8D9D-465F-B143-E0542BEFF6F6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Menu" sheetId="1" r:id="rId1"/>
    <sheet name="Despesas" sheetId="2" r:id="rId2"/>
    <sheet name="Compras" sheetId="6" r:id="rId3"/>
    <sheet name="Investimentos" sheetId="7" r:id="rId4"/>
    <sheet name="Estoque" sheetId="8" r:id="rId5"/>
    <sheet name="Resultados" sheetId="4" r:id="rId6"/>
    <sheet name="Vendas" sheetId="3" r:id="rId7"/>
    <sheet name="Semana 1" sheetId="9" r:id="rId8"/>
    <sheet name="Semana 2" sheetId="10" r:id="rId9"/>
    <sheet name="Semana 3" sheetId="11" r:id="rId10"/>
    <sheet name="Semana 4" sheetId="12" r:id="rId11"/>
    <sheet name="Semana 5" sheetId="13" r:id="rId12"/>
    <sheet name="cálculos" sheetId="5" r:id="rId13"/>
  </sheets>
  <definedNames>
    <definedName name="_xlnm._FilterDatabase" localSheetId="12" hidden="1">cálculos!$B$1:$E$1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3" l="1"/>
  <c r="D41" i="3"/>
  <c r="D42" i="3"/>
  <c r="D43" i="3"/>
  <c r="D39" i="3"/>
  <c r="D28" i="3" l="1"/>
  <c r="D29" i="3" s="1"/>
  <c r="D9" i="3"/>
  <c r="N34" i="13"/>
  <c r="N34" i="12"/>
  <c r="N34" i="11"/>
  <c r="N34" i="10"/>
  <c r="N34" i="9"/>
  <c r="N29" i="13"/>
  <c r="L29" i="13"/>
  <c r="H29" i="13"/>
  <c r="I29" i="13" s="1"/>
  <c r="M29" i="13" s="1"/>
  <c r="F29" i="13"/>
  <c r="N28" i="13"/>
  <c r="L28" i="13"/>
  <c r="H28" i="13"/>
  <c r="I28" i="13" s="1"/>
  <c r="M28" i="13" s="1"/>
  <c r="F28" i="13"/>
  <c r="N27" i="13"/>
  <c r="L27" i="13"/>
  <c r="H27" i="13"/>
  <c r="I27" i="13" s="1"/>
  <c r="M27" i="13" s="1"/>
  <c r="F27" i="13"/>
  <c r="N26" i="13"/>
  <c r="L26" i="13"/>
  <c r="I26" i="13"/>
  <c r="M26" i="13" s="1"/>
  <c r="H26" i="13"/>
  <c r="F26" i="13"/>
  <c r="N25" i="13"/>
  <c r="L25" i="13"/>
  <c r="H25" i="13"/>
  <c r="I25" i="13" s="1"/>
  <c r="M25" i="13" s="1"/>
  <c r="F25" i="13"/>
  <c r="N24" i="13"/>
  <c r="L24" i="13"/>
  <c r="H24" i="13"/>
  <c r="I24" i="13" s="1"/>
  <c r="M24" i="13" s="1"/>
  <c r="F24" i="13"/>
  <c r="N23" i="13"/>
  <c r="L23" i="13"/>
  <c r="H23" i="13"/>
  <c r="I23" i="13" s="1"/>
  <c r="M23" i="13" s="1"/>
  <c r="F23" i="13"/>
  <c r="N22" i="13"/>
  <c r="L22" i="13"/>
  <c r="I22" i="13"/>
  <c r="M22" i="13" s="1"/>
  <c r="H22" i="13"/>
  <c r="F22" i="13"/>
  <c r="N21" i="13"/>
  <c r="L21" i="13"/>
  <c r="H21" i="13"/>
  <c r="I21" i="13" s="1"/>
  <c r="M21" i="13" s="1"/>
  <c r="F21" i="13"/>
  <c r="N20" i="13"/>
  <c r="L20" i="13"/>
  <c r="H20" i="13"/>
  <c r="I20" i="13" s="1"/>
  <c r="M20" i="13" s="1"/>
  <c r="F20" i="13"/>
  <c r="N19" i="13"/>
  <c r="L19" i="13"/>
  <c r="H19" i="13"/>
  <c r="I19" i="13" s="1"/>
  <c r="M19" i="13" s="1"/>
  <c r="F19" i="13"/>
  <c r="N18" i="13"/>
  <c r="L18" i="13"/>
  <c r="I18" i="13"/>
  <c r="M18" i="13" s="1"/>
  <c r="H18" i="13"/>
  <c r="F18" i="13"/>
  <c r="N17" i="13"/>
  <c r="L17" i="13"/>
  <c r="H17" i="13"/>
  <c r="I17" i="13" s="1"/>
  <c r="M17" i="13" s="1"/>
  <c r="F17" i="13"/>
  <c r="N16" i="13"/>
  <c r="L16" i="13"/>
  <c r="H16" i="13"/>
  <c r="I16" i="13" s="1"/>
  <c r="M16" i="13" s="1"/>
  <c r="F16" i="13"/>
  <c r="N15" i="13"/>
  <c r="L15" i="13"/>
  <c r="H15" i="13"/>
  <c r="I15" i="13" s="1"/>
  <c r="M15" i="13" s="1"/>
  <c r="F15" i="13"/>
  <c r="N14" i="13"/>
  <c r="L14" i="13"/>
  <c r="H14" i="13"/>
  <c r="I14" i="13" s="1"/>
  <c r="M14" i="13" s="1"/>
  <c r="F14" i="13"/>
  <c r="N13" i="13"/>
  <c r="L13" i="13"/>
  <c r="H13" i="13"/>
  <c r="I13" i="13" s="1"/>
  <c r="M13" i="13" s="1"/>
  <c r="F13" i="13"/>
  <c r="N12" i="13"/>
  <c r="L12" i="13"/>
  <c r="H12" i="13"/>
  <c r="I12" i="13" s="1"/>
  <c r="M12" i="13" s="1"/>
  <c r="F12" i="13"/>
  <c r="N11" i="13"/>
  <c r="L11" i="13"/>
  <c r="H11" i="13"/>
  <c r="I11" i="13" s="1"/>
  <c r="M11" i="13" s="1"/>
  <c r="F11" i="13"/>
  <c r="N10" i="13"/>
  <c r="L10" i="13"/>
  <c r="H10" i="13"/>
  <c r="I10" i="13" s="1"/>
  <c r="M10" i="13" s="1"/>
  <c r="F10" i="13"/>
  <c r="N9" i="13"/>
  <c r="L9" i="13"/>
  <c r="H9" i="13"/>
  <c r="I9" i="13" s="1"/>
  <c r="M9" i="13" s="1"/>
  <c r="F9" i="13"/>
  <c r="N8" i="13"/>
  <c r="L8" i="13"/>
  <c r="H8" i="13"/>
  <c r="I8" i="13" s="1"/>
  <c r="M8" i="13" s="1"/>
  <c r="F8" i="13"/>
  <c r="N7" i="13"/>
  <c r="L7" i="13"/>
  <c r="H7" i="13"/>
  <c r="I7" i="13" s="1"/>
  <c r="M7" i="13" s="1"/>
  <c r="F7" i="13"/>
  <c r="N6" i="13"/>
  <c r="L6" i="13"/>
  <c r="H6" i="13"/>
  <c r="I6" i="13" s="1"/>
  <c r="M6" i="13" s="1"/>
  <c r="F6" i="13"/>
  <c r="N5" i="13"/>
  <c r="L5" i="13"/>
  <c r="N33" i="13" s="1"/>
  <c r="H5" i="13"/>
  <c r="I5" i="13" s="1"/>
  <c r="M5" i="13" s="1"/>
  <c r="F5" i="13"/>
  <c r="N29" i="12"/>
  <c r="L29" i="12"/>
  <c r="H29" i="12"/>
  <c r="I29" i="12" s="1"/>
  <c r="M29" i="12" s="1"/>
  <c r="F29" i="12"/>
  <c r="N28" i="12"/>
  <c r="L28" i="12"/>
  <c r="H28" i="12"/>
  <c r="I28" i="12" s="1"/>
  <c r="M28" i="12" s="1"/>
  <c r="F28" i="12"/>
  <c r="N27" i="12"/>
  <c r="M27" i="12"/>
  <c r="L27" i="12"/>
  <c r="I27" i="12"/>
  <c r="H27" i="12"/>
  <c r="F27" i="12"/>
  <c r="N26" i="12"/>
  <c r="L26" i="12"/>
  <c r="H26" i="12"/>
  <c r="I26" i="12" s="1"/>
  <c r="M26" i="12" s="1"/>
  <c r="F26" i="12"/>
  <c r="N25" i="12"/>
  <c r="L25" i="12"/>
  <c r="H25" i="12"/>
  <c r="I25" i="12" s="1"/>
  <c r="M25" i="12" s="1"/>
  <c r="F25" i="12"/>
  <c r="N24" i="12"/>
  <c r="L24" i="12"/>
  <c r="H24" i="12"/>
  <c r="I24" i="12" s="1"/>
  <c r="M24" i="12" s="1"/>
  <c r="F24" i="12"/>
  <c r="N23" i="12"/>
  <c r="L23" i="12"/>
  <c r="H23" i="12"/>
  <c r="I23" i="12" s="1"/>
  <c r="M23" i="12" s="1"/>
  <c r="F23" i="12"/>
  <c r="N22" i="12"/>
  <c r="L22" i="12"/>
  <c r="H22" i="12"/>
  <c r="I22" i="12" s="1"/>
  <c r="M22" i="12" s="1"/>
  <c r="F22" i="12"/>
  <c r="N21" i="12"/>
  <c r="L21" i="12"/>
  <c r="H21" i="12"/>
  <c r="I21" i="12" s="1"/>
  <c r="M21" i="12" s="1"/>
  <c r="F21" i="12"/>
  <c r="N20" i="12"/>
  <c r="L20" i="12"/>
  <c r="H20" i="12"/>
  <c r="I20" i="12" s="1"/>
  <c r="M20" i="12" s="1"/>
  <c r="F20" i="12"/>
  <c r="N19" i="12"/>
  <c r="L19" i="12"/>
  <c r="H19" i="12"/>
  <c r="I19" i="12" s="1"/>
  <c r="M19" i="12" s="1"/>
  <c r="F19" i="12"/>
  <c r="N18" i="12"/>
  <c r="L18" i="12"/>
  <c r="H18" i="12"/>
  <c r="I18" i="12" s="1"/>
  <c r="M18" i="12" s="1"/>
  <c r="F18" i="12"/>
  <c r="N17" i="12"/>
  <c r="L17" i="12"/>
  <c r="H17" i="12"/>
  <c r="I17" i="12" s="1"/>
  <c r="M17" i="12" s="1"/>
  <c r="F17" i="12"/>
  <c r="N16" i="12"/>
  <c r="L16" i="12"/>
  <c r="H16" i="12"/>
  <c r="I16" i="12" s="1"/>
  <c r="M16" i="12" s="1"/>
  <c r="F16" i="12"/>
  <c r="N15" i="12"/>
  <c r="L15" i="12"/>
  <c r="H15" i="12"/>
  <c r="I15" i="12" s="1"/>
  <c r="M15" i="12" s="1"/>
  <c r="F15" i="12"/>
  <c r="N14" i="12"/>
  <c r="L14" i="12"/>
  <c r="H14" i="12"/>
  <c r="I14" i="12" s="1"/>
  <c r="M14" i="12" s="1"/>
  <c r="F14" i="12"/>
  <c r="N13" i="12"/>
  <c r="L13" i="12"/>
  <c r="H13" i="12"/>
  <c r="I13" i="12" s="1"/>
  <c r="M13" i="12" s="1"/>
  <c r="F13" i="12"/>
  <c r="N12" i="12"/>
  <c r="L12" i="12"/>
  <c r="H12" i="12"/>
  <c r="I12" i="12" s="1"/>
  <c r="M12" i="12" s="1"/>
  <c r="F12" i="12"/>
  <c r="N11" i="12"/>
  <c r="L11" i="12"/>
  <c r="H11" i="12"/>
  <c r="I11" i="12" s="1"/>
  <c r="M11" i="12" s="1"/>
  <c r="F11" i="12"/>
  <c r="N10" i="12"/>
  <c r="L10" i="12"/>
  <c r="H10" i="12"/>
  <c r="I10" i="12" s="1"/>
  <c r="M10" i="12" s="1"/>
  <c r="F10" i="12"/>
  <c r="N9" i="12"/>
  <c r="L9" i="12"/>
  <c r="H9" i="12"/>
  <c r="I9" i="12" s="1"/>
  <c r="M9" i="12" s="1"/>
  <c r="F9" i="12"/>
  <c r="N8" i="12"/>
  <c r="L8" i="12"/>
  <c r="H8" i="12"/>
  <c r="I8" i="12" s="1"/>
  <c r="M8" i="12" s="1"/>
  <c r="F8" i="12"/>
  <c r="N7" i="12"/>
  <c r="L7" i="12"/>
  <c r="H7" i="12"/>
  <c r="I7" i="12" s="1"/>
  <c r="M7" i="12" s="1"/>
  <c r="F7" i="12"/>
  <c r="N6" i="12"/>
  <c r="L6" i="12"/>
  <c r="H6" i="12"/>
  <c r="I6" i="12" s="1"/>
  <c r="M6" i="12" s="1"/>
  <c r="F6" i="12"/>
  <c r="N5" i="12"/>
  <c r="L5" i="12"/>
  <c r="N33" i="12" s="1"/>
  <c r="H5" i="12"/>
  <c r="I5" i="12" s="1"/>
  <c r="M5" i="12" s="1"/>
  <c r="F5" i="12"/>
  <c r="N29" i="11"/>
  <c r="L29" i="11"/>
  <c r="H29" i="11"/>
  <c r="I29" i="11" s="1"/>
  <c r="M29" i="11" s="1"/>
  <c r="F29" i="11"/>
  <c r="N28" i="11"/>
  <c r="L28" i="11"/>
  <c r="H28" i="11"/>
  <c r="I28" i="11" s="1"/>
  <c r="M28" i="11" s="1"/>
  <c r="F28" i="11"/>
  <c r="N27" i="11"/>
  <c r="L27" i="11"/>
  <c r="H27" i="11"/>
  <c r="I27" i="11" s="1"/>
  <c r="M27" i="11" s="1"/>
  <c r="F27" i="11"/>
  <c r="N26" i="11"/>
  <c r="L26" i="11"/>
  <c r="I26" i="11"/>
  <c r="M26" i="11" s="1"/>
  <c r="H26" i="11"/>
  <c r="F26" i="11"/>
  <c r="N25" i="11"/>
  <c r="L25" i="11"/>
  <c r="H25" i="11"/>
  <c r="I25" i="11" s="1"/>
  <c r="M25" i="11" s="1"/>
  <c r="F25" i="11"/>
  <c r="N24" i="11"/>
  <c r="L24" i="11"/>
  <c r="H24" i="11"/>
  <c r="I24" i="11" s="1"/>
  <c r="M24" i="11" s="1"/>
  <c r="F24" i="11"/>
  <c r="N23" i="11"/>
  <c r="L23" i="11"/>
  <c r="H23" i="11"/>
  <c r="I23" i="11" s="1"/>
  <c r="M23" i="11" s="1"/>
  <c r="F23" i="11"/>
  <c r="N22" i="11"/>
  <c r="L22" i="11"/>
  <c r="H22" i="11"/>
  <c r="I22" i="11" s="1"/>
  <c r="M22" i="11" s="1"/>
  <c r="F22" i="11"/>
  <c r="N21" i="11"/>
  <c r="L21" i="11"/>
  <c r="H21" i="11"/>
  <c r="I21" i="11" s="1"/>
  <c r="M21" i="11" s="1"/>
  <c r="F21" i="11"/>
  <c r="N20" i="11"/>
  <c r="L20" i="11"/>
  <c r="H20" i="11"/>
  <c r="I20" i="11" s="1"/>
  <c r="M20" i="11" s="1"/>
  <c r="F20" i="11"/>
  <c r="N19" i="11"/>
  <c r="L19" i="11"/>
  <c r="H19" i="11"/>
  <c r="I19" i="11" s="1"/>
  <c r="M19" i="11" s="1"/>
  <c r="F19" i="11"/>
  <c r="N18" i="11"/>
  <c r="L18" i="11"/>
  <c r="H18" i="11"/>
  <c r="I18" i="11" s="1"/>
  <c r="M18" i="11" s="1"/>
  <c r="F18" i="11"/>
  <c r="N17" i="11"/>
  <c r="L17" i="11"/>
  <c r="H17" i="11"/>
  <c r="I17" i="11" s="1"/>
  <c r="M17" i="11" s="1"/>
  <c r="F17" i="11"/>
  <c r="N16" i="11"/>
  <c r="L16" i="11"/>
  <c r="H16" i="11"/>
  <c r="I16" i="11" s="1"/>
  <c r="M16" i="11" s="1"/>
  <c r="F16" i="11"/>
  <c r="N15" i="11"/>
  <c r="L15" i="11"/>
  <c r="H15" i="11"/>
  <c r="I15" i="11" s="1"/>
  <c r="M15" i="11" s="1"/>
  <c r="F15" i="11"/>
  <c r="N14" i="11"/>
  <c r="L14" i="11"/>
  <c r="H14" i="11"/>
  <c r="I14" i="11" s="1"/>
  <c r="M14" i="11" s="1"/>
  <c r="F14" i="11"/>
  <c r="N13" i="11"/>
  <c r="L13" i="11"/>
  <c r="H13" i="11"/>
  <c r="I13" i="11" s="1"/>
  <c r="M13" i="11" s="1"/>
  <c r="F13" i="11"/>
  <c r="N12" i="11"/>
  <c r="L12" i="11"/>
  <c r="H12" i="11"/>
  <c r="I12" i="11" s="1"/>
  <c r="M12" i="11" s="1"/>
  <c r="F12" i="11"/>
  <c r="N11" i="11"/>
  <c r="L11" i="11"/>
  <c r="H11" i="11"/>
  <c r="I11" i="11" s="1"/>
  <c r="M11" i="11" s="1"/>
  <c r="F11" i="11"/>
  <c r="N10" i="11"/>
  <c r="L10" i="11"/>
  <c r="H10" i="11"/>
  <c r="I10" i="11" s="1"/>
  <c r="M10" i="11" s="1"/>
  <c r="F10" i="11"/>
  <c r="N9" i="11"/>
  <c r="L9" i="11"/>
  <c r="H9" i="11"/>
  <c r="I9" i="11" s="1"/>
  <c r="M9" i="11" s="1"/>
  <c r="F9" i="11"/>
  <c r="N8" i="11"/>
  <c r="L8" i="11"/>
  <c r="H8" i="11"/>
  <c r="I8" i="11" s="1"/>
  <c r="M8" i="11" s="1"/>
  <c r="F8" i="11"/>
  <c r="N7" i="11"/>
  <c r="L7" i="11"/>
  <c r="H7" i="11"/>
  <c r="I7" i="11" s="1"/>
  <c r="M7" i="11" s="1"/>
  <c r="F7" i="11"/>
  <c r="N6" i="11"/>
  <c r="L6" i="11"/>
  <c r="H6" i="11"/>
  <c r="I6" i="11" s="1"/>
  <c r="M6" i="11" s="1"/>
  <c r="F6" i="11"/>
  <c r="N5" i="11"/>
  <c r="L5" i="11"/>
  <c r="N33" i="11" s="1"/>
  <c r="H5" i="11"/>
  <c r="I5" i="11" s="1"/>
  <c r="M5" i="11" s="1"/>
  <c r="F5" i="11"/>
  <c r="L5" i="10"/>
  <c r="N33" i="10" s="1"/>
  <c r="D30" i="3" s="1"/>
  <c r="L6" i="10"/>
  <c r="L7" i="10"/>
  <c r="L8" i="10"/>
  <c r="I15" i="10"/>
  <c r="M15" i="10" s="1"/>
  <c r="I23" i="10"/>
  <c r="M23" i="10" s="1"/>
  <c r="H5" i="10"/>
  <c r="I5" i="10" s="1"/>
  <c r="H6" i="10"/>
  <c r="I6" i="10" s="1"/>
  <c r="M6" i="10" s="1"/>
  <c r="H7" i="10"/>
  <c r="I7" i="10" s="1"/>
  <c r="M7" i="10" s="1"/>
  <c r="H8" i="10"/>
  <c r="I8" i="10" s="1"/>
  <c r="M8" i="10" s="1"/>
  <c r="H9" i="10"/>
  <c r="I9" i="10" s="1"/>
  <c r="M9" i="10" s="1"/>
  <c r="H10" i="10"/>
  <c r="I10" i="10" s="1"/>
  <c r="M10" i="10" s="1"/>
  <c r="H11" i="10"/>
  <c r="I11" i="10" s="1"/>
  <c r="M11" i="10" s="1"/>
  <c r="H12" i="10"/>
  <c r="I12" i="10" s="1"/>
  <c r="M12" i="10" s="1"/>
  <c r="H13" i="10"/>
  <c r="I13" i="10" s="1"/>
  <c r="M13" i="10" s="1"/>
  <c r="H14" i="10"/>
  <c r="I14" i="10" s="1"/>
  <c r="M14" i="10" s="1"/>
  <c r="H15" i="10"/>
  <c r="H16" i="10"/>
  <c r="I16" i="10" s="1"/>
  <c r="M16" i="10" s="1"/>
  <c r="H17" i="10"/>
  <c r="I17" i="10" s="1"/>
  <c r="M17" i="10" s="1"/>
  <c r="H18" i="10"/>
  <c r="I18" i="10" s="1"/>
  <c r="M18" i="10" s="1"/>
  <c r="H19" i="10"/>
  <c r="I19" i="10" s="1"/>
  <c r="M19" i="10" s="1"/>
  <c r="H20" i="10"/>
  <c r="I20" i="10" s="1"/>
  <c r="M20" i="10" s="1"/>
  <c r="H21" i="10"/>
  <c r="I21" i="10" s="1"/>
  <c r="M21" i="10" s="1"/>
  <c r="H22" i="10"/>
  <c r="I22" i="10" s="1"/>
  <c r="M22" i="10" s="1"/>
  <c r="H23" i="10"/>
  <c r="H24" i="10"/>
  <c r="I24" i="10" s="1"/>
  <c r="M24" i="10" s="1"/>
  <c r="H25" i="10"/>
  <c r="I25" i="10" s="1"/>
  <c r="M25" i="10" s="1"/>
  <c r="H26" i="10"/>
  <c r="I26" i="10" s="1"/>
  <c r="M26" i="10" s="1"/>
  <c r="H27" i="10"/>
  <c r="I27" i="10" s="1"/>
  <c r="M27" i="10" s="1"/>
  <c r="H28" i="10"/>
  <c r="I28" i="10" s="1"/>
  <c r="M28" i="10" s="1"/>
  <c r="H29" i="10"/>
  <c r="I29" i="10" s="1"/>
  <c r="M29" i="10" s="1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N8" i="10"/>
  <c r="N6" i="10"/>
  <c r="L29" i="10"/>
  <c r="N28" i="10"/>
  <c r="L28" i="10"/>
  <c r="N27" i="10"/>
  <c r="L27" i="10"/>
  <c r="N29" i="10" s="1"/>
  <c r="L26" i="10"/>
  <c r="N26" i="10" s="1"/>
  <c r="L25" i="10"/>
  <c r="N25" i="10"/>
  <c r="L24" i="10"/>
  <c r="N23" i="10"/>
  <c r="L23" i="10"/>
  <c r="N24" i="10"/>
  <c r="L22" i="10"/>
  <c r="N22" i="10"/>
  <c r="L21" i="10"/>
  <c r="N20" i="10"/>
  <c r="L20" i="10"/>
  <c r="N19" i="10"/>
  <c r="L19" i="10"/>
  <c r="N21" i="10"/>
  <c r="L18" i="10"/>
  <c r="N18" i="10" s="1"/>
  <c r="L17" i="10"/>
  <c r="N17" i="10" s="1"/>
  <c r="L16" i="10"/>
  <c r="N15" i="10"/>
  <c r="L15" i="10"/>
  <c r="N14" i="10"/>
  <c r="L14" i="10"/>
  <c r="N13" i="10"/>
  <c r="L13" i="10"/>
  <c r="N16" i="10" s="1"/>
  <c r="L12" i="10"/>
  <c r="N11" i="10"/>
  <c r="L11" i="10"/>
  <c r="N12" i="10" s="1"/>
  <c r="L10" i="10"/>
  <c r="N10" i="10"/>
  <c r="L9" i="10"/>
  <c r="N9" i="10"/>
  <c r="N7" i="10"/>
  <c r="L9" i="9"/>
  <c r="N33" i="9" s="1"/>
  <c r="N8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N6" i="9"/>
  <c r="N7" i="9"/>
  <c r="N12" i="9"/>
  <c r="N14" i="9"/>
  <c r="N15" i="9"/>
  <c r="N16" i="9"/>
  <c r="N20" i="9"/>
  <c r="N21" i="9"/>
  <c r="N24" i="9"/>
  <c r="N28" i="9"/>
  <c r="N29" i="9"/>
  <c r="D31" i="3" l="1"/>
  <c r="N32" i="13"/>
  <c r="D8" i="3" s="1"/>
  <c r="N32" i="11"/>
  <c r="D6" i="3" s="1"/>
  <c r="N32" i="12"/>
  <c r="D7" i="3" s="1"/>
  <c r="M5" i="10"/>
  <c r="N5" i="10" s="1"/>
  <c r="N32" i="10" s="1"/>
  <c r="D5" i="3" s="1"/>
  <c r="H6" i="9" l="1"/>
  <c r="I6" i="9" s="1"/>
  <c r="M6" i="9" s="1"/>
  <c r="H7" i="9"/>
  <c r="I7" i="9" s="1"/>
  <c r="H8" i="9"/>
  <c r="I8" i="9" s="1"/>
  <c r="H9" i="9"/>
  <c r="I9" i="9" s="1"/>
  <c r="H10" i="9"/>
  <c r="I10" i="9" s="1"/>
  <c r="M10" i="9" s="1"/>
  <c r="N10" i="9" s="1"/>
  <c r="H11" i="9"/>
  <c r="I11" i="9" s="1"/>
  <c r="H12" i="9"/>
  <c r="I12" i="9" s="1"/>
  <c r="H13" i="9"/>
  <c r="I13" i="9" s="1"/>
  <c r="M13" i="9" s="1"/>
  <c r="H14" i="9"/>
  <c r="I14" i="9" s="1"/>
  <c r="M14" i="9" s="1"/>
  <c r="H15" i="9"/>
  <c r="I15" i="9" s="1"/>
  <c r="H16" i="9"/>
  <c r="I16" i="9" s="1"/>
  <c r="H17" i="9"/>
  <c r="I17" i="9" s="1"/>
  <c r="H18" i="9"/>
  <c r="I18" i="9" s="1"/>
  <c r="M18" i="9" s="1"/>
  <c r="H19" i="9"/>
  <c r="I19" i="9" s="1"/>
  <c r="H20" i="9"/>
  <c r="I20" i="9" s="1"/>
  <c r="H21" i="9"/>
  <c r="I21" i="9" s="1"/>
  <c r="M21" i="9" s="1"/>
  <c r="H22" i="9"/>
  <c r="I22" i="9" s="1"/>
  <c r="M22" i="9" s="1"/>
  <c r="H23" i="9"/>
  <c r="I23" i="9" s="1"/>
  <c r="H24" i="9"/>
  <c r="I24" i="9" s="1"/>
  <c r="H25" i="9"/>
  <c r="I25" i="9" s="1"/>
  <c r="H26" i="9"/>
  <c r="I26" i="9" s="1"/>
  <c r="M26" i="9" s="1"/>
  <c r="N26" i="9" s="1"/>
  <c r="H27" i="9"/>
  <c r="I27" i="9" s="1"/>
  <c r="H28" i="9"/>
  <c r="I28" i="9" s="1"/>
  <c r="H29" i="9"/>
  <c r="I29" i="9" s="1"/>
  <c r="M29" i="9" s="1"/>
  <c r="H30" i="9"/>
  <c r="I30" i="9" s="1"/>
  <c r="M30" i="9" s="1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E8" i="6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K6" i="8"/>
  <c r="H23" i="8"/>
  <c r="H24" i="8"/>
  <c r="H25" i="8"/>
  <c r="H26" i="8"/>
  <c r="H27" i="8"/>
  <c r="H28" i="8"/>
  <c r="H29" i="8"/>
  <c r="G23" i="8"/>
  <c r="G24" i="8"/>
  <c r="G25" i="8"/>
  <c r="G26" i="8"/>
  <c r="G27" i="8"/>
  <c r="G28" i="8"/>
  <c r="G29" i="8"/>
  <c r="E6" i="8"/>
  <c r="G6" i="8" s="1"/>
  <c r="H6" i="8" s="1"/>
  <c r="E7" i="8"/>
  <c r="G7" i="8" s="1"/>
  <c r="H7" i="8" s="1"/>
  <c r="E8" i="8"/>
  <c r="G8" i="8" s="1"/>
  <c r="H8" i="8" s="1"/>
  <c r="E9" i="8"/>
  <c r="G9" i="8" s="1"/>
  <c r="H9" i="8" s="1"/>
  <c r="E10" i="8"/>
  <c r="G10" i="8" s="1"/>
  <c r="H10" i="8" s="1"/>
  <c r="E11" i="8"/>
  <c r="G11" i="8" s="1"/>
  <c r="H11" i="8" s="1"/>
  <c r="E12" i="8"/>
  <c r="G12" i="8" s="1"/>
  <c r="H12" i="8" s="1"/>
  <c r="E13" i="8"/>
  <c r="G13" i="8" s="1"/>
  <c r="H13" i="8" s="1"/>
  <c r="E14" i="8"/>
  <c r="G14" i="8" s="1"/>
  <c r="H14" i="8" s="1"/>
  <c r="E15" i="8"/>
  <c r="G15" i="8" s="1"/>
  <c r="H15" i="8" s="1"/>
  <c r="E16" i="8"/>
  <c r="G16" i="8" s="1"/>
  <c r="H16" i="8" s="1"/>
  <c r="E17" i="8"/>
  <c r="G17" i="8" s="1"/>
  <c r="H17" i="8" s="1"/>
  <c r="E18" i="8"/>
  <c r="G18" i="8" s="1"/>
  <c r="H18" i="8" s="1"/>
  <c r="E19" i="8"/>
  <c r="G19" i="8" s="1"/>
  <c r="H19" i="8" s="1"/>
  <c r="E20" i="8"/>
  <c r="G20" i="8" s="1"/>
  <c r="H20" i="8" s="1"/>
  <c r="E21" i="8"/>
  <c r="G21" i="8" s="1"/>
  <c r="H21" i="8" s="1"/>
  <c r="E22" i="8"/>
  <c r="G22" i="8" s="1"/>
  <c r="H22" i="8" s="1"/>
  <c r="E23" i="8"/>
  <c r="E24" i="8"/>
  <c r="E25" i="8"/>
  <c r="E26" i="8"/>
  <c r="E27" i="8"/>
  <c r="E28" i="8"/>
  <c r="E29" i="8"/>
  <c r="E12" i="7"/>
  <c r="G6" i="6"/>
  <c r="G7" i="6"/>
  <c r="I7" i="6" s="1"/>
  <c r="G8" i="6"/>
  <c r="I8" i="6" s="1"/>
  <c r="G9" i="6"/>
  <c r="I9" i="6" s="1"/>
  <c r="G10" i="6"/>
  <c r="I10" i="6" s="1"/>
  <c r="G11" i="6"/>
  <c r="I11" i="6" s="1"/>
  <c r="G12" i="6"/>
  <c r="I12" i="6" s="1"/>
  <c r="G13" i="6"/>
  <c r="G14" i="6"/>
  <c r="G15" i="6"/>
  <c r="I15" i="6" s="1"/>
  <c r="G16" i="6"/>
  <c r="I16" i="6" s="1"/>
  <c r="G17" i="6"/>
  <c r="I17" i="6" s="1"/>
  <c r="G18" i="6"/>
  <c r="I18" i="6" s="1"/>
  <c r="G19" i="6"/>
  <c r="G20" i="6"/>
  <c r="I20" i="6" s="1"/>
  <c r="G21" i="6"/>
  <c r="G22" i="6"/>
  <c r="I22" i="6" s="1"/>
  <c r="G23" i="6"/>
  <c r="G24" i="6"/>
  <c r="I24" i="6" s="1"/>
  <c r="G25" i="6"/>
  <c r="I25" i="6" s="1"/>
  <c r="G26" i="6"/>
  <c r="I26" i="6" s="1"/>
  <c r="G27" i="6"/>
  <c r="I27" i="6" s="1"/>
  <c r="G28" i="6"/>
  <c r="E6" i="6"/>
  <c r="E7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I6" i="6"/>
  <c r="I13" i="6"/>
  <c r="I14" i="6"/>
  <c r="I19" i="6"/>
  <c r="I21" i="6"/>
  <c r="I23" i="6"/>
  <c r="E31" i="2"/>
  <c r="G21" i="2"/>
  <c r="G14" i="2"/>
  <c r="G6" i="2"/>
  <c r="M12" i="9" l="1"/>
  <c r="N13" i="9" s="1"/>
  <c r="M27" i="9"/>
  <c r="N27" i="9" s="1"/>
  <c r="M19" i="9"/>
  <c r="M11" i="9"/>
  <c r="N11" i="9" s="1"/>
  <c r="N18" i="9"/>
  <c r="M25" i="9"/>
  <c r="M17" i="9"/>
  <c r="M9" i="9"/>
  <c r="M24" i="9"/>
  <c r="M16" i="9"/>
  <c r="M8" i="9"/>
  <c r="M28" i="9"/>
  <c r="N30" i="9" s="1"/>
  <c r="M20" i="9"/>
  <c r="N22" i="9" s="1"/>
  <c r="M23" i="9"/>
  <c r="M15" i="9"/>
  <c r="M7" i="9"/>
  <c r="I30" i="6"/>
  <c r="E32" i="2" s="1"/>
  <c r="E33" i="2" s="1"/>
  <c r="N17" i="9" l="1"/>
  <c r="N9" i="9"/>
  <c r="N23" i="9"/>
  <c r="N19" i="9"/>
  <c r="N25" i="9"/>
  <c r="N32" i="9" l="1"/>
  <c r="D4" i="3" s="1"/>
  <c r="D11" i="3" s="1"/>
  <c r="D10" i="3" s="1"/>
</calcChain>
</file>

<file path=xl/sharedStrings.xml><?xml version="1.0" encoding="utf-8"?>
<sst xmlns="http://schemas.openxmlformats.org/spreadsheetml/2006/main" count="348" uniqueCount="143">
  <si>
    <t>Manutenção de Equipamentos</t>
  </si>
  <si>
    <t>Impostos</t>
  </si>
  <si>
    <t>Limpeza</t>
  </si>
  <si>
    <t>Aluguel Loja</t>
  </si>
  <si>
    <t>Seguros</t>
  </si>
  <si>
    <t>Outros</t>
  </si>
  <si>
    <t>Receita Líquida</t>
  </si>
  <si>
    <t>Lucro Operacional Bruto</t>
  </si>
  <si>
    <t>Faturamento Bruto</t>
  </si>
  <si>
    <t>Lucro Líquido</t>
  </si>
  <si>
    <t>Salários</t>
  </si>
  <si>
    <t>Bonificações</t>
  </si>
  <si>
    <t>Vales (Refeição, Transporte)</t>
  </si>
  <si>
    <t>Informática</t>
  </si>
  <si>
    <t>Despesas Funcionamento (água, luz, gás, telefone, etc.)</t>
  </si>
  <si>
    <t>Serviços Terceirizados</t>
  </si>
  <si>
    <t>Escritório Contábil</t>
  </si>
  <si>
    <t>Escritório Advocacia</t>
  </si>
  <si>
    <t>Entregas</t>
  </si>
  <si>
    <t>Marketing</t>
  </si>
  <si>
    <t>Arroz</t>
  </si>
  <si>
    <t>Feijão</t>
  </si>
  <si>
    <t>Tomate</t>
  </si>
  <si>
    <t>Alface</t>
  </si>
  <si>
    <t>Carne</t>
  </si>
  <si>
    <t>Frango</t>
  </si>
  <si>
    <t>Peixe</t>
  </si>
  <si>
    <t>Queijo</t>
  </si>
  <si>
    <t>Vinho</t>
  </si>
  <si>
    <t>Suco</t>
  </si>
  <si>
    <t>Cenoura</t>
  </si>
  <si>
    <t>Vagem</t>
  </si>
  <si>
    <t>Amendoim</t>
  </si>
  <si>
    <t>Cerveja</t>
  </si>
  <si>
    <t>Vodka</t>
  </si>
  <si>
    <t>Couve</t>
  </si>
  <si>
    <t>Caixa de Fósforo</t>
  </si>
  <si>
    <t>Bala</t>
  </si>
  <si>
    <t>Chocolate</t>
  </si>
  <si>
    <t>Cigarro</t>
  </si>
  <si>
    <t>Barra de Cereal</t>
  </si>
  <si>
    <t>Despesas de funcionamento</t>
  </si>
  <si>
    <t>Descrição de Despesa</t>
  </si>
  <si>
    <t>Data</t>
  </si>
  <si>
    <t>Observação</t>
  </si>
  <si>
    <t>Valor intermediário</t>
  </si>
  <si>
    <t>Valor final</t>
  </si>
  <si>
    <t>Funcionários</t>
  </si>
  <si>
    <t>Água</t>
  </si>
  <si>
    <t>Energia</t>
  </si>
  <si>
    <t>Gás</t>
  </si>
  <si>
    <t>Telefone</t>
  </si>
  <si>
    <t>Férias, Licença Maternidade</t>
  </si>
  <si>
    <t xml:space="preserve">                                                                                                                Despesas</t>
  </si>
  <si>
    <t xml:space="preserve">                                                                                                                Compras de Mercadorias</t>
  </si>
  <si>
    <t>Fornecedor</t>
  </si>
  <si>
    <t>Mercadoria</t>
  </si>
  <si>
    <t>Medida</t>
  </si>
  <si>
    <t>Quantidade</t>
  </si>
  <si>
    <t>Preço unitário</t>
  </si>
  <si>
    <t>Desconto</t>
  </si>
  <si>
    <t>Valor Pago</t>
  </si>
  <si>
    <t>Produtos</t>
  </si>
  <si>
    <t>Preço de Compra Unitário</t>
  </si>
  <si>
    <t>Preço de Venda Unitário</t>
  </si>
  <si>
    <t>Unidade</t>
  </si>
  <si>
    <t>Pacote</t>
  </si>
  <si>
    <t>Kg</t>
  </si>
  <si>
    <t>Leite</t>
  </si>
  <si>
    <t>Litro</t>
  </si>
  <si>
    <t>Lata</t>
  </si>
  <si>
    <t>Barra</t>
  </si>
  <si>
    <t>Maço</t>
  </si>
  <si>
    <t>Pão de Forma</t>
  </si>
  <si>
    <t>Refrigerante</t>
  </si>
  <si>
    <t>Garrafa</t>
  </si>
  <si>
    <t>Fornecedor de Verduras</t>
  </si>
  <si>
    <t>Fornecedor de Grãos e Sementes</t>
  </si>
  <si>
    <t>Fornecedor de Bebidas</t>
  </si>
  <si>
    <t>Fornecedor de Cigarro</t>
  </si>
  <si>
    <t>Fornecedor de Doces</t>
  </si>
  <si>
    <t>Padaria</t>
  </si>
  <si>
    <t>Fornecedor de Frango</t>
  </si>
  <si>
    <t>Fornecedor de Peixe</t>
  </si>
  <si>
    <t>Fornecedor de Legumes</t>
  </si>
  <si>
    <t>Fornecedor de Carne</t>
  </si>
  <si>
    <t xml:space="preserve">Total de compras de mercadorias </t>
  </si>
  <si>
    <t xml:space="preserve">Total de Compras de Mercadorias </t>
  </si>
  <si>
    <t>Total de Despesas</t>
  </si>
  <si>
    <t>Total de Despesas de Funcionamento</t>
  </si>
  <si>
    <t xml:space="preserve">                                                                                                               Investimentos</t>
  </si>
  <si>
    <t>Investimento</t>
  </si>
  <si>
    <t>Descrição</t>
  </si>
  <si>
    <t>Valor</t>
  </si>
  <si>
    <t>Investimento Inicial</t>
  </si>
  <si>
    <t>Equipamentos</t>
  </si>
  <si>
    <t>Estrutura</t>
  </si>
  <si>
    <t>Total de investimentos iniciais</t>
  </si>
  <si>
    <t xml:space="preserve">                                                                                                               Estoque</t>
  </si>
  <si>
    <t>Produto</t>
  </si>
  <si>
    <t>Data da Última Compra</t>
  </si>
  <si>
    <t>Quantidade Inicial</t>
  </si>
  <si>
    <t>Quantidade Comprada</t>
  </si>
  <si>
    <t>Quantidade Vendida</t>
  </si>
  <si>
    <t>Quantidade Atual</t>
  </si>
  <si>
    <t>Situação</t>
  </si>
  <si>
    <t xml:space="preserve">                                                                                                               Vendas Semana 1</t>
  </si>
  <si>
    <t>idvenda</t>
  </si>
  <si>
    <t>Val Unitário</t>
  </si>
  <si>
    <t>Subtotal</t>
  </si>
  <si>
    <t>Entrega</t>
  </si>
  <si>
    <t xml:space="preserve">            Regiões de entrega                                                                                                                    </t>
  </si>
  <si>
    <t>Centro</t>
  </si>
  <si>
    <t>Loja</t>
  </si>
  <si>
    <t>Zona Norte</t>
  </si>
  <si>
    <t>Zona Oeste</t>
  </si>
  <si>
    <t>Zona Sul</t>
  </si>
  <si>
    <t>Valor de Entrega</t>
  </si>
  <si>
    <t>Total</t>
  </si>
  <si>
    <t>Total Para o Cliente</t>
  </si>
  <si>
    <t>Receita de Entregas</t>
  </si>
  <si>
    <t>Receita de Vendas</t>
  </si>
  <si>
    <t xml:space="preserve">                                                                                                               Vendas Semana 2</t>
  </si>
  <si>
    <t xml:space="preserve">                                                                                                               Vendas Semana 3</t>
  </si>
  <si>
    <t xml:space="preserve">                                                                                                               Vendas Semana 4</t>
  </si>
  <si>
    <t>Ticket Médio</t>
  </si>
  <si>
    <t>Total de Vendas Semana 1</t>
  </si>
  <si>
    <t>Total de Vendas Semana 2</t>
  </si>
  <si>
    <t>Total de Vendas Semana 3</t>
  </si>
  <si>
    <t>Total de Vendas Semana 4</t>
  </si>
  <si>
    <t>Total de Vendas Semana 5</t>
  </si>
  <si>
    <t xml:space="preserve">                                                                                                               Vendas Semana 5</t>
  </si>
  <si>
    <t>Total de Vendas Julho</t>
  </si>
  <si>
    <t xml:space="preserve">                                                                                                              Receita de Vendas Mensal </t>
  </si>
  <si>
    <t>Vendas por Entrega (%)</t>
  </si>
  <si>
    <t>Vendas por Entrega (R$)</t>
  </si>
  <si>
    <t>Receita de Entregas (R$)</t>
  </si>
  <si>
    <t>N° de vendas</t>
  </si>
  <si>
    <t>N° de Vendas</t>
  </si>
  <si>
    <t>Entregas Mensais</t>
  </si>
  <si>
    <t>Ticket Médio de Entregas</t>
  </si>
  <si>
    <t>=SOMASE(;"&gt;0";Tabela5[Total Cliente])+SOMASE(Tabela58[Valor da Entrega];"&gt;0";Tabela58[Total Cliente])+SOMASE(Tabela589[Valor da Entrega];"&gt;0";Tabela589[Total Cliente])+SOMASE(Tabela58910[Valor da Entrega];"&gt;0";Tabela58910[Total Cliente])+SOMASE(Tabela5891011[Valor da Entrega];"&gt;0";Tabela5891011[Total Cliente])</t>
  </si>
  <si>
    <t>Entregas por Região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</si>
</sst>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5" formatCode="&quot;R$&quot;\ #,##0.00"/>
    <numFmt numFmtId="168" formatCode="_-&quot;R$&quot;\ * #,##0.00_-;\-&quot;R$&quot;\ * #,##0.00_-;_-&quot;R$&quot;\ 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9" tint="-0.249977111117893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b/>
      <sz val="14"/>
      <color theme="9"/>
      <name val="Calibri"/>
      <family val="2"/>
      <scheme val="minor"/>
    </font>
    <font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theme="9" tint="0.39994506668294322"/>
      </left>
      <right/>
      <top style="thick">
        <color theme="9" tint="0.39994506668294322"/>
      </top>
      <bottom/>
      <diagonal/>
    </border>
    <border>
      <left/>
      <right/>
      <top style="thick">
        <color theme="9" tint="0.39994506668294322"/>
      </top>
      <bottom/>
      <diagonal/>
    </border>
    <border>
      <left/>
      <right style="thick">
        <color theme="9" tint="0.39994506668294322"/>
      </right>
      <top style="thick">
        <color theme="9" tint="0.39994506668294322"/>
      </top>
      <bottom/>
      <diagonal/>
    </border>
    <border>
      <left style="thick">
        <color theme="9" tint="0.39994506668294322"/>
      </left>
      <right/>
      <top/>
      <bottom/>
      <diagonal/>
    </border>
    <border>
      <left/>
      <right style="thick">
        <color theme="9" tint="0.39994506668294322"/>
      </right>
      <top/>
      <bottom/>
      <diagonal/>
    </border>
    <border>
      <left style="thick">
        <color theme="9" tint="0.39994506668294322"/>
      </left>
      <right/>
      <top/>
      <bottom style="thick">
        <color theme="9" tint="0.39994506668294322"/>
      </bottom>
      <diagonal/>
    </border>
    <border>
      <left/>
      <right/>
      <top/>
      <bottom style="thick">
        <color theme="9" tint="0.39994506668294322"/>
      </bottom>
      <diagonal/>
    </border>
    <border>
      <left/>
      <right style="thick">
        <color theme="9" tint="0.39994506668294322"/>
      </right>
      <top/>
      <bottom style="thick">
        <color theme="9" tint="0.39994506668294322"/>
      </bottom>
      <diagonal/>
    </border>
    <border>
      <left/>
      <right/>
      <top style="thin">
        <color theme="9" tint="0.39997558519241921"/>
      </top>
      <bottom/>
      <diagonal/>
    </border>
    <border>
      <left style="thick">
        <color theme="9" tint="0.39991454817346722"/>
      </left>
      <right/>
      <top style="thick">
        <color theme="9" tint="0.39991454817346722"/>
      </top>
      <bottom/>
      <diagonal/>
    </border>
    <border>
      <left/>
      <right/>
      <top style="thick">
        <color theme="9" tint="0.39991454817346722"/>
      </top>
      <bottom/>
      <diagonal/>
    </border>
    <border>
      <left/>
      <right style="thick">
        <color theme="9" tint="0.39991454817346722"/>
      </right>
      <top style="thick">
        <color theme="9" tint="0.39991454817346722"/>
      </top>
      <bottom/>
      <diagonal/>
    </border>
    <border>
      <left style="thick">
        <color theme="9" tint="0.39991454817346722"/>
      </left>
      <right/>
      <top/>
      <bottom/>
      <diagonal/>
    </border>
    <border>
      <left/>
      <right style="thick">
        <color theme="9" tint="0.39991454817346722"/>
      </right>
      <top/>
      <bottom/>
      <diagonal/>
    </border>
    <border>
      <left style="thick">
        <color theme="9" tint="0.39991454817346722"/>
      </left>
      <right/>
      <top/>
      <bottom style="thick">
        <color theme="9" tint="0.39991454817346722"/>
      </bottom>
      <diagonal/>
    </border>
    <border>
      <left/>
      <right/>
      <top/>
      <bottom style="thick">
        <color theme="9" tint="0.39991454817346722"/>
      </bottom>
      <diagonal/>
    </border>
    <border>
      <left/>
      <right style="thick">
        <color theme="9" tint="0.39991454817346722"/>
      </right>
      <top/>
      <bottom style="thick">
        <color theme="9" tint="0.39991454817346722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79">
    <xf numFmtId="0" fontId="0" fillId="0" borderId="0" xfId="0"/>
    <xf numFmtId="165" fontId="0" fillId="0" borderId="0" xfId="0" applyNumberFormat="1"/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14" fontId="0" fillId="0" borderId="0" xfId="0" applyNumberFormat="1"/>
    <xf numFmtId="44" fontId="0" fillId="0" borderId="0" xfId="0" applyNumberFormat="1"/>
    <xf numFmtId="0" fontId="0" fillId="0" borderId="0" xfId="0"/>
    <xf numFmtId="168" fontId="0" fillId="0" borderId="0" xfId="3" applyFont="1"/>
    <xf numFmtId="0" fontId="2" fillId="0" borderId="0" xfId="0" applyFont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14" fontId="0" fillId="0" borderId="0" xfId="0" applyNumberFormat="1"/>
    <xf numFmtId="0" fontId="0" fillId="0" borderId="0" xfId="0" applyBorder="1"/>
    <xf numFmtId="0" fontId="0" fillId="0" borderId="0" xfId="0" applyAlignment="1">
      <alignment wrapText="1"/>
    </xf>
    <xf numFmtId="9" fontId="0" fillId="0" borderId="0" xfId="0" applyNumberFormat="1"/>
    <xf numFmtId="0" fontId="5" fillId="0" borderId="0" xfId="0" applyFont="1" applyBorder="1"/>
    <xf numFmtId="44" fontId="5" fillId="0" borderId="0" xfId="0" applyNumberFormat="1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44" fontId="5" fillId="0" borderId="0" xfId="0" applyNumberFormat="1" applyFont="1" applyFill="1" applyAlignment="1">
      <alignment vertical="center"/>
    </xf>
    <xf numFmtId="0" fontId="6" fillId="0" borderId="2" xfId="0" applyFont="1" applyBorder="1" applyAlignment="1">
      <alignment horizontal="center"/>
    </xf>
    <xf numFmtId="165" fontId="6" fillId="0" borderId="2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4" fontId="0" fillId="0" borderId="0" xfId="1" applyFont="1"/>
    <xf numFmtId="0" fontId="8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9" fontId="0" fillId="0" borderId="0" xfId="2" applyFont="1"/>
    <xf numFmtId="0" fontId="0" fillId="0" borderId="0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0" fontId="8" fillId="0" borderId="4" xfId="0" applyFont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8" fillId="0" borderId="2" xfId="0" applyFont="1" applyBorder="1" applyAlignment="1"/>
    <xf numFmtId="0" fontId="8" fillId="0" borderId="0" xfId="0" applyFont="1" applyBorder="1"/>
    <xf numFmtId="44" fontId="8" fillId="0" borderId="0" xfId="0" applyNumberFormat="1" applyFont="1" applyBorder="1"/>
    <xf numFmtId="0" fontId="9" fillId="0" borderId="0" xfId="0" applyFont="1" applyBorder="1"/>
    <xf numFmtId="44" fontId="9" fillId="0" borderId="0" xfId="0" applyNumberFormat="1" applyFont="1" applyBorder="1"/>
    <xf numFmtId="0" fontId="10" fillId="0" borderId="0" xfId="0" applyFont="1" applyBorder="1"/>
    <xf numFmtId="44" fontId="10" fillId="0" borderId="0" xfId="0" applyNumberFormat="1" applyFont="1" applyBorder="1"/>
    <xf numFmtId="0" fontId="0" fillId="0" borderId="5" xfId="0" applyBorder="1"/>
    <xf numFmtId="0" fontId="9" fillId="0" borderId="6" xfId="0" applyFont="1" applyBorder="1"/>
    <xf numFmtId="44" fontId="9" fillId="0" borderId="6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quotePrefix="1"/>
    <xf numFmtId="0" fontId="8" fillId="0" borderId="3" xfId="0" applyFont="1" applyBorder="1" applyAlignment="1">
      <alignment horizontal="center"/>
    </xf>
    <xf numFmtId="0" fontId="8" fillId="0" borderId="3" xfId="0" applyFont="1" applyBorder="1" applyAlignment="1"/>
    <xf numFmtId="0" fontId="8" fillId="0" borderId="3" xfId="0" applyFont="1" applyBorder="1"/>
    <xf numFmtId="44" fontId="8" fillId="0" borderId="3" xfId="0" applyNumberFormat="1" applyFont="1" applyBorder="1"/>
    <xf numFmtId="14" fontId="0" fillId="0" borderId="0" xfId="0" applyNumberFormat="1" applyFont="1" applyFill="1" applyBorder="1" applyAlignment="1">
      <alignment horizontal="center" vertical="center"/>
    </xf>
    <xf numFmtId="14" fontId="0" fillId="0" borderId="13" xfId="0" applyNumberFormat="1" applyFont="1" applyFill="1" applyBorder="1" applyAlignment="1">
      <alignment horizontal="center" vertical="center"/>
    </xf>
    <xf numFmtId="0" fontId="12" fillId="0" borderId="0" xfId="0" quotePrefix="1" applyFont="1" applyBorder="1"/>
    <xf numFmtId="0" fontId="11" fillId="0" borderId="0" xfId="0" applyFont="1" applyBorder="1"/>
    <xf numFmtId="9" fontId="11" fillId="0" borderId="0" xfId="2" applyFont="1" applyBorder="1"/>
    <xf numFmtId="44" fontId="11" fillId="0" borderId="0" xfId="0" applyNumberFormat="1" applyFont="1" applyBorder="1"/>
    <xf numFmtId="0" fontId="12" fillId="0" borderId="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4">
    <cellStyle name="Moeda" xfId="1" builtinId="4"/>
    <cellStyle name="Moeda 2" xfId="3" xr:uid="{E396B2B4-A383-4B4F-AB4E-11C2CA4AE5AA}"/>
    <cellStyle name="Normal" xfId="0" builtinId="0"/>
    <cellStyle name="Porcentagem" xfId="2" builtinId="5"/>
  </cellStyles>
  <dxfs count="91">
    <dxf>
      <fill>
        <patternFill>
          <bgColor rgb="FFFBA7A7"/>
        </patternFill>
      </fill>
    </dxf>
    <dxf>
      <fill>
        <patternFill>
          <bgColor theme="7" tint="0.59996337778862885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dd/mm/yyyy"/>
    </dxf>
    <dxf>
      <alignment horizontal="general" vertical="bottom" textRotation="0" wrapText="1" indent="0" justifyLastLine="0" shrinkToFit="0" readingOrder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9" formatCode="dd/mm/yyyy"/>
    </dxf>
    <dxf>
      <numFmt numFmtId="165" formatCode="&quot;R$&quot;\ #,##0.00"/>
    </dxf>
    <dxf>
      <numFmt numFmtId="165" formatCode="&quot;R$&quot;\ #,##0.00"/>
    </dxf>
  </dxfs>
  <tableStyles count="0" defaultTableStyle="TableStyleMedium2" defaultPivotStyle="PivotStyleLight16"/>
  <colors>
    <mruColors>
      <color rgb="FFFB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Vendas!$C$4:$C$9</c:f>
              <c:strCache>
                <c:ptCount val="6"/>
                <c:pt idx="0">
                  <c:v>Total de Vendas Semana 1</c:v>
                </c:pt>
                <c:pt idx="1">
                  <c:v>Total de Vendas Semana 2</c:v>
                </c:pt>
                <c:pt idx="2">
                  <c:v>Total de Vendas Semana 3</c:v>
                </c:pt>
                <c:pt idx="3">
                  <c:v>Total de Vendas Semana 4</c:v>
                </c:pt>
                <c:pt idx="4">
                  <c:v>Total de Vendas Semana 5</c:v>
                </c:pt>
                <c:pt idx="5">
                  <c:v>N° de vendas</c:v>
                </c:pt>
              </c:strCache>
            </c:strRef>
          </c:cat>
          <c:val>
            <c:numRef>
              <c:f>Vendas!$D$4:$D$9</c:f>
              <c:numCache>
                <c:formatCode>_("R$"* #,##0.00_);_("R$"* \(#,##0.00\);_("R$"* "-"??_);_(@_)</c:formatCode>
                <c:ptCount val="6"/>
                <c:pt idx="0">
                  <c:v>662.41199999999992</c:v>
                </c:pt>
                <c:pt idx="1">
                  <c:v>62.9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General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C-458D-B8CC-EF2BAAA7C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163856"/>
        <c:axId val="705164184"/>
      </c:barChart>
      <c:catAx>
        <c:axId val="70516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64184"/>
        <c:crosses val="autoZero"/>
        <c:auto val="1"/>
        <c:lblAlgn val="ctr"/>
        <c:lblOffset val="100"/>
        <c:noMultiLvlLbl val="0"/>
      </c:catAx>
      <c:valAx>
        <c:axId val="70516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6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170-4443-9AE2-D57D27B940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1"/>
              <c:layout>
                <c:manualLayout>
                  <c:x val="2.6195133627164051E-3"/>
                  <c:y val="-6.598002756251790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170-4443-9AE2-D57D27B940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Vendas!$C$39:$C$43</c:f>
              <c:strCache>
                <c:ptCount val="5"/>
                <c:pt idx="0">
                  <c:v>Loja</c:v>
                </c:pt>
                <c:pt idx="1">
                  <c:v>Centro</c:v>
                </c:pt>
                <c:pt idx="2">
                  <c:v>Zona Oeste</c:v>
                </c:pt>
                <c:pt idx="3">
                  <c:v>Zona Sul</c:v>
                </c:pt>
                <c:pt idx="4">
                  <c:v>Zona Norte</c:v>
                </c:pt>
              </c:strCache>
            </c:strRef>
          </c:cat>
          <c:val>
            <c:numRef>
              <c:f>Vendas!$D$39:$D$43</c:f>
              <c:numCache>
                <c:formatCode>General</c:formatCode>
                <c:ptCount val="5"/>
                <c:pt idx="0">
                  <c:v>7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0-4443-9AE2-D57D27B940C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Estoque!A1"/><Relationship Id="rId2" Type="http://schemas.openxmlformats.org/officeDocument/2006/relationships/hyperlink" Target="#Resultados!A1"/><Relationship Id="rId1" Type="http://schemas.openxmlformats.org/officeDocument/2006/relationships/hyperlink" Target="#Despesas!A1"/><Relationship Id="rId6" Type="http://schemas.openxmlformats.org/officeDocument/2006/relationships/hyperlink" Target="#Vendas!A1"/><Relationship Id="rId5" Type="http://schemas.openxmlformats.org/officeDocument/2006/relationships/hyperlink" Target="#Compras!A1"/><Relationship Id="rId4" Type="http://schemas.openxmlformats.org/officeDocument/2006/relationships/hyperlink" Target="#Investimentos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518160</xdr:colOff>
      <xdr:row>10</xdr:row>
      <xdr:rowOff>53340</xdr:rowOff>
    </xdr:from>
    <xdr:to>
      <xdr:col>4</xdr:col>
      <xdr:colOff>167640</xdr:colOff>
      <xdr:row>12</xdr:row>
      <xdr:rowOff>121920</xdr:rowOff>
    </xdr:to>
    <xdr:sp macro="" textlink="">
      <xdr:nvSpPr>
        <xdr:cNvPr id="9" name="Retângulo: Cantos Arredondados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7AB2E6-4F4B-42A5-8460-EBB117C2800A}"/>
            </a:ext>
          </a:extLst>
        </xdr:cNvPr>
        <xdr:cNvSpPr/>
      </xdr:nvSpPr>
      <xdr:spPr>
        <a:xfrm>
          <a:off x="1127760" y="1882140"/>
          <a:ext cx="1478280" cy="434340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Despesas</a:t>
          </a:r>
        </a:p>
      </xdr:txBody>
    </xdr:sp>
    <xdr:clientData/>
  </xdr:twoCellAnchor>
  <xdr:twoCellAnchor>
    <xdr:from>
      <xdr:col>12</xdr:col>
      <xdr:colOff>175260</xdr:colOff>
      <xdr:row>10</xdr:row>
      <xdr:rowOff>60960</xdr:rowOff>
    </xdr:from>
    <xdr:to>
      <xdr:col>14</xdr:col>
      <xdr:colOff>434340</xdr:colOff>
      <xdr:row>12</xdr:row>
      <xdr:rowOff>129540</xdr:rowOff>
    </xdr:to>
    <xdr:sp macro="" textlink="">
      <xdr:nvSpPr>
        <xdr:cNvPr id="10" name="Retângulo: Cantos Arredondados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8CFA8FF-4D37-4BFC-9B93-3165B4FA51E1}"/>
            </a:ext>
          </a:extLst>
        </xdr:cNvPr>
        <xdr:cNvSpPr/>
      </xdr:nvSpPr>
      <xdr:spPr>
        <a:xfrm>
          <a:off x="7490460" y="1889760"/>
          <a:ext cx="1478280" cy="434340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Resultados</a:t>
          </a:r>
        </a:p>
      </xdr:txBody>
    </xdr:sp>
    <xdr:clientData/>
  </xdr:twoCellAnchor>
  <xdr:twoCellAnchor>
    <xdr:from>
      <xdr:col>9</xdr:col>
      <xdr:colOff>411480</xdr:colOff>
      <xdr:row>10</xdr:row>
      <xdr:rowOff>60960</xdr:rowOff>
    </xdr:from>
    <xdr:to>
      <xdr:col>12</xdr:col>
      <xdr:colOff>60960</xdr:colOff>
      <xdr:row>12</xdr:row>
      <xdr:rowOff>129540</xdr:rowOff>
    </xdr:to>
    <xdr:sp macro="" textlink="">
      <xdr:nvSpPr>
        <xdr:cNvPr id="11" name="Retângulo: Cantos Arredondados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F5B88CE-9CF9-4EC5-AC0E-B9B91BDF260E}"/>
            </a:ext>
          </a:extLst>
        </xdr:cNvPr>
        <xdr:cNvSpPr/>
      </xdr:nvSpPr>
      <xdr:spPr>
        <a:xfrm>
          <a:off x="5897880" y="1889760"/>
          <a:ext cx="1478280" cy="434340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Estoque</a:t>
          </a:r>
        </a:p>
      </xdr:txBody>
    </xdr:sp>
    <xdr:clientData/>
  </xdr:twoCellAnchor>
  <xdr:twoCellAnchor>
    <xdr:from>
      <xdr:col>7</xdr:col>
      <xdr:colOff>38100</xdr:colOff>
      <xdr:row>10</xdr:row>
      <xdr:rowOff>68580</xdr:rowOff>
    </xdr:from>
    <xdr:to>
      <xdr:col>9</xdr:col>
      <xdr:colOff>297180</xdr:colOff>
      <xdr:row>12</xdr:row>
      <xdr:rowOff>137160</xdr:rowOff>
    </xdr:to>
    <xdr:sp macro="" textlink="">
      <xdr:nvSpPr>
        <xdr:cNvPr id="12" name="Retângulo: Cantos Arredondados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9B94FA7-EE1A-4452-AC37-5CC8CFB1C60C}"/>
            </a:ext>
          </a:extLst>
        </xdr:cNvPr>
        <xdr:cNvSpPr/>
      </xdr:nvSpPr>
      <xdr:spPr>
        <a:xfrm>
          <a:off x="4305300" y="1897380"/>
          <a:ext cx="1478280" cy="434340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Investimentos</a:t>
          </a:r>
        </a:p>
      </xdr:txBody>
    </xdr:sp>
    <xdr:clientData/>
  </xdr:twoCellAnchor>
  <xdr:twoCellAnchor>
    <xdr:from>
      <xdr:col>4</xdr:col>
      <xdr:colOff>281940</xdr:colOff>
      <xdr:row>10</xdr:row>
      <xdr:rowOff>53340</xdr:rowOff>
    </xdr:from>
    <xdr:to>
      <xdr:col>6</xdr:col>
      <xdr:colOff>541020</xdr:colOff>
      <xdr:row>12</xdr:row>
      <xdr:rowOff>121920</xdr:rowOff>
    </xdr:to>
    <xdr:sp macro="" textlink="">
      <xdr:nvSpPr>
        <xdr:cNvPr id="13" name="Retângulo: Cantos Arredondados 1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3EE9D09-0C03-444C-A2A4-9644BEF89080}"/>
            </a:ext>
          </a:extLst>
        </xdr:cNvPr>
        <xdr:cNvSpPr/>
      </xdr:nvSpPr>
      <xdr:spPr>
        <a:xfrm>
          <a:off x="2720340" y="1882140"/>
          <a:ext cx="1478280" cy="434340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Compras</a:t>
          </a:r>
        </a:p>
      </xdr:txBody>
    </xdr:sp>
    <xdr:clientData/>
  </xdr:twoCellAnchor>
  <xdr:twoCellAnchor>
    <xdr:from>
      <xdr:col>14</xdr:col>
      <xdr:colOff>548640</xdr:colOff>
      <xdr:row>10</xdr:row>
      <xdr:rowOff>53340</xdr:rowOff>
    </xdr:from>
    <xdr:to>
      <xdr:col>17</xdr:col>
      <xdr:colOff>198120</xdr:colOff>
      <xdr:row>12</xdr:row>
      <xdr:rowOff>121920</xdr:rowOff>
    </xdr:to>
    <xdr:sp macro="" textlink="">
      <xdr:nvSpPr>
        <xdr:cNvPr id="14" name="Retângulo: Cantos Arredondados 13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26F1873-7A6A-438A-93BD-BB74949D1C46}"/>
            </a:ext>
          </a:extLst>
        </xdr:cNvPr>
        <xdr:cNvSpPr/>
      </xdr:nvSpPr>
      <xdr:spPr>
        <a:xfrm>
          <a:off x="9083040" y="1882140"/>
          <a:ext cx="1478280" cy="434340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Vendas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91440</xdr:rowOff>
    </xdr:from>
    <xdr:to>
      <xdr:col>15</xdr:col>
      <xdr:colOff>304800</xdr:colOff>
      <xdr:row>22</xdr:row>
      <xdr:rowOff>148590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07CE7BB-93B8-4EDA-AD49-89810531E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36</xdr:row>
      <xdr:rowOff>129540</xdr:rowOff>
    </xdr:from>
    <xdr:to>
      <xdr:col>12</xdr:col>
      <xdr:colOff>53340</xdr:colOff>
      <xdr:row>47</xdr:row>
      <xdr:rowOff>129540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547A756-7029-4146-8B62-AC0A8F926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B28534-7D6C-460B-AA00-59A06966A75D}" name="Tabela1" displayName="Tabela1" ref="B4:G29" totalsRowShown="0">
  <autoFilter ref="B4:G29" xr:uid="{EEB28534-7D6C-460B-AA00-59A06966A75D}"/>
  <tableColumns count="6">
    <tableColumn id="1" xr3:uid="{81708989-932C-45BD-BF44-1BDBAAB6AD8D}" name="Despesas de funcionamento"/>
    <tableColumn id="2" xr3:uid="{9F21975F-39BF-4C00-880C-F9329CC2F5F6}" name="Descrição de Despesa"/>
    <tableColumn id="3" xr3:uid="{CA3DC749-123A-4639-AFC5-850079EE8E6F}" name="Data"/>
    <tableColumn id="4" xr3:uid="{566A787E-AE98-48C7-BD67-5F09E3DAC115}" name="Observação"/>
    <tableColumn id="5" xr3:uid="{AD338FBF-B41C-4D87-9910-B50C93C782AC}" name="Valor intermediário" dataDxfId="90"/>
    <tableColumn id="6" xr3:uid="{809F00B8-F5FA-4D2D-B183-5C1038DC7183}" name="Valor final" dataDxfId="89"/>
  </tableColumns>
  <tableStyleInfo name="TableStyleMedium7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70782D-F40B-4551-9785-9294C5612CA7}" name="Tabela2" displayName="Tabela2" ref="B5:I28" totalsRowShown="0">
  <autoFilter ref="B5:I28" xr:uid="{2170782D-F40B-4551-9785-9294C5612CA7}"/>
  <tableColumns count="8">
    <tableColumn id="1" xr3:uid="{CC85B736-C454-4B45-BE02-DC12B2D06F48}" name="Data" dataDxfId="88"/>
    <tableColumn id="2" xr3:uid="{043EFE76-49E9-478B-AA61-93768494CCB9}" name="Fornecedor"/>
    <tableColumn id="3" xr3:uid="{91224510-9AEB-4946-9256-F0FC51B12384}" name="Mercadoria"/>
    <tableColumn id="4" xr3:uid="{DDF80DC4-2863-4992-83EE-BF82095E5D78}" name="Medida" dataDxfId="85">
      <calculatedColumnFormula>VLOOKUP(Tabela2[[#This Row],[Mercadoria]],cálculos!$B$2:$E$32,4,FALSE)</calculatedColumnFormula>
    </tableColumn>
    <tableColumn id="5" xr3:uid="{17EA6E86-50CF-4508-9D5D-42F45B7EBA43}" name="Quantidade"/>
    <tableColumn id="6" xr3:uid="{3CBD0EB9-3B68-4D5D-A62C-E4A967BF9E01}" name="Preço unitário" dataDxfId="84">
      <calculatedColumnFormula>IFERROR((VLOOKUP(Tabela2[[#This Row],[Mercadoria]],cálculos!$B$2:$E$32,2,FALSE)),"")</calculatedColumnFormula>
    </tableColumn>
    <tableColumn id="7" xr3:uid="{21ABBC90-5F3F-4FED-8129-B03EF1791456}" name="Desconto" dataDxfId="87"/>
    <tableColumn id="8" xr3:uid="{349CF5E9-1B07-4608-9596-C435DED8CF50}" name="Valor Pago" dataDxfId="86">
      <calculatedColumnFormula>(Tabela2[[#This Row],[Quantidade]]*Tabela2[[#This Row],[Preço unitário]]*(1-Tabela2[[#This Row],[Desconto]]))</calculatedColumnFormula>
    </tableColumn>
  </tableColumns>
  <tableStyleInfo name="TableStyleMedium7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CFA5A4-6388-4986-8DCE-9F7D21BCB4C2}" name="Tabela3" displayName="Tabela3" ref="B5:E10" totalsRowShown="0">
  <autoFilter ref="B5:E10" xr:uid="{57CFA5A4-6388-4986-8DCE-9F7D21BCB4C2}"/>
  <tableColumns count="4">
    <tableColumn id="1" xr3:uid="{AD128322-AB1E-49E0-94EF-B391BC566AE4}" name="Investimento"/>
    <tableColumn id="2" xr3:uid="{48BBC312-D2B0-4159-A464-698F4A26C7D8}" name="Data" dataDxfId="81"/>
    <tableColumn id="3" xr3:uid="{7839EC56-08AD-452F-AEDA-C51EFB19C8FD}" name="Descrição" dataDxfId="82"/>
    <tableColumn id="4" xr3:uid="{F6972478-4FF7-4979-B6B2-462878B44843}" name="Valor" dataDxfId="8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AE9AC1-DF19-499C-8FBB-87240CE20D97}" name="Tabela4" displayName="Tabela4" ref="B5:H29" totalsRowShown="0" headerRowDxfId="76" dataDxfId="75">
  <autoFilter ref="B5:H29" xr:uid="{E8AE9AC1-DF19-499C-8FBB-87240CE20D97}"/>
  <tableColumns count="7">
    <tableColumn id="1" xr3:uid="{0FDCCF3F-8E43-46FF-80CE-C91B11E915C1}" name="Produto" dataDxfId="74"/>
    <tableColumn id="2" xr3:uid="{BC7D9C67-C00C-4CFA-BAF0-6DF5E79BCBE6}" name="Data da Última Compra" dataDxfId="72">
      <calculatedColumnFormula>IFERROR(INDEX(Tabela2[Data],MATCH(Tabela4[[#This Row],[Produto]],Tabela2[Mercadoria],0),1),"")</calculatedColumnFormula>
    </tableColumn>
    <tableColumn id="3" xr3:uid="{2FFD102F-8619-49CC-9846-467CECD91016}" name="Quantidade Inicial" dataDxfId="73"/>
    <tableColumn id="4" xr3:uid="{15F52426-158E-4AE7-AF19-45B97DF0A32E}" name="Quantidade Comprada" dataDxfId="80">
      <calculatedColumnFormula>SUMIF(Compras!D6:D27,Tabela4[[#This Row],[Produto]],Compras!F6:F27)</calculatedColumnFormula>
    </tableColumn>
    <tableColumn id="5" xr3:uid="{488235C7-23DE-4198-B55C-B4176F940CBE}" name="Quantidade Vendida" dataDxfId="79"/>
    <tableColumn id="6" xr3:uid="{C5AB235C-1AA9-4204-98FC-0BED5D866AFF}" name="Quantidade Atual" dataDxfId="78">
      <calculatedColumnFormula>Tabela4[[#This Row],[Quantidade Inicial]]+Tabela4[[#This Row],[Quantidade Comprada]]-Tabela4[[#This Row],[Quantidade Vendida]]</calculatedColumnFormula>
    </tableColumn>
    <tableColumn id="7" xr3:uid="{9D130D76-31E1-4576-ACC7-6602BFD332A2}" name="Situação" dataDxfId="77">
      <calculatedColumnFormula>IF(Tabela4[[#This Row],[Quantidade Atual]]&lt;50,IF(Tabela4[[#This Row],[Quantidade Atual]]&lt;21,"Comprar","Atenção"),"Ok")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7A7962-FD02-4D01-B53D-0E902B74654A}" name="Tabela5" displayName="Tabela5" ref="C5:N30" totalsRowShown="0" headerRowDxfId="67" dataDxfId="68">
  <autoFilter ref="C5:N30" xr:uid="{BB7A7962-FD02-4D01-B53D-0E902B74654A}"/>
  <tableColumns count="12">
    <tableColumn id="1" xr3:uid="{CF21DD4E-1C50-4080-8A97-75BFF7E2D2C6}" name="idvenda" dataDxfId="71"/>
    <tableColumn id="2" xr3:uid="{4069DF6C-20CD-4C20-8A3A-62FEF218D152}" name="Data" dataDxfId="70"/>
    <tableColumn id="3" xr3:uid="{5C8636F3-64FA-4BA0-9567-788E9B33ACBD}" name="Produto" dataDxfId="69"/>
    <tableColumn id="4" xr3:uid="{1D7E8593-2E1C-45BF-8743-38BDB5D15643}" name="Medida" dataDxfId="66">
      <calculatedColumnFormula>VLOOKUP(E6,cálculos!$B$2:$E$32,4,FALSE)</calculatedColumnFormula>
    </tableColumn>
    <tableColumn id="5" xr3:uid="{A19EC001-60BA-46BD-9978-63CEB6716739}" name="Quantidade" dataDxfId="65"/>
    <tableColumn id="6" xr3:uid="{E3DD34D2-12DC-4FA0-882A-62A504D5C67B}" name="Val Unitário" dataDxfId="64">
      <calculatedColumnFormula>VLOOKUP(E6,cálculos!$B$2:$E$32,3,FALSE)</calculatedColumnFormula>
    </tableColumn>
    <tableColumn id="7" xr3:uid="{CD912E94-41F6-475F-93F5-8A38DA3E6CED}" name="Subtotal" dataDxfId="63">
      <calculatedColumnFormula>(Tabela5[[#This Row],[Quantidade]]*H6)</calculatedColumnFormula>
    </tableColumn>
    <tableColumn id="8" xr3:uid="{7F29F475-57CD-41EB-A961-99BD5E5D2F38}" name="Desconto" dataDxfId="62" dataCellStyle="Porcentagem"/>
    <tableColumn id="9" xr3:uid="{B93C7E75-C2DD-4CA0-94DB-653F1290FC10}" name="Entrega" dataDxfId="61"/>
    <tableColumn id="11" xr3:uid="{794A1F82-2F6E-43DC-A28C-92998188116D}" name="Valor de Entrega" dataDxfId="58">
      <calculatedColumnFormula>IFERROR(VLOOKUP(Tabela5[[#This Row],[Entrega]],cálculos!$G$3:$H$7,2,FALSE),"0")</calculatedColumnFormula>
    </tableColumn>
    <tableColumn id="10" xr3:uid="{4A9ADE2D-5B32-4F57-82E6-101F37A106FA}" name="Total" dataDxfId="60">
      <calculatedColumnFormula>SUM(Tabela5[[#This Row],[Subtotal]]*(1-Tabela5[[#This Row],[Desconto]])+Tabela5[[#This Row],[Valor de Entrega]])</calculatedColumnFormula>
    </tableColumn>
    <tableColumn id="12" xr3:uid="{C920CBFD-66F0-4830-B2AF-AE4EDB35DA3C}" name="Total Para o Cliente" dataDxfId="59">
      <calculatedColumnFormula>IF(Tabela5[[#This Row],[idvenda]]=C7,"",SUMIF(Tabela5[idvenda],Tabela5[[#This Row],[idvenda]],Tabela5[Total]))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D919857-0AF5-47B6-97EE-9CD32D7D0508}" name="Tabela58" displayName="Tabela58" ref="C4:N29" totalsRowShown="0" headerRowDxfId="57" dataDxfId="56">
  <autoFilter ref="C4:N29" xr:uid="{4D919857-0AF5-47B6-97EE-9CD32D7D0508}"/>
  <tableColumns count="12">
    <tableColumn id="1" xr3:uid="{9572B4A7-BFB2-45FD-8B8B-9BD9E24DCF7D}" name="idvenda" dataDxfId="18"/>
    <tableColumn id="2" xr3:uid="{9E47C295-D7B5-45B1-A67F-835072155AD0}" name="Data" dataDxfId="16"/>
    <tableColumn id="3" xr3:uid="{FC1DABFE-EDE9-40B8-A2CA-DAE57A605701}" name="Produto" dataDxfId="17"/>
    <tableColumn id="4" xr3:uid="{BAB96F2D-2DBB-4C31-93AF-D6D2C447C84A}" name="Medida" dataDxfId="50">
      <calculatedColumnFormula>IFERROR(VLOOKUP(E5,cálculos!$B$2:$E$32,4,FALSE),"")</calculatedColumnFormula>
    </tableColumn>
    <tableColumn id="5" xr3:uid="{46978B8F-AD31-4DED-82A1-B03B7CA10EB7}" name="Quantidade" dataDxfId="55"/>
    <tableColumn id="6" xr3:uid="{4CF366E8-F319-4DB1-8C90-22A469EDD1D5}" name="Val Unitário" dataDxfId="49">
      <calculatedColumnFormula>IFERROR(VLOOKUP(E5,cálculos!$B$2:$E$32,3,FALSE),"")</calculatedColumnFormula>
    </tableColumn>
    <tableColumn id="7" xr3:uid="{77635C08-CF8F-41DF-9CAA-0C7368541C43}" name="Subtotal" dataDxfId="48">
      <calculatedColumnFormula>IFERROR((Tabela58[[#This Row],[Quantidade]]*H5),"")</calculatedColumnFormula>
    </tableColumn>
    <tableColumn id="8" xr3:uid="{48591BEE-D2F4-4E1E-B8FE-BC4BBAFBCB6F}" name="Desconto" dataDxfId="54" dataCellStyle="Porcentagem"/>
    <tableColumn id="9" xr3:uid="{2A8120CD-51A7-4495-BE12-A137C0AC1CA8}" name="Entrega" dataDxfId="53"/>
    <tableColumn id="11" xr3:uid="{8012482D-899A-4A67-A89C-6ED7827112ED}" name="Valor de Entrega" dataDxfId="52">
      <calculatedColumnFormula>IFERROR(VLOOKUP(Tabela58[[#This Row],[Entrega]],cálculos!$G$3:$H$7,2,FALSE),"0")</calculatedColumnFormula>
    </tableColumn>
    <tableColumn id="10" xr3:uid="{B6ECCD95-FC97-436D-9F96-3F9F564C70DD}" name="Total" dataDxfId="47">
      <calculatedColumnFormula>IFERROR(SUM(Tabela58[[#This Row],[Subtotal]]*(1-Tabela58[[#This Row],[Desconto]])+Tabela58[[#This Row],[Valor de Entrega]]),"")</calculatedColumnFormula>
    </tableColumn>
    <tableColumn id="12" xr3:uid="{94EEB04F-4CDE-4C58-8BE5-A546352152BC}" name="Total Para o Cliente" dataDxfId="51">
      <calculatedColumnFormula>IF(Tabela58[[#This Row],[idvenda]]=C6,"",SUMIF(Tabela58[idvenda],Tabela58[[#This Row],[idvenda]],Tabela58[Total]))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210003C-1767-4837-B8E4-53D53F6F8694}" name="Tabela589" displayName="Tabela589" ref="C4:N29" totalsRowShown="0" headerRowDxfId="46" dataDxfId="45">
  <autoFilter ref="C4:N29" xr:uid="{4D919857-0AF5-47B6-97EE-9CD32D7D0508}"/>
  <tableColumns count="12">
    <tableColumn id="1" xr3:uid="{04D2443F-190E-4875-8BA5-902415AFD1B0}" name="idvenda" dataDxfId="44"/>
    <tableColumn id="2" xr3:uid="{DDF81D4E-C915-4A44-BB9E-BC58A2E91091}" name="Data" dataDxfId="43"/>
    <tableColumn id="3" xr3:uid="{03086F28-C270-4FB5-A9C9-99DA79421683}" name="Produto" dataDxfId="42"/>
    <tableColumn id="4" xr3:uid="{B7A69A03-4BDC-43B3-B73C-59ECA707B4A8}" name="Medida" dataDxfId="41">
      <calculatedColumnFormula>IFERROR(VLOOKUP(E5,cálculos!$B$2:$E$32,4,FALSE),"")</calculatedColumnFormula>
    </tableColumn>
    <tableColumn id="5" xr3:uid="{57CB5D8F-2BE3-4BF0-9037-C81EE120B455}" name="Quantidade" dataDxfId="40"/>
    <tableColumn id="6" xr3:uid="{6ABBBC08-446D-4192-B8A1-C47CB7167C59}" name="Val Unitário" dataDxfId="39">
      <calculatedColumnFormula>IFERROR(VLOOKUP(E5,cálculos!$B$2:$E$32,3,FALSE),"")</calculatedColumnFormula>
    </tableColumn>
    <tableColumn id="7" xr3:uid="{E5A25100-3211-4CC3-9345-7ECFE63EDECE}" name="Subtotal" dataDxfId="38">
      <calculatedColumnFormula>IFERROR((Tabela589[[#This Row],[Quantidade]]*H5),"")</calculatedColumnFormula>
    </tableColumn>
    <tableColumn id="8" xr3:uid="{C2CC1E1B-AA13-4123-AB5F-C264389A2D47}" name="Desconto" dataDxfId="37" dataCellStyle="Porcentagem"/>
    <tableColumn id="9" xr3:uid="{0E4E772F-3854-4DAB-A1BF-C64A2C0A69B9}" name="Entrega" dataDxfId="36"/>
    <tableColumn id="11" xr3:uid="{39A10223-38EA-45F3-8044-070A4993231C}" name="Valor de Entrega" dataDxfId="35">
      <calculatedColumnFormula>IFERROR(VLOOKUP(Tabela589[[#This Row],[Entrega]],cálculos!$G$3:$H$7,2,FALSE),"0")</calculatedColumnFormula>
    </tableColumn>
    <tableColumn id="10" xr3:uid="{4AC94330-8E36-41D9-822F-E331BA1C85F5}" name="Total" dataDxfId="34">
      <calculatedColumnFormula>IFERROR(SUM(Tabela589[[#This Row],[Subtotal]]*(1-Tabela589[[#This Row],[Desconto]])+Tabela589[[#This Row],[Valor de Entrega]]),"")</calculatedColumnFormula>
    </tableColumn>
    <tableColumn id="12" xr3:uid="{7B6070BC-C9C2-45D3-856B-727D0000C890}" name="Total Para o Cliente" dataDxfId="33">
      <calculatedColumnFormula>IF(Tabela589[[#This Row],[idvenda]]=C6,"",SUMIF(Tabela589[idvenda],Tabela589[[#This Row],[idvenda]],Tabela589[Total]))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A8D14B4-45B0-4259-9628-A7466ADC7679}" name="Tabela58910" displayName="Tabela58910" ref="C4:N29" totalsRowShown="0" headerRowDxfId="32" dataDxfId="31">
  <autoFilter ref="C4:N29" xr:uid="{4D919857-0AF5-47B6-97EE-9CD32D7D0508}"/>
  <tableColumns count="12">
    <tableColumn id="1" xr3:uid="{D6546A4C-056E-4F1A-B5E4-FC931F8C2146}" name="idvenda" dataDxfId="30"/>
    <tableColumn id="2" xr3:uid="{D4470147-CDC7-4BA2-A8A3-A1C763B3273E}" name="Data" dataDxfId="29"/>
    <tableColumn id="3" xr3:uid="{B9A6E345-E5B1-4ECB-8CE1-81E4827E9C08}" name="Produto" dataDxfId="28"/>
    <tableColumn id="4" xr3:uid="{01FBF689-0E79-4470-B354-0605F891F035}" name="Medida" dataDxfId="27">
      <calculatedColumnFormula>IFERROR(VLOOKUP(E5,cálculos!$B$2:$E$32,4,FALSE),"")</calculatedColumnFormula>
    </tableColumn>
    <tableColumn id="5" xr3:uid="{3F333856-CFFB-4ABC-8CB3-7058B4750CA7}" name="Quantidade" dataDxfId="26"/>
    <tableColumn id="6" xr3:uid="{6E5C6A93-C0E9-4763-9361-9B5B1F6D933B}" name="Val Unitário" dataDxfId="25">
      <calculatedColumnFormula>IFERROR(VLOOKUP(E5,cálculos!$B$2:$E$32,3,FALSE),"")</calculatedColumnFormula>
    </tableColumn>
    <tableColumn id="7" xr3:uid="{4C51286F-1400-42E5-B903-88FE97B98902}" name="Subtotal" dataDxfId="24">
      <calculatedColumnFormula>IFERROR((Tabela58910[[#This Row],[Quantidade]]*H5),"")</calculatedColumnFormula>
    </tableColumn>
    <tableColumn id="8" xr3:uid="{1F80B616-7513-4FAB-96A9-C27C5CA5DB0B}" name="Desconto" dataDxfId="23" dataCellStyle="Porcentagem"/>
    <tableColumn id="9" xr3:uid="{3D5CE4AA-FA6D-408E-8B37-99EB0CA33AED}" name="Entrega" dataDxfId="22"/>
    <tableColumn id="11" xr3:uid="{C0396571-42D3-40C5-91D3-E58F97CD0C1D}" name="Valor de Entrega" dataDxfId="21">
      <calculatedColumnFormula>IFERROR(VLOOKUP(Tabela58910[[#This Row],[Entrega]],cálculos!$G$3:$H$7,2,FALSE),"0")</calculatedColumnFormula>
    </tableColumn>
    <tableColumn id="10" xr3:uid="{E76E7416-6D89-480B-A553-145DE31C2C6D}" name="Total" dataDxfId="20">
      <calculatedColumnFormula>IFERROR(SUM(Tabela58910[[#This Row],[Subtotal]]*(1-Tabela58910[[#This Row],[Desconto]])+Tabela58910[[#This Row],[Valor de Entrega]]),"")</calculatedColumnFormula>
    </tableColumn>
    <tableColumn id="12" xr3:uid="{1D3797B1-11E9-4F36-84CD-302F70D28A3A}" name="Total Para o Cliente" dataDxfId="19">
      <calculatedColumnFormula>IF(Tabela58910[[#This Row],[idvenda]]=C6,"",SUMIF(Tabela58910[idvenda],Tabela58910[[#This Row],[idvenda]],Tabela58910[Total]))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DFDF3A8-DCA8-4D2A-A5A9-4978EE70023C}" name="Tabela5891011" displayName="Tabela5891011" ref="C4:N29" totalsRowShown="0" headerRowDxfId="15" dataDxfId="14">
  <autoFilter ref="C4:N29" xr:uid="{4D919857-0AF5-47B6-97EE-9CD32D7D0508}"/>
  <tableColumns count="12">
    <tableColumn id="1" xr3:uid="{7A04FBC7-C561-4830-8B90-C2FD3B4EEAF5}" name="idvenda" dataDxfId="13"/>
    <tableColumn id="2" xr3:uid="{48F19FD5-2E5E-4D43-90BC-3C8C02CEB7FB}" name="Data" dataDxfId="12"/>
    <tableColumn id="3" xr3:uid="{A07E5177-68CC-4940-9AD9-5B65B9FA7BE9}" name="Produto" dataDxfId="11"/>
    <tableColumn id="4" xr3:uid="{07EB9629-2E20-4CDB-B736-568C671E77F5}" name="Medida" dataDxfId="10">
      <calculatedColumnFormula>IFERROR(VLOOKUP(E5,cálculos!$B$2:$E$32,4,FALSE),"")</calculatedColumnFormula>
    </tableColumn>
    <tableColumn id="5" xr3:uid="{AF4E8383-45BB-4080-B1ED-46920D449C5A}" name="Quantidade" dataDxfId="9"/>
    <tableColumn id="6" xr3:uid="{21905A82-1CA1-48D3-A5CA-6AC9F111488E}" name="Val Unitário" dataDxfId="8">
      <calculatedColumnFormula>IFERROR(VLOOKUP(E5,cálculos!$B$2:$E$32,3,FALSE),"")</calculatedColumnFormula>
    </tableColumn>
    <tableColumn id="7" xr3:uid="{4193C6A5-E2F8-453B-BA48-4E6A77CC80A9}" name="Subtotal" dataDxfId="7">
      <calculatedColumnFormula>IFERROR((Tabela5891011[[#This Row],[Quantidade]]*H5),"")</calculatedColumnFormula>
    </tableColumn>
    <tableColumn id="8" xr3:uid="{56A536BC-FC61-4A8B-9032-67EA5A9A88CB}" name="Desconto" dataDxfId="6" dataCellStyle="Porcentagem"/>
    <tableColumn id="9" xr3:uid="{B2A0A469-9B58-4EF9-BDDC-3AD0DDC925F8}" name="Entrega" dataDxfId="5"/>
    <tableColumn id="11" xr3:uid="{D340BD63-5553-4DB6-907D-5F6CE88F6910}" name="Valor de Entrega" dataDxfId="4">
      <calculatedColumnFormula>IFERROR(VLOOKUP(Tabela5891011[[#This Row],[Entrega]],cálculos!$G$3:$H$7,2,FALSE),"0")</calculatedColumnFormula>
    </tableColumn>
    <tableColumn id="10" xr3:uid="{6E4ED4F8-590F-4404-8CF8-605EE1577063}" name="Total" dataDxfId="3">
      <calculatedColumnFormula>IFERROR(SUM(Tabela5891011[[#This Row],[Subtotal]]*(1-Tabela5891011[[#This Row],[Desconto]])+Tabela5891011[[#This Row],[Valor de Entrega]]),"")</calculatedColumnFormula>
    </tableColumn>
    <tableColumn id="12" xr3:uid="{3FFDBE54-F3EC-49F2-8D8B-782209C537A9}" name="Total Para o Cliente" dataDxfId="2">
      <calculatedColumnFormula>IF(Tabela5891011[[#This Row],[idvenda]]=C6,"",SUMIF(Tabela5891011[idvenda],Tabela5891011[[#This Row],[idvenda]],Tabela5891011[Total]))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topLeftCell="A11" workbookViewId="0">
      <selection activeCell="D16" sqref="D16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pageSetup paperSize="9" fitToWidth="0" fitToHeight="0" orientation="portrait" r:id="rId1"/>
  <drawing r:id="rId2"/>
  <picture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87DA1-5C0D-44C5-AAEB-3FE7FEFB369B}">
  <dimension ref="C2:Z34"/>
  <sheetViews>
    <sheetView showGridLines="0" topLeftCell="H3" zoomScaleNormal="100" workbookViewId="0">
      <selection activeCell="D30" sqref="D30"/>
    </sheetView>
  </sheetViews>
  <sheetFormatPr defaultRowHeight="14.4" x14ac:dyDescent="0.3"/>
  <cols>
    <col min="1" max="3" width="8.88671875" style="35"/>
    <col min="4" max="4" width="14.5546875" style="35" customWidth="1"/>
    <col min="5" max="5" width="21.77734375" style="35" customWidth="1"/>
    <col min="6" max="6" width="17.21875" style="35" bestFit="1" customWidth="1"/>
    <col min="7" max="7" width="12" style="35" customWidth="1"/>
    <col min="8" max="8" width="16.109375" style="35" customWidth="1"/>
    <col min="9" max="9" width="13.44140625" style="35" customWidth="1"/>
    <col min="10" max="10" width="15" style="35" customWidth="1"/>
    <col min="11" max="11" width="14.6640625" style="35" customWidth="1"/>
    <col min="12" max="12" width="11.44140625" style="35" customWidth="1"/>
    <col min="13" max="13" width="11.88671875" style="35" customWidth="1"/>
    <col min="14" max="14" width="20.88671875" style="35" customWidth="1"/>
    <col min="15" max="15" width="21.88671875" style="35" bestFit="1" customWidth="1"/>
    <col min="16" max="16384" width="8.88671875" style="35"/>
  </cols>
  <sheetData>
    <row r="2" spans="3:26" ht="21" x14ac:dyDescent="0.3">
      <c r="C2" s="2" t="s">
        <v>123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4" spans="3:26" x14ac:dyDescent="0.3">
      <c r="C4" s="10" t="s">
        <v>107</v>
      </c>
      <c r="D4" s="10" t="s">
        <v>43</v>
      </c>
      <c r="E4" s="10" t="s">
        <v>99</v>
      </c>
      <c r="F4" s="10" t="s">
        <v>57</v>
      </c>
      <c r="G4" s="10" t="s">
        <v>58</v>
      </c>
      <c r="H4" s="10" t="s">
        <v>108</v>
      </c>
      <c r="I4" s="10" t="s">
        <v>109</v>
      </c>
      <c r="J4" s="10" t="s">
        <v>60</v>
      </c>
      <c r="K4" s="10" t="s">
        <v>110</v>
      </c>
      <c r="L4" s="10" t="s">
        <v>117</v>
      </c>
      <c r="M4" s="10" t="s">
        <v>118</v>
      </c>
      <c r="N4" s="10" t="s">
        <v>119</v>
      </c>
    </row>
    <row r="5" spans="3:26" x14ac:dyDescent="0.3">
      <c r="C5" s="10"/>
      <c r="D5" s="29"/>
      <c r="E5" s="10"/>
      <c r="F5" s="10" t="str">
        <f>IFERROR(VLOOKUP(E5,cálculos!$B$2:$E$32,4,FALSE),"")</f>
        <v/>
      </c>
      <c r="H5" s="30" t="str">
        <f>IFERROR(VLOOKUP(E5,cálculos!$B$2:$E$32,3,FALSE),"")</f>
        <v/>
      </c>
      <c r="I5" s="30" t="str">
        <f>IFERROR((Tabela589[[#This Row],[Quantidade]]*H5),"")</f>
        <v/>
      </c>
      <c r="J5" s="36"/>
      <c r="L5" s="30" t="str">
        <f>IFERROR(VLOOKUP(Tabela589[[#This Row],[Entrega]],cálculos!$G$3:$H$7,2,FALSE),"0")</f>
        <v>0</v>
      </c>
      <c r="M5" s="30" t="str">
        <f>IFERROR(SUM(Tabela589[[#This Row],[Subtotal]]*(1-Tabela589[[#This Row],[Desconto]])+Tabela589[[#This Row],[Valor de Entrega]]),"")</f>
        <v/>
      </c>
      <c r="N5" s="10" t="str">
        <f>IF(Tabela589[[#This Row],[idvenda]]=C6,"",SUMIF(Tabela589[idvenda],Tabela589[[#This Row],[idvenda]],Tabela589[Total]))</f>
        <v/>
      </c>
      <c r="O5" s="10"/>
    </row>
    <row r="6" spans="3:26" x14ac:dyDescent="0.3">
      <c r="C6" s="10"/>
      <c r="D6" s="29"/>
      <c r="E6" s="10"/>
      <c r="F6" s="10" t="str">
        <f>IFERROR(VLOOKUP(E6,cálculos!$B$2:$E$32,4,FALSE),"")</f>
        <v/>
      </c>
      <c r="H6" s="30" t="str">
        <f>IFERROR(VLOOKUP(E6,cálculos!$B$2:$E$32,3,FALSE),"")</f>
        <v/>
      </c>
      <c r="I6" s="30" t="str">
        <f>IFERROR((Tabela589[[#This Row],[Quantidade]]*H6),"")</f>
        <v/>
      </c>
      <c r="J6" s="36"/>
      <c r="L6" s="30" t="str">
        <f>IFERROR(VLOOKUP(Tabela589[[#This Row],[Entrega]],cálculos!$G$3:$H$7,2,FALSE),"0")</f>
        <v>0</v>
      </c>
      <c r="M6" s="30" t="str">
        <f>IFERROR(SUM(Tabela589[[#This Row],[Subtotal]]*(1-Tabela589[[#This Row],[Desconto]])+Tabela589[[#This Row],[Valor de Entrega]]),"")</f>
        <v/>
      </c>
      <c r="N6" s="10" t="str">
        <f>IF(Tabela589[[#This Row],[idvenda]]=C7,"",SUMIF(Tabela589[idvenda],Tabela589[[#This Row],[idvenda]],Tabela589[Total]))</f>
        <v/>
      </c>
      <c r="O6" s="10"/>
    </row>
    <row r="7" spans="3:26" x14ac:dyDescent="0.3">
      <c r="C7" s="10"/>
      <c r="D7" s="29"/>
      <c r="E7" s="10"/>
      <c r="F7" s="10" t="str">
        <f>IFERROR(VLOOKUP(E7,cálculos!$B$2:$E$32,4,FALSE),"")</f>
        <v/>
      </c>
      <c r="H7" s="30" t="str">
        <f>IFERROR(VLOOKUP(E7,cálculos!$B$2:$E$32,3,FALSE),"")</f>
        <v/>
      </c>
      <c r="I7" s="30" t="str">
        <f>IFERROR((Tabela589[[#This Row],[Quantidade]]*H7),"")</f>
        <v/>
      </c>
      <c r="J7" s="36"/>
      <c r="L7" s="30" t="str">
        <f>IFERROR(VLOOKUP(Tabela589[[#This Row],[Entrega]],cálculos!$G$3:$H$7,2,FALSE),"0")</f>
        <v>0</v>
      </c>
      <c r="M7" s="30" t="str">
        <f>IFERROR(SUM(Tabela589[[#This Row],[Subtotal]]*(1-Tabela589[[#This Row],[Desconto]])+Tabela589[[#This Row],[Valor de Entrega]]),"")</f>
        <v/>
      </c>
      <c r="N7" s="10" t="str">
        <f>IF(Tabela589[[#This Row],[idvenda]]=C8,"",SUMIF(Tabela589[idvenda],Tabela589[[#This Row],[idvenda]],Tabela589[Total]))</f>
        <v/>
      </c>
      <c r="O7" s="10"/>
    </row>
    <row r="8" spans="3:26" x14ac:dyDescent="0.3">
      <c r="C8" s="10"/>
      <c r="D8" s="29"/>
      <c r="E8" s="10"/>
      <c r="F8" s="10" t="str">
        <f>IFERROR(VLOOKUP(E8,cálculos!$B$2:$E$32,4,FALSE),"")</f>
        <v/>
      </c>
      <c r="H8" s="30" t="str">
        <f>IFERROR(VLOOKUP(E8,cálculos!$B$2:$E$32,3,FALSE),"")</f>
        <v/>
      </c>
      <c r="I8" s="30" t="str">
        <f>IFERROR((Tabela589[[#This Row],[Quantidade]]*H8),"")</f>
        <v/>
      </c>
      <c r="J8" s="36"/>
      <c r="L8" s="30" t="str">
        <f>IFERROR(VLOOKUP(Tabela589[[#This Row],[Entrega]],cálculos!$G$3:$H$7,2,FALSE),"0")</f>
        <v>0</v>
      </c>
      <c r="M8" s="30" t="str">
        <f>IFERROR(SUM(Tabela589[[#This Row],[Subtotal]]*(1-Tabela589[[#This Row],[Desconto]])+Tabela589[[#This Row],[Valor de Entrega]]),"")</f>
        <v/>
      </c>
      <c r="N8" s="41" t="str">
        <f>IF(Tabela589[[#This Row],[idvenda]]=C9,"",SUMIF(Tabela589[idvenda],Tabela589[[#This Row],[idvenda]],Tabela589[Total]))</f>
        <v/>
      </c>
      <c r="O8" s="10"/>
    </row>
    <row r="9" spans="3:26" x14ac:dyDescent="0.3">
      <c r="C9" s="10"/>
      <c r="D9" s="29"/>
      <c r="E9" s="10"/>
      <c r="F9" s="10" t="str">
        <f>IFERROR(VLOOKUP(E9,cálculos!$B$2:$E$32,4,FALSE),"")</f>
        <v/>
      </c>
      <c r="H9" s="30" t="str">
        <f>IFERROR(VLOOKUP(E9,cálculos!$B$2:$E$32,3,FALSE),"")</f>
        <v/>
      </c>
      <c r="I9" s="30" t="str">
        <f>IFERROR((Tabela589[[#This Row],[Quantidade]]*H9),"")</f>
        <v/>
      </c>
      <c r="J9" s="36"/>
      <c r="L9" s="30" t="str">
        <f>IFERROR(VLOOKUP(Tabela589[[#This Row],[Entrega]],cálculos!$G$3:$H$7,2,FALSE),"0")</f>
        <v>0</v>
      </c>
      <c r="M9" s="30" t="str">
        <f>IFERROR(SUM(Tabela589[[#This Row],[Subtotal]]*(1-Tabela589[[#This Row],[Desconto]])+Tabela589[[#This Row],[Valor de Entrega]]),"")</f>
        <v/>
      </c>
      <c r="N9" s="10" t="str">
        <f>IF(Tabela589[[#This Row],[idvenda]]=C10,"",SUMIF(Tabela589[idvenda],Tabela589[[#This Row],[idvenda]],Tabela589[Total]))</f>
        <v/>
      </c>
      <c r="O9" s="41"/>
    </row>
    <row r="10" spans="3:26" x14ac:dyDescent="0.3">
      <c r="C10" s="10"/>
      <c r="D10" s="29"/>
      <c r="E10" s="10"/>
      <c r="F10" s="10" t="str">
        <f>IFERROR(VLOOKUP(E10,cálculos!$B$2:$E$32,4,FALSE),"")</f>
        <v/>
      </c>
      <c r="H10" s="30" t="str">
        <f>IFERROR(VLOOKUP(E10,cálculos!$B$2:$E$32,3,FALSE),"")</f>
        <v/>
      </c>
      <c r="I10" s="30" t="str">
        <f>IFERROR((Tabela589[[#This Row],[Quantidade]]*H10),"")</f>
        <v/>
      </c>
      <c r="J10" s="36"/>
      <c r="L10" s="30" t="str">
        <f>IFERROR(VLOOKUP(Tabela589[[#This Row],[Entrega]],cálculos!$G$3:$H$7,2,FALSE),"0")</f>
        <v>0</v>
      </c>
      <c r="M10" s="30" t="str">
        <f>IFERROR(SUM(Tabela589[[#This Row],[Subtotal]]*(1-Tabela589[[#This Row],[Desconto]])+Tabela589[[#This Row],[Valor de Entrega]]),"")</f>
        <v/>
      </c>
      <c r="N10" s="10" t="str">
        <f>IF(Tabela589[[#This Row],[idvenda]]=C11,"",SUMIF(Tabela589[idvenda],Tabela589[[#This Row],[idvenda]],Tabela589[Total]))</f>
        <v/>
      </c>
      <c r="O10" s="10"/>
    </row>
    <row r="11" spans="3:26" x14ac:dyDescent="0.3">
      <c r="C11" s="10"/>
      <c r="D11" s="29"/>
      <c r="E11" s="10"/>
      <c r="F11" s="10" t="str">
        <f>IFERROR(VLOOKUP(E11,cálculos!$B$2:$E$32,4,FALSE),"")</f>
        <v/>
      </c>
      <c r="H11" s="30" t="str">
        <f>IFERROR(VLOOKUP(E11,cálculos!$B$2:$E$32,3,FALSE),"")</f>
        <v/>
      </c>
      <c r="I11" s="30" t="str">
        <f>IFERROR((Tabela589[[#This Row],[Quantidade]]*H11),"")</f>
        <v/>
      </c>
      <c r="J11" s="36"/>
      <c r="L11" s="30" t="str">
        <f>IFERROR(VLOOKUP(Tabela589[[#This Row],[Entrega]],cálculos!$G$3:$H$7,2,FALSE),"0")</f>
        <v>0</v>
      </c>
      <c r="M11" s="30" t="str">
        <f>IFERROR(SUM(Tabela589[[#This Row],[Subtotal]]*(1-Tabela589[[#This Row],[Desconto]])+Tabela589[[#This Row],[Valor de Entrega]]),"")</f>
        <v/>
      </c>
      <c r="N11" s="10" t="str">
        <f>IF(Tabela589[[#This Row],[idvenda]]=C12,"",SUMIF(Tabela589[idvenda],Tabela589[[#This Row],[idvenda]],Tabela589[Total]))</f>
        <v/>
      </c>
      <c r="O11" s="10"/>
    </row>
    <row r="12" spans="3:26" x14ac:dyDescent="0.3">
      <c r="C12" s="10"/>
      <c r="D12" s="29"/>
      <c r="E12" s="10"/>
      <c r="F12" s="10" t="str">
        <f>IFERROR(VLOOKUP(E12,cálculos!$B$2:$E$32,4,FALSE),"")</f>
        <v/>
      </c>
      <c r="H12" s="30" t="str">
        <f>IFERROR(VLOOKUP(E12,cálculos!$B$2:$E$32,3,FALSE),"")</f>
        <v/>
      </c>
      <c r="I12" s="30" t="str">
        <f>IFERROR((Tabela589[[#This Row],[Quantidade]]*H12),"")</f>
        <v/>
      </c>
      <c r="J12" s="36"/>
      <c r="L12" s="30" t="str">
        <f>IFERROR(VLOOKUP(Tabela589[[#This Row],[Entrega]],cálculos!$G$3:$H$7,2,FALSE),"0")</f>
        <v>0</v>
      </c>
      <c r="M12" s="30" t="str">
        <f>IFERROR(SUM(Tabela589[[#This Row],[Subtotal]]*(1-Tabela589[[#This Row],[Desconto]])+Tabela589[[#This Row],[Valor de Entrega]]),"")</f>
        <v/>
      </c>
      <c r="N12" s="10" t="str">
        <f>IF(Tabela589[[#This Row],[idvenda]]=C13,"",SUMIF(Tabela589[idvenda],Tabela589[[#This Row],[idvenda]],Tabela589[Total]))</f>
        <v/>
      </c>
      <c r="O12" s="10"/>
    </row>
    <row r="13" spans="3:26" x14ac:dyDescent="0.3">
      <c r="C13" s="10"/>
      <c r="D13" s="29"/>
      <c r="E13" s="10"/>
      <c r="F13" s="10" t="str">
        <f>IFERROR(VLOOKUP(E13,cálculos!$B$2:$E$32,4,FALSE),"")</f>
        <v/>
      </c>
      <c r="H13" s="30" t="str">
        <f>IFERROR(VLOOKUP(E13,cálculos!$B$2:$E$32,3,FALSE),"")</f>
        <v/>
      </c>
      <c r="I13" s="30" t="str">
        <f>IFERROR((Tabela589[[#This Row],[Quantidade]]*H13),"")</f>
        <v/>
      </c>
      <c r="J13" s="36"/>
      <c r="L13" s="30" t="str">
        <f>IFERROR(VLOOKUP(Tabela589[[#This Row],[Entrega]],cálculos!$G$3:$H$7,2,FALSE),"0")</f>
        <v>0</v>
      </c>
      <c r="M13" s="30" t="str">
        <f>IFERROR(SUM(Tabela589[[#This Row],[Subtotal]]*(1-Tabela589[[#This Row],[Desconto]])+Tabela589[[#This Row],[Valor de Entrega]]),"")</f>
        <v/>
      </c>
      <c r="N13" s="10" t="str">
        <f>IF(Tabela589[[#This Row],[idvenda]]=C14,"",SUMIF(Tabela589[idvenda],Tabela589[[#This Row],[idvenda]],Tabela589[Total]))</f>
        <v/>
      </c>
      <c r="O13" s="10"/>
    </row>
    <row r="14" spans="3:26" x14ac:dyDescent="0.3">
      <c r="C14" s="10"/>
      <c r="D14" s="29"/>
      <c r="E14" s="10"/>
      <c r="F14" s="10" t="str">
        <f>IFERROR(VLOOKUP(E14,cálculos!$B$2:$E$32,4,FALSE),"")</f>
        <v/>
      </c>
      <c r="H14" s="30" t="str">
        <f>IFERROR(VLOOKUP(E14,cálculos!$B$2:$E$32,3,FALSE),"")</f>
        <v/>
      </c>
      <c r="I14" s="30" t="str">
        <f>IFERROR((Tabela589[[#This Row],[Quantidade]]*H14),"")</f>
        <v/>
      </c>
      <c r="J14" s="36"/>
      <c r="L14" s="30" t="str">
        <f>IFERROR(VLOOKUP(Tabela589[[#This Row],[Entrega]],cálculos!$G$3:$H$7,2,FALSE),"0")</f>
        <v>0</v>
      </c>
      <c r="M14" s="30" t="str">
        <f>IFERROR(SUM(Tabela589[[#This Row],[Subtotal]]*(1-Tabela589[[#This Row],[Desconto]])+Tabela589[[#This Row],[Valor de Entrega]]),"")</f>
        <v/>
      </c>
      <c r="N14" s="10" t="str">
        <f>IF(Tabela589[[#This Row],[idvenda]]=C15,"",SUMIF(Tabela589[idvenda],Tabela589[[#This Row],[idvenda]],Tabela589[Total]))</f>
        <v/>
      </c>
      <c r="O14" s="10"/>
    </row>
    <row r="15" spans="3:26" x14ac:dyDescent="0.3">
      <c r="C15" s="10"/>
      <c r="D15" s="29"/>
      <c r="E15" s="10"/>
      <c r="F15" s="10" t="str">
        <f>IFERROR(VLOOKUP(E15,cálculos!$B$2:$E$32,4,FALSE),"")</f>
        <v/>
      </c>
      <c r="H15" s="30" t="str">
        <f>IFERROR(VLOOKUP(E15,cálculos!$B$2:$E$32,3,FALSE),"")</f>
        <v/>
      </c>
      <c r="I15" s="30" t="str">
        <f>IFERROR((Tabela589[[#This Row],[Quantidade]]*H15),"")</f>
        <v/>
      </c>
      <c r="J15" s="36"/>
      <c r="L15" s="30" t="str">
        <f>IFERROR(VLOOKUP(Tabela589[[#This Row],[Entrega]],cálculos!$G$3:$H$7,2,FALSE),"0")</f>
        <v>0</v>
      </c>
      <c r="M15" s="30" t="str">
        <f>IFERROR(SUM(Tabela589[[#This Row],[Subtotal]]*(1-Tabela589[[#This Row],[Desconto]])+Tabela589[[#This Row],[Valor de Entrega]]),"")</f>
        <v/>
      </c>
      <c r="N15" s="10" t="str">
        <f>IF(Tabela589[[#This Row],[idvenda]]=C16,"",SUMIF(Tabela589[idvenda],Tabela589[[#This Row],[idvenda]],Tabela589[Total]))</f>
        <v/>
      </c>
      <c r="O15" s="10"/>
    </row>
    <row r="16" spans="3:26" x14ac:dyDescent="0.3">
      <c r="C16" s="10"/>
      <c r="D16" s="29"/>
      <c r="E16" s="10"/>
      <c r="F16" s="10" t="str">
        <f>IFERROR(VLOOKUP(E16,cálculos!$B$2:$E$32,4,FALSE),"")</f>
        <v/>
      </c>
      <c r="H16" s="30" t="str">
        <f>IFERROR(VLOOKUP(E16,cálculos!$B$2:$E$32,3,FALSE),"")</f>
        <v/>
      </c>
      <c r="I16" s="30" t="str">
        <f>IFERROR((Tabela589[[#This Row],[Quantidade]]*H16),"")</f>
        <v/>
      </c>
      <c r="J16" s="36"/>
      <c r="L16" s="30" t="str">
        <f>IFERROR(VLOOKUP(Tabela589[[#This Row],[Entrega]],cálculos!$G$3:$H$7,2,FALSE),"0")</f>
        <v>0</v>
      </c>
      <c r="M16" s="30" t="str">
        <f>IFERROR(SUM(Tabela589[[#This Row],[Subtotal]]*(1-Tabela589[[#This Row],[Desconto]])+Tabela589[[#This Row],[Valor de Entrega]]),"")</f>
        <v/>
      </c>
      <c r="N16" s="10" t="str">
        <f>IF(Tabela589[[#This Row],[idvenda]]=C17,"",SUMIF(Tabela589[idvenda],Tabela589[[#This Row],[idvenda]],Tabela589[Total]))</f>
        <v/>
      </c>
      <c r="O16" s="10"/>
    </row>
    <row r="17" spans="3:15" x14ac:dyDescent="0.3">
      <c r="C17" s="10"/>
      <c r="D17" s="29"/>
      <c r="E17" s="10"/>
      <c r="F17" s="10" t="str">
        <f>IFERROR(VLOOKUP(E17,cálculos!$B$2:$E$32,4,FALSE),"")</f>
        <v/>
      </c>
      <c r="H17" s="30" t="str">
        <f>IFERROR(VLOOKUP(E17,cálculos!$B$2:$E$32,3,FALSE),"")</f>
        <v/>
      </c>
      <c r="I17" s="30" t="str">
        <f>IFERROR((Tabela589[[#This Row],[Quantidade]]*H17),"")</f>
        <v/>
      </c>
      <c r="J17" s="36"/>
      <c r="L17" s="30" t="str">
        <f>IFERROR(VLOOKUP(Tabela589[[#This Row],[Entrega]],cálculos!$G$3:$H$7,2,FALSE),"0")</f>
        <v>0</v>
      </c>
      <c r="M17" s="30" t="str">
        <f>IFERROR(SUM(Tabela589[[#This Row],[Subtotal]]*(1-Tabela589[[#This Row],[Desconto]])+Tabela589[[#This Row],[Valor de Entrega]]),"")</f>
        <v/>
      </c>
      <c r="N17" s="10" t="str">
        <f>IF(Tabela589[[#This Row],[idvenda]]=C18,"",SUMIF(Tabela589[idvenda],Tabela589[[#This Row],[idvenda]],Tabela589[Total]))</f>
        <v/>
      </c>
      <c r="O17" s="10"/>
    </row>
    <row r="18" spans="3:15" x14ac:dyDescent="0.3">
      <c r="C18" s="10"/>
      <c r="D18" s="29"/>
      <c r="E18" s="10"/>
      <c r="F18" s="10" t="str">
        <f>IFERROR(VLOOKUP(E18,cálculos!$B$2:$E$32,4,FALSE),"")</f>
        <v/>
      </c>
      <c r="H18" s="30" t="str">
        <f>IFERROR(VLOOKUP(E18,cálculos!$B$2:$E$32,3,FALSE),"")</f>
        <v/>
      </c>
      <c r="I18" s="30" t="str">
        <f>IFERROR((Tabela589[[#This Row],[Quantidade]]*H18),"")</f>
        <v/>
      </c>
      <c r="J18" s="36"/>
      <c r="L18" s="30" t="str">
        <f>IFERROR(VLOOKUP(Tabela589[[#This Row],[Entrega]],cálculos!$G$3:$H$7,2,FALSE),"0")</f>
        <v>0</v>
      </c>
      <c r="M18" s="30" t="str">
        <f>IFERROR(SUM(Tabela589[[#This Row],[Subtotal]]*(1-Tabela589[[#This Row],[Desconto]])+Tabela589[[#This Row],[Valor de Entrega]]),"")</f>
        <v/>
      </c>
      <c r="N18" s="10" t="str">
        <f>IF(Tabela589[[#This Row],[idvenda]]=C19,"",SUMIF(Tabela589[idvenda],Tabela589[[#This Row],[idvenda]],Tabela589[Total]))</f>
        <v/>
      </c>
      <c r="O18" s="10"/>
    </row>
    <row r="19" spans="3:15" x14ac:dyDescent="0.3">
      <c r="C19" s="10"/>
      <c r="D19" s="29"/>
      <c r="E19" s="10"/>
      <c r="F19" s="10" t="str">
        <f>IFERROR(VLOOKUP(E19,cálculos!$B$2:$E$32,4,FALSE),"")</f>
        <v/>
      </c>
      <c r="H19" s="30" t="str">
        <f>IFERROR(VLOOKUP(E19,cálculos!$B$2:$E$32,3,FALSE),"")</f>
        <v/>
      </c>
      <c r="I19" s="30" t="str">
        <f>IFERROR((Tabela589[[#This Row],[Quantidade]]*H19),"")</f>
        <v/>
      </c>
      <c r="J19" s="36"/>
      <c r="L19" s="30" t="str">
        <f>IFERROR(VLOOKUP(Tabela589[[#This Row],[Entrega]],cálculos!$G$3:$H$7,2,FALSE),"0")</f>
        <v>0</v>
      </c>
      <c r="M19" s="30" t="str">
        <f>IFERROR(SUM(Tabela589[[#This Row],[Subtotal]]*(1-Tabela589[[#This Row],[Desconto]])+Tabela589[[#This Row],[Valor de Entrega]]),"")</f>
        <v/>
      </c>
      <c r="N19" s="10" t="str">
        <f>IF(Tabela589[[#This Row],[idvenda]]=C20,"",SUMIF(Tabela589[idvenda],Tabela589[[#This Row],[idvenda]],Tabela589[Total]))</f>
        <v/>
      </c>
      <c r="O19" s="10"/>
    </row>
    <row r="20" spans="3:15" x14ac:dyDescent="0.3">
      <c r="C20" s="10"/>
      <c r="D20" s="29"/>
      <c r="E20" s="10"/>
      <c r="F20" s="10" t="str">
        <f>IFERROR(VLOOKUP(E20,cálculos!$B$2:$E$32,4,FALSE),"")</f>
        <v/>
      </c>
      <c r="H20" s="30" t="str">
        <f>IFERROR(VLOOKUP(E20,cálculos!$B$2:$E$32,3,FALSE),"")</f>
        <v/>
      </c>
      <c r="I20" s="30" t="str">
        <f>IFERROR((Tabela589[[#This Row],[Quantidade]]*H20),"")</f>
        <v/>
      </c>
      <c r="J20" s="36"/>
      <c r="L20" s="30" t="str">
        <f>IFERROR(VLOOKUP(Tabela589[[#This Row],[Entrega]],cálculos!$G$3:$H$7,2,FALSE),"0")</f>
        <v>0</v>
      </c>
      <c r="M20" s="30" t="str">
        <f>IFERROR(SUM(Tabela589[[#This Row],[Subtotal]]*(1-Tabela589[[#This Row],[Desconto]])+Tabela589[[#This Row],[Valor de Entrega]]),"")</f>
        <v/>
      </c>
      <c r="N20" s="10" t="str">
        <f>IF(Tabela589[[#This Row],[idvenda]]=C21,"",SUMIF(Tabela589[idvenda],Tabela589[[#This Row],[idvenda]],Tabela589[Total]))</f>
        <v/>
      </c>
      <c r="O20" s="10"/>
    </row>
    <row r="21" spans="3:15" x14ac:dyDescent="0.3">
      <c r="C21" s="10"/>
      <c r="D21" s="29"/>
      <c r="E21" s="10"/>
      <c r="F21" s="10" t="str">
        <f>IFERROR(VLOOKUP(E21,cálculos!$B$2:$E$32,4,FALSE),"")</f>
        <v/>
      </c>
      <c r="H21" s="30" t="str">
        <f>IFERROR(VLOOKUP(E21,cálculos!$B$2:$E$32,3,FALSE),"")</f>
        <v/>
      </c>
      <c r="I21" s="30" t="str">
        <f>IFERROR((Tabela589[[#This Row],[Quantidade]]*H21),"")</f>
        <v/>
      </c>
      <c r="J21" s="36"/>
      <c r="L21" s="30" t="str">
        <f>IFERROR(VLOOKUP(Tabela589[[#This Row],[Entrega]],cálculos!$G$3:$H$7,2,FALSE),"0")</f>
        <v>0</v>
      </c>
      <c r="M21" s="30" t="str">
        <f>IFERROR(SUM(Tabela589[[#This Row],[Subtotal]]*(1-Tabela589[[#This Row],[Desconto]])+Tabela589[[#This Row],[Valor de Entrega]]),"")</f>
        <v/>
      </c>
      <c r="N21" s="10" t="str">
        <f>IF(Tabela589[[#This Row],[idvenda]]=C22,"",SUMIF(Tabela589[idvenda],Tabela589[[#This Row],[idvenda]],Tabela589[Total]))</f>
        <v/>
      </c>
      <c r="O21" s="10"/>
    </row>
    <row r="22" spans="3:15" x14ac:dyDescent="0.3">
      <c r="C22" s="10"/>
      <c r="D22" s="29"/>
      <c r="E22" s="10"/>
      <c r="F22" s="10" t="str">
        <f>IFERROR(VLOOKUP(E22,cálculos!$B$2:$E$32,4,FALSE),"")</f>
        <v/>
      </c>
      <c r="H22" s="30" t="str">
        <f>IFERROR(VLOOKUP(E22,cálculos!$B$2:$E$32,3,FALSE),"")</f>
        <v/>
      </c>
      <c r="I22" s="30" t="str">
        <f>IFERROR((Tabela589[[#This Row],[Quantidade]]*H22),"")</f>
        <v/>
      </c>
      <c r="J22" s="36"/>
      <c r="L22" s="30" t="str">
        <f>IFERROR(VLOOKUP(Tabela589[[#This Row],[Entrega]],cálculos!$G$3:$H$7,2,FALSE),"0")</f>
        <v>0</v>
      </c>
      <c r="M22" s="30" t="str">
        <f>IFERROR(SUM(Tabela589[[#This Row],[Subtotal]]*(1-Tabela589[[#This Row],[Desconto]])+Tabela589[[#This Row],[Valor de Entrega]]),"")</f>
        <v/>
      </c>
      <c r="N22" s="10" t="str">
        <f>IF(Tabela589[[#This Row],[idvenda]]=C23,"",SUMIF(Tabela589[idvenda],Tabela589[[#This Row],[idvenda]],Tabela589[Total]))</f>
        <v/>
      </c>
      <c r="O22" s="10"/>
    </row>
    <row r="23" spans="3:15" x14ac:dyDescent="0.3">
      <c r="C23" s="10"/>
      <c r="D23" s="29"/>
      <c r="E23" s="10"/>
      <c r="F23" s="10" t="str">
        <f>IFERROR(VLOOKUP(E23,cálculos!$B$2:$E$32,4,FALSE),"")</f>
        <v/>
      </c>
      <c r="H23" s="30" t="str">
        <f>IFERROR(VLOOKUP(E23,cálculos!$B$2:$E$32,3,FALSE),"")</f>
        <v/>
      </c>
      <c r="I23" s="30" t="str">
        <f>IFERROR((Tabela589[[#This Row],[Quantidade]]*H23),"")</f>
        <v/>
      </c>
      <c r="J23" s="36"/>
      <c r="L23" s="30" t="str">
        <f>IFERROR(VLOOKUP(Tabela589[[#This Row],[Entrega]],cálculos!$G$3:$H$7,2,FALSE),"0")</f>
        <v>0</v>
      </c>
      <c r="M23" s="30" t="str">
        <f>IFERROR(SUM(Tabela589[[#This Row],[Subtotal]]*(1-Tabela589[[#This Row],[Desconto]])+Tabela589[[#This Row],[Valor de Entrega]]),"")</f>
        <v/>
      </c>
      <c r="N23" s="10" t="str">
        <f>IF(Tabela589[[#This Row],[idvenda]]=C24,"",SUMIF(Tabela589[idvenda],Tabela589[[#This Row],[idvenda]],Tabela589[Total]))</f>
        <v/>
      </c>
      <c r="O23" s="10"/>
    </row>
    <row r="24" spans="3:15" x14ac:dyDescent="0.3">
      <c r="C24" s="10"/>
      <c r="D24" s="29"/>
      <c r="E24" s="10"/>
      <c r="F24" s="10" t="str">
        <f>IFERROR(VLOOKUP(E24,cálculos!$B$2:$E$32,4,FALSE),"")</f>
        <v/>
      </c>
      <c r="H24" s="30" t="str">
        <f>IFERROR(VLOOKUP(E24,cálculos!$B$2:$E$32,3,FALSE),"")</f>
        <v/>
      </c>
      <c r="I24" s="30" t="str">
        <f>IFERROR((Tabela589[[#This Row],[Quantidade]]*H24),"")</f>
        <v/>
      </c>
      <c r="J24" s="36"/>
      <c r="L24" s="30" t="str">
        <f>IFERROR(VLOOKUP(Tabela589[[#This Row],[Entrega]],cálculos!$G$3:$H$7,2,FALSE),"0")</f>
        <v>0</v>
      </c>
      <c r="M24" s="30" t="str">
        <f>IFERROR(SUM(Tabela589[[#This Row],[Subtotal]]*(1-Tabela589[[#This Row],[Desconto]])+Tabela589[[#This Row],[Valor de Entrega]]),"")</f>
        <v/>
      </c>
      <c r="N24" s="10" t="str">
        <f>IF(Tabela589[[#This Row],[idvenda]]=C25,"",SUMIF(Tabela589[idvenda],Tabela589[[#This Row],[idvenda]],Tabela589[Total]))</f>
        <v/>
      </c>
      <c r="O24" s="10"/>
    </row>
    <row r="25" spans="3:15" x14ac:dyDescent="0.3">
      <c r="C25" s="10"/>
      <c r="D25" s="29"/>
      <c r="E25" s="10"/>
      <c r="F25" s="10" t="str">
        <f>IFERROR(VLOOKUP(E25,cálculos!$B$2:$E$32,4,FALSE),"")</f>
        <v/>
      </c>
      <c r="H25" s="30" t="str">
        <f>IFERROR(VLOOKUP(E25,cálculos!$B$2:$E$32,3,FALSE),"")</f>
        <v/>
      </c>
      <c r="I25" s="30" t="str">
        <f>IFERROR((Tabela589[[#This Row],[Quantidade]]*H25),"")</f>
        <v/>
      </c>
      <c r="J25" s="36"/>
      <c r="L25" s="30" t="str">
        <f>IFERROR(VLOOKUP(Tabela589[[#This Row],[Entrega]],cálculos!$G$3:$H$7,2,FALSE),"0")</f>
        <v>0</v>
      </c>
      <c r="M25" s="30" t="str">
        <f>IFERROR(SUM(Tabela589[[#This Row],[Subtotal]]*(1-Tabela589[[#This Row],[Desconto]])+Tabela589[[#This Row],[Valor de Entrega]]),"")</f>
        <v/>
      </c>
      <c r="N25" s="10" t="str">
        <f>IF(Tabela589[[#This Row],[idvenda]]=C26,"",SUMIF(Tabela589[idvenda],Tabela589[[#This Row],[idvenda]],Tabela589[Total]))</f>
        <v/>
      </c>
      <c r="O25" s="10"/>
    </row>
    <row r="26" spans="3:15" x14ac:dyDescent="0.3">
      <c r="C26" s="10"/>
      <c r="D26" s="29"/>
      <c r="E26" s="10"/>
      <c r="F26" s="10" t="str">
        <f>IFERROR(VLOOKUP(E26,cálculos!$B$2:$E$32,4,FALSE),"")</f>
        <v/>
      </c>
      <c r="H26" s="30" t="str">
        <f>IFERROR(VLOOKUP(E26,cálculos!$B$2:$E$32,3,FALSE),"")</f>
        <v/>
      </c>
      <c r="I26" s="30" t="str">
        <f>IFERROR((Tabela589[[#This Row],[Quantidade]]*H26),"")</f>
        <v/>
      </c>
      <c r="J26" s="36"/>
      <c r="L26" s="30" t="str">
        <f>IFERROR(VLOOKUP(Tabela589[[#This Row],[Entrega]],cálculos!$G$3:$H$7,2,FALSE),"0")</f>
        <v>0</v>
      </c>
      <c r="M26" s="30" t="str">
        <f>IFERROR(SUM(Tabela589[[#This Row],[Subtotal]]*(1-Tabela589[[#This Row],[Desconto]])+Tabela589[[#This Row],[Valor de Entrega]]),"")</f>
        <v/>
      </c>
      <c r="N26" s="10" t="str">
        <f>IF(Tabela589[[#This Row],[idvenda]]=C27,"",SUMIF(Tabela589[idvenda],Tabela589[[#This Row],[idvenda]],Tabela589[Total]))</f>
        <v/>
      </c>
      <c r="O26" s="10"/>
    </row>
    <row r="27" spans="3:15" x14ac:dyDescent="0.3">
      <c r="C27" s="10"/>
      <c r="D27" s="29"/>
      <c r="E27" s="10"/>
      <c r="F27" s="10" t="str">
        <f>IFERROR(VLOOKUP(E27,cálculos!$B$2:$E$32,4,FALSE),"")</f>
        <v/>
      </c>
      <c r="H27" s="30" t="str">
        <f>IFERROR(VLOOKUP(E27,cálculos!$B$2:$E$32,3,FALSE),"")</f>
        <v/>
      </c>
      <c r="I27" s="30" t="str">
        <f>IFERROR((Tabela589[[#This Row],[Quantidade]]*H27),"")</f>
        <v/>
      </c>
      <c r="J27" s="36"/>
      <c r="L27" s="30" t="str">
        <f>IFERROR(VLOOKUP(Tabela589[[#This Row],[Entrega]],cálculos!$G$3:$H$7,2,FALSE),"0")</f>
        <v>0</v>
      </c>
      <c r="M27" s="30" t="str">
        <f>IFERROR(SUM(Tabela589[[#This Row],[Subtotal]]*(1-Tabela589[[#This Row],[Desconto]])+Tabela589[[#This Row],[Valor de Entrega]]),"")</f>
        <v/>
      </c>
      <c r="N27" s="10" t="str">
        <f>IF(Tabela589[[#This Row],[idvenda]]=C28,"",SUMIF(Tabela589[idvenda],Tabela589[[#This Row],[idvenda]],Tabela589[Total]))</f>
        <v/>
      </c>
      <c r="O27" s="10"/>
    </row>
    <row r="28" spans="3:15" x14ac:dyDescent="0.3">
      <c r="C28" s="10"/>
      <c r="D28" s="29"/>
      <c r="E28" s="10"/>
      <c r="F28" s="10" t="str">
        <f>IFERROR(VLOOKUP(E28,cálculos!$B$2:$E$32,4,FALSE),"")</f>
        <v/>
      </c>
      <c r="H28" s="30" t="str">
        <f>IFERROR(VLOOKUP(E28,cálculos!$B$2:$E$32,3,FALSE),"")</f>
        <v/>
      </c>
      <c r="I28" s="30" t="str">
        <f>IFERROR((Tabela589[[#This Row],[Quantidade]]*H28),"")</f>
        <v/>
      </c>
      <c r="J28" s="36"/>
      <c r="L28" s="30" t="str">
        <f>IFERROR(VLOOKUP(Tabela589[[#This Row],[Entrega]],cálculos!$G$3:$H$7,2,FALSE),"0")</f>
        <v>0</v>
      </c>
      <c r="M28" s="30" t="str">
        <f>IFERROR(SUM(Tabela589[[#This Row],[Subtotal]]*(1-Tabela589[[#This Row],[Desconto]])+Tabela589[[#This Row],[Valor de Entrega]]),"")</f>
        <v/>
      </c>
      <c r="N28" s="10" t="str">
        <f>IF(Tabela589[[#This Row],[idvenda]]=C29,"",SUMIF(Tabela589[idvenda],Tabela589[[#This Row],[idvenda]],Tabela589[Total]))</f>
        <v/>
      </c>
      <c r="O28" s="10"/>
    </row>
    <row r="29" spans="3:15" x14ac:dyDescent="0.3">
      <c r="C29" s="10"/>
      <c r="D29" s="29"/>
      <c r="E29" s="10"/>
      <c r="F29" s="10" t="str">
        <f>IFERROR(VLOOKUP(E29,cálculos!$B$2:$E$32,4,FALSE),"")</f>
        <v/>
      </c>
      <c r="H29" s="30" t="str">
        <f>IFERROR(VLOOKUP(E29,cálculos!$B$2:$E$32,3,FALSE),"")</f>
        <v/>
      </c>
      <c r="I29" s="30" t="str">
        <f>IFERROR((Tabela589[[#This Row],[Quantidade]]*H29),"")</f>
        <v/>
      </c>
      <c r="J29" s="36"/>
      <c r="L29" s="30" t="str">
        <f>IFERROR(VLOOKUP(Tabela589[[#This Row],[Entrega]],cálculos!$G$3:$H$7,2,FALSE),"0")</f>
        <v>0</v>
      </c>
      <c r="M29" s="30" t="str">
        <f>IFERROR(SUM(Tabela589[[#This Row],[Subtotal]]*(1-Tabela589[[#This Row],[Desconto]])+Tabela589[[#This Row],[Valor de Entrega]]),"")</f>
        <v/>
      </c>
      <c r="N29" s="10" t="str">
        <f>IF(Tabela589[[#This Row],[idvenda]]=C30,"",SUMIF(Tabela589[idvenda],Tabela589[[#This Row],[idvenda]],Tabela589[Total]))</f>
        <v/>
      </c>
      <c r="O29" s="10"/>
    </row>
    <row r="30" spans="3:15" x14ac:dyDescent="0.3">
      <c r="D30" s="10"/>
      <c r="E30" s="65"/>
      <c r="F30" s="10"/>
      <c r="G30" s="10"/>
      <c r="I30" s="30"/>
      <c r="J30" s="30"/>
      <c r="K30" s="36"/>
      <c r="M30" s="30"/>
      <c r="N30" s="30"/>
      <c r="O30" s="10"/>
    </row>
    <row r="31" spans="3:15" x14ac:dyDescent="0.3">
      <c r="E31" s="37"/>
      <c r="I31" s="5"/>
      <c r="J31" s="5"/>
    </row>
    <row r="32" spans="3:15" ht="16.2" thickBot="1" x14ac:dyDescent="0.35">
      <c r="C32" s="38" t="s">
        <v>121</v>
      </c>
      <c r="D32" s="38"/>
      <c r="E32" s="38"/>
      <c r="F32" s="42"/>
      <c r="G32" s="42"/>
      <c r="H32" s="39"/>
      <c r="I32" s="39"/>
      <c r="J32" s="39"/>
      <c r="K32" s="39"/>
      <c r="L32" s="39"/>
      <c r="M32" s="39"/>
      <c r="N32" s="39">
        <f>SUM(Tabela589[Total Para o Cliente])</f>
        <v>0</v>
      </c>
      <c r="O32" s="43"/>
    </row>
    <row r="33" spans="3:15" ht="16.2" thickBot="1" x14ac:dyDescent="0.35">
      <c r="C33" s="60" t="s">
        <v>120</v>
      </c>
      <c r="D33" s="60"/>
      <c r="E33" s="60"/>
      <c r="F33" s="61"/>
      <c r="G33" s="61"/>
      <c r="H33" s="62"/>
      <c r="I33" s="62"/>
      <c r="J33" s="62"/>
      <c r="K33" s="62"/>
      <c r="L33" s="62"/>
      <c r="M33" s="62"/>
      <c r="N33" s="63">
        <f>SUM(Tabela589[Valor de Entrega])</f>
        <v>0</v>
      </c>
      <c r="O33" s="44"/>
    </row>
    <row r="34" spans="3:15" ht="14.4" customHeight="1" x14ac:dyDescent="0.3">
      <c r="C34" s="40" t="s">
        <v>138</v>
      </c>
      <c r="D34" s="40"/>
      <c r="E34" s="40"/>
      <c r="N34" s="59">
        <f>SUM(IF(FREQUENCY(Tabela589[idvenda],Tabela589[idvenda])&gt;0,1))</f>
        <v>0</v>
      </c>
      <c r="O34" s="37"/>
    </row>
  </sheetData>
  <mergeCells count="4">
    <mergeCell ref="C2:Z2"/>
    <mergeCell ref="C32:E32"/>
    <mergeCell ref="C33:E33"/>
    <mergeCell ref="C34:E34"/>
  </mergeCells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00BD007-538D-41F6-B58E-18396B1D56A6}">
          <x14:formula1>
            <xm:f>Estoque!$B$6:$B$29</xm:f>
          </x14:formula1>
          <xm:sqref>F30 E5:E29</xm:sqref>
        </x14:dataValidation>
        <x14:dataValidation type="list" allowBlank="1" showInputMessage="1" showErrorMessage="1" xr:uid="{8C00D47B-6B48-43B8-BCEB-EB6BE4DCE623}">
          <x14:formula1>
            <xm:f>cálculos!$G$3:$G$7</xm:f>
          </x14:formula1>
          <xm:sqref>L30 K5:K29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EFE2B-E025-4E4D-818E-D825954A4DE7}">
  <dimension ref="C2:Z34"/>
  <sheetViews>
    <sheetView showGridLines="0" topLeftCell="H8" zoomScaleNormal="100" workbookViewId="0">
      <selection activeCell="E30" sqref="E30"/>
    </sheetView>
  </sheetViews>
  <sheetFormatPr defaultRowHeight="14.4" x14ac:dyDescent="0.3"/>
  <cols>
    <col min="1" max="2" width="8.88671875" style="35"/>
    <col min="3" max="3" width="12" style="35" customWidth="1"/>
    <col min="4" max="4" width="14.5546875" style="35" customWidth="1"/>
    <col min="5" max="5" width="21.77734375" style="35" customWidth="1"/>
    <col min="6" max="6" width="17.21875" style="35" bestFit="1" customWidth="1"/>
    <col min="7" max="7" width="15.33203125" style="35" customWidth="1"/>
    <col min="8" max="8" width="16.109375" style="35" customWidth="1"/>
    <col min="9" max="9" width="13.44140625" style="35" customWidth="1"/>
    <col min="10" max="10" width="15" style="35" customWidth="1"/>
    <col min="11" max="11" width="14.6640625" style="35" customWidth="1"/>
    <col min="12" max="12" width="16.21875" style="35" customWidth="1"/>
    <col min="13" max="13" width="11.88671875" style="35" customWidth="1"/>
    <col min="14" max="14" width="20.88671875" style="35" customWidth="1"/>
    <col min="15" max="15" width="21.88671875" style="35" bestFit="1" customWidth="1"/>
    <col min="16" max="16384" width="8.88671875" style="35"/>
  </cols>
  <sheetData>
    <row r="2" spans="3:26" ht="21" x14ac:dyDescent="0.3">
      <c r="C2" s="2" t="s">
        <v>124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4" spans="3:26" x14ac:dyDescent="0.3">
      <c r="C4" s="10" t="s">
        <v>107</v>
      </c>
      <c r="D4" s="10" t="s">
        <v>43</v>
      </c>
      <c r="E4" s="10" t="s">
        <v>99</v>
      </c>
      <c r="F4" s="10" t="s">
        <v>57</v>
      </c>
      <c r="G4" s="10" t="s">
        <v>58</v>
      </c>
      <c r="H4" s="10" t="s">
        <v>108</v>
      </c>
      <c r="I4" s="10" t="s">
        <v>109</v>
      </c>
      <c r="J4" s="10" t="s">
        <v>60</v>
      </c>
      <c r="K4" s="10" t="s">
        <v>110</v>
      </c>
      <c r="L4" s="10" t="s">
        <v>117</v>
      </c>
      <c r="M4" s="10" t="s">
        <v>118</v>
      </c>
      <c r="N4" s="10" t="s">
        <v>119</v>
      </c>
    </row>
    <row r="5" spans="3:26" x14ac:dyDescent="0.3">
      <c r="C5" s="10"/>
      <c r="D5" s="29"/>
      <c r="E5" s="10"/>
      <c r="F5" s="10" t="str">
        <f>IFERROR(VLOOKUP(E5,cálculos!$B$2:$E$32,4,FALSE),"")</f>
        <v/>
      </c>
      <c r="H5" s="30" t="str">
        <f>IFERROR(VLOOKUP(E5,cálculos!$B$2:$E$32,3,FALSE),"")</f>
        <v/>
      </c>
      <c r="I5" s="30" t="str">
        <f>IFERROR((Tabela58910[[#This Row],[Quantidade]]*H5),"")</f>
        <v/>
      </c>
      <c r="J5" s="36"/>
      <c r="L5" s="30" t="str">
        <f>IFERROR(VLOOKUP(Tabela58910[[#This Row],[Entrega]],cálculos!$G$3:$H$7,2,FALSE),"0")</f>
        <v>0</v>
      </c>
      <c r="M5" s="30" t="str">
        <f>IFERROR(SUM(Tabela58910[[#This Row],[Subtotal]]*(1-Tabela58910[[#This Row],[Desconto]])+Tabela58910[[#This Row],[Valor de Entrega]]),"")</f>
        <v/>
      </c>
      <c r="N5" s="10" t="str">
        <f>IF(Tabela58910[[#This Row],[idvenda]]=C6,"",SUMIF(Tabela58910[idvenda],Tabela58910[[#This Row],[idvenda]],Tabela58910[Total]))</f>
        <v/>
      </c>
      <c r="O5" s="10"/>
    </row>
    <row r="6" spans="3:26" x14ac:dyDescent="0.3">
      <c r="C6" s="10"/>
      <c r="D6" s="29"/>
      <c r="E6" s="10"/>
      <c r="F6" s="10" t="str">
        <f>IFERROR(VLOOKUP(E6,cálculos!$B$2:$E$32,4,FALSE),"")</f>
        <v/>
      </c>
      <c r="H6" s="30" t="str">
        <f>IFERROR(VLOOKUP(E6,cálculos!$B$2:$E$32,3,FALSE),"")</f>
        <v/>
      </c>
      <c r="I6" s="30" t="str">
        <f>IFERROR((Tabela58910[[#This Row],[Quantidade]]*H6),"")</f>
        <v/>
      </c>
      <c r="J6" s="36"/>
      <c r="L6" s="30" t="str">
        <f>IFERROR(VLOOKUP(Tabela58910[[#This Row],[Entrega]],cálculos!$G$3:$H$7,2,FALSE),"0")</f>
        <v>0</v>
      </c>
      <c r="M6" s="30" t="str">
        <f>IFERROR(SUM(Tabela58910[[#This Row],[Subtotal]]*(1-Tabela58910[[#This Row],[Desconto]])+Tabela58910[[#This Row],[Valor de Entrega]]),"")</f>
        <v/>
      </c>
      <c r="N6" s="10" t="str">
        <f>IF(Tabela58910[[#This Row],[idvenda]]=C7,"",SUMIF(Tabela58910[idvenda],Tabela58910[[#This Row],[idvenda]],Tabela58910[Total]))</f>
        <v/>
      </c>
      <c r="O6" s="10"/>
    </row>
    <row r="7" spans="3:26" x14ac:dyDescent="0.3">
      <c r="C7" s="10"/>
      <c r="D7" s="29"/>
      <c r="E7" s="10"/>
      <c r="F7" s="10" t="str">
        <f>IFERROR(VLOOKUP(E7,cálculos!$B$2:$E$32,4,FALSE),"")</f>
        <v/>
      </c>
      <c r="H7" s="30" t="str">
        <f>IFERROR(VLOOKUP(E7,cálculos!$B$2:$E$32,3,FALSE),"")</f>
        <v/>
      </c>
      <c r="I7" s="30" t="str">
        <f>IFERROR((Tabela58910[[#This Row],[Quantidade]]*H7),"")</f>
        <v/>
      </c>
      <c r="J7" s="36"/>
      <c r="L7" s="30" t="str">
        <f>IFERROR(VLOOKUP(Tabela58910[[#This Row],[Entrega]],cálculos!$G$3:$H$7,2,FALSE),"0")</f>
        <v>0</v>
      </c>
      <c r="M7" s="30" t="str">
        <f>IFERROR(SUM(Tabela58910[[#This Row],[Subtotal]]*(1-Tabela58910[[#This Row],[Desconto]])+Tabela58910[[#This Row],[Valor de Entrega]]),"")</f>
        <v/>
      </c>
      <c r="N7" s="10" t="str">
        <f>IF(Tabela58910[[#This Row],[idvenda]]=C8,"",SUMIF(Tabela58910[idvenda],Tabela58910[[#This Row],[idvenda]],Tabela58910[Total]))</f>
        <v/>
      </c>
      <c r="O7" s="10"/>
    </row>
    <row r="8" spans="3:26" x14ac:dyDescent="0.3">
      <c r="C8" s="10"/>
      <c r="D8" s="29"/>
      <c r="E8" s="10"/>
      <c r="F8" s="10" t="str">
        <f>IFERROR(VLOOKUP(E8,cálculos!$B$2:$E$32,4,FALSE),"")</f>
        <v/>
      </c>
      <c r="H8" s="30" t="str">
        <f>IFERROR(VLOOKUP(E8,cálculos!$B$2:$E$32,3,FALSE),"")</f>
        <v/>
      </c>
      <c r="I8" s="30" t="str">
        <f>IFERROR((Tabela58910[[#This Row],[Quantidade]]*H8),"")</f>
        <v/>
      </c>
      <c r="J8" s="36"/>
      <c r="L8" s="30" t="str">
        <f>IFERROR(VLOOKUP(Tabela58910[[#This Row],[Entrega]],cálculos!$G$3:$H$7,2,FALSE),"0")</f>
        <v>0</v>
      </c>
      <c r="M8" s="30" t="str">
        <f>IFERROR(SUM(Tabela58910[[#This Row],[Subtotal]]*(1-Tabela58910[[#This Row],[Desconto]])+Tabela58910[[#This Row],[Valor de Entrega]]),"")</f>
        <v/>
      </c>
      <c r="N8" s="41" t="str">
        <f>IF(Tabela58910[[#This Row],[idvenda]]=C9,"",SUMIF(Tabela58910[idvenda],Tabela58910[[#This Row],[idvenda]],Tabela58910[Total]))</f>
        <v/>
      </c>
      <c r="O8" s="10"/>
    </row>
    <row r="9" spans="3:26" x14ac:dyDescent="0.3">
      <c r="C9" s="10"/>
      <c r="D9" s="29"/>
      <c r="E9" s="10"/>
      <c r="F9" s="10" t="str">
        <f>IFERROR(VLOOKUP(E9,cálculos!$B$2:$E$32,4,FALSE),"")</f>
        <v/>
      </c>
      <c r="H9" s="30" t="str">
        <f>IFERROR(VLOOKUP(E9,cálculos!$B$2:$E$32,3,FALSE),"")</f>
        <v/>
      </c>
      <c r="I9" s="30" t="str">
        <f>IFERROR((Tabela58910[[#This Row],[Quantidade]]*H9),"")</f>
        <v/>
      </c>
      <c r="J9" s="36"/>
      <c r="L9" s="30" t="str">
        <f>IFERROR(VLOOKUP(Tabela58910[[#This Row],[Entrega]],cálculos!$G$3:$H$7,2,FALSE),"0")</f>
        <v>0</v>
      </c>
      <c r="M9" s="30" t="str">
        <f>IFERROR(SUM(Tabela58910[[#This Row],[Subtotal]]*(1-Tabela58910[[#This Row],[Desconto]])+Tabela58910[[#This Row],[Valor de Entrega]]),"")</f>
        <v/>
      </c>
      <c r="N9" s="10" t="str">
        <f>IF(Tabela58910[[#This Row],[idvenda]]=C10,"",SUMIF(Tabela58910[idvenda],Tabela58910[[#This Row],[idvenda]],Tabela58910[Total]))</f>
        <v/>
      </c>
      <c r="O9" s="41"/>
    </row>
    <row r="10" spans="3:26" x14ac:dyDescent="0.3">
      <c r="C10" s="10"/>
      <c r="D10" s="29"/>
      <c r="E10" s="10"/>
      <c r="F10" s="10" t="str">
        <f>IFERROR(VLOOKUP(E10,cálculos!$B$2:$E$32,4,FALSE),"")</f>
        <v/>
      </c>
      <c r="H10" s="30" t="str">
        <f>IFERROR(VLOOKUP(E10,cálculos!$B$2:$E$32,3,FALSE),"")</f>
        <v/>
      </c>
      <c r="I10" s="30" t="str">
        <f>IFERROR((Tabela58910[[#This Row],[Quantidade]]*H10),"")</f>
        <v/>
      </c>
      <c r="J10" s="36"/>
      <c r="L10" s="30" t="str">
        <f>IFERROR(VLOOKUP(Tabela58910[[#This Row],[Entrega]],cálculos!$G$3:$H$7,2,FALSE),"0")</f>
        <v>0</v>
      </c>
      <c r="M10" s="30" t="str">
        <f>IFERROR(SUM(Tabela58910[[#This Row],[Subtotal]]*(1-Tabela58910[[#This Row],[Desconto]])+Tabela58910[[#This Row],[Valor de Entrega]]),"")</f>
        <v/>
      </c>
      <c r="N10" s="10" t="str">
        <f>IF(Tabela58910[[#This Row],[idvenda]]=C11,"",SUMIF(Tabela58910[idvenda],Tabela58910[[#This Row],[idvenda]],Tabela58910[Total]))</f>
        <v/>
      </c>
      <c r="O10" s="10"/>
    </row>
    <row r="11" spans="3:26" x14ac:dyDescent="0.3">
      <c r="C11" s="10"/>
      <c r="D11" s="29"/>
      <c r="E11" s="10"/>
      <c r="F11" s="10" t="str">
        <f>IFERROR(VLOOKUP(E11,cálculos!$B$2:$E$32,4,FALSE),"")</f>
        <v/>
      </c>
      <c r="H11" s="30" t="str">
        <f>IFERROR(VLOOKUP(E11,cálculos!$B$2:$E$32,3,FALSE),"")</f>
        <v/>
      </c>
      <c r="I11" s="30" t="str">
        <f>IFERROR((Tabela58910[[#This Row],[Quantidade]]*H11),"")</f>
        <v/>
      </c>
      <c r="J11" s="36"/>
      <c r="L11" s="30" t="str">
        <f>IFERROR(VLOOKUP(Tabela58910[[#This Row],[Entrega]],cálculos!$G$3:$H$7,2,FALSE),"0")</f>
        <v>0</v>
      </c>
      <c r="M11" s="30" t="str">
        <f>IFERROR(SUM(Tabela58910[[#This Row],[Subtotal]]*(1-Tabela58910[[#This Row],[Desconto]])+Tabela58910[[#This Row],[Valor de Entrega]]),"")</f>
        <v/>
      </c>
      <c r="N11" s="10" t="str">
        <f>IF(Tabela58910[[#This Row],[idvenda]]=C12,"",SUMIF(Tabela58910[idvenda],Tabela58910[[#This Row],[idvenda]],Tabela58910[Total]))</f>
        <v/>
      </c>
      <c r="O11" s="10"/>
    </row>
    <row r="12" spans="3:26" x14ac:dyDescent="0.3">
      <c r="C12" s="10"/>
      <c r="D12" s="29"/>
      <c r="E12" s="10"/>
      <c r="F12" s="10" t="str">
        <f>IFERROR(VLOOKUP(E12,cálculos!$B$2:$E$32,4,FALSE),"")</f>
        <v/>
      </c>
      <c r="H12" s="30" t="str">
        <f>IFERROR(VLOOKUP(E12,cálculos!$B$2:$E$32,3,FALSE),"")</f>
        <v/>
      </c>
      <c r="I12" s="30" t="str">
        <f>IFERROR((Tabela58910[[#This Row],[Quantidade]]*H12),"")</f>
        <v/>
      </c>
      <c r="J12" s="36"/>
      <c r="L12" s="30" t="str">
        <f>IFERROR(VLOOKUP(Tabela58910[[#This Row],[Entrega]],cálculos!$G$3:$H$7,2,FALSE),"0")</f>
        <v>0</v>
      </c>
      <c r="M12" s="30" t="str">
        <f>IFERROR(SUM(Tabela58910[[#This Row],[Subtotal]]*(1-Tabela58910[[#This Row],[Desconto]])+Tabela58910[[#This Row],[Valor de Entrega]]),"")</f>
        <v/>
      </c>
      <c r="N12" s="10" t="str">
        <f>IF(Tabela58910[[#This Row],[idvenda]]=C13,"",SUMIF(Tabela58910[idvenda],Tabela58910[[#This Row],[idvenda]],Tabela58910[Total]))</f>
        <v/>
      </c>
      <c r="O12" s="10"/>
    </row>
    <row r="13" spans="3:26" x14ac:dyDescent="0.3">
      <c r="C13" s="10"/>
      <c r="D13" s="29"/>
      <c r="E13" s="10"/>
      <c r="F13" s="10" t="str">
        <f>IFERROR(VLOOKUP(E13,cálculos!$B$2:$E$32,4,FALSE),"")</f>
        <v/>
      </c>
      <c r="H13" s="30" t="str">
        <f>IFERROR(VLOOKUP(E13,cálculos!$B$2:$E$32,3,FALSE),"")</f>
        <v/>
      </c>
      <c r="I13" s="30" t="str">
        <f>IFERROR((Tabela58910[[#This Row],[Quantidade]]*H13),"")</f>
        <v/>
      </c>
      <c r="J13" s="36"/>
      <c r="L13" s="30" t="str">
        <f>IFERROR(VLOOKUP(Tabela58910[[#This Row],[Entrega]],cálculos!$G$3:$H$7,2,FALSE),"0")</f>
        <v>0</v>
      </c>
      <c r="M13" s="30" t="str">
        <f>IFERROR(SUM(Tabela58910[[#This Row],[Subtotal]]*(1-Tabela58910[[#This Row],[Desconto]])+Tabela58910[[#This Row],[Valor de Entrega]]),"")</f>
        <v/>
      </c>
      <c r="N13" s="10" t="str">
        <f>IF(Tabela58910[[#This Row],[idvenda]]=C14,"",SUMIF(Tabela58910[idvenda],Tabela58910[[#This Row],[idvenda]],Tabela58910[Total]))</f>
        <v/>
      </c>
      <c r="O13" s="10"/>
    </row>
    <row r="14" spans="3:26" x14ac:dyDescent="0.3">
      <c r="C14" s="10"/>
      <c r="D14" s="29"/>
      <c r="E14" s="10"/>
      <c r="F14" s="10" t="str">
        <f>IFERROR(VLOOKUP(E14,cálculos!$B$2:$E$32,4,FALSE),"")</f>
        <v/>
      </c>
      <c r="H14" s="30" t="str">
        <f>IFERROR(VLOOKUP(E14,cálculos!$B$2:$E$32,3,FALSE),"")</f>
        <v/>
      </c>
      <c r="I14" s="30" t="str">
        <f>IFERROR((Tabela58910[[#This Row],[Quantidade]]*H14),"")</f>
        <v/>
      </c>
      <c r="J14" s="36"/>
      <c r="L14" s="30" t="str">
        <f>IFERROR(VLOOKUP(Tabela58910[[#This Row],[Entrega]],cálculos!$G$3:$H$7,2,FALSE),"0")</f>
        <v>0</v>
      </c>
      <c r="M14" s="30" t="str">
        <f>IFERROR(SUM(Tabela58910[[#This Row],[Subtotal]]*(1-Tabela58910[[#This Row],[Desconto]])+Tabela58910[[#This Row],[Valor de Entrega]]),"")</f>
        <v/>
      </c>
      <c r="N14" s="10" t="str">
        <f>IF(Tabela58910[[#This Row],[idvenda]]=C15,"",SUMIF(Tabela58910[idvenda],Tabela58910[[#This Row],[idvenda]],Tabela58910[Total]))</f>
        <v/>
      </c>
      <c r="O14" s="10"/>
    </row>
    <row r="15" spans="3:26" x14ac:dyDescent="0.3">
      <c r="C15" s="10"/>
      <c r="D15" s="29"/>
      <c r="E15" s="10"/>
      <c r="F15" s="10" t="str">
        <f>IFERROR(VLOOKUP(E15,cálculos!$B$2:$E$32,4,FALSE),"")</f>
        <v/>
      </c>
      <c r="H15" s="30" t="str">
        <f>IFERROR(VLOOKUP(E15,cálculos!$B$2:$E$32,3,FALSE),"")</f>
        <v/>
      </c>
      <c r="I15" s="30" t="str">
        <f>IFERROR((Tabela58910[[#This Row],[Quantidade]]*H15),"")</f>
        <v/>
      </c>
      <c r="J15" s="36"/>
      <c r="L15" s="30" t="str">
        <f>IFERROR(VLOOKUP(Tabela58910[[#This Row],[Entrega]],cálculos!$G$3:$H$7,2,FALSE),"0")</f>
        <v>0</v>
      </c>
      <c r="M15" s="30" t="str">
        <f>IFERROR(SUM(Tabela58910[[#This Row],[Subtotal]]*(1-Tabela58910[[#This Row],[Desconto]])+Tabela58910[[#This Row],[Valor de Entrega]]),"")</f>
        <v/>
      </c>
      <c r="N15" s="10" t="str">
        <f>IF(Tabela58910[[#This Row],[idvenda]]=C16,"",SUMIF(Tabela58910[idvenda],Tabela58910[[#This Row],[idvenda]],Tabela58910[Total]))</f>
        <v/>
      </c>
      <c r="O15" s="10"/>
    </row>
    <row r="16" spans="3:26" x14ac:dyDescent="0.3">
      <c r="C16" s="10"/>
      <c r="D16" s="29"/>
      <c r="E16" s="10"/>
      <c r="F16" s="10" t="str">
        <f>IFERROR(VLOOKUP(E16,cálculos!$B$2:$E$32,4,FALSE),"")</f>
        <v/>
      </c>
      <c r="H16" s="30" t="str">
        <f>IFERROR(VLOOKUP(E16,cálculos!$B$2:$E$32,3,FALSE),"")</f>
        <v/>
      </c>
      <c r="I16" s="30" t="str">
        <f>IFERROR((Tabela58910[[#This Row],[Quantidade]]*H16),"")</f>
        <v/>
      </c>
      <c r="J16" s="36"/>
      <c r="L16" s="30" t="str">
        <f>IFERROR(VLOOKUP(Tabela58910[[#This Row],[Entrega]],cálculos!$G$3:$H$7,2,FALSE),"0")</f>
        <v>0</v>
      </c>
      <c r="M16" s="30" t="str">
        <f>IFERROR(SUM(Tabela58910[[#This Row],[Subtotal]]*(1-Tabela58910[[#This Row],[Desconto]])+Tabela58910[[#This Row],[Valor de Entrega]]),"")</f>
        <v/>
      </c>
      <c r="N16" s="10" t="str">
        <f>IF(Tabela58910[[#This Row],[idvenda]]=C17,"",SUMIF(Tabela58910[idvenda],Tabela58910[[#This Row],[idvenda]],Tabela58910[Total]))</f>
        <v/>
      </c>
      <c r="O16" s="10"/>
    </row>
    <row r="17" spans="3:15" x14ac:dyDescent="0.3">
      <c r="C17" s="10"/>
      <c r="D17" s="29"/>
      <c r="E17" s="10"/>
      <c r="F17" s="10" t="str">
        <f>IFERROR(VLOOKUP(E17,cálculos!$B$2:$E$32,4,FALSE),"")</f>
        <v/>
      </c>
      <c r="H17" s="30" t="str">
        <f>IFERROR(VLOOKUP(E17,cálculos!$B$2:$E$32,3,FALSE),"")</f>
        <v/>
      </c>
      <c r="I17" s="30" t="str">
        <f>IFERROR((Tabela58910[[#This Row],[Quantidade]]*H17),"")</f>
        <v/>
      </c>
      <c r="J17" s="36"/>
      <c r="L17" s="30" t="str">
        <f>IFERROR(VLOOKUP(Tabela58910[[#This Row],[Entrega]],cálculos!$G$3:$H$7,2,FALSE),"0")</f>
        <v>0</v>
      </c>
      <c r="M17" s="30" t="str">
        <f>IFERROR(SUM(Tabela58910[[#This Row],[Subtotal]]*(1-Tabela58910[[#This Row],[Desconto]])+Tabela58910[[#This Row],[Valor de Entrega]]),"")</f>
        <v/>
      </c>
      <c r="N17" s="10" t="str">
        <f>IF(Tabela58910[[#This Row],[idvenda]]=C18,"",SUMIF(Tabela58910[idvenda],Tabela58910[[#This Row],[idvenda]],Tabela58910[Total]))</f>
        <v/>
      </c>
      <c r="O17" s="10"/>
    </row>
    <row r="18" spans="3:15" x14ac:dyDescent="0.3">
      <c r="C18" s="10"/>
      <c r="D18" s="29"/>
      <c r="E18" s="10"/>
      <c r="F18" s="10" t="str">
        <f>IFERROR(VLOOKUP(E18,cálculos!$B$2:$E$32,4,FALSE),"")</f>
        <v/>
      </c>
      <c r="H18" s="30" t="str">
        <f>IFERROR(VLOOKUP(E18,cálculos!$B$2:$E$32,3,FALSE),"")</f>
        <v/>
      </c>
      <c r="I18" s="30" t="str">
        <f>IFERROR((Tabela58910[[#This Row],[Quantidade]]*H18),"")</f>
        <v/>
      </c>
      <c r="J18" s="36"/>
      <c r="L18" s="30" t="str">
        <f>IFERROR(VLOOKUP(Tabela58910[[#This Row],[Entrega]],cálculos!$G$3:$H$7,2,FALSE),"0")</f>
        <v>0</v>
      </c>
      <c r="M18" s="30" t="str">
        <f>IFERROR(SUM(Tabela58910[[#This Row],[Subtotal]]*(1-Tabela58910[[#This Row],[Desconto]])+Tabela58910[[#This Row],[Valor de Entrega]]),"")</f>
        <v/>
      </c>
      <c r="N18" s="10" t="str">
        <f>IF(Tabela58910[[#This Row],[idvenda]]=C19,"",SUMIF(Tabela58910[idvenda],Tabela58910[[#This Row],[idvenda]],Tabela58910[Total]))</f>
        <v/>
      </c>
      <c r="O18" s="10"/>
    </row>
    <row r="19" spans="3:15" x14ac:dyDescent="0.3">
      <c r="C19" s="10"/>
      <c r="D19" s="29"/>
      <c r="E19" s="10"/>
      <c r="F19" s="10" t="str">
        <f>IFERROR(VLOOKUP(E19,cálculos!$B$2:$E$32,4,FALSE),"")</f>
        <v/>
      </c>
      <c r="H19" s="30" t="str">
        <f>IFERROR(VLOOKUP(E19,cálculos!$B$2:$E$32,3,FALSE),"")</f>
        <v/>
      </c>
      <c r="I19" s="30" t="str">
        <f>IFERROR((Tabela58910[[#This Row],[Quantidade]]*H19),"")</f>
        <v/>
      </c>
      <c r="J19" s="36"/>
      <c r="L19" s="30" t="str">
        <f>IFERROR(VLOOKUP(Tabela58910[[#This Row],[Entrega]],cálculos!$G$3:$H$7,2,FALSE),"0")</f>
        <v>0</v>
      </c>
      <c r="M19" s="30" t="str">
        <f>IFERROR(SUM(Tabela58910[[#This Row],[Subtotal]]*(1-Tabela58910[[#This Row],[Desconto]])+Tabela58910[[#This Row],[Valor de Entrega]]),"")</f>
        <v/>
      </c>
      <c r="N19" s="10" t="str">
        <f>IF(Tabela58910[[#This Row],[idvenda]]=C20,"",SUMIF(Tabela58910[idvenda],Tabela58910[[#This Row],[idvenda]],Tabela58910[Total]))</f>
        <v/>
      </c>
      <c r="O19" s="10"/>
    </row>
    <row r="20" spans="3:15" x14ac:dyDescent="0.3">
      <c r="C20" s="10"/>
      <c r="D20" s="29"/>
      <c r="E20" s="10"/>
      <c r="F20" s="10" t="str">
        <f>IFERROR(VLOOKUP(E20,cálculos!$B$2:$E$32,4,FALSE),"")</f>
        <v/>
      </c>
      <c r="H20" s="30" t="str">
        <f>IFERROR(VLOOKUP(E20,cálculos!$B$2:$E$32,3,FALSE),"")</f>
        <v/>
      </c>
      <c r="I20" s="30" t="str">
        <f>IFERROR((Tabela58910[[#This Row],[Quantidade]]*H20),"")</f>
        <v/>
      </c>
      <c r="J20" s="36"/>
      <c r="L20" s="30" t="str">
        <f>IFERROR(VLOOKUP(Tabela58910[[#This Row],[Entrega]],cálculos!$G$3:$H$7,2,FALSE),"0")</f>
        <v>0</v>
      </c>
      <c r="M20" s="30" t="str">
        <f>IFERROR(SUM(Tabela58910[[#This Row],[Subtotal]]*(1-Tabela58910[[#This Row],[Desconto]])+Tabela58910[[#This Row],[Valor de Entrega]]),"")</f>
        <v/>
      </c>
      <c r="N20" s="10" t="str">
        <f>IF(Tabela58910[[#This Row],[idvenda]]=C21,"",SUMIF(Tabela58910[idvenda],Tabela58910[[#This Row],[idvenda]],Tabela58910[Total]))</f>
        <v/>
      </c>
      <c r="O20" s="10"/>
    </row>
    <row r="21" spans="3:15" x14ac:dyDescent="0.3">
      <c r="C21" s="10"/>
      <c r="D21" s="29"/>
      <c r="E21" s="10"/>
      <c r="F21" s="10" t="str">
        <f>IFERROR(VLOOKUP(E21,cálculos!$B$2:$E$32,4,FALSE),"")</f>
        <v/>
      </c>
      <c r="H21" s="30" t="str">
        <f>IFERROR(VLOOKUP(E21,cálculos!$B$2:$E$32,3,FALSE),"")</f>
        <v/>
      </c>
      <c r="I21" s="30" t="str">
        <f>IFERROR((Tabela58910[[#This Row],[Quantidade]]*H21),"")</f>
        <v/>
      </c>
      <c r="J21" s="36"/>
      <c r="L21" s="30" t="str">
        <f>IFERROR(VLOOKUP(Tabela58910[[#This Row],[Entrega]],cálculos!$G$3:$H$7,2,FALSE),"0")</f>
        <v>0</v>
      </c>
      <c r="M21" s="30" t="str">
        <f>IFERROR(SUM(Tabela58910[[#This Row],[Subtotal]]*(1-Tabela58910[[#This Row],[Desconto]])+Tabela58910[[#This Row],[Valor de Entrega]]),"")</f>
        <v/>
      </c>
      <c r="N21" s="10" t="str">
        <f>IF(Tabela58910[[#This Row],[idvenda]]=C22,"",SUMIF(Tabela58910[idvenda],Tabela58910[[#This Row],[idvenda]],Tabela58910[Total]))</f>
        <v/>
      </c>
      <c r="O21" s="10"/>
    </row>
    <row r="22" spans="3:15" x14ac:dyDescent="0.3">
      <c r="C22" s="10"/>
      <c r="D22" s="29"/>
      <c r="E22" s="10"/>
      <c r="F22" s="10" t="str">
        <f>IFERROR(VLOOKUP(E22,cálculos!$B$2:$E$32,4,FALSE),"")</f>
        <v/>
      </c>
      <c r="H22" s="30" t="str">
        <f>IFERROR(VLOOKUP(E22,cálculos!$B$2:$E$32,3,FALSE),"")</f>
        <v/>
      </c>
      <c r="I22" s="30" t="str">
        <f>IFERROR((Tabela58910[[#This Row],[Quantidade]]*H22),"")</f>
        <v/>
      </c>
      <c r="J22" s="36"/>
      <c r="L22" s="30" t="str">
        <f>IFERROR(VLOOKUP(Tabela58910[[#This Row],[Entrega]],cálculos!$G$3:$H$7,2,FALSE),"0")</f>
        <v>0</v>
      </c>
      <c r="M22" s="30" t="str">
        <f>IFERROR(SUM(Tabela58910[[#This Row],[Subtotal]]*(1-Tabela58910[[#This Row],[Desconto]])+Tabela58910[[#This Row],[Valor de Entrega]]),"")</f>
        <v/>
      </c>
      <c r="N22" s="10" t="str">
        <f>IF(Tabela58910[[#This Row],[idvenda]]=C23,"",SUMIF(Tabela58910[idvenda],Tabela58910[[#This Row],[idvenda]],Tabela58910[Total]))</f>
        <v/>
      </c>
      <c r="O22" s="10"/>
    </row>
    <row r="23" spans="3:15" x14ac:dyDescent="0.3">
      <c r="C23" s="10"/>
      <c r="D23" s="29"/>
      <c r="E23" s="10"/>
      <c r="F23" s="10" t="str">
        <f>IFERROR(VLOOKUP(E23,cálculos!$B$2:$E$32,4,FALSE),"")</f>
        <v/>
      </c>
      <c r="H23" s="30" t="str">
        <f>IFERROR(VLOOKUP(E23,cálculos!$B$2:$E$32,3,FALSE),"")</f>
        <v/>
      </c>
      <c r="I23" s="30" t="str">
        <f>IFERROR((Tabela58910[[#This Row],[Quantidade]]*H23),"")</f>
        <v/>
      </c>
      <c r="J23" s="36"/>
      <c r="L23" s="30" t="str">
        <f>IFERROR(VLOOKUP(Tabela58910[[#This Row],[Entrega]],cálculos!$G$3:$H$7,2,FALSE),"0")</f>
        <v>0</v>
      </c>
      <c r="M23" s="30" t="str">
        <f>IFERROR(SUM(Tabela58910[[#This Row],[Subtotal]]*(1-Tabela58910[[#This Row],[Desconto]])+Tabela58910[[#This Row],[Valor de Entrega]]),"")</f>
        <v/>
      </c>
      <c r="N23" s="10" t="str">
        <f>IF(Tabela58910[[#This Row],[idvenda]]=C24,"",SUMIF(Tabela58910[idvenda],Tabela58910[[#This Row],[idvenda]],Tabela58910[Total]))</f>
        <v/>
      </c>
      <c r="O23" s="10"/>
    </row>
    <row r="24" spans="3:15" x14ac:dyDescent="0.3">
      <c r="C24" s="10"/>
      <c r="D24" s="29"/>
      <c r="E24" s="10"/>
      <c r="F24" s="10" t="str">
        <f>IFERROR(VLOOKUP(E24,cálculos!$B$2:$E$32,4,FALSE),"")</f>
        <v/>
      </c>
      <c r="H24" s="30" t="str">
        <f>IFERROR(VLOOKUP(E24,cálculos!$B$2:$E$32,3,FALSE),"")</f>
        <v/>
      </c>
      <c r="I24" s="30" t="str">
        <f>IFERROR((Tabela58910[[#This Row],[Quantidade]]*H24),"")</f>
        <v/>
      </c>
      <c r="J24" s="36"/>
      <c r="L24" s="30" t="str">
        <f>IFERROR(VLOOKUP(Tabela58910[[#This Row],[Entrega]],cálculos!$G$3:$H$7,2,FALSE),"0")</f>
        <v>0</v>
      </c>
      <c r="M24" s="30" t="str">
        <f>IFERROR(SUM(Tabela58910[[#This Row],[Subtotal]]*(1-Tabela58910[[#This Row],[Desconto]])+Tabela58910[[#This Row],[Valor de Entrega]]),"")</f>
        <v/>
      </c>
      <c r="N24" s="10" t="str">
        <f>IF(Tabela58910[[#This Row],[idvenda]]=C25,"",SUMIF(Tabela58910[idvenda],Tabela58910[[#This Row],[idvenda]],Tabela58910[Total]))</f>
        <v/>
      </c>
      <c r="O24" s="10"/>
    </row>
    <row r="25" spans="3:15" x14ac:dyDescent="0.3">
      <c r="C25" s="10"/>
      <c r="D25" s="29"/>
      <c r="E25" s="10"/>
      <c r="F25" s="10" t="str">
        <f>IFERROR(VLOOKUP(E25,cálculos!$B$2:$E$32,4,FALSE),"")</f>
        <v/>
      </c>
      <c r="H25" s="30" t="str">
        <f>IFERROR(VLOOKUP(E25,cálculos!$B$2:$E$32,3,FALSE),"")</f>
        <v/>
      </c>
      <c r="I25" s="30" t="str">
        <f>IFERROR((Tabela58910[[#This Row],[Quantidade]]*H25),"")</f>
        <v/>
      </c>
      <c r="J25" s="36"/>
      <c r="L25" s="30" t="str">
        <f>IFERROR(VLOOKUP(Tabela58910[[#This Row],[Entrega]],cálculos!$G$3:$H$7,2,FALSE),"0")</f>
        <v>0</v>
      </c>
      <c r="M25" s="30" t="str">
        <f>IFERROR(SUM(Tabela58910[[#This Row],[Subtotal]]*(1-Tabela58910[[#This Row],[Desconto]])+Tabela58910[[#This Row],[Valor de Entrega]]),"")</f>
        <v/>
      </c>
      <c r="N25" s="10" t="str">
        <f>IF(Tabela58910[[#This Row],[idvenda]]=C26,"",SUMIF(Tabela58910[idvenda],Tabela58910[[#This Row],[idvenda]],Tabela58910[Total]))</f>
        <v/>
      </c>
      <c r="O25" s="10"/>
    </row>
    <row r="26" spans="3:15" x14ac:dyDescent="0.3">
      <c r="C26" s="10"/>
      <c r="D26" s="29"/>
      <c r="E26" s="10"/>
      <c r="F26" s="10" t="str">
        <f>IFERROR(VLOOKUP(E26,cálculos!$B$2:$E$32,4,FALSE),"")</f>
        <v/>
      </c>
      <c r="H26" s="30" t="str">
        <f>IFERROR(VLOOKUP(E26,cálculos!$B$2:$E$32,3,FALSE),"")</f>
        <v/>
      </c>
      <c r="I26" s="30" t="str">
        <f>IFERROR((Tabela58910[[#This Row],[Quantidade]]*H26),"")</f>
        <v/>
      </c>
      <c r="J26" s="36"/>
      <c r="L26" s="30" t="str">
        <f>IFERROR(VLOOKUP(Tabela58910[[#This Row],[Entrega]],cálculos!$G$3:$H$7,2,FALSE),"0")</f>
        <v>0</v>
      </c>
      <c r="M26" s="30" t="str">
        <f>IFERROR(SUM(Tabela58910[[#This Row],[Subtotal]]*(1-Tabela58910[[#This Row],[Desconto]])+Tabela58910[[#This Row],[Valor de Entrega]]),"")</f>
        <v/>
      </c>
      <c r="N26" s="10" t="str">
        <f>IF(Tabela58910[[#This Row],[idvenda]]=C27,"",SUMIF(Tabela58910[idvenda],Tabela58910[[#This Row],[idvenda]],Tabela58910[Total]))</f>
        <v/>
      </c>
      <c r="O26" s="10"/>
    </row>
    <row r="27" spans="3:15" x14ac:dyDescent="0.3">
      <c r="C27" s="10"/>
      <c r="D27" s="29"/>
      <c r="E27" s="10"/>
      <c r="F27" s="10" t="str">
        <f>IFERROR(VLOOKUP(E27,cálculos!$B$2:$E$32,4,FALSE),"")</f>
        <v/>
      </c>
      <c r="H27" s="30" t="str">
        <f>IFERROR(VLOOKUP(E27,cálculos!$B$2:$E$32,3,FALSE),"")</f>
        <v/>
      </c>
      <c r="I27" s="30" t="str">
        <f>IFERROR((Tabela58910[[#This Row],[Quantidade]]*H27),"")</f>
        <v/>
      </c>
      <c r="J27" s="36"/>
      <c r="L27" s="30" t="str">
        <f>IFERROR(VLOOKUP(Tabela58910[[#This Row],[Entrega]],cálculos!$G$3:$H$7,2,FALSE),"0")</f>
        <v>0</v>
      </c>
      <c r="M27" s="30" t="str">
        <f>IFERROR(SUM(Tabela58910[[#This Row],[Subtotal]]*(1-Tabela58910[[#This Row],[Desconto]])+Tabela58910[[#This Row],[Valor de Entrega]]),"")</f>
        <v/>
      </c>
      <c r="N27" s="10" t="str">
        <f>IF(Tabela58910[[#This Row],[idvenda]]=C28,"",SUMIF(Tabela58910[idvenda],Tabela58910[[#This Row],[idvenda]],Tabela58910[Total]))</f>
        <v/>
      </c>
      <c r="O27" s="10"/>
    </row>
    <row r="28" spans="3:15" x14ac:dyDescent="0.3">
      <c r="C28" s="10"/>
      <c r="D28" s="29"/>
      <c r="E28" s="10"/>
      <c r="F28" s="10" t="str">
        <f>IFERROR(VLOOKUP(E28,cálculos!$B$2:$E$32,4,FALSE),"")</f>
        <v/>
      </c>
      <c r="H28" s="30" t="str">
        <f>IFERROR(VLOOKUP(E28,cálculos!$B$2:$E$32,3,FALSE),"")</f>
        <v/>
      </c>
      <c r="I28" s="30" t="str">
        <f>IFERROR((Tabela58910[[#This Row],[Quantidade]]*H28),"")</f>
        <v/>
      </c>
      <c r="J28" s="36"/>
      <c r="L28" s="30" t="str">
        <f>IFERROR(VLOOKUP(Tabela58910[[#This Row],[Entrega]],cálculos!$G$3:$H$7,2,FALSE),"0")</f>
        <v>0</v>
      </c>
      <c r="M28" s="30" t="str">
        <f>IFERROR(SUM(Tabela58910[[#This Row],[Subtotal]]*(1-Tabela58910[[#This Row],[Desconto]])+Tabela58910[[#This Row],[Valor de Entrega]]),"")</f>
        <v/>
      </c>
      <c r="N28" s="10" t="str">
        <f>IF(Tabela58910[[#This Row],[idvenda]]=C29,"",SUMIF(Tabela58910[idvenda],Tabela58910[[#This Row],[idvenda]],Tabela58910[Total]))</f>
        <v/>
      </c>
      <c r="O28" s="10"/>
    </row>
    <row r="29" spans="3:15" x14ac:dyDescent="0.3">
      <c r="C29" s="10"/>
      <c r="D29" s="29"/>
      <c r="E29" s="10"/>
      <c r="F29" s="10" t="str">
        <f>IFERROR(VLOOKUP(E29,cálculos!$B$2:$E$32,4,FALSE),"")</f>
        <v/>
      </c>
      <c r="H29" s="30" t="str">
        <f>IFERROR(VLOOKUP(E29,cálculos!$B$2:$E$32,3,FALSE),"")</f>
        <v/>
      </c>
      <c r="I29" s="30" t="str">
        <f>IFERROR((Tabela58910[[#This Row],[Quantidade]]*H29),"")</f>
        <v/>
      </c>
      <c r="J29" s="36"/>
      <c r="L29" s="30" t="str">
        <f>IFERROR(VLOOKUP(Tabela58910[[#This Row],[Entrega]],cálculos!$G$3:$H$7,2,FALSE),"0")</f>
        <v>0</v>
      </c>
      <c r="M29" s="30" t="str">
        <f>IFERROR(SUM(Tabela58910[[#This Row],[Subtotal]]*(1-Tabela58910[[#This Row],[Desconto]])+Tabela58910[[#This Row],[Valor de Entrega]]),"")</f>
        <v/>
      </c>
      <c r="N29" s="10" t="str">
        <f>IF(Tabela58910[[#This Row],[idvenda]]=C30,"",SUMIF(Tabela58910[idvenda],Tabela58910[[#This Row],[idvenda]],Tabela58910[Total]))</f>
        <v/>
      </c>
      <c r="O29" s="10"/>
    </row>
    <row r="30" spans="3:15" x14ac:dyDescent="0.3">
      <c r="D30" s="10"/>
      <c r="E30" s="65"/>
      <c r="F30" s="10"/>
      <c r="G30" s="10"/>
      <c r="I30" s="30"/>
      <c r="J30" s="30"/>
      <c r="K30" s="36"/>
      <c r="M30" s="30"/>
      <c r="N30" s="30"/>
      <c r="O30" s="10"/>
    </row>
    <row r="31" spans="3:15" x14ac:dyDescent="0.3">
      <c r="E31" s="37"/>
      <c r="I31" s="5"/>
      <c r="J31" s="5"/>
    </row>
    <row r="32" spans="3:15" ht="16.2" thickBot="1" x14ac:dyDescent="0.35">
      <c r="C32" s="38" t="s">
        <v>121</v>
      </c>
      <c r="D32" s="38"/>
      <c r="E32" s="38"/>
      <c r="F32" s="42"/>
      <c r="G32" s="42"/>
      <c r="H32" s="39"/>
      <c r="I32" s="39"/>
      <c r="J32" s="39"/>
      <c r="K32" s="39"/>
      <c r="L32" s="39"/>
      <c r="M32" s="39"/>
      <c r="N32" s="39">
        <f>SUM(Tabela58910[Total Para o Cliente])</f>
        <v>0</v>
      </c>
      <c r="O32" s="43"/>
    </row>
    <row r="33" spans="3:15" ht="16.2" thickBot="1" x14ac:dyDescent="0.35">
      <c r="C33" s="60" t="s">
        <v>120</v>
      </c>
      <c r="D33" s="60"/>
      <c r="E33" s="60"/>
      <c r="F33" s="61"/>
      <c r="G33" s="61"/>
      <c r="H33" s="62"/>
      <c r="I33" s="62"/>
      <c r="J33" s="62"/>
      <c r="K33" s="62"/>
      <c r="L33" s="62"/>
      <c r="M33" s="62"/>
      <c r="N33" s="63">
        <f>SUM(Tabela58910[Valor de Entrega])</f>
        <v>0</v>
      </c>
      <c r="O33" s="44"/>
    </row>
    <row r="34" spans="3:15" ht="14.4" customHeight="1" x14ac:dyDescent="0.3">
      <c r="C34" s="40" t="s">
        <v>138</v>
      </c>
      <c r="D34" s="40"/>
      <c r="E34" s="40"/>
      <c r="N34" s="59">
        <f>SUM(IF(FREQUENCY(Tabela58910[idvenda],Tabela58910[idvenda])&gt;0,1))</f>
        <v>0</v>
      </c>
      <c r="O34" s="37"/>
    </row>
  </sheetData>
  <mergeCells count="4">
    <mergeCell ref="C2:Z2"/>
    <mergeCell ref="C32:E32"/>
    <mergeCell ref="C33:E33"/>
    <mergeCell ref="C34:E34"/>
  </mergeCells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1462772-E735-4E20-AC5F-9C500886BCE4}">
          <x14:formula1>
            <xm:f>cálculos!$G$3:$G$7</xm:f>
          </x14:formula1>
          <xm:sqref>L30 K5:K29</xm:sqref>
        </x14:dataValidation>
        <x14:dataValidation type="list" allowBlank="1" showInputMessage="1" showErrorMessage="1" xr:uid="{36C95EEF-8ED7-4EEA-ACF6-96A0C0D9FC8A}">
          <x14:formula1>
            <xm:f>Estoque!$B$6:$B$29</xm:f>
          </x14:formula1>
          <xm:sqref>F30 E5:E29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C0C7A-3677-43FC-91D3-B8FB3C4DA104}">
  <dimension ref="C2:Z34"/>
  <sheetViews>
    <sheetView showGridLines="0" topLeftCell="H11" zoomScaleNormal="100" workbookViewId="0">
      <selection activeCell="F30" sqref="F30"/>
    </sheetView>
  </sheetViews>
  <sheetFormatPr defaultRowHeight="14.4" x14ac:dyDescent="0.3"/>
  <cols>
    <col min="1" max="2" width="8.88671875" style="35"/>
    <col min="3" max="3" width="12" style="35" customWidth="1"/>
    <col min="4" max="4" width="14.5546875" style="35" customWidth="1"/>
    <col min="5" max="5" width="21.77734375" style="35" customWidth="1"/>
    <col min="6" max="6" width="17.21875" style="35" bestFit="1" customWidth="1"/>
    <col min="7" max="7" width="15.33203125" style="35" customWidth="1"/>
    <col min="8" max="8" width="16.109375" style="35" customWidth="1"/>
    <col min="9" max="9" width="13.44140625" style="35" customWidth="1"/>
    <col min="10" max="10" width="15" style="35" customWidth="1"/>
    <col min="11" max="11" width="14.6640625" style="35" customWidth="1"/>
    <col min="12" max="12" width="16.21875" style="35" customWidth="1"/>
    <col min="13" max="13" width="11.88671875" style="35" customWidth="1"/>
    <col min="14" max="14" width="20.88671875" style="35" customWidth="1"/>
    <col min="15" max="15" width="21.88671875" style="35" bestFit="1" customWidth="1"/>
    <col min="16" max="16384" width="8.88671875" style="35"/>
  </cols>
  <sheetData>
    <row r="2" spans="3:26" ht="21" x14ac:dyDescent="0.3">
      <c r="C2" s="2" t="s">
        <v>131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4" spans="3:26" x14ac:dyDescent="0.3">
      <c r="C4" s="10" t="s">
        <v>107</v>
      </c>
      <c r="D4" s="10" t="s">
        <v>43</v>
      </c>
      <c r="E4" s="10" t="s">
        <v>99</v>
      </c>
      <c r="F4" s="10" t="s">
        <v>57</v>
      </c>
      <c r="G4" s="10" t="s">
        <v>58</v>
      </c>
      <c r="H4" s="10" t="s">
        <v>108</v>
      </c>
      <c r="I4" s="10" t="s">
        <v>109</v>
      </c>
      <c r="J4" s="10" t="s">
        <v>60</v>
      </c>
      <c r="K4" s="10" t="s">
        <v>110</v>
      </c>
      <c r="L4" s="10" t="s">
        <v>117</v>
      </c>
      <c r="M4" s="10" t="s">
        <v>118</v>
      </c>
      <c r="N4" s="10" t="s">
        <v>119</v>
      </c>
    </row>
    <row r="5" spans="3:26" x14ac:dyDescent="0.3">
      <c r="C5" s="10"/>
      <c r="D5" s="29"/>
      <c r="E5" s="10"/>
      <c r="F5" s="10" t="str">
        <f>IFERROR(VLOOKUP(E5,cálculos!$B$2:$E$32,4,FALSE),"")</f>
        <v/>
      </c>
      <c r="H5" s="30" t="str">
        <f>IFERROR(VLOOKUP(E5,cálculos!$B$2:$E$32,3,FALSE),"")</f>
        <v/>
      </c>
      <c r="I5" s="30" t="str">
        <f>IFERROR((Tabela5891011[[#This Row],[Quantidade]]*H5),"")</f>
        <v/>
      </c>
      <c r="J5" s="36"/>
      <c r="L5" s="30" t="str">
        <f>IFERROR(VLOOKUP(Tabela5891011[[#This Row],[Entrega]],cálculos!$G$3:$H$7,2,FALSE),"0")</f>
        <v>0</v>
      </c>
      <c r="M5" s="30" t="str">
        <f>IFERROR(SUM(Tabela5891011[[#This Row],[Subtotal]]*(1-Tabela5891011[[#This Row],[Desconto]])+Tabela5891011[[#This Row],[Valor de Entrega]]),"")</f>
        <v/>
      </c>
      <c r="N5" s="10" t="str">
        <f>IF(Tabela5891011[[#This Row],[idvenda]]=C6,"",SUMIF(Tabela5891011[idvenda],Tabela5891011[[#This Row],[idvenda]],Tabela5891011[Total]))</f>
        <v/>
      </c>
      <c r="O5" s="10"/>
    </row>
    <row r="6" spans="3:26" x14ac:dyDescent="0.3">
      <c r="C6" s="10"/>
      <c r="D6" s="29"/>
      <c r="E6" s="10"/>
      <c r="F6" s="10" t="str">
        <f>IFERROR(VLOOKUP(E6,cálculos!$B$2:$E$32,4,FALSE),"")</f>
        <v/>
      </c>
      <c r="H6" s="30" t="str">
        <f>IFERROR(VLOOKUP(E6,cálculos!$B$2:$E$32,3,FALSE),"")</f>
        <v/>
      </c>
      <c r="I6" s="30" t="str">
        <f>IFERROR((Tabela5891011[[#This Row],[Quantidade]]*H6),"")</f>
        <v/>
      </c>
      <c r="J6" s="36"/>
      <c r="L6" s="30" t="str">
        <f>IFERROR(VLOOKUP(Tabela5891011[[#This Row],[Entrega]],cálculos!$G$3:$H$7,2,FALSE),"0")</f>
        <v>0</v>
      </c>
      <c r="M6" s="30" t="str">
        <f>IFERROR(SUM(Tabela5891011[[#This Row],[Subtotal]]*(1-Tabela5891011[[#This Row],[Desconto]])+Tabela5891011[[#This Row],[Valor de Entrega]]),"")</f>
        <v/>
      </c>
      <c r="N6" s="10" t="str">
        <f>IF(Tabela5891011[[#This Row],[idvenda]]=C7,"",SUMIF(Tabela5891011[idvenda],Tabela5891011[[#This Row],[idvenda]],Tabela5891011[Total]))</f>
        <v/>
      </c>
      <c r="O6" s="10"/>
    </row>
    <row r="7" spans="3:26" x14ac:dyDescent="0.3">
      <c r="C7" s="10"/>
      <c r="D7" s="29"/>
      <c r="E7" s="10"/>
      <c r="F7" s="10" t="str">
        <f>IFERROR(VLOOKUP(E7,cálculos!$B$2:$E$32,4,FALSE),"")</f>
        <v/>
      </c>
      <c r="H7" s="30" t="str">
        <f>IFERROR(VLOOKUP(E7,cálculos!$B$2:$E$32,3,FALSE),"")</f>
        <v/>
      </c>
      <c r="I7" s="30" t="str">
        <f>IFERROR((Tabela5891011[[#This Row],[Quantidade]]*H7),"")</f>
        <v/>
      </c>
      <c r="J7" s="36"/>
      <c r="L7" s="30" t="str">
        <f>IFERROR(VLOOKUP(Tabela5891011[[#This Row],[Entrega]],cálculos!$G$3:$H$7,2,FALSE),"0")</f>
        <v>0</v>
      </c>
      <c r="M7" s="30" t="str">
        <f>IFERROR(SUM(Tabela5891011[[#This Row],[Subtotal]]*(1-Tabela5891011[[#This Row],[Desconto]])+Tabela5891011[[#This Row],[Valor de Entrega]]),"")</f>
        <v/>
      </c>
      <c r="N7" s="10" t="str">
        <f>IF(Tabela5891011[[#This Row],[idvenda]]=C8,"",SUMIF(Tabela5891011[idvenda],Tabela5891011[[#This Row],[idvenda]],Tabela5891011[Total]))</f>
        <v/>
      </c>
      <c r="O7" s="10"/>
    </row>
    <row r="8" spans="3:26" x14ac:dyDescent="0.3">
      <c r="C8" s="10"/>
      <c r="D8" s="29"/>
      <c r="E8" s="10"/>
      <c r="F8" s="10" t="str">
        <f>IFERROR(VLOOKUP(E8,cálculos!$B$2:$E$32,4,FALSE),"")</f>
        <v/>
      </c>
      <c r="H8" s="30" t="str">
        <f>IFERROR(VLOOKUP(E8,cálculos!$B$2:$E$32,3,FALSE),"")</f>
        <v/>
      </c>
      <c r="I8" s="30" t="str">
        <f>IFERROR((Tabela5891011[[#This Row],[Quantidade]]*H8),"")</f>
        <v/>
      </c>
      <c r="J8" s="36"/>
      <c r="L8" s="30" t="str">
        <f>IFERROR(VLOOKUP(Tabela5891011[[#This Row],[Entrega]],cálculos!$G$3:$H$7,2,FALSE),"0")</f>
        <v>0</v>
      </c>
      <c r="M8" s="30" t="str">
        <f>IFERROR(SUM(Tabela5891011[[#This Row],[Subtotal]]*(1-Tabela5891011[[#This Row],[Desconto]])+Tabela5891011[[#This Row],[Valor de Entrega]]),"")</f>
        <v/>
      </c>
      <c r="N8" s="41" t="str">
        <f>IF(Tabela5891011[[#This Row],[idvenda]]=C9,"",SUMIF(Tabela5891011[idvenda],Tabela5891011[[#This Row],[idvenda]],Tabela5891011[Total]))</f>
        <v/>
      </c>
      <c r="O8" s="10"/>
    </row>
    <row r="9" spans="3:26" x14ac:dyDescent="0.3">
      <c r="C9" s="10"/>
      <c r="D9" s="29"/>
      <c r="E9" s="10"/>
      <c r="F9" s="10" t="str">
        <f>IFERROR(VLOOKUP(E9,cálculos!$B$2:$E$32,4,FALSE),"")</f>
        <v/>
      </c>
      <c r="H9" s="30" t="str">
        <f>IFERROR(VLOOKUP(E9,cálculos!$B$2:$E$32,3,FALSE),"")</f>
        <v/>
      </c>
      <c r="I9" s="30" t="str">
        <f>IFERROR((Tabela5891011[[#This Row],[Quantidade]]*H9),"")</f>
        <v/>
      </c>
      <c r="J9" s="36"/>
      <c r="L9" s="30" t="str">
        <f>IFERROR(VLOOKUP(Tabela5891011[[#This Row],[Entrega]],cálculos!$G$3:$H$7,2,FALSE),"0")</f>
        <v>0</v>
      </c>
      <c r="M9" s="30" t="str">
        <f>IFERROR(SUM(Tabela5891011[[#This Row],[Subtotal]]*(1-Tabela5891011[[#This Row],[Desconto]])+Tabela5891011[[#This Row],[Valor de Entrega]]),"")</f>
        <v/>
      </c>
      <c r="N9" s="10" t="str">
        <f>IF(Tabela5891011[[#This Row],[idvenda]]=C10,"",SUMIF(Tabela5891011[idvenda],Tabela5891011[[#This Row],[idvenda]],Tabela5891011[Total]))</f>
        <v/>
      </c>
      <c r="O9" s="41"/>
    </row>
    <row r="10" spans="3:26" x14ac:dyDescent="0.3">
      <c r="C10" s="10"/>
      <c r="D10" s="29"/>
      <c r="E10" s="10"/>
      <c r="F10" s="10" t="str">
        <f>IFERROR(VLOOKUP(E10,cálculos!$B$2:$E$32,4,FALSE),"")</f>
        <v/>
      </c>
      <c r="H10" s="30" t="str">
        <f>IFERROR(VLOOKUP(E10,cálculos!$B$2:$E$32,3,FALSE),"")</f>
        <v/>
      </c>
      <c r="I10" s="30" t="str">
        <f>IFERROR((Tabela5891011[[#This Row],[Quantidade]]*H10),"")</f>
        <v/>
      </c>
      <c r="J10" s="36"/>
      <c r="L10" s="30" t="str">
        <f>IFERROR(VLOOKUP(Tabela5891011[[#This Row],[Entrega]],cálculos!$G$3:$H$7,2,FALSE),"0")</f>
        <v>0</v>
      </c>
      <c r="M10" s="30" t="str">
        <f>IFERROR(SUM(Tabela5891011[[#This Row],[Subtotal]]*(1-Tabela5891011[[#This Row],[Desconto]])+Tabela5891011[[#This Row],[Valor de Entrega]]),"")</f>
        <v/>
      </c>
      <c r="N10" s="10" t="str">
        <f>IF(Tabela5891011[[#This Row],[idvenda]]=C11,"",SUMIF(Tabela5891011[idvenda],Tabela5891011[[#This Row],[idvenda]],Tabela5891011[Total]))</f>
        <v/>
      </c>
      <c r="O10" s="10"/>
    </row>
    <row r="11" spans="3:26" x14ac:dyDescent="0.3">
      <c r="C11" s="10"/>
      <c r="D11" s="29"/>
      <c r="E11" s="10"/>
      <c r="F11" s="10" t="str">
        <f>IFERROR(VLOOKUP(E11,cálculos!$B$2:$E$32,4,FALSE),"")</f>
        <v/>
      </c>
      <c r="H11" s="30" t="str">
        <f>IFERROR(VLOOKUP(E11,cálculos!$B$2:$E$32,3,FALSE),"")</f>
        <v/>
      </c>
      <c r="I11" s="30" t="str">
        <f>IFERROR((Tabela5891011[[#This Row],[Quantidade]]*H11),"")</f>
        <v/>
      </c>
      <c r="J11" s="36"/>
      <c r="L11" s="30" t="str">
        <f>IFERROR(VLOOKUP(Tabela5891011[[#This Row],[Entrega]],cálculos!$G$3:$H$7,2,FALSE),"0")</f>
        <v>0</v>
      </c>
      <c r="M11" s="30" t="str">
        <f>IFERROR(SUM(Tabela5891011[[#This Row],[Subtotal]]*(1-Tabela5891011[[#This Row],[Desconto]])+Tabela5891011[[#This Row],[Valor de Entrega]]),"")</f>
        <v/>
      </c>
      <c r="N11" s="10" t="str">
        <f>IF(Tabela5891011[[#This Row],[idvenda]]=C12,"",SUMIF(Tabela5891011[idvenda],Tabela5891011[[#This Row],[idvenda]],Tabela5891011[Total]))</f>
        <v/>
      </c>
      <c r="O11" s="10"/>
    </row>
    <row r="12" spans="3:26" x14ac:dyDescent="0.3">
      <c r="C12" s="10"/>
      <c r="D12" s="29"/>
      <c r="E12" s="10"/>
      <c r="F12" s="10" t="str">
        <f>IFERROR(VLOOKUP(E12,cálculos!$B$2:$E$32,4,FALSE),"")</f>
        <v/>
      </c>
      <c r="H12" s="30" t="str">
        <f>IFERROR(VLOOKUP(E12,cálculos!$B$2:$E$32,3,FALSE),"")</f>
        <v/>
      </c>
      <c r="I12" s="30" t="str">
        <f>IFERROR((Tabela5891011[[#This Row],[Quantidade]]*H12),"")</f>
        <v/>
      </c>
      <c r="J12" s="36"/>
      <c r="L12" s="30" t="str">
        <f>IFERROR(VLOOKUP(Tabela5891011[[#This Row],[Entrega]],cálculos!$G$3:$H$7,2,FALSE),"0")</f>
        <v>0</v>
      </c>
      <c r="M12" s="30" t="str">
        <f>IFERROR(SUM(Tabela5891011[[#This Row],[Subtotal]]*(1-Tabela5891011[[#This Row],[Desconto]])+Tabela5891011[[#This Row],[Valor de Entrega]]),"")</f>
        <v/>
      </c>
      <c r="N12" s="10" t="str">
        <f>IF(Tabela5891011[[#This Row],[idvenda]]=C13,"",SUMIF(Tabela5891011[idvenda],Tabela5891011[[#This Row],[idvenda]],Tabela5891011[Total]))</f>
        <v/>
      </c>
      <c r="O12" s="10"/>
    </row>
    <row r="13" spans="3:26" x14ac:dyDescent="0.3">
      <c r="C13" s="10"/>
      <c r="D13" s="29"/>
      <c r="E13" s="10"/>
      <c r="F13" s="10" t="str">
        <f>IFERROR(VLOOKUP(E13,cálculos!$B$2:$E$32,4,FALSE),"")</f>
        <v/>
      </c>
      <c r="H13" s="30" t="str">
        <f>IFERROR(VLOOKUP(E13,cálculos!$B$2:$E$32,3,FALSE),"")</f>
        <v/>
      </c>
      <c r="I13" s="30" t="str">
        <f>IFERROR((Tabela5891011[[#This Row],[Quantidade]]*H13),"")</f>
        <v/>
      </c>
      <c r="J13" s="36"/>
      <c r="L13" s="30" t="str">
        <f>IFERROR(VLOOKUP(Tabela5891011[[#This Row],[Entrega]],cálculos!$G$3:$H$7,2,FALSE),"0")</f>
        <v>0</v>
      </c>
      <c r="M13" s="30" t="str">
        <f>IFERROR(SUM(Tabela5891011[[#This Row],[Subtotal]]*(1-Tabela5891011[[#This Row],[Desconto]])+Tabela5891011[[#This Row],[Valor de Entrega]]),"")</f>
        <v/>
      </c>
      <c r="N13" s="10" t="str">
        <f>IF(Tabela5891011[[#This Row],[idvenda]]=C14,"",SUMIF(Tabela5891011[idvenda],Tabela5891011[[#This Row],[idvenda]],Tabela5891011[Total]))</f>
        <v/>
      </c>
      <c r="O13" s="10"/>
    </row>
    <row r="14" spans="3:26" x14ac:dyDescent="0.3">
      <c r="C14" s="10"/>
      <c r="D14" s="29"/>
      <c r="E14" s="10"/>
      <c r="F14" s="10" t="str">
        <f>IFERROR(VLOOKUP(E14,cálculos!$B$2:$E$32,4,FALSE),"")</f>
        <v/>
      </c>
      <c r="H14" s="30" t="str">
        <f>IFERROR(VLOOKUP(E14,cálculos!$B$2:$E$32,3,FALSE),"")</f>
        <v/>
      </c>
      <c r="I14" s="30" t="str">
        <f>IFERROR((Tabela5891011[[#This Row],[Quantidade]]*H14),"")</f>
        <v/>
      </c>
      <c r="J14" s="36"/>
      <c r="L14" s="30" t="str">
        <f>IFERROR(VLOOKUP(Tabela5891011[[#This Row],[Entrega]],cálculos!$G$3:$H$7,2,FALSE),"0")</f>
        <v>0</v>
      </c>
      <c r="M14" s="30" t="str">
        <f>IFERROR(SUM(Tabela5891011[[#This Row],[Subtotal]]*(1-Tabela5891011[[#This Row],[Desconto]])+Tabela5891011[[#This Row],[Valor de Entrega]]),"")</f>
        <v/>
      </c>
      <c r="N14" s="10" t="str">
        <f>IF(Tabela5891011[[#This Row],[idvenda]]=C15,"",SUMIF(Tabela5891011[idvenda],Tabela5891011[[#This Row],[idvenda]],Tabela5891011[Total]))</f>
        <v/>
      </c>
      <c r="O14" s="10"/>
    </row>
    <row r="15" spans="3:26" x14ac:dyDescent="0.3">
      <c r="C15" s="10"/>
      <c r="D15" s="29"/>
      <c r="E15" s="10"/>
      <c r="F15" s="10" t="str">
        <f>IFERROR(VLOOKUP(E15,cálculos!$B$2:$E$32,4,FALSE),"")</f>
        <v/>
      </c>
      <c r="H15" s="30" t="str">
        <f>IFERROR(VLOOKUP(E15,cálculos!$B$2:$E$32,3,FALSE),"")</f>
        <v/>
      </c>
      <c r="I15" s="30" t="str">
        <f>IFERROR((Tabela5891011[[#This Row],[Quantidade]]*H15),"")</f>
        <v/>
      </c>
      <c r="J15" s="36"/>
      <c r="L15" s="30" t="str">
        <f>IFERROR(VLOOKUP(Tabela5891011[[#This Row],[Entrega]],cálculos!$G$3:$H$7,2,FALSE),"0")</f>
        <v>0</v>
      </c>
      <c r="M15" s="30" t="str">
        <f>IFERROR(SUM(Tabela5891011[[#This Row],[Subtotal]]*(1-Tabela5891011[[#This Row],[Desconto]])+Tabela5891011[[#This Row],[Valor de Entrega]]),"")</f>
        <v/>
      </c>
      <c r="N15" s="10" t="str">
        <f>IF(Tabela5891011[[#This Row],[idvenda]]=C16,"",SUMIF(Tabela5891011[idvenda],Tabela5891011[[#This Row],[idvenda]],Tabela5891011[Total]))</f>
        <v/>
      </c>
      <c r="O15" s="10"/>
    </row>
    <row r="16" spans="3:26" x14ac:dyDescent="0.3">
      <c r="C16" s="10"/>
      <c r="D16" s="29"/>
      <c r="E16" s="10"/>
      <c r="F16" s="10" t="str">
        <f>IFERROR(VLOOKUP(E16,cálculos!$B$2:$E$32,4,FALSE),"")</f>
        <v/>
      </c>
      <c r="H16" s="30" t="str">
        <f>IFERROR(VLOOKUP(E16,cálculos!$B$2:$E$32,3,FALSE),"")</f>
        <v/>
      </c>
      <c r="I16" s="30" t="str">
        <f>IFERROR((Tabela5891011[[#This Row],[Quantidade]]*H16),"")</f>
        <v/>
      </c>
      <c r="J16" s="36"/>
      <c r="L16" s="30" t="str">
        <f>IFERROR(VLOOKUP(Tabela5891011[[#This Row],[Entrega]],cálculos!$G$3:$H$7,2,FALSE),"0")</f>
        <v>0</v>
      </c>
      <c r="M16" s="30" t="str">
        <f>IFERROR(SUM(Tabela5891011[[#This Row],[Subtotal]]*(1-Tabela5891011[[#This Row],[Desconto]])+Tabela5891011[[#This Row],[Valor de Entrega]]),"")</f>
        <v/>
      </c>
      <c r="N16" s="10" t="str">
        <f>IF(Tabela5891011[[#This Row],[idvenda]]=C17,"",SUMIF(Tabela5891011[idvenda],Tabela5891011[[#This Row],[idvenda]],Tabela5891011[Total]))</f>
        <v/>
      </c>
      <c r="O16" s="10"/>
    </row>
    <row r="17" spans="3:15" x14ac:dyDescent="0.3">
      <c r="C17" s="10"/>
      <c r="D17" s="29"/>
      <c r="E17" s="10"/>
      <c r="F17" s="10" t="str">
        <f>IFERROR(VLOOKUP(E17,cálculos!$B$2:$E$32,4,FALSE),"")</f>
        <v/>
      </c>
      <c r="H17" s="30" t="str">
        <f>IFERROR(VLOOKUP(E17,cálculos!$B$2:$E$32,3,FALSE),"")</f>
        <v/>
      </c>
      <c r="I17" s="30" t="str">
        <f>IFERROR((Tabela5891011[[#This Row],[Quantidade]]*H17),"")</f>
        <v/>
      </c>
      <c r="J17" s="36"/>
      <c r="L17" s="30" t="str">
        <f>IFERROR(VLOOKUP(Tabela5891011[[#This Row],[Entrega]],cálculos!$G$3:$H$7,2,FALSE),"0")</f>
        <v>0</v>
      </c>
      <c r="M17" s="30" t="str">
        <f>IFERROR(SUM(Tabela5891011[[#This Row],[Subtotal]]*(1-Tabela5891011[[#This Row],[Desconto]])+Tabela5891011[[#This Row],[Valor de Entrega]]),"")</f>
        <v/>
      </c>
      <c r="N17" s="10" t="str">
        <f>IF(Tabela5891011[[#This Row],[idvenda]]=C18,"",SUMIF(Tabela5891011[idvenda],Tabela5891011[[#This Row],[idvenda]],Tabela5891011[Total]))</f>
        <v/>
      </c>
      <c r="O17" s="10"/>
    </row>
    <row r="18" spans="3:15" x14ac:dyDescent="0.3">
      <c r="C18" s="10"/>
      <c r="D18" s="29"/>
      <c r="E18" s="10"/>
      <c r="F18" s="10" t="str">
        <f>IFERROR(VLOOKUP(E18,cálculos!$B$2:$E$32,4,FALSE),"")</f>
        <v/>
      </c>
      <c r="H18" s="30" t="str">
        <f>IFERROR(VLOOKUP(E18,cálculos!$B$2:$E$32,3,FALSE),"")</f>
        <v/>
      </c>
      <c r="I18" s="30" t="str">
        <f>IFERROR((Tabela5891011[[#This Row],[Quantidade]]*H18),"")</f>
        <v/>
      </c>
      <c r="J18" s="36"/>
      <c r="L18" s="30" t="str">
        <f>IFERROR(VLOOKUP(Tabela5891011[[#This Row],[Entrega]],cálculos!$G$3:$H$7,2,FALSE),"0")</f>
        <v>0</v>
      </c>
      <c r="M18" s="30" t="str">
        <f>IFERROR(SUM(Tabela5891011[[#This Row],[Subtotal]]*(1-Tabela5891011[[#This Row],[Desconto]])+Tabela5891011[[#This Row],[Valor de Entrega]]),"")</f>
        <v/>
      </c>
      <c r="N18" s="10" t="str">
        <f>IF(Tabela5891011[[#This Row],[idvenda]]=C19,"",SUMIF(Tabela5891011[idvenda],Tabela5891011[[#This Row],[idvenda]],Tabela5891011[Total]))</f>
        <v/>
      </c>
      <c r="O18" s="10"/>
    </row>
    <row r="19" spans="3:15" x14ac:dyDescent="0.3">
      <c r="C19" s="10"/>
      <c r="D19" s="29"/>
      <c r="E19" s="10"/>
      <c r="F19" s="10" t="str">
        <f>IFERROR(VLOOKUP(E19,cálculos!$B$2:$E$32,4,FALSE),"")</f>
        <v/>
      </c>
      <c r="H19" s="30" t="str">
        <f>IFERROR(VLOOKUP(E19,cálculos!$B$2:$E$32,3,FALSE),"")</f>
        <v/>
      </c>
      <c r="I19" s="30" t="str">
        <f>IFERROR((Tabela5891011[[#This Row],[Quantidade]]*H19),"")</f>
        <v/>
      </c>
      <c r="J19" s="36"/>
      <c r="L19" s="30" t="str">
        <f>IFERROR(VLOOKUP(Tabela5891011[[#This Row],[Entrega]],cálculos!$G$3:$H$7,2,FALSE),"0")</f>
        <v>0</v>
      </c>
      <c r="M19" s="30" t="str">
        <f>IFERROR(SUM(Tabela5891011[[#This Row],[Subtotal]]*(1-Tabela5891011[[#This Row],[Desconto]])+Tabela5891011[[#This Row],[Valor de Entrega]]),"")</f>
        <v/>
      </c>
      <c r="N19" s="10" t="str">
        <f>IF(Tabela5891011[[#This Row],[idvenda]]=C20,"",SUMIF(Tabela5891011[idvenda],Tabela5891011[[#This Row],[idvenda]],Tabela5891011[Total]))</f>
        <v/>
      </c>
      <c r="O19" s="10"/>
    </row>
    <row r="20" spans="3:15" x14ac:dyDescent="0.3">
      <c r="C20" s="10"/>
      <c r="D20" s="29"/>
      <c r="E20" s="10"/>
      <c r="F20" s="10" t="str">
        <f>IFERROR(VLOOKUP(E20,cálculos!$B$2:$E$32,4,FALSE),"")</f>
        <v/>
      </c>
      <c r="H20" s="30" t="str">
        <f>IFERROR(VLOOKUP(E20,cálculos!$B$2:$E$32,3,FALSE),"")</f>
        <v/>
      </c>
      <c r="I20" s="30" t="str">
        <f>IFERROR((Tabela5891011[[#This Row],[Quantidade]]*H20),"")</f>
        <v/>
      </c>
      <c r="J20" s="36"/>
      <c r="L20" s="30" t="str">
        <f>IFERROR(VLOOKUP(Tabela5891011[[#This Row],[Entrega]],cálculos!$G$3:$H$7,2,FALSE),"0")</f>
        <v>0</v>
      </c>
      <c r="M20" s="30" t="str">
        <f>IFERROR(SUM(Tabela5891011[[#This Row],[Subtotal]]*(1-Tabela5891011[[#This Row],[Desconto]])+Tabela5891011[[#This Row],[Valor de Entrega]]),"")</f>
        <v/>
      </c>
      <c r="N20" s="10" t="str">
        <f>IF(Tabela5891011[[#This Row],[idvenda]]=C21,"",SUMIF(Tabela5891011[idvenda],Tabela5891011[[#This Row],[idvenda]],Tabela5891011[Total]))</f>
        <v/>
      </c>
      <c r="O20" s="10"/>
    </row>
    <row r="21" spans="3:15" x14ac:dyDescent="0.3">
      <c r="C21" s="10"/>
      <c r="D21" s="29"/>
      <c r="E21" s="10"/>
      <c r="F21" s="10" t="str">
        <f>IFERROR(VLOOKUP(E21,cálculos!$B$2:$E$32,4,FALSE),"")</f>
        <v/>
      </c>
      <c r="H21" s="30" t="str">
        <f>IFERROR(VLOOKUP(E21,cálculos!$B$2:$E$32,3,FALSE),"")</f>
        <v/>
      </c>
      <c r="I21" s="30" t="str">
        <f>IFERROR((Tabela5891011[[#This Row],[Quantidade]]*H21),"")</f>
        <v/>
      </c>
      <c r="J21" s="36"/>
      <c r="L21" s="30" t="str">
        <f>IFERROR(VLOOKUP(Tabela5891011[[#This Row],[Entrega]],cálculos!$G$3:$H$7,2,FALSE),"0")</f>
        <v>0</v>
      </c>
      <c r="M21" s="30" t="str">
        <f>IFERROR(SUM(Tabela5891011[[#This Row],[Subtotal]]*(1-Tabela5891011[[#This Row],[Desconto]])+Tabela5891011[[#This Row],[Valor de Entrega]]),"")</f>
        <v/>
      </c>
      <c r="N21" s="10" t="str">
        <f>IF(Tabela5891011[[#This Row],[idvenda]]=C22,"",SUMIF(Tabela5891011[idvenda],Tabela5891011[[#This Row],[idvenda]],Tabela5891011[Total]))</f>
        <v/>
      </c>
      <c r="O21" s="10"/>
    </row>
    <row r="22" spans="3:15" x14ac:dyDescent="0.3">
      <c r="C22" s="10"/>
      <c r="D22" s="29"/>
      <c r="E22" s="10"/>
      <c r="F22" s="10" t="str">
        <f>IFERROR(VLOOKUP(E22,cálculos!$B$2:$E$32,4,FALSE),"")</f>
        <v/>
      </c>
      <c r="H22" s="30" t="str">
        <f>IFERROR(VLOOKUP(E22,cálculos!$B$2:$E$32,3,FALSE),"")</f>
        <v/>
      </c>
      <c r="I22" s="30" t="str">
        <f>IFERROR((Tabela5891011[[#This Row],[Quantidade]]*H22),"")</f>
        <v/>
      </c>
      <c r="J22" s="36"/>
      <c r="L22" s="30" t="str">
        <f>IFERROR(VLOOKUP(Tabela5891011[[#This Row],[Entrega]],cálculos!$G$3:$H$7,2,FALSE),"0")</f>
        <v>0</v>
      </c>
      <c r="M22" s="30" t="str">
        <f>IFERROR(SUM(Tabela5891011[[#This Row],[Subtotal]]*(1-Tabela5891011[[#This Row],[Desconto]])+Tabela5891011[[#This Row],[Valor de Entrega]]),"")</f>
        <v/>
      </c>
      <c r="N22" s="10" t="str">
        <f>IF(Tabela5891011[[#This Row],[idvenda]]=C23,"",SUMIF(Tabela5891011[idvenda],Tabela5891011[[#This Row],[idvenda]],Tabela5891011[Total]))</f>
        <v/>
      </c>
      <c r="O22" s="10"/>
    </row>
    <row r="23" spans="3:15" x14ac:dyDescent="0.3">
      <c r="C23" s="10"/>
      <c r="D23" s="29"/>
      <c r="E23" s="10"/>
      <c r="F23" s="10" t="str">
        <f>IFERROR(VLOOKUP(E23,cálculos!$B$2:$E$32,4,FALSE),"")</f>
        <v/>
      </c>
      <c r="H23" s="30" t="str">
        <f>IFERROR(VLOOKUP(E23,cálculos!$B$2:$E$32,3,FALSE),"")</f>
        <v/>
      </c>
      <c r="I23" s="30" t="str">
        <f>IFERROR((Tabela5891011[[#This Row],[Quantidade]]*H23),"")</f>
        <v/>
      </c>
      <c r="J23" s="36"/>
      <c r="L23" s="30" t="str">
        <f>IFERROR(VLOOKUP(Tabela5891011[[#This Row],[Entrega]],cálculos!$G$3:$H$7,2,FALSE),"0")</f>
        <v>0</v>
      </c>
      <c r="M23" s="30" t="str">
        <f>IFERROR(SUM(Tabela5891011[[#This Row],[Subtotal]]*(1-Tabela5891011[[#This Row],[Desconto]])+Tabela5891011[[#This Row],[Valor de Entrega]]),"")</f>
        <v/>
      </c>
      <c r="N23" s="10" t="str">
        <f>IF(Tabela5891011[[#This Row],[idvenda]]=C24,"",SUMIF(Tabela5891011[idvenda],Tabela5891011[[#This Row],[idvenda]],Tabela5891011[Total]))</f>
        <v/>
      </c>
      <c r="O23" s="10"/>
    </row>
    <row r="24" spans="3:15" x14ac:dyDescent="0.3">
      <c r="C24" s="10"/>
      <c r="D24" s="29"/>
      <c r="E24" s="10"/>
      <c r="F24" s="10" t="str">
        <f>IFERROR(VLOOKUP(E24,cálculos!$B$2:$E$32,4,FALSE),"")</f>
        <v/>
      </c>
      <c r="H24" s="30" t="str">
        <f>IFERROR(VLOOKUP(E24,cálculos!$B$2:$E$32,3,FALSE),"")</f>
        <v/>
      </c>
      <c r="I24" s="30" t="str">
        <f>IFERROR((Tabela5891011[[#This Row],[Quantidade]]*H24),"")</f>
        <v/>
      </c>
      <c r="J24" s="36"/>
      <c r="L24" s="30" t="str">
        <f>IFERROR(VLOOKUP(Tabela5891011[[#This Row],[Entrega]],cálculos!$G$3:$H$7,2,FALSE),"0")</f>
        <v>0</v>
      </c>
      <c r="M24" s="30" t="str">
        <f>IFERROR(SUM(Tabela5891011[[#This Row],[Subtotal]]*(1-Tabela5891011[[#This Row],[Desconto]])+Tabela5891011[[#This Row],[Valor de Entrega]]),"")</f>
        <v/>
      </c>
      <c r="N24" s="10" t="str">
        <f>IF(Tabela5891011[[#This Row],[idvenda]]=C25,"",SUMIF(Tabela5891011[idvenda],Tabela5891011[[#This Row],[idvenda]],Tabela5891011[Total]))</f>
        <v/>
      </c>
      <c r="O24" s="10"/>
    </row>
    <row r="25" spans="3:15" x14ac:dyDescent="0.3">
      <c r="C25" s="10"/>
      <c r="D25" s="29"/>
      <c r="E25" s="10"/>
      <c r="F25" s="10" t="str">
        <f>IFERROR(VLOOKUP(E25,cálculos!$B$2:$E$32,4,FALSE),"")</f>
        <v/>
      </c>
      <c r="H25" s="30" t="str">
        <f>IFERROR(VLOOKUP(E25,cálculos!$B$2:$E$32,3,FALSE),"")</f>
        <v/>
      </c>
      <c r="I25" s="30" t="str">
        <f>IFERROR((Tabela5891011[[#This Row],[Quantidade]]*H25),"")</f>
        <v/>
      </c>
      <c r="J25" s="36"/>
      <c r="L25" s="30" t="str">
        <f>IFERROR(VLOOKUP(Tabela5891011[[#This Row],[Entrega]],cálculos!$G$3:$H$7,2,FALSE),"0")</f>
        <v>0</v>
      </c>
      <c r="M25" s="30" t="str">
        <f>IFERROR(SUM(Tabela5891011[[#This Row],[Subtotal]]*(1-Tabela5891011[[#This Row],[Desconto]])+Tabela5891011[[#This Row],[Valor de Entrega]]),"")</f>
        <v/>
      </c>
      <c r="N25" s="10" t="str">
        <f>IF(Tabela5891011[[#This Row],[idvenda]]=C26,"",SUMIF(Tabela5891011[idvenda],Tabela5891011[[#This Row],[idvenda]],Tabela5891011[Total]))</f>
        <v/>
      </c>
      <c r="O25" s="10"/>
    </row>
    <row r="26" spans="3:15" x14ac:dyDescent="0.3">
      <c r="C26" s="10"/>
      <c r="D26" s="29"/>
      <c r="E26" s="10"/>
      <c r="F26" s="10" t="str">
        <f>IFERROR(VLOOKUP(E26,cálculos!$B$2:$E$32,4,FALSE),"")</f>
        <v/>
      </c>
      <c r="H26" s="30" t="str">
        <f>IFERROR(VLOOKUP(E26,cálculos!$B$2:$E$32,3,FALSE),"")</f>
        <v/>
      </c>
      <c r="I26" s="30" t="str">
        <f>IFERROR((Tabela5891011[[#This Row],[Quantidade]]*H26),"")</f>
        <v/>
      </c>
      <c r="J26" s="36"/>
      <c r="L26" s="30" t="str">
        <f>IFERROR(VLOOKUP(Tabela5891011[[#This Row],[Entrega]],cálculos!$G$3:$H$7,2,FALSE),"0")</f>
        <v>0</v>
      </c>
      <c r="M26" s="30" t="str">
        <f>IFERROR(SUM(Tabela5891011[[#This Row],[Subtotal]]*(1-Tabela5891011[[#This Row],[Desconto]])+Tabela5891011[[#This Row],[Valor de Entrega]]),"")</f>
        <v/>
      </c>
      <c r="N26" s="10" t="str">
        <f>IF(Tabela5891011[[#This Row],[idvenda]]=C27,"",SUMIF(Tabela5891011[idvenda],Tabela5891011[[#This Row],[idvenda]],Tabela5891011[Total]))</f>
        <v/>
      </c>
      <c r="O26" s="10"/>
    </row>
    <row r="27" spans="3:15" x14ac:dyDescent="0.3">
      <c r="C27" s="10"/>
      <c r="D27" s="29"/>
      <c r="E27" s="10"/>
      <c r="F27" s="10" t="str">
        <f>IFERROR(VLOOKUP(E27,cálculos!$B$2:$E$32,4,FALSE),"")</f>
        <v/>
      </c>
      <c r="H27" s="30" t="str">
        <f>IFERROR(VLOOKUP(E27,cálculos!$B$2:$E$32,3,FALSE),"")</f>
        <v/>
      </c>
      <c r="I27" s="30" t="str">
        <f>IFERROR((Tabela5891011[[#This Row],[Quantidade]]*H27),"")</f>
        <v/>
      </c>
      <c r="J27" s="36"/>
      <c r="L27" s="30" t="str">
        <f>IFERROR(VLOOKUP(Tabela5891011[[#This Row],[Entrega]],cálculos!$G$3:$H$7,2,FALSE),"0")</f>
        <v>0</v>
      </c>
      <c r="M27" s="30" t="str">
        <f>IFERROR(SUM(Tabela5891011[[#This Row],[Subtotal]]*(1-Tabela5891011[[#This Row],[Desconto]])+Tabela5891011[[#This Row],[Valor de Entrega]]),"")</f>
        <v/>
      </c>
      <c r="N27" s="10" t="str">
        <f>IF(Tabela5891011[[#This Row],[idvenda]]=C28,"",SUMIF(Tabela5891011[idvenda],Tabela5891011[[#This Row],[idvenda]],Tabela5891011[Total]))</f>
        <v/>
      </c>
      <c r="O27" s="10"/>
    </row>
    <row r="28" spans="3:15" x14ac:dyDescent="0.3">
      <c r="C28" s="10"/>
      <c r="D28" s="29"/>
      <c r="E28" s="10"/>
      <c r="F28" s="10" t="str">
        <f>IFERROR(VLOOKUP(E28,cálculos!$B$2:$E$32,4,FALSE),"")</f>
        <v/>
      </c>
      <c r="H28" s="30" t="str">
        <f>IFERROR(VLOOKUP(E28,cálculos!$B$2:$E$32,3,FALSE),"")</f>
        <v/>
      </c>
      <c r="I28" s="30" t="str">
        <f>IFERROR((Tabela5891011[[#This Row],[Quantidade]]*H28),"")</f>
        <v/>
      </c>
      <c r="J28" s="36"/>
      <c r="L28" s="30" t="str">
        <f>IFERROR(VLOOKUP(Tabela5891011[[#This Row],[Entrega]],cálculos!$G$3:$H$7,2,FALSE),"0")</f>
        <v>0</v>
      </c>
      <c r="M28" s="30" t="str">
        <f>IFERROR(SUM(Tabela5891011[[#This Row],[Subtotal]]*(1-Tabela5891011[[#This Row],[Desconto]])+Tabela5891011[[#This Row],[Valor de Entrega]]),"")</f>
        <v/>
      </c>
      <c r="N28" s="10" t="str">
        <f>IF(Tabela5891011[[#This Row],[idvenda]]=C29,"",SUMIF(Tabela5891011[idvenda],Tabela5891011[[#This Row],[idvenda]],Tabela5891011[Total]))</f>
        <v/>
      </c>
      <c r="O28" s="10"/>
    </row>
    <row r="29" spans="3:15" x14ac:dyDescent="0.3">
      <c r="C29" s="10"/>
      <c r="D29" s="29"/>
      <c r="E29" s="10"/>
      <c r="F29" s="10" t="str">
        <f>IFERROR(VLOOKUP(E29,cálculos!$B$2:$E$32,4,FALSE),"")</f>
        <v/>
      </c>
      <c r="H29" s="30" t="str">
        <f>IFERROR(VLOOKUP(E29,cálculos!$B$2:$E$32,3,FALSE),"")</f>
        <v/>
      </c>
      <c r="I29" s="30" t="str">
        <f>IFERROR((Tabela5891011[[#This Row],[Quantidade]]*H29),"")</f>
        <v/>
      </c>
      <c r="J29" s="36"/>
      <c r="L29" s="30" t="str">
        <f>IFERROR(VLOOKUP(Tabela5891011[[#This Row],[Entrega]],cálculos!$G$3:$H$7,2,FALSE),"0")</f>
        <v>0</v>
      </c>
      <c r="M29" s="30" t="str">
        <f>IFERROR(SUM(Tabela5891011[[#This Row],[Subtotal]]*(1-Tabela5891011[[#This Row],[Desconto]])+Tabela5891011[[#This Row],[Valor de Entrega]]),"")</f>
        <v/>
      </c>
      <c r="N29" s="10" t="str">
        <f>IF(Tabela5891011[[#This Row],[idvenda]]=C30,"",SUMIF(Tabela5891011[idvenda],Tabela5891011[[#This Row],[idvenda]],Tabela5891011[Total]))</f>
        <v/>
      </c>
      <c r="O29" s="10"/>
    </row>
    <row r="30" spans="3:15" x14ac:dyDescent="0.3">
      <c r="D30" s="10"/>
      <c r="E30" s="64"/>
      <c r="F30" s="10"/>
      <c r="G30" s="10"/>
      <c r="I30" s="30"/>
      <c r="J30" s="30"/>
      <c r="K30" s="36"/>
      <c r="M30" s="30"/>
      <c r="N30" s="30"/>
      <c r="O30" s="10"/>
    </row>
    <row r="31" spans="3:15" x14ac:dyDescent="0.3">
      <c r="I31" s="5"/>
      <c r="J31" s="5"/>
    </row>
    <row r="32" spans="3:15" ht="16.2" thickBot="1" x14ac:dyDescent="0.35">
      <c r="C32" s="38" t="s">
        <v>121</v>
      </c>
      <c r="D32" s="38"/>
      <c r="E32" s="38"/>
      <c r="F32" s="42"/>
      <c r="G32" s="42"/>
      <c r="H32" s="39"/>
      <c r="I32" s="39"/>
      <c r="J32" s="39"/>
      <c r="K32" s="39"/>
      <c r="L32" s="39"/>
      <c r="M32" s="39"/>
      <c r="N32" s="39">
        <f>SUM(Tabela5891011[Total Para o Cliente])</f>
        <v>0</v>
      </c>
      <c r="O32" s="43"/>
    </row>
    <row r="33" spans="3:15" ht="16.2" thickBot="1" x14ac:dyDescent="0.35">
      <c r="C33" s="60" t="s">
        <v>120</v>
      </c>
      <c r="D33" s="60"/>
      <c r="E33" s="60"/>
      <c r="F33" s="61"/>
      <c r="G33" s="61"/>
      <c r="H33" s="62"/>
      <c r="I33" s="62"/>
      <c r="J33" s="62"/>
      <c r="K33" s="62"/>
      <c r="L33" s="62"/>
      <c r="M33" s="62"/>
      <c r="N33" s="63">
        <f>SUM(Tabela5891011[Valor de Entrega])</f>
        <v>0</v>
      </c>
      <c r="O33" s="44"/>
    </row>
    <row r="34" spans="3:15" ht="14.4" customHeight="1" x14ac:dyDescent="0.3">
      <c r="C34" s="40" t="s">
        <v>138</v>
      </c>
      <c r="D34" s="40"/>
      <c r="E34" s="40"/>
      <c r="N34" s="59">
        <f>SUM(IF(FREQUENCY(Tabela5891011[idvenda],Tabela5891011[idvenda])&gt;0,1))</f>
        <v>0</v>
      </c>
      <c r="O34" s="37"/>
    </row>
  </sheetData>
  <mergeCells count="4">
    <mergeCell ref="C2:Z2"/>
    <mergeCell ref="C32:E32"/>
    <mergeCell ref="C33:E33"/>
    <mergeCell ref="C34:E34"/>
  </mergeCells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A0465D6-9DFE-4CCE-8B96-241994E0BE55}">
          <x14:formula1>
            <xm:f>Estoque!$B$6:$B$29</xm:f>
          </x14:formula1>
          <xm:sqref>F30 E5:E29</xm:sqref>
        </x14:dataValidation>
        <x14:dataValidation type="list" allowBlank="1" showInputMessage="1" showErrorMessage="1" xr:uid="{2366A752-4EF2-4575-8EEE-6CC61B501BEB}">
          <x14:formula1>
            <xm:f>cálculos!$G$3:$G$7</xm:f>
          </x14:formula1>
          <xm:sqref>L30 K5:K29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H25"/>
  <sheetViews>
    <sheetView topLeftCell="A3" workbookViewId="0">
      <selection activeCell="D5" sqref="D5"/>
    </sheetView>
  </sheetViews>
  <sheetFormatPr defaultRowHeight="14.4" x14ac:dyDescent="0.3"/>
  <cols>
    <col min="2" max="2" width="14.77734375" bestFit="1" customWidth="1"/>
    <col min="3" max="3" width="25.21875" bestFit="1" customWidth="1"/>
    <col min="4" max="4" width="24" bestFit="1" customWidth="1"/>
    <col min="5" max="5" width="9.6640625" bestFit="1" customWidth="1"/>
    <col min="7" max="7" width="22.5546875" customWidth="1"/>
    <col min="10" max="10" width="5.33203125" bestFit="1" customWidth="1"/>
  </cols>
  <sheetData>
    <row r="1" spans="2:8" x14ac:dyDescent="0.3">
      <c r="B1" s="8" t="s">
        <v>62</v>
      </c>
      <c r="C1" s="8" t="s">
        <v>63</v>
      </c>
      <c r="D1" s="8" t="s">
        <v>64</v>
      </c>
      <c r="E1" s="8" t="s">
        <v>57</v>
      </c>
    </row>
    <row r="2" spans="2:8" x14ac:dyDescent="0.3">
      <c r="B2" s="6" t="s">
        <v>23</v>
      </c>
      <c r="C2" s="7">
        <v>2.8405</v>
      </c>
      <c r="D2" s="7">
        <v>2.99</v>
      </c>
      <c r="E2" s="6" t="s">
        <v>65</v>
      </c>
      <c r="G2" t="s">
        <v>111</v>
      </c>
    </row>
    <row r="3" spans="2:8" x14ac:dyDescent="0.3">
      <c r="B3" s="6" t="s">
        <v>32</v>
      </c>
      <c r="C3" s="7">
        <v>1.0580000000000001</v>
      </c>
      <c r="D3" s="7">
        <v>1.1499999999999999</v>
      </c>
      <c r="E3" s="6" t="s">
        <v>66</v>
      </c>
      <c r="G3" t="s">
        <v>112</v>
      </c>
      <c r="H3" s="31">
        <v>5</v>
      </c>
    </row>
    <row r="4" spans="2:8" x14ac:dyDescent="0.3">
      <c r="B4" s="6" t="s">
        <v>20</v>
      </c>
      <c r="C4" s="7">
        <v>2.3406000000000002</v>
      </c>
      <c r="D4" s="7">
        <v>2.4900000000000002</v>
      </c>
      <c r="E4" s="6" t="s">
        <v>67</v>
      </c>
      <c r="G4" t="s">
        <v>113</v>
      </c>
      <c r="H4" s="31">
        <v>0</v>
      </c>
    </row>
    <row r="5" spans="2:8" x14ac:dyDescent="0.3">
      <c r="B5" s="6" t="s">
        <v>37</v>
      </c>
      <c r="C5" s="7">
        <v>1.8506999999999998</v>
      </c>
      <c r="D5" s="7">
        <v>1.99</v>
      </c>
      <c r="E5" s="6" t="s">
        <v>66</v>
      </c>
      <c r="G5" t="s">
        <v>114</v>
      </c>
      <c r="H5" s="31">
        <v>6.5</v>
      </c>
    </row>
    <row r="6" spans="2:8" x14ac:dyDescent="0.3">
      <c r="B6" s="6" t="s">
        <v>40</v>
      </c>
      <c r="C6" s="7">
        <v>1.0924999999999998</v>
      </c>
      <c r="D6" s="7">
        <v>1.1499999999999999</v>
      </c>
      <c r="E6" s="6" t="s">
        <v>66</v>
      </c>
      <c r="G6" t="s">
        <v>115</v>
      </c>
      <c r="H6" s="31">
        <v>8</v>
      </c>
    </row>
    <row r="7" spans="2:8" x14ac:dyDescent="0.3">
      <c r="B7" s="6" t="s">
        <v>36</v>
      </c>
      <c r="C7" s="7">
        <v>0.74260000000000004</v>
      </c>
      <c r="D7" s="7">
        <v>0.79</v>
      </c>
      <c r="E7" s="6" t="s">
        <v>66</v>
      </c>
      <c r="G7" t="s">
        <v>116</v>
      </c>
      <c r="H7" s="31">
        <v>6.5</v>
      </c>
    </row>
    <row r="8" spans="2:8" x14ac:dyDescent="0.3">
      <c r="B8" s="6" t="s">
        <v>24</v>
      </c>
      <c r="C8" s="7">
        <v>14.469000000000001</v>
      </c>
      <c r="D8" s="7">
        <v>15.9</v>
      </c>
      <c r="E8" s="6" t="s">
        <v>67</v>
      </c>
    </row>
    <row r="9" spans="2:8" x14ac:dyDescent="0.3">
      <c r="B9" s="6" t="s">
        <v>30</v>
      </c>
      <c r="C9" s="7">
        <v>3.6309000000000005</v>
      </c>
      <c r="D9" s="7">
        <v>3.99</v>
      </c>
      <c r="E9" s="6" t="s">
        <v>67</v>
      </c>
    </row>
    <row r="10" spans="2:8" x14ac:dyDescent="0.3">
      <c r="B10" s="6" t="s">
        <v>33</v>
      </c>
      <c r="C10" s="7">
        <v>2.1023999999999998</v>
      </c>
      <c r="D10" s="7">
        <v>2.19</v>
      </c>
      <c r="E10" s="6" t="s">
        <v>70</v>
      </c>
    </row>
    <row r="11" spans="2:8" x14ac:dyDescent="0.3">
      <c r="B11" s="6" t="s">
        <v>38</v>
      </c>
      <c r="C11" s="7">
        <v>4.5409000000000006</v>
      </c>
      <c r="D11" s="7">
        <v>4.99</v>
      </c>
      <c r="E11" s="6" t="s">
        <v>71</v>
      </c>
    </row>
    <row r="12" spans="2:8" x14ac:dyDescent="0.3">
      <c r="B12" s="6" t="s">
        <v>39</v>
      </c>
      <c r="C12" s="7">
        <v>6.3449999999999998</v>
      </c>
      <c r="D12" s="7">
        <v>6.75</v>
      </c>
      <c r="E12" s="6" t="s">
        <v>72</v>
      </c>
    </row>
    <row r="13" spans="2:8" x14ac:dyDescent="0.3">
      <c r="B13" s="6" t="s">
        <v>35</v>
      </c>
      <c r="C13" s="7">
        <v>2.3660000000000001</v>
      </c>
      <c r="D13" s="7">
        <v>2.6</v>
      </c>
      <c r="E13" s="6" t="s">
        <v>65</v>
      </c>
    </row>
    <row r="14" spans="2:8" x14ac:dyDescent="0.3">
      <c r="B14" s="6" t="s">
        <v>21</v>
      </c>
      <c r="C14" s="7">
        <v>4.0659999999999998</v>
      </c>
      <c r="D14" s="7">
        <v>4.28</v>
      </c>
      <c r="E14" s="6" t="s">
        <v>67</v>
      </c>
    </row>
    <row r="15" spans="2:8" x14ac:dyDescent="0.3">
      <c r="B15" s="6" t="s">
        <v>25</v>
      </c>
      <c r="C15" s="7">
        <v>6.4216000000000006</v>
      </c>
      <c r="D15" s="7">
        <v>6.98</v>
      </c>
      <c r="E15" s="6" t="s">
        <v>67</v>
      </c>
    </row>
    <row r="16" spans="2:8" x14ac:dyDescent="0.3">
      <c r="B16" s="6" t="s">
        <v>68</v>
      </c>
      <c r="C16" s="7">
        <v>1.3708</v>
      </c>
      <c r="D16" s="7">
        <v>1.49</v>
      </c>
      <c r="E16" s="6" t="s">
        <v>69</v>
      </c>
    </row>
    <row r="17" spans="2:5" x14ac:dyDescent="0.3">
      <c r="B17" s="6" t="s">
        <v>73</v>
      </c>
      <c r="C17" s="7">
        <v>2.6299000000000001</v>
      </c>
      <c r="D17" s="7">
        <v>2.89</v>
      </c>
      <c r="E17" s="6" t="s">
        <v>65</v>
      </c>
    </row>
    <row r="18" spans="2:5" x14ac:dyDescent="0.3">
      <c r="B18" s="6" t="s">
        <v>26</v>
      </c>
      <c r="C18" s="7">
        <v>22.226999999999997</v>
      </c>
      <c r="D18" s="7">
        <v>23.9</v>
      </c>
      <c r="E18" s="6" t="s">
        <v>67</v>
      </c>
    </row>
    <row r="19" spans="2:5" x14ac:dyDescent="0.3">
      <c r="B19" s="6" t="s">
        <v>27</v>
      </c>
      <c r="C19" s="7">
        <v>23.827999999999999</v>
      </c>
      <c r="D19" s="7">
        <v>25.9</v>
      </c>
      <c r="E19" s="6" t="s">
        <v>67</v>
      </c>
    </row>
    <row r="20" spans="2:5" x14ac:dyDescent="0.3">
      <c r="B20" s="6" t="s">
        <v>74</v>
      </c>
      <c r="C20" s="7">
        <v>2.1749000000000001</v>
      </c>
      <c r="D20" s="7">
        <v>2.39</v>
      </c>
      <c r="E20" s="6" t="s">
        <v>69</v>
      </c>
    </row>
    <row r="21" spans="2:5" x14ac:dyDescent="0.3">
      <c r="B21" s="6" t="s">
        <v>29</v>
      </c>
      <c r="C21" s="7">
        <v>3.2084999999999999</v>
      </c>
      <c r="D21" s="7">
        <v>3.45</v>
      </c>
      <c r="E21" s="6" t="s">
        <v>69</v>
      </c>
    </row>
    <row r="22" spans="2:5" x14ac:dyDescent="0.3">
      <c r="B22" s="6" t="s">
        <v>22</v>
      </c>
      <c r="C22" s="7">
        <v>5.3544000000000009</v>
      </c>
      <c r="D22" s="7">
        <v>5.82</v>
      </c>
      <c r="E22" s="6" t="s">
        <v>67</v>
      </c>
    </row>
    <row r="23" spans="2:5" x14ac:dyDescent="0.3">
      <c r="B23" s="6" t="s">
        <v>31</v>
      </c>
      <c r="C23" s="7">
        <v>9.1009999999999991</v>
      </c>
      <c r="D23" s="7">
        <v>9.58</v>
      </c>
      <c r="E23" s="6" t="s">
        <v>67</v>
      </c>
    </row>
    <row r="24" spans="2:5" x14ac:dyDescent="0.3">
      <c r="B24" s="6" t="s">
        <v>28</v>
      </c>
      <c r="C24" s="7">
        <v>26.012999999999998</v>
      </c>
      <c r="D24" s="7">
        <v>29.9</v>
      </c>
      <c r="E24" s="6" t="s">
        <v>75</v>
      </c>
    </row>
    <row r="25" spans="2:5" x14ac:dyDescent="0.3">
      <c r="B25" s="6" t="s">
        <v>34</v>
      </c>
      <c r="C25" s="7">
        <v>46.664999999999999</v>
      </c>
      <c r="D25" s="7">
        <v>54.9</v>
      </c>
      <c r="E25" s="6" t="s">
        <v>75</v>
      </c>
    </row>
  </sheetData>
  <autoFilter ref="B1:E1" xr:uid="{00000000-0001-0000-0700-000000000000}">
    <sortState xmlns:xlrd2="http://schemas.microsoft.com/office/spreadsheetml/2017/richdata2" ref="B2:E25">
      <sortCondition ref="B1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X33"/>
  <sheetViews>
    <sheetView showGridLines="0" showRowColHeaders="0" topLeftCell="A15" workbookViewId="0">
      <selection activeCell="B36" sqref="B36"/>
    </sheetView>
  </sheetViews>
  <sheetFormatPr defaultRowHeight="14.4" x14ac:dyDescent="0.3"/>
  <cols>
    <col min="1" max="1" width="8.88671875" customWidth="1"/>
    <col min="2" max="2" width="48.44140625" bestFit="1" customWidth="1"/>
    <col min="3" max="3" width="24.21875" bestFit="1" customWidth="1"/>
    <col min="4" max="4" width="15.5546875" customWidth="1"/>
    <col min="5" max="5" width="24" bestFit="1" customWidth="1"/>
    <col min="6" max="6" width="19.6640625" bestFit="1" customWidth="1"/>
    <col min="7" max="7" width="12.77734375" bestFit="1" customWidth="1"/>
    <col min="8" max="8" width="16.88671875" bestFit="1" customWidth="1"/>
    <col min="9" max="9" width="9.33203125" bestFit="1" customWidth="1"/>
  </cols>
  <sheetData>
    <row r="2" spans="1:24" ht="21" x14ac:dyDescent="0.3">
      <c r="A2" s="2" t="s">
        <v>53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4" spans="1:24" x14ac:dyDescent="0.3">
      <c r="B4" t="s">
        <v>41</v>
      </c>
      <c r="C4" t="s">
        <v>42</v>
      </c>
      <c r="D4" t="s">
        <v>43</v>
      </c>
      <c r="E4" t="s">
        <v>44</v>
      </c>
      <c r="F4" t="s">
        <v>45</v>
      </c>
      <c r="G4" t="s">
        <v>46</v>
      </c>
    </row>
    <row r="5" spans="1:24" x14ac:dyDescent="0.3">
      <c r="B5" t="s">
        <v>3</v>
      </c>
      <c r="F5" s="1"/>
      <c r="G5" s="1">
        <v>1000</v>
      </c>
    </row>
    <row r="6" spans="1:24" x14ac:dyDescent="0.3">
      <c r="B6" t="s">
        <v>47</v>
      </c>
      <c r="F6" s="1"/>
      <c r="G6" s="1">
        <f>SUM(F7:F11)</f>
        <v>17500</v>
      </c>
    </row>
    <row r="7" spans="1:24" x14ac:dyDescent="0.3">
      <c r="C7" t="s">
        <v>10</v>
      </c>
      <c r="F7" s="1">
        <v>10000</v>
      </c>
      <c r="G7" s="1"/>
    </row>
    <row r="8" spans="1:24" x14ac:dyDescent="0.3">
      <c r="C8" t="s">
        <v>11</v>
      </c>
      <c r="F8" s="1">
        <v>500</v>
      </c>
      <c r="G8" s="1"/>
    </row>
    <row r="9" spans="1:24" x14ac:dyDescent="0.3">
      <c r="C9" t="s">
        <v>1</v>
      </c>
      <c r="F9" s="1">
        <v>3000</v>
      </c>
      <c r="G9" s="1"/>
    </row>
    <row r="10" spans="1:24" x14ac:dyDescent="0.3">
      <c r="C10" t="s">
        <v>12</v>
      </c>
      <c r="F10" s="1">
        <v>2500</v>
      </c>
      <c r="G10" s="1"/>
    </row>
    <row r="11" spans="1:24" x14ac:dyDescent="0.3">
      <c r="C11" t="s">
        <v>5</v>
      </c>
      <c r="E11" t="s">
        <v>52</v>
      </c>
      <c r="F11" s="1">
        <v>1500</v>
      </c>
      <c r="G11" s="1"/>
    </row>
    <row r="12" spans="1:24" x14ac:dyDescent="0.3">
      <c r="B12" t="s">
        <v>0</v>
      </c>
      <c r="F12" s="1"/>
      <c r="G12" s="1">
        <v>900</v>
      </c>
    </row>
    <row r="13" spans="1:24" x14ac:dyDescent="0.3">
      <c r="B13" t="s">
        <v>1</v>
      </c>
      <c r="F13" s="1"/>
      <c r="G13" s="1">
        <v>6000</v>
      </c>
    </row>
    <row r="14" spans="1:24" x14ac:dyDescent="0.3">
      <c r="B14" t="s">
        <v>14</v>
      </c>
      <c r="F14" s="1"/>
      <c r="G14" s="1">
        <f>SUM(F15:F18)</f>
        <v>5300</v>
      </c>
    </row>
    <row r="15" spans="1:24" x14ac:dyDescent="0.3">
      <c r="C15" t="s">
        <v>48</v>
      </c>
      <c r="F15" s="1">
        <v>800</v>
      </c>
      <c r="G15" s="1"/>
    </row>
    <row r="16" spans="1:24" x14ac:dyDescent="0.3">
      <c r="C16" t="s">
        <v>49</v>
      </c>
      <c r="F16" s="1">
        <v>3200</v>
      </c>
      <c r="G16" s="1"/>
    </row>
    <row r="17" spans="2:7" x14ac:dyDescent="0.3">
      <c r="C17" t="s">
        <v>50</v>
      </c>
      <c r="F17" s="1">
        <v>500</v>
      </c>
      <c r="G17" s="1"/>
    </row>
    <row r="18" spans="2:7" x14ac:dyDescent="0.3">
      <c r="C18" t="s">
        <v>51</v>
      </c>
      <c r="F18" s="1">
        <v>800</v>
      </c>
      <c r="G18" s="1"/>
    </row>
    <row r="19" spans="2:7" x14ac:dyDescent="0.3">
      <c r="C19" t="s">
        <v>5</v>
      </c>
      <c r="F19" s="1"/>
      <c r="G19" s="1"/>
    </row>
    <row r="20" spans="2:7" x14ac:dyDescent="0.3">
      <c r="B20" t="s">
        <v>2</v>
      </c>
      <c r="F20" s="1"/>
      <c r="G20" s="1">
        <v>300</v>
      </c>
    </row>
    <row r="21" spans="2:7" x14ac:dyDescent="0.3">
      <c r="B21" t="s">
        <v>15</v>
      </c>
      <c r="F21" s="1"/>
      <c r="G21" s="1">
        <f>SUM(F22:F27)</f>
        <v>11950</v>
      </c>
    </row>
    <row r="22" spans="2:7" x14ac:dyDescent="0.3">
      <c r="C22" t="s">
        <v>16</v>
      </c>
      <c r="F22" s="1">
        <v>1650</v>
      </c>
      <c r="G22" s="1"/>
    </row>
    <row r="23" spans="2:7" x14ac:dyDescent="0.3">
      <c r="C23" t="s">
        <v>17</v>
      </c>
      <c r="F23" s="1">
        <v>3000</v>
      </c>
      <c r="G23" s="1"/>
    </row>
    <row r="24" spans="2:7" x14ac:dyDescent="0.3">
      <c r="C24" t="s">
        <v>18</v>
      </c>
      <c r="F24" s="1">
        <v>3000</v>
      </c>
      <c r="G24" s="1"/>
    </row>
    <row r="25" spans="2:7" x14ac:dyDescent="0.3">
      <c r="C25" t="s">
        <v>19</v>
      </c>
      <c r="F25" s="1">
        <v>2700</v>
      </c>
      <c r="G25" s="1"/>
    </row>
    <row r="26" spans="2:7" x14ac:dyDescent="0.3">
      <c r="C26" t="s">
        <v>13</v>
      </c>
      <c r="F26" s="1">
        <v>1500</v>
      </c>
      <c r="G26" s="1"/>
    </row>
    <row r="27" spans="2:7" x14ac:dyDescent="0.3">
      <c r="C27" t="s">
        <v>5</v>
      </c>
      <c r="F27" s="1">
        <v>100</v>
      </c>
      <c r="G27" s="1"/>
    </row>
    <row r="28" spans="2:7" x14ac:dyDescent="0.3">
      <c r="B28" t="s">
        <v>4</v>
      </c>
      <c r="F28" s="1"/>
      <c r="G28" s="1">
        <v>1500</v>
      </c>
    </row>
    <row r="29" spans="2:7" x14ac:dyDescent="0.3">
      <c r="B29" t="s">
        <v>5</v>
      </c>
      <c r="F29" s="1"/>
      <c r="G29" s="1">
        <v>957</v>
      </c>
    </row>
    <row r="31" spans="2:7" ht="16.2" thickBot="1" x14ac:dyDescent="0.35">
      <c r="B31" s="22" t="s">
        <v>89</v>
      </c>
      <c r="C31" s="22"/>
      <c r="D31" s="22"/>
      <c r="E31" s="23">
        <f>SUM(Tabela1[Valor final])</f>
        <v>45407</v>
      </c>
      <c r="F31" s="23"/>
      <c r="G31" s="23"/>
    </row>
    <row r="32" spans="2:7" ht="16.2" thickBot="1" x14ac:dyDescent="0.35">
      <c r="B32" s="24" t="s">
        <v>87</v>
      </c>
      <c r="C32" s="24"/>
      <c r="D32" s="24"/>
      <c r="E32" s="24">
        <f>(Compras!I30)</f>
        <v>13999.922</v>
      </c>
      <c r="F32" s="24"/>
      <c r="G32" s="24"/>
    </row>
    <row r="33" spans="2:7" ht="15.6" x14ac:dyDescent="0.3">
      <c r="B33" s="25" t="s">
        <v>88</v>
      </c>
      <c r="C33" s="25"/>
      <c r="D33" s="26"/>
      <c r="E33" s="25">
        <f>(E31+E32)</f>
        <v>59406.921999999999</v>
      </c>
      <c r="F33" s="25"/>
      <c r="G33" s="25"/>
    </row>
  </sheetData>
  <mergeCells count="7">
    <mergeCell ref="B32:D32"/>
    <mergeCell ref="B33:C33"/>
    <mergeCell ref="B31:D31"/>
    <mergeCell ref="E31:G31"/>
    <mergeCell ref="E32:G32"/>
    <mergeCell ref="E33:G33"/>
    <mergeCell ref="A2:X2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X31"/>
  <sheetViews>
    <sheetView topLeftCell="A9" workbookViewId="0">
      <selection activeCell="B37" sqref="B37"/>
    </sheetView>
  </sheetViews>
  <sheetFormatPr defaultRowHeight="14.4" x14ac:dyDescent="0.3"/>
  <cols>
    <col min="2" max="2" width="14.77734375" customWidth="1"/>
    <col min="3" max="3" width="32.21875" customWidth="1"/>
    <col min="4" max="4" width="15.109375" customWidth="1"/>
    <col min="5" max="5" width="9.6640625" bestFit="1" customWidth="1"/>
    <col min="6" max="6" width="15.6640625" customWidth="1"/>
    <col min="7" max="7" width="16.44140625" customWidth="1"/>
    <col min="8" max="8" width="11.44140625" customWidth="1"/>
    <col min="9" max="9" width="14.21875" bestFit="1" customWidth="1"/>
  </cols>
  <sheetData>
    <row r="2" spans="1:24" ht="21" x14ac:dyDescent="0.3">
      <c r="A2" s="2" t="s">
        <v>54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5" spans="1:24" x14ac:dyDescent="0.3">
      <c r="B5" t="s">
        <v>43</v>
      </c>
      <c r="C5" t="s">
        <v>55</v>
      </c>
      <c r="D5" t="s">
        <v>56</v>
      </c>
      <c r="E5" t="s">
        <v>57</v>
      </c>
      <c r="F5" t="s">
        <v>58</v>
      </c>
      <c r="G5" t="s">
        <v>59</v>
      </c>
      <c r="H5" t="s">
        <v>60</v>
      </c>
      <c r="I5" t="s">
        <v>61</v>
      </c>
    </row>
    <row r="6" spans="1:24" x14ac:dyDescent="0.3">
      <c r="B6" s="9">
        <v>42190</v>
      </c>
      <c r="C6" s="10" t="s">
        <v>76</v>
      </c>
      <c r="D6" s="10" t="s">
        <v>35</v>
      </c>
      <c r="E6" t="str">
        <f>IFERROR((VLOOKUP(Tabela2[[#This Row],[Mercadoria]],cálculos!$B$2:$E$32,4,FALSE)),"")</f>
        <v>Unidade</v>
      </c>
      <c r="F6" s="11">
        <v>50</v>
      </c>
      <c r="G6" s="5">
        <f>IFERROR((VLOOKUP(Tabela2[[#This Row],[Mercadoria]],cálculos!$B$2:$E$32,2,FALSE)),"")</f>
        <v>2.3660000000000001</v>
      </c>
      <c r="H6" s="15">
        <v>0.05</v>
      </c>
      <c r="I6" s="5">
        <f>(Tabela2[[#This Row],[Quantidade]]*Tabela2[[#This Row],[Preço unitário]]*(1-Tabela2[[#This Row],[Desconto]]))</f>
        <v>112.38500000000001</v>
      </c>
    </row>
    <row r="7" spans="1:24" x14ac:dyDescent="0.3">
      <c r="B7" s="9">
        <v>42190</v>
      </c>
      <c r="C7" s="10" t="s">
        <v>77</v>
      </c>
      <c r="D7" s="10" t="s">
        <v>21</v>
      </c>
      <c r="E7" t="str">
        <f>VLOOKUP(Tabela2[[#This Row],[Mercadoria]],cálculos!$B$2:$E$32,4,FALSE)</f>
        <v>Kg</v>
      </c>
      <c r="F7" s="11">
        <v>120</v>
      </c>
      <c r="G7" s="5">
        <f>IFERROR((VLOOKUP(Tabela2[[#This Row],[Mercadoria]],cálculos!$B$2:$E$32,2,FALSE)),"")</f>
        <v>4.0659999999999998</v>
      </c>
      <c r="H7" s="15"/>
      <c r="I7" s="5">
        <f>(Tabela2[[#This Row],[Quantidade]]*Tabela2[[#This Row],[Preço unitário]]*(1-Tabela2[[#This Row],[Desconto]]))</f>
        <v>487.91999999999996</v>
      </c>
    </row>
    <row r="8" spans="1:24" x14ac:dyDescent="0.3">
      <c r="B8" s="9">
        <v>42189</v>
      </c>
      <c r="C8" s="10" t="s">
        <v>77</v>
      </c>
      <c r="D8" s="10" t="s">
        <v>21</v>
      </c>
      <c r="E8" t="str">
        <f>VLOOKUP(Tabela2[[#This Row],[Mercadoria]],cálculos!$B$2:$E$32,4,FALSE)</f>
        <v>Kg</v>
      </c>
      <c r="F8" s="11">
        <v>150</v>
      </c>
      <c r="G8" s="5">
        <f>IFERROR((VLOOKUP(Tabela2[[#This Row],[Mercadoria]],cálculos!$B$2:$E$32,2,FALSE)),"")</f>
        <v>4.0659999999999998</v>
      </c>
      <c r="H8" s="15"/>
      <c r="I8" s="5">
        <f>(Tabela2[[#This Row],[Quantidade]]*Tabela2[[#This Row],[Preço unitário]]*(1-Tabela2[[#This Row],[Desconto]]))</f>
        <v>609.9</v>
      </c>
    </row>
    <row r="9" spans="1:24" x14ac:dyDescent="0.3">
      <c r="B9" s="9">
        <v>42189</v>
      </c>
      <c r="C9" s="10" t="s">
        <v>77</v>
      </c>
      <c r="D9" s="10" t="s">
        <v>20</v>
      </c>
      <c r="E9" t="str">
        <f>VLOOKUP(Tabela2[[#This Row],[Mercadoria]],cálculos!$B$2:$E$32,4,FALSE)</f>
        <v>Kg</v>
      </c>
      <c r="F9" s="11">
        <v>150</v>
      </c>
      <c r="G9" s="5">
        <f>IFERROR((VLOOKUP(Tabela2[[#This Row],[Mercadoria]],cálculos!$B$2:$E$32,2,FALSE)),"")</f>
        <v>2.3406000000000002</v>
      </c>
      <c r="H9" s="15"/>
      <c r="I9" s="5">
        <f>(Tabela2[[#This Row],[Quantidade]]*Tabela2[[#This Row],[Preço unitário]]*(1-Tabela2[[#This Row],[Desconto]]))</f>
        <v>351.09000000000003</v>
      </c>
    </row>
    <row r="10" spans="1:24" x14ac:dyDescent="0.3">
      <c r="B10" s="9">
        <v>42189</v>
      </c>
      <c r="C10" s="10" t="s">
        <v>78</v>
      </c>
      <c r="D10" s="10" t="s">
        <v>33</v>
      </c>
      <c r="E10" t="str">
        <f>VLOOKUP(Tabela2[[#This Row],[Mercadoria]],cálculos!$B$2:$E$32,4,FALSE)</f>
        <v>Lata</v>
      </c>
      <c r="F10" s="11">
        <v>100</v>
      </c>
      <c r="G10" s="5">
        <f>IFERROR((VLOOKUP(Tabela2[[#This Row],[Mercadoria]],cálculos!$B$2:$E$32,2,FALSE)),"")</f>
        <v>2.1023999999999998</v>
      </c>
      <c r="H10" s="15"/>
      <c r="I10" s="5">
        <f>(Tabela2[[#This Row],[Quantidade]]*Tabela2[[#This Row],[Preço unitário]]*(1-Tabela2[[#This Row],[Desconto]]))</f>
        <v>210.23999999999998</v>
      </c>
    </row>
    <row r="11" spans="1:24" x14ac:dyDescent="0.3">
      <c r="B11" s="9">
        <v>42189</v>
      </c>
      <c r="C11" s="10" t="s">
        <v>78</v>
      </c>
      <c r="D11" s="10" t="s">
        <v>29</v>
      </c>
      <c r="E11" t="str">
        <f>VLOOKUP(Tabela2[[#This Row],[Mercadoria]],cálculos!$B$2:$E$32,4,FALSE)</f>
        <v>Litro</v>
      </c>
      <c r="F11" s="11">
        <v>200</v>
      </c>
      <c r="G11" s="5">
        <f>IFERROR((VLOOKUP(Tabela2[[#This Row],[Mercadoria]],cálculos!$B$2:$E$32,2,FALSE)),"")</f>
        <v>3.2084999999999999</v>
      </c>
      <c r="H11" s="15"/>
      <c r="I11" s="5">
        <f>(Tabela2[[#This Row],[Quantidade]]*Tabela2[[#This Row],[Preço unitário]]*(1-Tabela2[[#This Row],[Desconto]]))</f>
        <v>641.69999999999993</v>
      </c>
    </row>
    <row r="12" spans="1:24" x14ac:dyDescent="0.3">
      <c r="B12" s="9">
        <v>42188</v>
      </c>
      <c r="C12" s="10" t="s">
        <v>79</v>
      </c>
      <c r="D12" s="10" t="s">
        <v>39</v>
      </c>
      <c r="E12" t="str">
        <f>VLOOKUP(Tabela2[[#This Row],[Mercadoria]],cálculos!$B$2:$E$32,4,FALSE)</f>
        <v>Maço</v>
      </c>
      <c r="F12" s="11">
        <v>100</v>
      </c>
      <c r="G12" s="5">
        <f>IFERROR((VLOOKUP(Tabela2[[#This Row],[Mercadoria]],cálculos!$B$2:$E$32,2,FALSE)),"")</f>
        <v>6.3449999999999998</v>
      </c>
      <c r="H12" s="15"/>
      <c r="I12" s="5">
        <f>(Tabela2[[#This Row],[Quantidade]]*Tabela2[[#This Row],[Preço unitário]]*(1-Tabela2[[#This Row],[Desconto]]))</f>
        <v>634.5</v>
      </c>
    </row>
    <row r="13" spans="1:24" x14ac:dyDescent="0.3">
      <c r="B13" s="9">
        <v>42188</v>
      </c>
      <c r="C13" s="10" t="s">
        <v>80</v>
      </c>
      <c r="D13" s="10" t="s">
        <v>38</v>
      </c>
      <c r="E13" t="str">
        <f>VLOOKUP(Tabela2[[#This Row],[Mercadoria]],cálculos!$B$2:$E$32,4,FALSE)</f>
        <v>Barra</v>
      </c>
      <c r="F13" s="11">
        <v>100</v>
      </c>
      <c r="G13" s="5">
        <f>IFERROR((VLOOKUP(Tabela2[[#This Row],[Mercadoria]],cálculos!$B$2:$E$32,2,FALSE)),"")</f>
        <v>4.5409000000000006</v>
      </c>
      <c r="H13" s="15"/>
      <c r="I13" s="5">
        <f>(Tabela2[[#This Row],[Quantidade]]*Tabela2[[#This Row],[Preço unitário]]*(1-Tabela2[[#This Row],[Desconto]]))</f>
        <v>454.09000000000003</v>
      </c>
    </row>
    <row r="14" spans="1:24" x14ac:dyDescent="0.3">
      <c r="B14" s="9">
        <v>42188</v>
      </c>
      <c r="C14" s="10" t="s">
        <v>77</v>
      </c>
      <c r="D14" s="10" t="s">
        <v>21</v>
      </c>
      <c r="E14" t="str">
        <f>VLOOKUP(Tabela2[[#This Row],[Mercadoria]],cálculos!$B$2:$E$32,4,FALSE)</f>
        <v>Kg</v>
      </c>
      <c r="F14" s="11">
        <v>300</v>
      </c>
      <c r="G14" s="5">
        <f>IFERROR((VLOOKUP(Tabela2[[#This Row],[Mercadoria]],cálculos!$B$2:$E$32,2,FALSE)),"")</f>
        <v>4.0659999999999998</v>
      </c>
      <c r="H14" s="15">
        <v>0.03</v>
      </c>
      <c r="I14" s="5">
        <f>(Tabela2[[#This Row],[Quantidade]]*Tabela2[[#This Row],[Preço unitário]]*(1-Tabela2[[#This Row],[Desconto]]))</f>
        <v>1183.2059999999999</v>
      </c>
    </row>
    <row r="15" spans="1:24" x14ac:dyDescent="0.3">
      <c r="B15" s="9">
        <v>42188</v>
      </c>
      <c r="C15" s="10" t="s">
        <v>77</v>
      </c>
      <c r="D15" s="10" t="s">
        <v>32</v>
      </c>
      <c r="E15" t="str">
        <f>VLOOKUP(Tabela2[[#This Row],[Mercadoria]],cálculos!$B$2:$E$32,4,FALSE)</f>
        <v>Pacote</v>
      </c>
      <c r="F15" s="11">
        <v>50</v>
      </c>
      <c r="G15" s="5">
        <f>IFERROR((VLOOKUP(Tabela2[[#This Row],[Mercadoria]],cálculos!$B$2:$E$32,2,FALSE)),"")</f>
        <v>1.0580000000000001</v>
      </c>
      <c r="H15" s="15"/>
      <c r="I15" s="5">
        <f>(Tabela2[[#This Row],[Quantidade]]*Tabela2[[#This Row],[Preço unitário]]*(1-Tabela2[[#This Row],[Desconto]]))</f>
        <v>52.900000000000006</v>
      </c>
    </row>
    <row r="16" spans="1:24" x14ac:dyDescent="0.3">
      <c r="B16" s="9">
        <v>42188</v>
      </c>
      <c r="C16" s="10" t="s">
        <v>81</v>
      </c>
      <c r="D16" s="10" t="s">
        <v>73</v>
      </c>
      <c r="E16" t="str">
        <f>VLOOKUP(Tabela2[[#This Row],[Mercadoria]],cálculos!$B$2:$E$32,4,FALSE)</f>
        <v>Unidade</v>
      </c>
      <c r="F16" s="11">
        <v>300</v>
      </c>
      <c r="G16" s="5">
        <f>IFERROR((VLOOKUP(Tabela2[[#This Row],[Mercadoria]],cálculos!$B$2:$E$32,2,FALSE)),"")</f>
        <v>2.6299000000000001</v>
      </c>
      <c r="H16" s="15"/>
      <c r="I16" s="5">
        <f>(Tabela2[[#This Row],[Quantidade]]*Tabela2[[#This Row],[Preço unitário]]*(1-Tabela2[[#This Row],[Desconto]]))</f>
        <v>788.97</v>
      </c>
    </row>
    <row r="17" spans="2:12" x14ac:dyDescent="0.3">
      <c r="B17" s="9">
        <v>42188</v>
      </c>
      <c r="C17" s="10" t="s">
        <v>80</v>
      </c>
      <c r="D17" s="10" t="s">
        <v>37</v>
      </c>
      <c r="E17" t="str">
        <f>VLOOKUP(Tabela2[[#This Row],[Mercadoria]],cálculos!$B$2:$E$32,4,FALSE)</f>
        <v>Pacote</v>
      </c>
      <c r="F17" s="11">
        <v>100</v>
      </c>
      <c r="G17" s="5">
        <f>IFERROR((VLOOKUP(Tabela2[[#This Row],[Mercadoria]],cálculos!$B$2:$E$32,2,FALSE)),"")</f>
        <v>1.8506999999999998</v>
      </c>
      <c r="H17" s="15"/>
      <c r="I17" s="5">
        <f>(Tabela2[[#This Row],[Quantidade]]*Tabela2[[#This Row],[Preço unitário]]*(1-Tabela2[[#This Row],[Desconto]]))</f>
        <v>185.07</v>
      </c>
    </row>
    <row r="18" spans="2:12" x14ac:dyDescent="0.3">
      <c r="B18" s="9">
        <v>42188</v>
      </c>
      <c r="C18" s="10" t="s">
        <v>78</v>
      </c>
      <c r="D18" s="10" t="s">
        <v>33</v>
      </c>
      <c r="E18" t="str">
        <f>VLOOKUP(Tabela2[[#This Row],[Mercadoria]],cálculos!$B$2:$E$32,4,FALSE)</f>
        <v>Lata</v>
      </c>
      <c r="F18" s="11">
        <v>100</v>
      </c>
      <c r="G18" s="5">
        <f>IFERROR((VLOOKUP(Tabela2[[#This Row],[Mercadoria]],cálculos!$B$2:$E$32,2,FALSE)),"")</f>
        <v>2.1023999999999998</v>
      </c>
      <c r="H18" s="15"/>
      <c r="I18" s="5">
        <f>(Tabela2[[#This Row],[Quantidade]]*Tabela2[[#This Row],[Preço unitário]]*(1-Tabela2[[#This Row],[Desconto]]))</f>
        <v>210.23999999999998</v>
      </c>
    </row>
    <row r="19" spans="2:12" x14ac:dyDescent="0.3">
      <c r="B19" s="9">
        <v>42188</v>
      </c>
      <c r="C19" s="10" t="s">
        <v>82</v>
      </c>
      <c r="D19" s="10" t="s">
        <v>25</v>
      </c>
      <c r="E19" t="str">
        <f>VLOOKUP(Tabela2[[#This Row],[Mercadoria]],cálculos!$B$2:$E$32,4,FALSE)</f>
        <v>Kg</v>
      </c>
      <c r="F19" s="11">
        <v>110</v>
      </c>
      <c r="G19" s="5">
        <f>IFERROR((VLOOKUP(Tabela2[[#This Row],[Mercadoria]],cálculos!$B$2:$E$32,2,FALSE)),"")</f>
        <v>6.4216000000000006</v>
      </c>
      <c r="H19" s="15"/>
      <c r="I19" s="5">
        <f>(Tabela2[[#This Row],[Quantidade]]*Tabela2[[#This Row],[Preço unitário]]*(1-Tabela2[[#This Row],[Desconto]]))</f>
        <v>706.37600000000009</v>
      </c>
    </row>
    <row r="20" spans="2:12" x14ac:dyDescent="0.3">
      <c r="B20" s="9">
        <v>42188</v>
      </c>
      <c r="C20" s="10" t="s">
        <v>83</v>
      </c>
      <c r="D20" s="10" t="s">
        <v>26</v>
      </c>
      <c r="E20" t="str">
        <f>VLOOKUP(Tabela2[[#This Row],[Mercadoria]],cálculos!$B$2:$E$32,4,FALSE)</f>
        <v>Kg</v>
      </c>
      <c r="F20" s="11">
        <v>50</v>
      </c>
      <c r="G20" s="5">
        <f>IFERROR((VLOOKUP(Tabela2[[#This Row],[Mercadoria]],cálculos!$B$2:$E$32,2,FALSE)),"")</f>
        <v>22.226999999999997</v>
      </c>
      <c r="H20" s="15">
        <v>0.1</v>
      </c>
      <c r="I20" s="5">
        <f>(Tabela2[[#This Row],[Quantidade]]*Tabela2[[#This Row],[Preço unitário]]*(1-Tabela2[[#This Row],[Desconto]]))</f>
        <v>1000.2149999999999</v>
      </c>
    </row>
    <row r="21" spans="2:12" x14ac:dyDescent="0.3">
      <c r="B21" s="9">
        <v>42187</v>
      </c>
      <c r="C21" s="10" t="s">
        <v>77</v>
      </c>
      <c r="D21" s="10" t="s">
        <v>20</v>
      </c>
      <c r="E21" t="str">
        <f>VLOOKUP(Tabela2[[#This Row],[Mercadoria]],cálculos!$B$2:$E$32,4,FALSE)</f>
        <v>Kg</v>
      </c>
      <c r="F21" s="11">
        <v>300</v>
      </c>
      <c r="G21" s="5">
        <f>IFERROR((VLOOKUP(Tabela2[[#This Row],[Mercadoria]],cálculos!$B$2:$E$32,2,FALSE)),"")</f>
        <v>2.3406000000000002</v>
      </c>
      <c r="H21" s="15"/>
      <c r="I21" s="5">
        <f>(Tabela2[[#This Row],[Quantidade]]*Tabela2[[#This Row],[Preço unitário]]*(1-Tabela2[[#This Row],[Desconto]]))</f>
        <v>702.18000000000006</v>
      </c>
    </row>
    <row r="22" spans="2:12" x14ac:dyDescent="0.3">
      <c r="B22" s="9">
        <v>42187</v>
      </c>
      <c r="C22" s="10" t="s">
        <v>76</v>
      </c>
      <c r="D22" s="10" t="s">
        <v>23</v>
      </c>
      <c r="E22" t="str">
        <f>VLOOKUP(Tabela2[[#This Row],[Mercadoria]],cálculos!$B$2:$E$32,4,FALSE)</f>
        <v>Unidade</v>
      </c>
      <c r="F22" s="11">
        <v>150</v>
      </c>
      <c r="G22" s="5">
        <f>IFERROR((VLOOKUP(Tabela2[[#This Row],[Mercadoria]],cálculos!$B$2:$E$32,2,FALSE)),"")</f>
        <v>2.8405</v>
      </c>
      <c r="H22" s="15"/>
      <c r="I22" s="5">
        <f>(Tabela2[[#This Row],[Quantidade]]*Tabela2[[#This Row],[Preço unitário]]*(1-Tabela2[[#This Row],[Desconto]]))</f>
        <v>426.07499999999999</v>
      </c>
    </row>
    <row r="23" spans="2:12" x14ac:dyDescent="0.3">
      <c r="B23" s="9">
        <v>42187</v>
      </c>
      <c r="C23" s="10" t="s">
        <v>84</v>
      </c>
      <c r="D23" s="10" t="s">
        <v>30</v>
      </c>
      <c r="E23" t="str">
        <f>VLOOKUP(Tabela2[[#This Row],[Mercadoria]],cálculos!$B$2:$E$32,4,FALSE)</f>
        <v>Kg</v>
      </c>
      <c r="F23" s="11">
        <v>150</v>
      </c>
      <c r="G23" s="5">
        <f>IFERROR((VLOOKUP(Tabela2[[#This Row],[Mercadoria]],cálculos!$B$2:$E$32,2,FALSE)),"")</f>
        <v>3.6309000000000005</v>
      </c>
      <c r="H23" s="15"/>
      <c r="I23" s="5">
        <f>(Tabela2[[#This Row],[Quantidade]]*Tabela2[[#This Row],[Preço unitário]]*(1-Tabela2[[#This Row],[Desconto]]))</f>
        <v>544.6350000000001</v>
      </c>
      <c r="L23" s="13"/>
    </row>
    <row r="24" spans="2:12" x14ac:dyDescent="0.3">
      <c r="B24" s="9">
        <v>42187</v>
      </c>
      <c r="C24" s="10" t="s">
        <v>85</v>
      </c>
      <c r="D24" s="10" t="s">
        <v>24</v>
      </c>
      <c r="E24" t="str">
        <f>VLOOKUP(Tabela2[[#This Row],[Mercadoria]],cálculos!$B$2:$E$32,4,FALSE)</f>
        <v>Kg</v>
      </c>
      <c r="F24" s="11">
        <v>150</v>
      </c>
      <c r="G24" s="5">
        <f>IFERROR((VLOOKUP(Tabela2[[#This Row],[Mercadoria]],cálculos!$B$2:$E$32,2,FALSE)),"")</f>
        <v>14.469000000000001</v>
      </c>
      <c r="H24" s="15"/>
      <c r="I24" s="5">
        <f>(Tabela2[[#This Row],[Quantidade]]*Tabela2[[#This Row],[Preço unitário]]*(1-Tabela2[[#This Row],[Desconto]]))</f>
        <v>2170.3500000000004</v>
      </c>
    </row>
    <row r="25" spans="2:12" x14ac:dyDescent="0.3">
      <c r="B25" s="9">
        <v>42187</v>
      </c>
      <c r="C25" s="10" t="s">
        <v>78</v>
      </c>
      <c r="D25" s="10" t="s">
        <v>33</v>
      </c>
      <c r="E25" t="str">
        <f>VLOOKUP(Tabela2[[#This Row],[Mercadoria]],cálculos!$B$2:$E$32,4,FALSE)</f>
        <v>Lata</v>
      </c>
      <c r="F25" s="11">
        <v>100</v>
      </c>
      <c r="G25" s="5">
        <f>IFERROR((VLOOKUP(Tabela2[[#This Row],[Mercadoria]],cálculos!$B$2:$E$32,2,FALSE)),"")</f>
        <v>2.1023999999999998</v>
      </c>
      <c r="H25" s="15"/>
      <c r="I25" s="5">
        <f>(Tabela2[[#This Row],[Quantidade]]*Tabela2[[#This Row],[Preço unitário]]*(1-Tabela2[[#This Row],[Desconto]]))</f>
        <v>210.23999999999998</v>
      </c>
    </row>
    <row r="26" spans="2:12" x14ac:dyDescent="0.3">
      <c r="B26" s="9">
        <v>42187</v>
      </c>
      <c r="C26" s="10" t="s">
        <v>78</v>
      </c>
      <c r="D26" s="10" t="s">
        <v>28</v>
      </c>
      <c r="E26" t="str">
        <f>VLOOKUP(Tabela2[[#This Row],[Mercadoria]],cálculos!$B$2:$E$32,4,FALSE)</f>
        <v>Garrafa</v>
      </c>
      <c r="F26" s="11">
        <v>80</v>
      </c>
      <c r="G26" s="5">
        <f>IFERROR((VLOOKUP(Tabela2[[#This Row],[Mercadoria]],cálculos!$B$2:$E$32,2,FALSE)),"")</f>
        <v>26.012999999999998</v>
      </c>
      <c r="H26" s="15"/>
      <c r="I26" s="5">
        <f>(Tabela2[[#This Row],[Quantidade]]*Tabela2[[#This Row],[Preço unitário]]*(1-Tabela2[[#This Row],[Desconto]]))</f>
        <v>2081.04</v>
      </c>
    </row>
    <row r="27" spans="2:12" x14ac:dyDescent="0.3">
      <c r="B27" s="9">
        <v>42187</v>
      </c>
      <c r="C27" s="10" t="s">
        <v>76</v>
      </c>
      <c r="D27" s="10" t="s">
        <v>35</v>
      </c>
      <c r="E27" t="str">
        <f>VLOOKUP(Tabela2[[#This Row],[Mercadoria]],cálculos!$B$2:$E$32,4,FALSE)</f>
        <v>Unidade</v>
      </c>
      <c r="F27" s="11">
        <v>100</v>
      </c>
      <c r="G27" s="5">
        <f>IFERROR((VLOOKUP(Tabela2[[#This Row],[Mercadoria]],cálculos!$B$2:$E$32,2,FALSE)),"")</f>
        <v>2.3660000000000001</v>
      </c>
      <c r="H27" s="15"/>
      <c r="I27" s="5">
        <f>(Tabela2[[#This Row],[Quantidade]]*Tabela2[[#This Row],[Preço unitário]]*(1-Tabela2[[#This Row],[Desconto]]))</f>
        <v>236.60000000000002</v>
      </c>
    </row>
    <row r="28" spans="2:12" x14ac:dyDescent="0.3">
      <c r="B28" s="4"/>
      <c r="E28" t="e">
        <f>VLOOKUP(Tabela2[[#This Row],[Mercadoria]],cálculos!$B$2:$E$32,4,FALSE)</f>
        <v>#N/A</v>
      </c>
      <c r="G28" s="5" t="str">
        <f>IFERROR((VLOOKUP(Tabela2[[#This Row],[Mercadoria]],cálculos!$B$2:$E$32,2,FALSE)),"")</f>
        <v/>
      </c>
      <c r="H28" s="15"/>
      <c r="I28" s="5"/>
    </row>
    <row r="30" spans="2:12" ht="15.6" x14ac:dyDescent="0.3">
      <c r="B30" s="18" t="s">
        <v>86</v>
      </c>
      <c r="C30" s="18"/>
      <c r="D30" s="16"/>
      <c r="E30" s="16"/>
      <c r="F30" s="16"/>
      <c r="G30" s="16"/>
      <c r="H30" s="16"/>
      <c r="I30" s="17">
        <f>SUM(Tabela2[Valor Pago])</f>
        <v>13999.922</v>
      </c>
    </row>
    <row r="31" spans="2:12" x14ac:dyDescent="0.3">
      <c r="B31" s="13"/>
      <c r="C31" s="13"/>
      <c r="D31" s="13"/>
      <c r="E31" s="13"/>
    </row>
  </sheetData>
  <mergeCells count="2">
    <mergeCell ref="A2:X2"/>
    <mergeCell ref="B30:C30"/>
  </mergeCells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8A27F4C-5DCB-4509-9450-AA698C4D6C74}">
          <x14:formula1>
            <xm:f>cálculos!$B$2:$B$31</xm:f>
          </x14:formula1>
          <xm:sqref>D6:D29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X12"/>
  <sheetViews>
    <sheetView showGridLines="0" showRowColHeaders="0" workbookViewId="0">
      <selection activeCell="D30" sqref="D30"/>
    </sheetView>
  </sheetViews>
  <sheetFormatPr defaultRowHeight="14.4" x14ac:dyDescent="0.3"/>
  <cols>
    <col min="2" max="2" width="20.21875" customWidth="1"/>
    <col min="3" max="3" width="17.5546875" customWidth="1"/>
    <col min="4" max="4" width="53" customWidth="1"/>
    <col min="5" max="5" width="15.33203125" bestFit="1" customWidth="1"/>
  </cols>
  <sheetData>
    <row r="2" spans="1:24" ht="21" x14ac:dyDescent="0.3">
      <c r="A2" s="2" t="s">
        <v>90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5" spans="1:24" x14ac:dyDescent="0.3">
      <c r="B5" t="s">
        <v>91</v>
      </c>
      <c r="C5" t="s">
        <v>43</v>
      </c>
      <c r="D5" t="s">
        <v>92</v>
      </c>
      <c r="E5" t="s">
        <v>93</v>
      </c>
    </row>
    <row r="6" spans="1:24" x14ac:dyDescent="0.3">
      <c r="B6" t="s">
        <v>94</v>
      </c>
      <c r="C6" s="12">
        <v>42129</v>
      </c>
      <c r="D6" s="14"/>
      <c r="E6" s="5">
        <v>400000</v>
      </c>
    </row>
    <row r="7" spans="1:24" x14ac:dyDescent="0.3">
      <c r="B7" t="s">
        <v>13</v>
      </c>
      <c r="C7" s="12"/>
      <c r="D7" s="14"/>
      <c r="E7" s="5"/>
    </row>
    <row r="8" spans="1:24" x14ac:dyDescent="0.3">
      <c r="B8" t="s">
        <v>95</v>
      </c>
      <c r="C8" s="12"/>
      <c r="D8" s="14"/>
      <c r="E8" s="5"/>
    </row>
    <row r="9" spans="1:24" x14ac:dyDescent="0.3">
      <c r="B9" t="s">
        <v>96</v>
      </c>
      <c r="C9" s="12"/>
      <c r="D9" s="14"/>
      <c r="E9" s="5"/>
    </row>
    <row r="10" spans="1:24" x14ac:dyDescent="0.3">
      <c r="B10" t="s">
        <v>5</v>
      </c>
      <c r="C10" s="12"/>
      <c r="D10" s="14"/>
      <c r="E10" s="5"/>
    </row>
    <row r="12" spans="1:24" ht="15.6" x14ac:dyDescent="0.3">
      <c r="B12" s="19" t="s">
        <v>97</v>
      </c>
      <c r="C12" s="19"/>
      <c r="D12" s="20"/>
      <c r="E12" s="21">
        <f>SUM(Tabela3[Valor])</f>
        <v>400000</v>
      </c>
    </row>
  </sheetData>
  <mergeCells count="2">
    <mergeCell ref="A2:X2"/>
    <mergeCell ref="B12:C12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X30"/>
  <sheetViews>
    <sheetView tabSelected="1" topLeftCell="A3" workbookViewId="0">
      <selection activeCell="B6" sqref="B6"/>
    </sheetView>
  </sheetViews>
  <sheetFormatPr defaultRowHeight="14.4" x14ac:dyDescent="0.3"/>
  <cols>
    <col min="2" max="2" width="14.77734375" bestFit="1" customWidth="1"/>
    <col min="3" max="3" width="22" customWidth="1"/>
    <col min="4" max="4" width="21.44140625" customWidth="1"/>
    <col min="5" max="5" width="25.5546875" customWidth="1"/>
    <col min="6" max="6" width="23.21875" customWidth="1"/>
    <col min="7" max="7" width="23.77734375" customWidth="1"/>
    <col min="8" max="8" width="15.33203125" customWidth="1"/>
    <col min="11" max="11" width="5.33203125" bestFit="1" customWidth="1"/>
  </cols>
  <sheetData>
    <row r="2" spans="1:24" ht="21" x14ac:dyDescent="0.3">
      <c r="A2" s="2" t="s">
        <v>98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5" spans="1:24" x14ac:dyDescent="0.3">
      <c r="B5" s="10" t="s">
        <v>99</v>
      </c>
      <c r="C5" s="10" t="s">
        <v>100</v>
      </c>
      <c r="D5" s="10" t="s">
        <v>101</v>
      </c>
      <c r="E5" s="10" t="s">
        <v>102</v>
      </c>
      <c r="F5" s="10" t="s">
        <v>103</v>
      </c>
      <c r="G5" s="10" t="s">
        <v>104</v>
      </c>
      <c r="H5" s="10" t="s">
        <v>105</v>
      </c>
    </row>
    <row r="6" spans="1:24" x14ac:dyDescent="0.3">
      <c r="B6" s="10" t="s">
        <v>23</v>
      </c>
      <c r="C6" s="9">
        <f>IFERROR(INDEX(Tabela2[Data],MATCH(Tabela4[[#This Row],[Produto]],Tabela2[Mercadoria],0),1),"")</f>
        <v>42187</v>
      </c>
      <c r="D6" s="10">
        <v>15</v>
      </c>
      <c r="E6" s="10">
        <f>SUMIF(Compras!D6:D27,Tabela4[[#This Row],[Produto]],Compras!F6:F27)</f>
        <v>150</v>
      </c>
      <c r="F6" s="10"/>
      <c r="G6" s="10">
        <f>Tabela4[[#This Row],[Quantidade Inicial]]+Tabela4[[#This Row],[Quantidade Comprada]]-Tabela4[[#This Row],[Quantidade Vendida]]</f>
        <v>165</v>
      </c>
      <c r="H6" s="28" t="str">
        <f>IF(Tabela4[[#This Row],[Quantidade Atual]]&lt;50,IF(Tabela4[[#This Row],[Quantidade Atual]]&lt;21,"Comprar","Atenção"),"Ok")</f>
        <v>Ok</v>
      </c>
      <c r="K6">
        <f>MATCH(Tabela4[[#This Row],[Produto]],Tabela2[Mercadoria],0)</f>
        <v>17</v>
      </c>
    </row>
    <row r="7" spans="1:24" x14ac:dyDescent="0.3">
      <c r="B7" s="10" t="s">
        <v>32</v>
      </c>
      <c r="C7" s="9">
        <f>IFERROR(INDEX(Tabela2[Data],MATCH(Tabela4[[#This Row],[Produto]],Tabela2[Mercadoria],0),1),"")</f>
        <v>42188</v>
      </c>
      <c r="D7" s="10">
        <v>10</v>
      </c>
      <c r="E7" s="10">
        <f>SUMIF(Compras!D7:D28,Tabela4[[#This Row],[Produto]],Compras!F7:F28)</f>
        <v>50</v>
      </c>
      <c r="F7" s="10"/>
      <c r="G7" s="10">
        <f>Tabela4[[#This Row],[Quantidade Inicial]]+Tabela4[[#This Row],[Quantidade Comprada]]-Tabela4[[#This Row],[Quantidade Vendida]]</f>
        <v>60</v>
      </c>
      <c r="H7" s="28" t="str">
        <f>IF(Tabela4[[#This Row],[Quantidade Atual]]&lt;50,IF(Tabela4[[#This Row],[Quantidade Atual]]&lt;21,"Comprar","Atenção"),"Ok")</f>
        <v>Ok</v>
      </c>
    </row>
    <row r="8" spans="1:24" x14ac:dyDescent="0.3">
      <c r="B8" s="10" t="s">
        <v>20</v>
      </c>
      <c r="C8" s="9">
        <f>IFERROR(INDEX(Tabela2[Data],MATCH(Tabela4[[#This Row],[Produto]],Tabela2[Mercadoria],0),1),"")</f>
        <v>42189</v>
      </c>
      <c r="D8" s="10">
        <v>0</v>
      </c>
      <c r="E8" s="10">
        <f>SUMIF(Compras!D8:D29,Tabela4[[#This Row],[Produto]],Compras!F8:F29)</f>
        <v>450</v>
      </c>
      <c r="F8" s="10"/>
      <c r="G8" s="10">
        <f>Tabela4[[#This Row],[Quantidade Inicial]]+Tabela4[[#This Row],[Quantidade Comprada]]-Tabela4[[#This Row],[Quantidade Vendida]]</f>
        <v>450</v>
      </c>
      <c r="H8" s="28" t="str">
        <f>IF(Tabela4[[#This Row],[Quantidade Atual]]&lt;50,IF(Tabela4[[#This Row],[Quantidade Atual]]&lt;21,"Comprar","Atenção"),"Ok")</f>
        <v>Ok</v>
      </c>
    </row>
    <row r="9" spans="1:24" x14ac:dyDescent="0.3">
      <c r="B9" s="10" t="s">
        <v>37</v>
      </c>
      <c r="C9" s="9">
        <f>IFERROR(INDEX(Tabela2[Data],MATCH(Tabela4[[#This Row],[Produto]],Tabela2[Mercadoria],0),1),"")</f>
        <v>42188</v>
      </c>
      <c r="D9" s="10">
        <v>0</v>
      </c>
      <c r="E9" s="10">
        <f>SUMIF(Compras!D9:D30,Tabela4[[#This Row],[Produto]],Compras!F9:F30)</f>
        <v>100</v>
      </c>
      <c r="F9" s="10"/>
      <c r="G9" s="10">
        <f>Tabela4[[#This Row],[Quantidade Inicial]]+Tabela4[[#This Row],[Quantidade Comprada]]-Tabela4[[#This Row],[Quantidade Vendida]]</f>
        <v>100</v>
      </c>
      <c r="H9" s="28" t="str">
        <f>IF(Tabela4[[#This Row],[Quantidade Atual]]&lt;50,IF(Tabela4[[#This Row],[Quantidade Atual]]&lt;21,"Comprar","Atenção"),"Ok")</f>
        <v>Ok</v>
      </c>
    </row>
    <row r="10" spans="1:24" x14ac:dyDescent="0.3">
      <c r="B10" s="10" t="s">
        <v>40</v>
      </c>
      <c r="C10" s="9" t="str">
        <f>IFERROR(INDEX(Tabela2[Data],MATCH(Tabela4[[#This Row],[Produto]],Tabela2[Mercadoria],0),1),"")</f>
        <v/>
      </c>
      <c r="D10" s="10">
        <v>150</v>
      </c>
      <c r="E10" s="10">
        <f>SUMIF(Compras!D10:D31,Tabela4[[#This Row],[Produto]],Compras!F10:F31)</f>
        <v>0</v>
      </c>
      <c r="F10" s="10"/>
      <c r="G10" s="10">
        <f>Tabela4[[#This Row],[Quantidade Inicial]]+Tabela4[[#This Row],[Quantidade Comprada]]-Tabela4[[#This Row],[Quantidade Vendida]]</f>
        <v>150</v>
      </c>
      <c r="H10" s="28" t="str">
        <f>IF(Tabela4[[#This Row],[Quantidade Atual]]&lt;50,IF(Tabela4[[#This Row],[Quantidade Atual]]&lt;21,"Comprar","Atenção"),"Ok")</f>
        <v>Ok</v>
      </c>
    </row>
    <row r="11" spans="1:24" x14ac:dyDescent="0.3">
      <c r="B11" s="10" t="s">
        <v>36</v>
      </c>
      <c r="C11" s="9" t="str">
        <f>IFERROR(INDEX(Tabela2[Data],MATCH(Tabela4[[#This Row],[Produto]],Tabela2[Mercadoria],0),1),"")</f>
        <v/>
      </c>
      <c r="D11" s="10">
        <v>15</v>
      </c>
      <c r="E11" s="10">
        <f>SUMIF(Compras!D11:D32,Tabela4[[#This Row],[Produto]],Compras!F11:F32)</f>
        <v>0</v>
      </c>
      <c r="F11" s="10"/>
      <c r="G11" s="10">
        <f>Tabela4[[#This Row],[Quantidade Inicial]]+Tabela4[[#This Row],[Quantidade Comprada]]-Tabela4[[#This Row],[Quantidade Vendida]]</f>
        <v>15</v>
      </c>
      <c r="H11" s="28" t="str">
        <f>IF(Tabela4[[#This Row],[Quantidade Atual]]&lt;50,IF(Tabela4[[#This Row],[Quantidade Atual]]&lt;21,"Comprar","Atenção"),"Ok")</f>
        <v>Comprar</v>
      </c>
    </row>
    <row r="12" spans="1:24" x14ac:dyDescent="0.3">
      <c r="B12" s="10" t="s">
        <v>24</v>
      </c>
      <c r="C12" s="9">
        <f>IFERROR(INDEX(Tabela2[Data],MATCH(Tabela4[[#This Row],[Produto]],Tabela2[Mercadoria],0),1),"")</f>
        <v>42187</v>
      </c>
      <c r="D12" s="10">
        <v>25</v>
      </c>
      <c r="E12" s="10">
        <f>SUMIF(Compras!D12:D33,Tabela4[[#This Row],[Produto]],Compras!F12:F33)</f>
        <v>150</v>
      </c>
      <c r="F12" s="10"/>
      <c r="G12" s="10">
        <f>Tabela4[[#This Row],[Quantidade Inicial]]+Tabela4[[#This Row],[Quantidade Comprada]]-Tabela4[[#This Row],[Quantidade Vendida]]</f>
        <v>175</v>
      </c>
      <c r="H12" s="28" t="str">
        <f>IF(Tabela4[[#This Row],[Quantidade Atual]]&lt;50,IF(Tabela4[[#This Row],[Quantidade Atual]]&lt;21,"Comprar","Atenção"),"Ok")</f>
        <v>Ok</v>
      </c>
    </row>
    <row r="13" spans="1:24" x14ac:dyDescent="0.3">
      <c r="B13" s="10" t="s">
        <v>30</v>
      </c>
      <c r="C13" s="9">
        <f>IFERROR(INDEX(Tabela2[Data],MATCH(Tabela4[[#This Row],[Produto]],Tabela2[Mercadoria],0),1),"")</f>
        <v>42187</v>
      </c>
      <c r="D13" s="10">
        <v>0</v>
      </c>
      <c r="E13" s="10">
        <f>SUMIF(Compras!D13:D34,Tabela4[[#This Row],[Produto]],Compras!F13:F34)</f>
        <v>150</v>
      </c>
      <c r="F13" s="10"/>
      <c r="G13" s="10">
        <f>Tabela4[[#This Row],[Quantidade Inicial]]+Tabela4[[#This Row],[Quantidade Comprada]]-Tabela4[[#This Row],[Quantidade Vendida]]</f>
        <v>150</v>
      </c>
      <c r="H13" s="28" t="str">
        <f>IF(Tabela4[[#This Row],[Quantidade Atual]]&lt;50,IF(Tabela4[[#This Row],[Quantidade Atual]]&lt;21,"Comprar","Atenção"),"Ok")</f>
        <v>Ok</v>
      </c>
    </row>
    <row r="14" spans="1:24" x14ac:dyDescent="0.3">
      <c r="B14" s="10" t="s">
        <v>33</v>
      </c>
      <c r="C14" s="9">
        <f>IFERROR(INDEX(Tabela2[Data],MATCH(Tabela4[[#This Row],[Produto]],Tabela2[Mercadoria],0),1),"")</f>
        <v>42189</v>
      </c>
      <c r="D14" s="10">
        <v>0</v>
      </c>
      <c r="E14" s="10">
        <f>SUMIF(Compras!D14:D35,Tabela4[[#This Row],[Produto]],Compras!F14:F35)</f>
        <v>200</v>
      </c>
      <c r="F14" s="10"/>
      <c r="G14" s="10">
        <f>Tabela4[[#This Row],[Quantidade Inicial]]+Tabela4[[#This Row],[Quantidade Comprada]]-Tabela4[[#This Row],[Quantidade Vendida]]</f>
        <v>200</v>
      </c>
      <c r="H14" s="28" t="str">
        <f>IF(Tabela4[[#This Row],[Quantidade Atual]]&lt;50,IF(Tabela4[[#This Row],[Quantidade Atual]]&lt;21,"Comprar","Atenção"),"Ok")</f>
        <v>Ok</v>
      </c>
    </row>
    <row r="15" spans="1:24" x14ac:dyDescent="0.3">
      <c r="B15" s="10" t="s">
        <v>38</v>
      </c>
      <c r="C15" s="9">
        <f>IFERROR(INDEX(Tabela2[Data],MATCH(Tabela4[[#This Row],[Produto]],Tabela2[Mercadoria],0),1),"")</f>
        <v>42188</v>
      </c>
      <c r="D15" s="10">
        <v>30</v>
      </c>
      <c r="E15" s="10">
        <f>SUMIF(Compras!D15:D36,Tabela4[[#This Row],[Produto]],Compras!F15:F36)</f>
        <v>0</v>
      </c>
      <c r="F15" s="10"/>
      <c r="G15" s="10">
        <f>Tabela4[[#This Row],[Quantidade Inicial]]+Tabela4[[#This Row],[Quantidade Comprada]]-Tabela4[[#This Row],[Quantidade Vendida]]</f>
        <v>30</v>
      </c>
      <c r="H15" s="28" t="str">
        <f>IF(Tabela4[[#This Row],[Quantidade Atual]]&lt;50,IF(Tabela4[[#This Row],[Quantidade Atual]]&lt;21,"Comprar","Atenção"),"Ok")</f>
        <v>Atenção</v>
      </c>
    </row>
    <row r="16" spans="1:24" x14ac:dyDescent="0.3">
      <c r="B16" s="10" t="s">
        <v>39</v>
      </c>
      <c r="C16" s="9">
        <f>IFERROR(INDEX(Tabela2[Data],MATCH(Tabela4[[#This Row],[Produto]],Tabela2[Mercadoria],0),1),"")</f>
        <v>42188</v>
      </c>
      <c r="D16" s="10">
        <v>0</v>
      </c>
      <c r="E16" s="10">
        <f>SUMIF(Compras!D16:D37,Tabela4[[#This Row],[Produto]],Compras!F16:F37)</f>
        <v>0</v>
      </c>
      <c r="F16" s="10"/>
      <c r="G16" s="10">
        <f>Tabela4[[#This Row],[Quantidade Inicial]]+Tabela4[[#This Row],[Quantidade Comprada]]-Tabela4[[#This Row],[Quantidade Vendida]]</f>
        <v>0</v>
      </c>
      <c r="H16" s="28" t="str">
        <f>IF(Tabela4[[#This Row],[Quantidade Atual]]&lt;50,IF(Tabela4[[#This Row],[Quantidade Atual]]&lt;21,"Comprar","Atenção"),"Ok")</f>
        <v>Comprar</v>
      </c>
    </row>
    <row r="17" spans="2:8" x14ac:dyDescent="0.3">
      <c r="B17" s="10" t="s">
        <v>35</v>
      </c>
      <c r="C17" s="9">
        <f>IFERROR(INDEX(Tabela2[Data],MATCH(Tabela4[[#This Row],[Produto]],Tabela2[Mercadoria],0),1),"")</f>
        <v>42190</v>
      </c>
      <c r="D17" s="10">
        <v>0</v>
      </c>
      <c r="E17" s="10">
        <f>SUMIF(Compras!D17:D38,Tabela4[[#This Row],[Produto]],Compras!F17:F38)</f>
        <v>100</v>
      </c>
      <c r="F17" s="10"/>
      <c r="G17" s="10">
        <f>Tabela4[[#This Row],[Quantidade Inicial]]+Tabela4[[#This Row],[Quantidade Comprada]]-Tabela4[[#This Row],[Quantidade Vendida]]</f>
        <v>100</v>
      </c>
      <c r="H17" s="28" t="str">
        <f>IF(Tabela4[[#This Row],[Quantidade Atual]]&lt;50,IF(Tabela4[[#This Row],[Quantidade Atual]]&lt;21,"Comprar","Atenção"),"Ok")</f>
        <v>Ok</v>
      </c>
    </row>
    <row r="18" spans="2:8" x14ac:dyDescent="0.3">
      <c r="B18" s="10" t="s">
        <v>21</v>
      </c>
      <c r="C18" s="9">
        <f>IFERROR(INDEX(Tabela2[Data],MATCH(Tabela4[[#This Row],[Produto]],Tabela2[Mercadoria],0),1),"")</f>
        <v>42190</v>
      </c>
      <c r="D18" s="10">
        <v>0</v>
      </c>
      <c r="E18" s="10">
        <f>SUMIF(Compras!D18:D39,Tabela4[[#This Row],[Produto]],Compras!F18:F39)</f>
        <v>0</v>
      </c>
      <c r="F18" s="10"/>
      <c r="G18" s="10">
        <f>Tabela4[[#This Row],[Quantidade Inicial]]+Tabela4[[#This Row],[Quantidade Comprada]]-Tabela4[[#This Row],[Quantidade Vendida]]</f>
        <v>0</v>
      </c>
      <c r="H18" s="28" t="str">
        <f>IF(Tabela4[[#This Row],[Quantidade Atual]]&lt;50,IF(Tabela4[[#This Row],[Quantidade Atual]]&lt;21,"Comprar","Atenção"),"Ok")</f>
        <v>Comprar</v>
      </c>
    </row>
    <row r="19" spans="2:8" x14ac:dyDescent="0.3">
      <c r="B19" s="10" t="s">
        <v>25</v>
      </c>
      <c r="C19" s="9">
        <f>IFERROR(INDEX(Tabela2[Data],MATCH(Tabela4[[#This Row],[Produto]],Tabela2[Mercadoria],0),1),"")</f>
        <v>42188</v>
      </c>
      <c r="D19" s="10">
        <v>0</v>
      </c>
      <c r="E19" s="10">
        <f>SUMIF(Compras!D19:D40,Tabela4[[#This Row],[Produto]],Compras!F19:F40)</f>
        <v>110</v>
      </c>
      <c r="F19" s="10"/>
      <c r="G19" s="10">
        <f>Tabela4[[#This Row],[Quantidade Inicial]]+Tabela4[[#This Row],[Quantidade Comprada]]-Tabela4[[#This Row],[Quantidade Vendida]]</f>
        <v>110</v>
      </c>
      <c r="H19" s="28" t="str">
        <f>IF(Tabela4[[#This Row],[Quantidade Atual]]&lt;50,IF(Tabela4[[#This Row],[Quantidade Atual]]&lt;21,"Comprar","Atenção"),"Ok")</f>
        <v>Ok</v>
      </c>
    </row>
    <row r="20" spans="2:8" x14ac:dyDescent="0.3">
      <c r="B20" s="10" t="s">
        <v>68</v>
      </c>
      <c r="C20" s="9" t="str">
        <f>IFERROR(INDEX(Tabela2[Data],MATCH(Tabela4[[#This Row],[Produto]],Tabela2[Mercadoria],0),1),"")</f>
        <v/>
      </c>
      <c r="D20" s="10">
        <v>39</v>
      </c>
      <c r="E20" s="10">
        <f>SUMIF(Compras!D20:D41,Tabela4[[#This Row],[Produto]],Compras!F20:F41)</f>
        <v>0</v>
      </c>
      <c r="F20" s="10"/>
      <c r="G20" s="10">
        <f>Tabela4[[#This Row],[Quantidade Inicial]]+Tabela4[[#This Row],[Quantidade Comprada]]-Tabela4[[#This Row],[Quantidade Vendida]]</f>
        <v>39</v>
      </c>
      <c r="H20" s="28" t="str">
        <f>IF(Tabela4[[#This Row],[Quantidade Atual]]&lt;50,IF(Tabela4[[#This Row],[Quantidade Atual]]&lt;21,"Comprar","Atenção"),"Ok")</f>
        <v>Atenção</v>
      </c>
    </row>
    <row r="21" spans="2:8" x14ac:dyDescent="0.3">
      <c r="B21" s="10" t="s">
        <v>73</v>
      </c>
      <c r="C21" s="9">
        <f>IFERROR(INDEX(Tabela2[Data],MATCH(Tabela4[[#This Row],[Produto]],Tabela2[Mercadoria],0),1),"")</f>
        <v>42188</v>
      </c>
      <c r="D21" s="10">
        <v>0</v>
      </c>
      <c r="E21" s="10">
        <f>SUMIF(Compras!D21:D42,Tabela4[[#This Row],[Produto]],Compras!F21:F42)</f>
        <v>0</v>
      </c>
      <c r="F21" s="10"/>
      <c r="G21" s="10">
        <f>Tabela4[[#This Row],[Quantidade Inicial]]+Tabela4[[#This Row],[Quantidade Comprada]]-Tabela4[[#This Row],[Quantidade Vendida]]</f>
        <v>0</v>
      </c>
      <c r="H21" s="28" t="str">
        <f>IF(Tabela4[[#This Row],[Quantidade Atual]]&lt;50,IF(Tabela4[[#This Row],[Quantidade Atual]]&lt;21,"Comprar","Atenção"),"Ok")</f>
        <v>Comprar</v>
      </c>
    </row>
    <row r="22" spans="2:8" x14ac:dyDescent="0.3">
      <c r="B22" s="10" t="s">
        <v>26</v>
      </c>
      <c r="C22" s="9">
        <f>IFERROR(INDEX(Tabela2[Data],MATCH(Tabela4[[#This Row],[Produto]],Tabela2[Mercadoria],0),1),"")</f>
        <v>42188</v>
      </c>
      <c r="D22" s="10">
        <v>0</v>
      </c>
      <c r="E22" s="10">
        <f>SUMIF(Compras!D22:D43,Tabela4[[#This Row],[Produto]],Compras!F22:F43)</f>
        <v>0</v>
      </c>
      <c r="F22" s="10"/>
      <c r="G22" s="10">
        <f>Tabela4[[#This Row],[Quantidade Inicial]]+Tabela4[[#This Row],[Quantidade Comprada]]-Tabela4[[#This Row],[Quantidade Vendida]]</f>
        <v>0</v>
      </c>
      <c r="H22" s="28" t="str">
        <f>IF(Tabela4[[#This Row],[Quantidade Atual]]&lt;50,IF(Tabela4[[#This Row],[Quantidade Atual]]&lt;21,"Comprar","Atenção"),"Ok")</f>
        <v>Comprar</v>
      </c>
    </row>
    <row r="23" spans="2:8" x14ac:dyDescent="0.3">
      <c r="B23" s="10" t="s">
        <v>27</v>
      </c>
      <c r="C23" s="9" t="str">
        <f>IFERROR(INDEX(Tabela2[Data],MATCH(Tabela4[[#This Row],[Produto]],Tabela2[Mercadoria],0),1),"")</f>
        <v/>
      </c>
      <c r="D23" s="10">
        <v>10</v>
      </c>
      <c r="E23" s="10">
        <f>SUMIF(Compras!D23:D44,Tabela4[[#This Row],[Produto]],Compras!F23:F44)</f>
        <v>0</v>
      </c>
      <c r="F23" s="10"/>
      <c r="G23" s="10">
        <f>Tabela4[[#This Row],[Quantidade Inicial]]+Tabela4[[#This Row],[Quantidade Comprada]]-Tabela4[[#This Row],[Quantidade Vendida]]</f>
        <v>10</v>
      </c>
      <c r="H23" s="28" t="str">
        <f>IF(Tabela4[[#This Row],[Quantidade Atual]]&lt;50,IF(Tabela4[[#This Row],[Quantidade Atual]]&lt;21,"Comprar","Atenção"),"Ok")</f>
        <v>Comprar</v>
      </c>
    </row>
    <row r="24" spans="2:8" x14ac:dyDescent="0.3">
      <c r="B24" s="10" t="s">
        <v>74</v>
      </c>
      <c r="C24" s="9" t="str">
        <f>IFERROR(INDEX(Tabela2[Data],MATCH(Tabela4[[#This Row],[Produto]],Tabela2[Mercadoria],0),1),"")</f>
        <v/>
      </c>
      <c r="D24" s="10">
        <v>100</v>
      </c>
      <c r="E24" s="10">
        <f>SUMIF(Compras!D24:D45,Tabela4[[#This Row],[Produto]],Compras!F24:F45)</f>
        <v>0</v>
      </c>
      <c r="F24" s="10"/>
      <c r="G24" s="10">
        <f>Tabela4[[#This Row],[Quantidade Inicial]]+Tabela4[[#This Row],[Quantidade Comprada]]-Tabela4[[#This Row],[Quantidade Vendida]]</f>
        <v>100</v>
      </c>
      <c r="H24" s="28" t="str">
        <f>IF(Tabela4[[#This Row],[Quantidade Atual]]&lt;50,IF(Tabela4[[#This Row],[Quantidade Atual]]&lt;21,"Comprar","Atenção"),"Ok")</f>
        <v>Ok</v>
      </c>
    </row>
    <row r="25" spans="2:8" x14ac:dyDescent="0.3">
      <c r="B25" s="10" t="s">
        <v>29</v>
      </c>
      <c r="C25" s="9">
        <f>IFERROR(INDEX(Tabela2[Data],MATCH(Tabela4[[#This Row],[Produto]],Tabela2[Mercadoria],0),1),"")</f>
        <v>42189</v>
      </c>
      <c r="D25" s="10">
        <v>0</v>
      </c>
      <c r="E25" s="10">
        <f>SUMIF(Compras!D25:D46,Tabela4[[#This Row],[Produto]],Compras!F25:F46)</f>
        <v>0</v>
      </c>
      <c r="F25" s="10"/>
      <c r="G25" s="10">
        <f>Tabela4[[#This Row],[Quantidade Inicial]]+Tabela4[[#This Row],[Quantidade Comprada]]-Tabela4[[#This Row],[Quantidade Vendida]]</f>
        <v>0</v>
      </c>
      <c r="H25" s="28" t="str">
        <f>IF(Tabela4[[#This Row],[Quantidade Atual]]&lt;50,IF(Tabela4[[#This Row],[Quantidade Atual]]&lt;21,"Comprar","Atenção"),"Ok")</f>
        <v>Comprar</v>
      </c>
    </row>
    <row r="26" spans="2:8" x14ac:dyDescent="0.3">
      <c r="B26" s="10" t="s">
        <v>22</v>
      </c>
      <c r="C26" s="9" t="str">
        <f>IFERROR(INDEX(Tabela2[Data],MATCH(Tabela4[[#This Row],[Produto]],Tabela2[Mercadoria],0),1),"")</f>
        <v/>
      </c>
      <c r="D26" s="10">
        <v>30</v>
      </c>
      <c r="E26" s="10">
        <f>SUMIF(Compras!D26:D47,Tabela4[[#This Row],[Produto]],Compras!F26:F47)</f>
        <v>0</v>
      </c>
      <c r="F26" s="10"/>
      <c r="G26" s="10">
        <f>Tabela4[[#This Row],[Quantidade Inicial]]+Tabela4[[#This Row],[Quantidade Comprada]]-Tabela4[[#This Row],[Quantidade Vendida]]</f>
        <v>30</v>
      </c>
      <c r="H26" s="28" t="str">
        <f>IF(Tabela4[[#This Row],[Quantidade Atual]]&lt;50,IF(Tabela4[[#This Row],[Quantidade Atual]]&lt;21,"Comprar","Atenção"),"Ok")</f>
        <v>Atenção</v>
      </c>
    </row>
    <row r="27" spans="2:8" x14ac:dyDescent="0.3">
      <c r="B27" s="10" t="s">
        <v>31</v>
      </c>
      <c r="C27" s="9" t="str">
        <f>IFERROR(INDEX(Tabela2[Data],MATCH(Tabela4[[#This Row],[Produto]],Tabela2[Mercadoria],0),1),"")</f>
        <v/>
      </c>
      <c r="D27" s="10">
        <v>50</v>
      </c>
      <c r="E27" s="10">
        <f>SUMIF(Compras!D27:D48,Tabela4[[#This Row],[Produto]],Compras!F27:F48)</f>
        <v>0</v>
      </c>
      <c r="F27" s="10"/>
      <c r="G27" s="10">
        <f>Tabela4[[#This Row],[Quantidade Inicial]]+Tabela4[[#This Row],[Quantidade Comprada]]-Tabela4[[#This Row],[Quantidade Vendida]]</f>
        <v>50</v>
      </c>
      <c r="H27" s="28" t="str">
        <f>IF(Tabela4[[#This Row],[Quantidade Atual]]&lt;50,IF(Tabela4[[#This Row],[Quantidade Atual]]&lt;21,"Comprar","Atenção"),"Ok")</f>
        <v>Ok</v>
      </c>
    </row>
    <row r="28" spans="2:8" x14ac:dyDescent="0.3">
      <c r="B28" s="10" t="s">
        <v>28</v>
      </c>
      <c r="C28" s="9">
        <f>IFERROR(INDEX(Tabela2[Data],MATCH(Tabela4[[#This Row],[Produto]],Tabela2[Mercadoria],0),1),"")</f>
        <v>42187</v>
      </c>
      <c r="D28" s="10">
        <v>0</v>
      </c>
      <c r="E28" s="10">
        <f>SUMIF(Compras!D28:D49,Tabela4[[#This Row],[Produto]],Compras!F28:F49)</f>
        <v>0</v>
      </c>
      <c r="F28" s="10"/>
      <c r="G28" s="10">
        <f>Tabela4[[#This Row],[Quantidade Inicial]]+Tabela4[[#This Row],[Quantidade Comprada]]-Tabela4[[#This Row],[Quantidade Vendida]]</f>
        <v>0</v>
      </c>
      <c r="H28" s="28" t="str">
        <f>IF(Tabela4[[#This Row],[Quantidade Atual]]&lt;50,IF(Tabela4[[#This Row],[Quantidade Atual]]&lt;21,"Comprar","Atenção"),"Ok")</f>
        <v>Comprar</v>
      </c>
    </row>
    <row r="29" spans="2:8" x14ac:dyDescent="0.3">
      <c r="B29" s="10" t="s">
        <v>34</v>
      </c>
      <c r="C29" s="9" t="str">
        <f>IFERROR(INDEX(Tabela2[Data],MATCH(Tabela4[[#This Row],[Produto]],Tabela2[Mercadoria],0),1),"")</f>
        <v/>
      </c>
      <c r="D29" s="10">
        <v>20</v>
      </c>
      <c r="E29" s="10">
        <f>SUMIF(Compras!D29:D50,Tabela4[[#This Row],[Produto]],Compras!F29:F50)</f>
        <v>0</v>
      </c>
      <c r="F29" s="10"/>
      <c r="G29" s="10">
        <f>Tabela4[[#This Row],[Quantidade Inicial]]+Tabela4[[#This Row],[Quantidade Comprada]]-Tabela4[[#This Row],[Quantidade Vendida]]</f>
        <v>20</v>
      </c>
      <c r="H29" s="28" t="str">
        <f>IF(Tabela4[[#This Row],[Quantidade Atual]]&lt;50,IF(Tabela4[[#This Row],[Quantidade Atual]]&lt;21,"Comprar","Atenção"),"Ok")</f>
        <v>Comprar</v>
      </c>
    </row>
    <row r="30" spans="2:8" x14ac:dyDescent="0.3">
      <c r="H30" s="27"/>
    </row>
  </sheetData>
  <mergeCells count="1">
    <mergeCell ref="A2:X2"/>
  </mergeCells>
  <conditionalFormatting sqref="H6:H29">
    <cfRule type="containsText" dxfId="1" priority="1" operator="containsText" text="Atenção">
      <formula>NOT(ISERROR(SEARCH("Atenção",H6)))</formula>
    </cfRule>
    <cfRule type="containsText" dxfId="0" priority="2" operator="containsText" text="Comprar">
      <formula>NOT(ISERROR(SEARCH("Comprar",H6)))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B12"/>
  <sheetViews>
    <sheetView workbookViewId="0">
      <selection activeCell="I29" sqref="I29"/>
    </sheetView>
  </sheetViews>
  <sheetFormatPr defaultRowHeight="14.4" x14ac:dyDescent="0.3"/>
  <sheetData>
    <row r="3" spans="2:2" x14ac:dyDescent="0.3">
      <c r="B3" t="s">
        <v>8</v>
      </c>
    </row>
    <row r="6" spans="2:2" x14ac:dyDescent="0.3">
      <c r="B6" t="s">
        <v>6</v>
      </c>
    </row>
    <row r="9" spans="2:2" x14ac:dyDescent="0.3">
      <c r="B9" t="s">
        <v>7</v>
      </c>
    </row>
    <row r="12" spans="2:2" x14ac:dyDescent="0.3">
      <c r="B12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Y50"/>
  <sheetViews>
    <sheetView showGridLines="0" workbookViewId="0">
      <selection activeCell="J36" sqref="J36"/>
    </sheetView>
  </sheetViews>
  <sheetFormatPr defaultRowHeight="14.4" x14ac:dyDescent="0.3"/>
  <cols>
    <col min="2" max="2" width="16.88671875" bestFit="1" customWidth="1"/>
    <col min="3" max="3" width="33.6640625" bestFit="1" customWidth="1"/>
    <col min="4" max="4" width="15.5546875" bestFit="1" customWidth="1"/>
  </cols>
  <sheetData>
    <row r="2" spans="2:25" ht="21" x14ac:dyDescent="0.3">
      <c r="B2" s="2" t="s">
        <v>133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2:25" ht="15" thickBot="1" x14ac:dyDescent="0.35"/>
    <row r="4" spans="2:25" s="35" customFormat="1" ht="21.6" thickTop="1" x14ac:dyDescent="0.4">
      <c r="B4" s="49"/>
      <c r="C4" s="50" t="s">
        <v>126</v>
      </c>
      <c r="D4" s="51">
        <f>'Semana 1'!N32</f>
        <v>662.41199999999992</v>
      </c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3"/>
    </row>
    <row r="5" spans="2:25" s="35" customFormat="1" ht="21" x14ac:dyDescent="0.4">
      <c r="B5" s="54"/>
      <c r="C5" s="45" t="s">
        <v>127</v>
      </c>
      <c r="D5" s="46">
        <f>'Semana 2'!N32</f>
        <v>62.9</v>
      </c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55"/>
    </row>
    <row r="6" spans="2:25" s="35" customFormat="1" ht="21" x14ac:dyDescent="0.4">
      <c r="B6" s="54"/>
      <c r="C6" s="45" t="s">
        <v>128</v>
      </c>
      <c r="D6" s="46">
        <f>'Semana 3'!N32</f>
        <v>0</v>
      </c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55"/>
    </row>
    <row r="7" spans="2:25" s="35" customFormat="1" ht="21" x14ac:dyDescent="0.4">
      <c r="B7" s="54"/>
      <c r="C7" s="45" t="s">
        <v>129</v>
      </c>
      <c r="D7" s="46">
        <f>'Semana 4'!N32</f>
        <v>0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55"/>
    </row>
    <row r="8" spans="2:25" s="35" customFormat="1" ht="21" x14ac:dyDescent="0.4">
      <c r="B8" s="54"/>
      <c r="C8" s="45" t="s">
        <v>130</v>
      </c>
      <c r="D8" s="46">
        <f>'Semana 5'!N32</f>
        <v>0</v>
      </c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55"/>
    </row>
    <row r="9" spans="2:25" s="35" customFormat="1" ht="21" x14ac:dyDescent="0.4">
      <c r="B9" s="54"/>
      <c r="C9" s="45" t="s">
        <v>137</v>
      </c>
      <c r="D9" s="45">
        <f>SUM('Semana 1'!N34+'Semana 2'!N34+'Semana 3'!N34+'Semana 4'!N34+'Semana 5'!N34)</f>
        <v>14</v>
      </c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55"/>
    </row>
    <row r="10" spans="2:25" s="35" customFormat="1" ht="21" x14ac:dyDescent="0.4">
      <c r="B10" s="54"/>
      <c r="C10" s="45" t="s">
        <v>125</v>
      </c>
      <c r="D10" s="46">
        <f>D11/D9</f>
        <v>51.807999999999993</v>
      </c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55"/>
    </row>
    <row r="11" spans="2:25" ht="21" x14ac:dyDescent="0.4">
      <c r="B11" s="54"/>
      <c r="C11" s="47" t="s">
        <v>132</v>
      </c>
      <c r="D11" s="48">
        <f>SUM(D4:D8)</f>
        <v>725.3119999999999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55"/>
    </row>
    <row r="12" spans="2:25" x14ac:dyDescent="0.3">
      <c r="B12" s="54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55"/>
    </row>
    <row r="13" spans="2:25" x14ac:dyDescent="0.3">
      <c r="B13" s="54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55"/>
    </row>
    <row r="14" spans="2:25" x14ac:dyDescent="0.3">
      <c r="B14" s="54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55"/>
    </row>
    <row r="15" spans="2:25" x14ac:dyDescent="0.3">
      <c r="B15" s="54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55"/>
    </row>
    <row r="16" spans="2:25" x14ac:dyDescent="0.3">
      <c r="B16" s="54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55"/>
    </row>
    <row r="17" spans="2:17" x14ac:dyDescent="0.3">
      <c r="B17" s="54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55"/>
    </row>
    <row r="18" spans="2:17" x14ac:dyDescent="0.3">
      <c r="B18" s="54"/>
      <c r="C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55"/>
    </row>
    <row r="19" spans="2:17" x14ac:dyDescent="0.3">
      <c r="B19" s="54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55"/>
    </row>
    <row r="20" spans="2:17" x14ac:dyDescent="0.3">
      <c r="B20" s="54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55"/>
    </row>
    <row r="21" spans="2:17" x14ac:dyDescent="0.3">
      <c r="B21" s="54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55"/>
    </row>
    <row r="22" spans="2:17" x14ac:dyDescent="0.3">
      <c r="B22" s="5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55"/>
    </row>
    <row r="23" spans="2:17" x14ac:dyDescent="0.3">
      <c r="B23" s="54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55"/>
    </row>
    <row r="24" spans="2:17" ht="15" thickBot="1" x14ac:dyDescent="0.35">
      <c r="B24" s="56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8"/>
    </row>
    <row r="25" spans="2:17" ht="15" thickTop="1" x14ac:dyDescent="0.3"/>
    <row r="26" spans="2:17" ht="15" thickBot="1" x14ac:dyDescent="0.35"/>
    <row r="27" spans="2:17" ht="15" thickTop="1" x14ac:dyDescent="0.3">
      <c r="B27" s="71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3"/>
    </row>
    <row r="28" spans="2:17" ht="18" x14ac:dyDescent="0.35">
      <c r="B28" s="74"/>
      <c r="C28" s="67" t="s">
        <v>139</v>
      </c>
      <c r="D28" s="67">
        <f>SUM(COUNTIF(Tabela5[Valor de Entrega],"&gt;0"),COUNTIF(Tabela58[Valor de Entrega],"&gt;0"),COUNTIF(Tabela589[Valor de Entrega],"&gt;0"),COUNTIF(Tabela58910[Valor de Entrega],"&gt;0"),COUNTIF(Tabela5891011[Valor de Entrega],"&gt;0"))</f>
        <v>8</v>
      </c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75"/>
    </row>
    <row r="29" spans="2:17" ht="18" x14ac:dyDescent="0.35">
      <c r="B29" s="74"/>
      <c r="C29" s="67" t="s">
        <v>134</v>
      </c>
      <c r="D29" s="68">
        <f>D28/D9</f>
        <v>0.5714285714285714</v>
      </c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75"/>
    </row>
    <row r="30" spans="2:17" ht="18" x14ac:dyDescent="0.35">
      <c r="B30" s="74"/>
      <c r="C30" s="67" t="s">
        <v>136</v>
      </c>
      <c r="D30" s="69">
        <f>SUM('Semana 1'!N33+'Semana 3'!N33+'Semana 2'!N33+'Semana 4'!N33+'Semana 5'!N33)</f>
        <v>55</v>
      </c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75"/>
    </row>
    <row r="31" spans="2:17" ht="18" x14ac:dyDescent="0.35">
      <c r="B31" s="74"/>
      <c r="C31" s="67" t="s">
        <v>140</v>
      </c>
      <c r="D31" s="69">
        <f>D30/D28</f>
        <v>6.875</v>
      </c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75"/>
    </row>
    <row r="32" spans="2:17" ht="18" x14ac:dyDescent="0.35">
      <c r="B32" s="74"/>
      <c r="C32" s="70" t="s">
        <v>135</v>
      </c>
      <c r="D32" s="66" t="s">
        <v>141</v>
      </c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75"/>
    </row>
    <row r="33" spans="2:17" x14ac:dyDescent="0.3">
      <c r="B33" s="74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75"/>
    </row>
    <row r="34" spans="2:17" ht="15" thickBot="1" x14ac:dyDescent="0.35">
      <c r="B34" s="76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8"/>
    </row>
    <row r="35" spans="2:17" ht="15" thickTop="1" x14ac:dyDescent="0.3"/>
    <row r="36" spans="2:17" ht="15" thickBot="1" x14ac:dyDescent="0.35"/>
    <row r="37" spans="2:17" ht="15" thickTop="1" x14ac:dyDescent="0.3">
      <c r="B37" s="49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3"/>
    </row>
    <row r="38" spans="2:17" ht="18" x14ac:dyDescent="0.35">
      <c r="B38" s="54"/>
      <c r="C38" s="67" t="s">
        <v>142</v>
      </c>
      <c r="D38" s="6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55"/>
    </row>
    <row r="39" spans="2:17" ht="18" x14ac:dyDescent="0.35">
      <c r="B39" s="54"/>
      <c r="C39" s="67" t="s">
        <v>113</v>
      </c>
      <c r="D39" s="67">
        <f>COUNTIFS(Tabela5[Entrega],Vendas!C39,Tabela5[Total Para o Cliente],"&gt;0")+COUNTIFS(Tabela58[Entrega],Vendas!C39,Tabela58[Total Para o Cliente],"&gt;0")+COUNTIFS(Tabela589[Entrega],Vendas!C39,Tabela589[Total Para o Cliente],"&gt;0")+COUNTIFS(Tabela58910[Entrega],Vendas!C39,Tabela58910[Total Para o Cliente],"&gt;0")+COUNTIFS(Tabela5891011[Entrega],Vendas!C39,Tabela5891011[Total Para o Cliente],"&gt;0")</f>
        <v>7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55"/>
    </row>
    <row r="40" spans="2:17" ht="18" x14ac:dyDescent="0.35">
      <c r="B40" s="54"/>
      <c r="C40" s="67" t="s">
        <v>112</v>
      </c>
      <c r="D40" s="67">
        <f>COUNTIFS(Tabela5[Entrega],Vendas!C40,Tabela5[Total Para o Cliente],"&gt;0")+COUNTIFS(Tabela58[Entrega],Vendas!C40,Tabela58[Total Para o Cliente],"&gt;0")+COUNTIFS(Tabela589[Entrega],Vendas!C40,Tabela589[Total Para o Cliente],"&gt;0")+COUNTIFS(Tabela58910[Entrega],Vendas!C40,Tabela58910[Total Para o Cliente],"&gt;0")+COUNTIFS(Tabela5891011[Entrega],Vendas!C40,Tabela5891011[Total Para o Cliente],"&gt;0")</f>
        <v>0</v>
      </c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55"/>
    </row>
    <row r="41" spans="2:17" ht="18" x14ac:dyDescent="0.35">
      <c r="B41" s="54"/>
      <c r="C41" s="67" t="s">
        <v>115</v>
      </c>
      <c r="D41" s="67">
        <f>COUNTIFS(Tabela5[Entrega],Vendas!C41,Tabela5[Total Para o Cliente],"&gt;0")+COUNTIFS(Tabela58[Entrega],Vendas!C41,Tabela58[Total Para o Cliente],"&gt;0")+COUNTIFS(Tabela589[Entrega],Vendas!C41,Tabela589[Total Para o Cliente],"&gt;0")+COUNTIFS(Tabela58910[Entrega],Vendas!C41,Tabela58910[Total Para o Cliente],"&gt;0")+COUNTIFS(Tabela5891011[Entrega],Vendas!C41,Tabela5891011[Total Para o Cliente],"&gt;0")</f>
        <v>2</v>
      </c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55"/>
    </row>
    <row r="42" spans="2:17" ht="18" x14ac:dyDescent="0.35">
      <c r="B42" s="54"/>
      <c r="C42" s="67" t="s">
        <v>116</v>
      </c>
      <c r="D42" s="67">
        <f>COUNTIFS(Tabela5[Entrega],Vendas!C42,Tabela5[Total Para o Cliente],"&gt;0")+COUNTIFS(Tabela58[Entrega],Vendas!C42,Tabela58[Total Para o Cliente],"&gt;0")+COUNTIFS(Tabela589[Entrega],Vendas!C42,Tabela589[Total Para o Cliente],"&gt;0")+COUNTIFS(Tabela58910[Entrega],Vendas!C42,Tabela58910[Total Para o Cliente],"&gt;0")+COUNTIFS(Tabela5891011[Entrega],Vendas!C42,Tabela5891011[Total Para o Cliente],"&gt;0")</f>
        <v>3</v>
      </c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55"/>
    </row>
    <row r="43" spans="2:17" ht="18" x14ac:dyDescent="0.35">
      <c r="B43" s="54"/>
      <c r="C43" s="67" t="s">
        <v>114</v>
      </c>
      <c r="D43" s="67">
        <f>COUNTIFS(Tabela5[Entrega],Vendas!C43,Tabela5[Total Para o Cliente],"&gt;0")+COUNTIFS(Tabela58[Entrega],Vendas!C43,Tabela58[Total Para o Cliente],"&gt;0")+COUNTIFS(Tabela589[Entrega],Vendas!C43,Tabela589[Total Para o Cliente],"&gt;0")+COUNTIFS(Tabela58910[Entrega],Vendas!C43,Tabela58910[Total Para o Cliente],"&gt;0")+COUNTIFS(Tabela5891011[Entrega],Vendas!C43,Tabela5891011[Total Para o Cliente],"&gt;0")</f>
        <v>2</v>
      </c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55"/>
    </row>
    <row r="44" spans="2:17" x14ac:dyDescent="0.3">
      <c r="B44" s="54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55"/>
    </row>
    <row r="45" spans="2:17" x14ac:dyDescent="0.3">
      <c r="B45" s="54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55"/>
    </row>
    <row r="46" spans="2:17" x14ac:dyDescent="0.3">
      <c r="B46" s="54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55"/>
    </row>
    <row r="47" spans="2:17" x14ac:dyDescent="0.3">
      <c r="B47" s="54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55"/>
    </row>
    <row r="48" spans="2:17" x14ac:dyDescent="0.3">
      <c r="B48" s="54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55"/>
    </row>
    <row r="49" spans="2:17" ht="15" thickBot="1" x14ac:dyDescent="0.35">
      <c r="B49" s="56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8"/>
    </row>
    <row r="50" spans="2:17" ht="15" thickTop="1" x14ac:dyDescent="0.3"/>
  </sheetData>
  <mergeCells count="1">
    <mergeCell ref="B2:Y2"/>
  </mergeCells>
  <phoneticPr fontId="7" type="noConversion"/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95923-0F9C-4185-A75B-4D6C129F10FA}">
  <dimension ref="A2:Y34"/>
  <sheetViews>
    <sheetView topLeftCell="F5" zoomScaleNormal="100" workbookViewId="0">
      <selection activeCell="L6" sqref="L6:L30"/>
    </sheetView>
  </sheetViews>
  <sheetFormatPr defaultRowHeight="14.4" x14ac:dyDescent="0.3"/>
  <cols>
    <col min="1" max="1" width="8.88671875" style="35"/>
    <col min="3" max="3" width="14.5546875" customWidth="1"/>
    <col min="4" max="4" width="21.77734375" customWidth="1"/>
    <col min="5" max="5" width="17.21875" bestFit="1" customWidth="1"/>
    <col min="6" max="6" width="12" customWidth="1"/>
    <col min="7" max="7" width="16.109375" customWidth="1"/>
    <col min="8" max="8" width="13.44140625" customWidth="1"/>
    <col min="9" max="9" width="15" customWidth="1"/>
    <col min="10" max="10" width="14.6640625" customWidth="1"/>
    <col min="11" max="11" width="11.44140625" customWidth="1"/>
    <col min="12" max="12" width="23.44140625" customWidth="1"/>
    <col min="13" max="13" width="12.88671875" customWidth="1"/>
    <col min="14" max="14" width="21.88671875" bestFit="1" customWidth="1"/>
  </cols>
  <sheetData>
    <row r="2" spans="2:25" ht="21" x14ac:dyDescent="0.3">
      <c r="B2" s="2" t="s">
        <v>106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5" spans="2:25" x14ac:dyDescent="0.3">
      <c r="C5" s="10" t="s">
        <v>107</v>
      </c>
      <c r="D5" s="10" t="s">
        <v>43</v>
      </c>
      <c r="E5" s="10" t="s">
        <v>99</v>
      </c>
      <c r="F5" s="10" t="s">
        <v>57</v>
      </c>
      <c r="G5" s="10" t="s">
        <v>58</v>
      </c>
      <c r="H5" s="10" t="s">
        <v>108</v>
      </c>
      <c r="I5" s="10" t="s">
        <v>109</v>
      </c>
      <c r="J5" s="10" t="s">
        <v>60</v>
      </c>
      <c r="K5" s="10" t="s">
        <v>110</v>
      </c>
      <c r="L5" s="10" t="s">
        <v>117</v>
      </c>
      <c r="M5" s="10" t="s">
        <v>118</v>
      </c>
      <c r="N5" s="10" t="s">
        <v>119</v>
      </c>
    </row>
    <row r="6" spans="2:25" x14ac:dyDescent="0.3">
      <c r="C6" s="10">
        <v>13</v>
      </c>
      <c r="D6" s="29">
        <v>42190</v>
      </c>
      <c r="E6" s="10" t="s">
        <v>32</v>
      </c>
      <c r="F6" s="10" t="str">
        <f>VLOOKUP(E6,cálculos!$B$2:$E$32,4,FALSE)</f>
        <v>Pacote</v>
      </c>
      <c r="G6" s="33">
        <v>10</v>
      </c>
      <c r="H6" s="30">
        <f>VLOOKUP(E6,cálculos!$B$2:$E$32,3,FALSE)</f>
        <v>1.1499999999999999</v>
      </c>
      <c r="I6" s="30">
        <f>(Tabela5[[#This Row],[Quantidade]]*H6)</f>
        <v>11.5</v>
      </c>
      <c r="J6" s="36"/>
      <c r="K6" s="34" t="s">
        <v>116</v>
      </c>
      <c r="L6" s="30">
        <v>0</v>
      </c>
      <c r="M6" s="30">
        <f>SUM(Tabela5[[#This Row],[Subtotal]]*(1-Tabela5[[#This Row],[Desconto]])+Tabela5[[#This Row],[Valor de Entrega]])</f>
        <v>11.5</v>
      </c>
      <c r="N6" s="10" t="str">
        <f>IF(Tabela5[[#This Row],[idvenda]]=C7,"",SUMIF(Tabela5[idvenda],Tabela5[[#This Row],[idvenda]],Tabela5[Total]))</f>
        <v/>
      </c>
    </row>
    <row r="7" spans="2:25" x14ac:dyDescent="0.3">
      <c r="C7" s="10">
        <v>13</v>
      </c>
      <c r="D7" s="29">
        <v>42190</v>
      </c>
      <c r="E7" s="10" t="s">
        <v>36</v>
      </c>
      <c r="F7" s="10" t="str">
        <f>VLOOKUP(E7,cálculos!$B$2:$E$32,4,FALSE)</f>
        <v>Pacote</v>
      </c>
      <c r="G7" s="33">
        <v>1</v>
      </c>
      <c r="H7" s="30">
        <f>VLOOKUP(E7,cálculos!$B$2:$E$32,3,FALSE)</f>
        <v>0.79</v>
      </c>
      <c r="I7" s="30">
        <f>(Tabela5[[#This Row],[Quantidade]]*H7)</f>
        <v>0.79</v>
      </c>
      <c r="J7" s="36"/>
      <c r="K7" s="34" t="s">
        <v>116</v>
      </c>
      <c r="L7" s="30">
        <v>0</v>
      </c>
      <c r="M7" s="30">
        <f>SUM(Tabela5[[#This Row],[Subtotal]]*(1-Tabela5[[#This Row],[Desconto]])+Tabela5[[#This Row],[Valor de Entrega]])</f>
        <v>0.79</v>
      </c>
      <c r="N7" s="10" t="str">
        <f>IF(Tabela5[[#This Row],[idvenda]]=C8,"",SUMIF(Tabela5[idvenda],Tabela5[[#This Row],[idvenda]],Tabela5[Total]))</f>
        <v/>
      </c>
    </row>
    <row r="8" spans="2:25" x14ac:dyDescent="0.3">
      <c r="C8" s="10">
        <v>13</v>
      </c>
      <c r="D8" s="29">
        <v>42190</v>
      </c>
      <c r="E8" s="10" t="s">
        <v>24</v>
      </c>
      <c r="F8" s="10" t="str">
        <f>VLOOKUP(E8,cálculos!$B$2:$E$32,4,FALSE)</f>
        <v>Kg</v>
      </c>
      <c r="G8" s="33">
        <v>10</v>
      </c>
      <c r="H8" s="30">
        <f>VLOOKUP(E8,cálculos!$B$2:$E$32,3,FALSE)</f>
        <v>15.9</v>
      </c>
      <c r="I8" s="30">
        <f>(Tabela5[[#This Row],[Quantidade]]*H8)</f>
        <v>159</v>
      </c>
      <c r="J8" s="36">
        <v>0.05</v>
      </c>
      <c r="K8" s="34" t="s">
        <v>116</v>
      </c>
      <c r="L8" s="30">
        <v>0</v>
      </c>
      <c r="M8" s="30">
        <f>SUM(Tabela5[[#This Row],[Subtotal]]*(1-Tabela5[[#This Row],[Desconto]])+Tabela5[[#This Row],[Valor de Entrega]])</f>
        <v>151.04999999999998</v>
      </c>
      <c r="N8" s="10" t="str">
        <f>IF(Tabela5[[#This Row],[idvenda]]=C9,"",SUMIF(Tabela5[idvenda],Tabela5[[#This Row],[idvenda]],Tabela5[Total]))</f>
        <v/>
      </c>
    </row>
    <row r="9" spans="2:25" x14ac:dyDescent="0.3">
      <c r="C9" s="10">
        <v>13</v>
      </c>
      <c r="D9" s="29">
        <v>42190</v>
      </c>
      <c r="E9" s="10" t="s">
        <v>33</v>
      </c>
      <c r="F9" s="10" t="str">
        <f>VLOOKUP(E9,cálculos!$B$2:$E$32,4,FALSE)</f>
        <v>Lata</v>
      </c>
      <c r="G9" s="33">
        <v>24</v>
      </c>
      <c r="H9" s="30">
        <f>VLOOKUP(E9,cálculos!$B$2:$E$32,3,FALSE)</f>
        <v>2.19</v>
      </c>
      <c r="I9" s="30">
        <f>(Tabela5[[#This Row],[Quantidade]]*H9)</f>
        <v>52.56</v>
      </c>
      <c r="J9" s="36">
        <v>0.05</v>
      </c>
      <c r="K9" s="34" t="s">
        <v>116</v>
      </c>
      <c r="L9" s="30">
        <f>IF(Tabela5[[#This Row],[idvenda]]=C5,0,VLOOKUP(Tabela5[[#This Row],[Entrega]],cálculos!$G$3:$H$7,2,FALSE))</f>
        <v>6.5</v>
      </c>
      <c r="M9" s="30">
        <f>SUM(Tabela5[[#This Row],[Subtotal]]*(1-Tabela5[[#This Row],[Desconto]])+Tabela5[[#This Row],[Valor de Entrega]])</f>
        <v>56.432000000000002</v>
      </c>
      <c r="N9" s="41">
        <f>IF(Tabela5[[#This Row],[idvenda]]=C10,"",SUMIF(Tabela5[idvenda],Tabela5[[#This Row],[idvenda]],Tabela5[Total]))</f>
        <v>219.77199999999999</v>
      </c>
    </row>
    <row r="10" spans="2:25" x14ac:dyDescent="0.3">
      <c r="C10" s="10">
        <v>12</v>
      </c>
      <c r="D10" s="29">
        <v>42189</v>
      </c>
      <c r="E10" s="10" t="s">
        <v>33</v>
      </c>
      <c r="F10" s="10" t="str">
        <f>VLOOKUP(E10,cálculos!$B$2:$E$32,4,FALSE)</f>
        <v>Lata</v>
      </c>
      <c r="G10" s="33">
        <v>1</v>
      </c>
      <c r="H10" s="30">
        <f>VLOOKUP(E10,cálculos!$B$2:$E$32,3,FALSE)</f>
        <v>2.19</v>
      </c>
      <c r="I10" s="30">
        <f>(Tabela5[[#This Row],[Quantidade]]*H10)</f>
        <v>2.19</v>
      </c>
      <c r="J10" s="36"/>
      <c r="K10" s="34" t="s">
        <v>113</v>
      </c>
      <c r="L10" s="30">
        <f>IFERROR(VLOOKUP(Tabela5[[#This Row],[Entrega]],cálculos!$G$3:$H$7,2,FALSE),"0")</f>
        <v>0</v>
      </c>
      <c r="M10" s="30">
        <f>SUM(Tabela5[[#This Row],[Subtotal]]*(1-Tabela5[[#This Row],[Desconto]])+Tabela5[[#This Row],[Valor de Entrega]])</f>
        <v>2.19</v>
      </c>
      <c r="N10" s="10">
        <f>IF(Tabela5[[#This Row],[idvenda]]=C11,"",SUMIF(Tabela5[idvenda],Tabela5[[#This Row],[idvenda]],Tabela5[Total]))</f>
        <v>2.19</v>
      </c>
    </row>
    <row r="11" spans="2:25" x14ac:dyDescent="0.3">
      <c r="C11" s="10">
        <v>11</v>
      </c>
      <c r="D11" s="29">
        <v>42189</v>
      </c>
      <c r="E11" s="10" t="s">
        <v>33</v>
      </c>
      <c r="F11" s="10" t="str">
        <f>VLOOKUP(E11,cálculos!$B$2:$E$32,4,FALSE)</f>
        <v>Lata</v>
      </c>
      <c r="G11" s="33">
        <v>10</v>
      </c>
      <c r="H11" s="30">
        <f>VLOOKUP(E11,cálculos!$B$2:$E$32,3,FALSE)</f>
        <v>2.19</v>
      </c>
      <c r="I11" s="30">
        <f>(Tabela5[[#This Row],[Quantidade]]*H11)</f>
        <v>21.9</v>
      </c>
      <c r="J11" s="36"/>
      <c r="K11" s="34" t="s">
        <v>113</v>
      </c>
      <c r="L11" s="30">
        <f>IFERROR(VLOOKUP(Tabela5[[#This Row],[Entrega]],cálculos!$G$3:$H$7,2,FALSE),"0")</f>
        <v>0</v>
      </c>
      <c r="M11" s="30">
        <f>SUM(Tabela5[[#This Row],[Subtotal]]*(1-Tabela5[[#This Row],[Desconto]])+Tabela5[[#This Row],[Valor de Entrega]])</f>
        <v>21.9</v>
      </c>
      <c r="N11" s="10">
        <f>IF(Tabela5[[#This Row],[idvenda]]=C12,"",SUMIF(Tabela5[idvenda],Tabela5[[#This Row],[idvenda]],Tabela5[Total]))</f>
        <v>21.9</v>
      </c>
    </row>
    <row r="12" spans="2:25" x14ac:dyDescent="0.3">
      <c r="C12" s="10">
        <v>10</v>
      </c>
      <c r="D12" s="29">
        <v>42189</v>
      </c>
      <c r="E12" s="10" t="s">
        <v>21</v>
      </c>
      <c r="F12" s="10" t="str">
        <f>VLOOKUP(E12,cálculos!$B$2:$E$32,4,FALSE)</f>
        <v>Kg</v>
      </c>
      <c r="G12" s="33">
        <v>6</v>
      </c>
      <c r="H12" s="30">
        <f>VLOOKUP(E12,cálculos!$B$2:$E$32,3,FALSE)</f>
        <v>4.28</v>
      </c>
      <c r="I12" s="30">
        <f>(Tabela5[[#This Row],[Quantidade]]*H12)</f>
        <v>25.68</v>
      </c>
      <c r="J12" s="36"/>
      <c r="K12" s="34" t="s">
        <v>113</v>
      </c>
      <c r="L12" s="30">
        <f>IFERROR(VLOOKUP(Tabela5[[#This Row],[Entrega]],cálculos!$G$3:$H$7,2,FALSE),"0")</f>
        <v>0</v>
      </c>
      <c r="M12" s="30">
        <f>SUM(Tabela5[[#This Row],[Subtotal]]*(1-Tabela5[[#This Row],[Desconto]])+Tabela5[[#This Row],[Valor de Entrega]])</f>
        <v>25.68</v>
      </c>
      <c r="N12" s="10" t="str">
        <f>IF(Tabela5[[#This Row],[idvenda]]=C13,"",SUMIF(Tabela5[idvenda],Tabela5[[#This Row],[idvenda]],Tabela5[Total]))</f>
        <v/>
      </c>
    </row>
    <row r="13" spans="2:25" x14ac:dyDescent="0.3">
      <c r="C13" s="10">
        <v>10</v>
      </c>
      <c r="D13" s="29">
        <v>42189</v>
      </c>
      <c r="E13" s="10" t="s">
        <v>74</v>
      </c>
      <c r="F13" s="10" t="str">
        <f>VLOOKUP(E13,cálculos!$B$2:$E$32,4,FALSE)</f>
        <v>Litro</v>
      </c>
      <c r="G13" s="33">
        <v>4</v>
      </c>
      <c r="H13" s="30">
        <f>VLOOKUP(E13,cálculos!$B$2:$E$32,3,FALSE)</f>
        <v>2.39</v>
      </c>
      <c r="I13" s="30">
        <f>(Tabela5[[#This Row],[Quantidade]]*H13)</f>
        <v>9.56</v>
      </c>
      <c r="J13" s="36"/>
      <c r="K13" s="34" t="s">
        <v>113</v>
      </c>
      <c r="L13" s="30">
        <f>IFERROR(VLOOKUP(Tabela5[[#This Row],[Entrega]],cálculos!$G$3:$H$7,2,FALSE),"0")</f>
        <v>0</v>
      </c>
      <c r="M13" s="30">
        <f>SUM(Tabela5[[#This Row],[Subtotal]]*(1-Tabela5[[#This Row],[Desconto]])+Tabela5[[#This Row],[Valor de Entrega]])</f>
        <v>9.56</v>
      </c>
      <c r="N13" s="10">
        <f>IF(Tabela5[[#This Row],[idvenda]]=C14,"",SUMIF(Tabela5[idvenda],Tabela5[[#This Row],[idvenda]],Tabela5[Total]))</f>
        <v>35.24</v>
      </c>
    </row>
    <row r="14" spans="2:25" x14ac:dyDescent="0.3">
      <c r="C14" s="10">
        <v>9</v>
      </c>
      <c r="D14" s="29">
        <v>42188</v>
      </c>
      <c r="E14" s="10" t="s">
        <v>73</v>
      </c>
      <c r="F14" s="10" t="str">
        <f>VLOOKUP(E14,cálculos!$B$2:$E$32,4,FALSE)</f>
        <v>Unidade</v>
      </c>
      <c r="G14" s="33">
        <v>5</v>
      </c>
      <c r="H14" s="30">
        <f>VLOOKUP(E14,cálculos!$B$2:$E$32,3,FALSE)</f>
        <v>2.89</v>
      </c>
      <c r="I14" s="30">
        <f>(Tabela5[[#This Row],[Quantidade]]*H14)</f>
        <v>14.450000000000001</v>
      </c>
      <c r="J14" s="36"/>
      <c r="K14" s="34" t="s">
        <v>113</v>
      </c>
      <c r="L14" s="30">
        <f>IFERROR(VLOOKUP(Tabela5[[#This Row],[Entrega]],cálculos!$G$3:$H$7,2,FALSE),"0")</f>
        <v>0</v>
      </c>
      <c r="M14" s="30">
        <f>SUM(Tabela5[[#This Row],[Subtotal]]*(1-Tabela5[[#This Row],[Desconto]])+Tabela5[[#This Row],[Valor de Entrega]])</f>
        <v>14.450000000000001</v>
      </c>
      <c r="N14" s="10" t="str">
        <f>IF(Tabela5[[#This Row],[idvenda]]=C15,"",SUMIF(Tabela5[idvenda],Tabela5[[#This Row],[idvenda]],Tabela5[Total]))</f>
        <v/>
      </c>
    </row>
    <row r="15" spans="2:25" x14ac:dyDescent="0.3">
      <c r="C15" s="10">
        <v>9</v>
      </c>
      <c r="D15" s="29">
        <v>42188</v>
      </c>
      <c r="E15" s="10" t="s">
        <v>31</v>
      </c>
      <c r="F15" s="10" t="str">
        <f>VLOOKUP(E15,cálculos!$B$2:$E$32,4,FALSE)</f>
        <v>Kg</v>
      </c>
      <c r="G15" s="33">
        <v>2</v>
      </c>
      <c r="H15" s="30">
        <f>VLOOKUP(E15,cálculos!$B$2:$E$32,3,FALSE)</f>
        <v>9.58</v>
      </c>
      <c r="I15" s="30">
        <f>(Tabela5[[#This Row],[Quantidade]]*H15)</f>
        <v>19.16</v>
      </c>
      <c r="J15" s="36"/>
      <c r="K15" s="34" t="s">
        <v>113</v>
      </c>
      <c r="L15" s="30">
        <f>IFERROR(VLOOKUP(Tabela5[[#This Row],[Entrega]],cálculos!$G$3:$H$7,2,FALSE),"0")</f>
        <v>0</v>
      </c>
      <c r="M15" s="30">
        <f>SUM(Tabela5[[#This Row],[Subtotal]]*(1-Tabela5[[#This Row],[Desconto]])+Tabela5[[#This Row],[Valor de Entrega]])</f>
        <v>19.16</v>
      </c>
      <c r="N15" s="10" t="str">
        <f>IF(Tabela5[[#This Row],[idvenda]]=C16,"",SUMIF(Tabela5[idvenda],Tabela5[[#This Row],[idvenda]],Tabela5[Total]))</f>
        <v/>
      </c>
    </row>
    <row r="16" spans="2:25" x14ac:dyDescent="0.3">
      <c r="C16" s="10">
        <v>9</v>
      </c>
      <c r="D16" s="29">
        <v>42188</v>
      </c>
      <c r="E16" s="10" t="s">
        <v>27</v>
      </c>
      <c r="F16" s="10" t="str">
        <f>VLOOKUP(E16,cálculos!$B$2:$E$32,4,FALSE)</f>
        <v>Kg</v>
      </c>
      <c r="G16" s="33">
        <v>1.5</v>
      </c>
      <c r="H16" s="30">
        <f>VLOOKUP(E16,cálculos!$B$2:$E$32,3,FALSE)</f>
        <v>25.9</v>
      </c>
      <c r="I16" s="30">
        <f>(Tabela5[[#This Row],[Quantidade]]*H16)</f>
        <v>38.849999999999994</v>
      </c>
      <c r="J16" s="36"/>
      <c r="K16" s="34" t="s">
        <v>113</v>
      </c>
      <c r="L16" s="30">
        <f>IFERROR(VLOOKUP(Tabela5[[#This Row],[Entrega]],cálculos!$G$3:$H$7,2,FALSE),"0")</f>
        <v>0</v>
      </c>
      <c r="M16" s="30">
        <f>SUM(Tabela5[[#This Row],[Subtotal]]*(1-Tabela5[[#This Row],[Desconto]])+Tabela5[[#This Row],[Valor de Entrega]])</f>
        <v>38.849999999999994</v>
      </c>
      <c r="N16" s="10" t="str">
        <f>IF(Tabela5[[#This Row],[idvenda]]=C17,"",SUMIF(Tabela5[idvenda],Tabela5[[#This Row],[idvenda]],Tabela5[Total]))</f>
        <v/>
      </c>
    </row>
    <row r="17" spans="3:14" x14ac:dyDescent="0.3">
      <c r="C17" s="10">
        <v>9</v>
      </c>
      <c r="D17" s="29">
        <v>42188</v>
      </c>
      <c r="E17" s="10" t="s">
        <v>21</v>
      </c>
      <c r="F17" s="10" t="str">
        <f>VLOOKUP(E17,cálculos!$B$2:$E$32,4,FALSE)</f>
        <v>Kg</v>
      </c>
      <c r="G17" s="33">
        <v>4</v>
      </c>
      <c r="H17" s="30">
        <f>VLOOKUP(E17,cálculos!$B$2:$E$32,3,FALSE)</f>
        <v>4.28</v>
      </c>
      <c r="I17" s="30">
        <f>(Tabela5[[#This Row],[Quantidade]]*H17)</f>
        <v>17.12</v>
      </c>
      <c r="J17" s="36"/>
      <c r="K17" s="34" t="s">
        <v>113</v>
      </c>
      <c r="L17" s="30">
        <f>IFERROR(VLOOKUP(Tabela5[[#This Row],[Entrega]],cálculos!$G$3:$H$7,2,FALSE),"0")</f>
        <v>0</v>
      </c>
      <c r="M17" s="30">
        <f>SUM(Tabela5[[#This Row],[Subtotal]]*(1-Tabela5[[#This Row],[Desconto]])+Tabela5[[#This Row],[Valor de Entrega]])</f>
        <v>17.12</v>
      </c>
      <c r="N17" s="10">
        <f>IF(Tabela5[[#This Row],[idvenda]]=C18,"",SUMIF(Tabela5[idvenda],Tabela5[[#This Row],[idvenda]],Tabela5[Total]))</f>
        <v>89.58</v>
      </c>
    </row>
    <row r="18" spans="3:14" x14ac:dyDescent="0.3">
      <c r="C18" s="10">
        <v>8</v>
      </c>
      <c r="D18" s="29">
        <v>42188</v>
      </c>
      <c r="E18" s="10" t="s">
        <v>33</v>
      </c>
      <c r="F18" s="10" t="str">
        <f>VLOOKUP(E18,cálculos!$B$2:$E$32,4,FALSE)</f>
        <v>Lata</v>
      </c>
      <c r="G18" s="33">
        <v>20</v>
      </c>
      <c r="H18" s="30">
        <f>VLOOKUP(E18,cálculos!$B$2:$E$32,3,FALSE)</f>
        <v>2.19</v>
      </c>
      <c r="I18" s="30">
        <f>(Tabela5[[#This Row],[Quantidade]]*H18)</f>
        <v>43.8</v>
      </c>
      <c r="J18" s="36">
        <v>0.05</v>
      </c>
      <c r="K18" s="34" t="s">
        <v>116</v>
      </c>
      <c r="L18" s="30">
        <f>IFERROR(VLOOKUP(Tabela5[[#This Row],[Entrega]],cálculos!$G$3:$H$7,2,FALSE),"0")</f>
        <v>6.5</v>
      </c>
      <c r="M18" s="30">
        <f>SUM(Tabela5[[#This Row],[Subtotal]]*(1-Tabela5[[#This Row],[Desconto]])+Tabela5[[#This Row],[Valor de Entrega]])</f>
        <v>48.109999999999992</v>
      </c>
      <c r="N18" s="10">
        <f>IF(Tabela5[[#This Row],[idvenda]]=C19,"",SUMIF(Tabela5[idvenda],Tabela5[[#This Row],[idvenda]],Tabela5[Total]))</f>
        <v>48.109999999999992</v>
      </c>
    </row>
    <row r="19" spans="3:14" x14ac:dyDescent="0.3">
      <c r="C19" s="10">
        <v>7</v>
      </c>
      <c r="D19" s="29">
        <v>42188</v>
      </c>
      <c r="E19" s="10" t="s">
        <v>33</v>
      </c>
      <c r="F19" s="10" t="str">
        <f>VLOOKUP(E19,cálculos!$B$2:$E$32,4,FALSE)</f>
        <v>Lata</v>
      </c>
      <c r="G19" s="33">
        <v>20</v>
      </c>
      <c r="H19" s="30">
        <f>VLOOKUP(E19,cálculos!$B$2:$E$32,3,FALSE)</f>
        <v>2.19</v>
      </c>
      <c r="I19" s="30">
        <f>(Tabela5[[#This Row],[Quantidade]]*H19)</f>
        <v>43.8</v>
      </c>
      <c r="J19" s="36">
        <v>0.05</v>
      </c>
      <c r="K19" s="34" t="s">
        <v>113</v>
      </c>
      <c r="L19" s="30">
        <f>IFERROR(VLOOKUP(Tabela5[[#This Row],[Entrega]],cálculos!$G$3:$H$7,2,FALSE),"0")</f>
        <v>0</v>
      </c>
      <c r="M19" s="30">
        <f>SUM(Tabela5[[#This Row],[Subtotal]]*(1-Tabela5[[#This Row],[Desconto]])+Tabela5[[#This Row],[Valor de Entrega]])</f>
        <v>41.609999999999992</v>
      </c>
      <c r="N19" s="10">
        <f>IF(Tabela5[[#This Row],[idvenda]]=C20,"",SUMIF(Tabela5[idvenda],Tabela5[[#This Row],[idvenda]],Tabela5[Total]))</f>
        <v>41.609999999999992</v>
      </c>
    </row>
    <row r="20" spans="3:14" x14ac:dyDescent="0.3">
      <c r="C20" s="10">
        <v>6</v>
      </c>
      <c r="D20" s="29">
        <v>42188</v>
      </c>
      <c r="E20" s="10" t="s">
        <v>36</v>
      </c>
      <c r="F20" s="10" t="str">
        <f>VLOOKUP(E20,cálculos!$B$2:$E$32,4,FALSE)</f>
        <v>Pacote</v>
      </c>
      <c r="G20" s="33">
        <v>2</v>
      </c>
      <c r="H20" s="30">
        <f>VLOOKUP(E20,cálculos!$B$2:$E$32,3,FALSE)</f>
        <v>0.79</v>
      </c>
      <c r="I20" s="30">
        <f>(Tabela5[[#This Row],[Quantidade]]*H20)</f>
        <v>1.58</v>
      </c>
      <c r="J20" s="36"/>
      <c r="K20" s="34" t="s">
        <v>113</v>
      </c>
      <c r="L20" s="30">
        <f>IFERROR(VLOOKUP(Tabela5[[#This Row],[Entrega]],cálculos!$G$3:$H$7,2,FALSE),"0")</f>
        <v>0</v>
      </c>
      <c r="M20" s="30">
        <f>SUM(Tabela5[[#This Row],[Subtotal]]*(1-Tabela5[[#This Row],[Desconto]])+Tabela5[[#This Row],[Valor de Entrega]])</f>
        <v>1.58</v>
      </c>
      <c r="N20" s="10" t="str">
        <f>IF(Tabela5[[#This Row],[idvenda]]=C21,"",SUMIF(Tabela5[idvenda],Tabela5[[#This Row],[idvenda]],Tabela5[Total]))</f>
        <v/>
      </c>
    </row>
    <row r="21" spans="3:14" x14ac:dyDescent="0.3">
      <c r="C21" s="10">
        <v>6</v>
      </c>
      <c r="D21" s="29">
        <v>42188</v>
      </c>
      <c r="E21" s="10" t="s">
        <v>24</v>
      </c>
      <c r="F21" s="10" t="str">
        <f>VLOOKUP(E21,cálculos!$B$2:$E$32,4,FALSE)</f>
        <v>Kg</v>
      </c>
      <c r="G21" s="33">
        <v>6</v>
      </c>
      <c r="H21" s="30">
        <f>VLOOKUP(E21,cálculos!$B$2:$E$32,3,FALSE)</f>
        <v>15.9</v>
      </c>
      <c r="I21" s="30">
        <f>(Tabela5[[#This Row],[Quantidade]]*H21)</f>
        <v>95.4</v>
      </c>
      <c r="J21" s="36"/>
      <c r="K21" s="34" t="s">
        <v>113</v>
      </c>
      <c r="L21" s="30">
        <f>IFERROR(VLOOKUP(Tabela5[[#This Row],[Entrega]],cálculos!$G$3:$H$7,2,FALSE),"0")</f>
        <v>0</v>
      </c>
      <c r="M21" s="30">
        <f>SUM(Tabela5[[#This Row],[Subtotal]]*(1-Tabela5[[#This Row],[Desconto]])+Tabela5[[#This Row],[Valor de Entrega]])</f>
        <v>95.4</v>
      </c>
      <c r="N21" s="10" t="str">
        <f>IF(Tabela5[[#This Row],[idvenda]]=C22,"",SUMIF(Tabela5[idvenda],Tabela5[[#This Row],[idvenda]],Tabela5[Total]))</f>
        <v/>
      </c>
    </row>
    <row r="22" spans="3:14" x14ac:dyDescent="0.3">
      <c r="C22" s="10">
        <v>6</v>
      </c>
      <c r="D22" s="29">
        <v>42188</v>
      </c>
      <c r="E22" s="10" t="s">
        <v>33</v>
      </c>
      <c r="F22" s="10" t="str">
        <f>VLOOKUP(E22,cálculos!$B$2:$E$32,4,FALSE)</f>
        <v>Lata</v>
      </c>
      <c r="G22" s="33">
        <v>12</v>
      </c>
      <c r="H22" s="30">
        <f>VLOOKUP(E22,cálculos!$B$2:$E$32,3,FALSE)</f>
        <v>2.19</v>
      </c>
      <c r="I22" s="30">
        <f>(Tabela5[[#This Row],[Quantidade]]*H22)</f>
        <v>26.28</v>
      </c>
      <c r="J22" s="36"/>
      <c r="K22" s="34" t="s">
        <v>113</v>
      </c>
      <c r="L22" s="30">
        <f>IFERROR(VLOOKUP(Tabela5[[#This Row],[Entrega]],cálculos!$G$3:$H$7,2,FALSE),"0")</f>
        <v>0</v>
      </c>
      <c r="M22" s="30">
        <f>SUM(Tabela5[[#This Row],[Subtotal]]*(1-Tabela5[[#This Row],[Desconto]])+Tabela5[[#This Row],[Valor de Entrega]])</f>
        <v>26.28</v>
      </c>
      <c r="N22" s="10">
        <f>IF(Tabela5[[#This Row],[idvenda]]=C23,"",SUMIF(Tabela5[idvenda],Tabela5[[#This Row],[idvenda]],Tabela5[Total]))</f>
        <v>123.26</v>
      </c>
    </row>
    <row r="23" spans="3:14" x14ac:dyDescent="0.3">
      <c r="C23" s="10">
        <v>5</v>
      </c>
      <c r="D23" s="29">
        <v>42187</v>
      </c>
      <c r="E23" s="10" t="s">
        <v>23</v>
      </c>
      <c r="F23" s="10" t="str">
        <f>VLOOKUP(E23,cálculos!$B$2:$E$32,4,FALSE)</f>
        <v>Unidade</v>
      </c>
      <c r="G23" s="33">
        <v>3</v>
      </c>
      <c r="H23" s="30">
        <f>VLOOKUP(E23,cálculos!$B$2:$E$32,3,FALSE)</f>
        <v>2.99</v>
      </c>
      <c r="I23" s="30">
        <f>(Tabela5[[#This Row],[Quantidade]]*H23)</f>
        <v>8.9700000000000006</v>
      </c>
      <c r="J23" s="36"/>
      <c r="K23" s="34" t="s">
        <v>116</v>
      </c>
      <c r="L23" s="30">
        <f>IFERROR(VLOOKUP(Tabela5[[#This Row],[Entrega]],cálculos!$G$3:$H$7,2,FALSE),"0")</f>
        <v>6.5</v>
      </c>
      <c r="M23" s="30">
        <f>SUM(Tabela5[[#This Row],[Subtotal]]*(1-Tabela5[[#This Row],[Desconto]])+Tabela5[[#This Row],[Valor de Entrega]])</f>
        <v>15.47</v>
      </c>
      <c r="N23" s="10">
        <f>IF(Tabela5[[#This Row],[idvenda]]=C24,"",SUMIF(Tabela5[idvenda],Tabela5[[#This Row],[idvenda]],Tabela5[Total]))</f>
        <v>15.47</v>
      </c>
    </row>
    <row r="24" spans="3:14" x14ac:dyDescent="0.3">
      <c r="C24" s="10">
        <v>4</v>
      </c>
      <c r="D24" s="29">
        <v>42187</v>
      </c>
      <c r="E24" s="10" t="s">
        <v>37</v>
      </c>
      <c r="F24" s="10" t="str">
        <f>VLOOKUP(E24,cálculos!$B$2:$E$32,4,FALSE)</f>
        <v>Pacote</v>
      </c>
      <c r="G24" s="33">
        <v>2</v>
      </c>
      <c r="H24" s="30">
        <f>VLOOKUP(E24,cálculos!$B$2:$E$32,3,FALSE)</f>
        <v>1.99</v>
      </c>
      <c r="I24" s="30">
        <f>(Tabela5[[#This Row],[Quantidade]]*H24)</f>
        <v>3.98</v>
      </c>
      <c r="J24" s="36"/>
      <c r="K24" s="34" t="s">
        <v>114</v>
      </c>
      <c r="L24" s="30">
        <f>IFERROR(VLOOKUP(Tabela5[[#This Row],[Entrega]],cálculos!$G$3:$H$7,2,FALSE),"0")</f>
        <v>6.5</v>
      </c>
      <c r="M24" s="30">
        <f>SUM(Tabela5[[#This Row],[Subtotal]]*(1-Tabela5[[#This Row],[Desconto]])+Tabela5[[#This Row],[Valor de Entrega]])</f>
        <v>10.48</v>
      </c>
      <c r="N24" s="10" t="str">
        <f>IF(Tabela5[[#This Row],[idvenda]]=C25,"",SUMIF(Tabela5[idvenda],Tabela5[[#This Row],[idvenda]],Tabela5[Total]))</f>
        <v/>
      </c>
    </row>
    <row r="25" spans="3:14" x14ac:dyDescent="0.3">
      <c r="C25" s="10">
        <v>4</v>
      </c>
      <c r="D25" s="29">
        <v>42187</v>
      </c>
      <c r="E25" s="10" t="s">
        <v>20</v>
      </c>
      <c r="F25" s="10" t="str">
        <f>VLOOKUP(E25,cálculos!$B$2:$E$32,4,FALSE)</f>
        <v>Kg</v>
      </c>
      <c r="G25" s="33">
        <v>5</v>
      </c>
      <c r="H25" s="30">
        <f>VLOOKUP(E25,cálculos!$B$2:$E$32,3,FALSE)</f>
        <v>2.4900000000000002</v>
      </c>
      <c r="I25" s="30">
        <f>(Tabela5[[#This Row],[Quantidade]]*H25)</f>
        <v>12.450000000000001</v>
      </c>
      <c r="J25" s="36"/>
      <c r="K25" s="34" t="s">
        <v>114</v>
      </c>
      <c r="L25" s="30">
        <f>IFERROR(VLOOKUP(Tabela5[[#This Row],[Entrega]],cálculos!$G$3:$H$7,2,FALSE),"0")</f>
        <v>6.5</v>
      </c>
      <c r="M25" s="30">
        <f>SUM(Tabela5[[#This Row],[Subtotal]]*(1-Tabela5[[#This Row],[Desconto]])+Tabela5[[#This Row],[Valor de Entrega]])</f>
        <v>18.950000000000003</v>
      </c>
      <c r="N25" s="10">
        <f>IF(Tabela5[[#This Row],[idvenda]]=C26,"",SUMIF(Tabela5[idvenda],Tabela5[[#This Row],[idvenda]],Tabela5[Total]))</f>
        <v>29.430000000000003</v>
      </c>
    </row>
    <row r="26" spans="3:14" x14ac:dyDescent="0.3">
      <c r="C26" s="10">
        <v>3</v>
      </c>
      <c r="D26" s="29">
        <v>42187</v>
      </c>
      <c r="E26" s="10" t="s">
        <v>68</v>
      </c>
      <c r="F26" s="10" t="str">
        <f>VLOOKUP(E26,cálculos!$B$2:$E$32,4,FALSE)</f>
        <v>Litro</v>
      </c>
      <c r="G26" s="33">
        <v>6</v>
      </c>
      <c r="H26" s="30">
        <f>VLOOKUP(E26,cálculos!$B$2:$E$32,3,FALSE)</f>
        <v>1.49</v>
      </c>
      <c r="I26" s="30">
        <f>(Tabela5[[#This Row],[Quantidade]]*H26)</f>
        <v>8.94</v>
      </c>
      <c r="J26" s="36"/>
      <c r="K26" s="34" t="s">
        <v>115</v>
      </c>
      <c r="L26" s="30">
        <f>IFERROR(VLOOKUP(Tabela5[[#This Row],[Entrega]],cálculos!$G$3:$H$7,2,FALSE),"0")</f>
        <v>8</v>
      </c>
      <c r="M26" s="30">
        <f>SUM(Tabela5[[#This Row],[Subtotal]]*(1-Tabela5[[#This Row],[Desconto]])+Tabela5[[#This Row],[Valor de Entrega]])</f>
        <v>16.939999999999998</v>
      </c>
      <c r="N26" s="10">
        <f>IF(Tabela5[[#This Row],[idvenda]]=C27,"",SUMIF(Tabela5[idvenda],Tabela5[[#This Row],[idvenda]],Tabela5[Total]))</f>
        <v>16.939999999999998</v>
      </c>
    </row>
    <row r="27" spans="3:14" x14ac:dyDescent="0.3">
      <c r="C27" s="10">
        <v>2</v>
      </c>
      <c r="D27" s="29">
        <v>42187</v>
      </c>
      <c r="E27" s="10" t="s">
        <v>37</v>
      </c>
      <c r="F27" s="10" t="str">
        <f>VLOOKUP(E27,cálculos!$B$2:$E$32,4,FALSE)</f>
        <v>Pacote</v>
      </c>
      <c r="G27" s="33">
        <v>1</v>
      </c>
      <c r="H27" s="30">
        <f>VLOOKUP(E27,cálculos!$B$2:$E$32,3,FALSE)</f>
        <v>1.99</v>
      </c>
      <c r="I27" s="30">
        <f>(Tabela5[[#This Row],[Quantidade]]*H27)</f>
        <v>1.99</v>
      </c>
      <c r="J27" s="36"/>
      <c r="K27" s="34" t="s">
        <v>114</v>
      </c>
      <c r="L27" s="30">
        <f>IFERROR(VLOOKUP(Tabela5[[#This Row],[Entrega]],cálculos!$G$3:$H$7,2,FALSE),"0")</f>
        <v>6.5</v>
      </c>
      <c r="M27" s="30">
        <f>SUM(Tabela5[[#This Row],[Subtotal]]*(1-Tabela5[[#This Row],[Desconto]])+Tabela5[[#This Row],[Valor de Entrega]])</f>
        <v>8.49</v>
      </c>
      <c r="N27" s="10">
        <f>IF(Tabela5[[#This Row],[idvenda]]=C28,"",SUMIF(Tabela5[idvenda],Tabela5[[#This Row],[idvenda]],Tabela5[Total]))</f>
        <v>8.49</v>
      </c>
    </row>
    <row r="28" spans="3:14" x14ac:dyDescent="0.3">
      <c r="C28" s="10">
        <v>1</v>
      </c>
      <c r="D28" s="29">
        <v>42187</v>
      </c>
      <c r="E28" s="10" t="s">
        <v>20</v>
      </c>
      <c r="F28" s="10" t="str">
        <f>VLOOKUP(E28,cálculos!$B$2:$E$32,4,FALSE)</f>
        <v>Kg</v>
      </c>
      <c r="G28" s="33">
        <v>2</v>
      </c>
      <c r="H28" s="30">
        <f>VLOOKUP(E28,cálculos!$B$2:$E$32,3,FALSE)</f>
        <v>2.4900000000000002</v>
      </c>
      <c r="I28" s="30">
        <f>(Tabela5[[#This Row],[Quantidade]]*H28)</f>
        <v>4.9800000000000004</v>
      </c>
      <c r="J28" s="36"/>
      <c r="K28" s="34" t="s">
        <v>113</v>
      </c>
      <c r="L28" s="30">
        <f>IFERROR(VLOOKUP(Tabela5[[#This Row],[Entrega]],cálculos!$G$3:$H$7,2,FALSE),"0")</f>
        <v>0</v>
      </c>
      <c r="M28" s="30">
        <f>SUM(Tabela5[[#This Row],[Subtotal]]*(1-Tabela5[[#This Row],[Desconto]])+Tabela5[[#This Row],[Valor de Entrega]])</f>
        <v>4.9800000000000004</v>
      </c>
      <c r="N28" s="10" t="str">
        <f>IF(Tabela5[[#This Row],[idvenda]]=C29,"",SUMIF(Tabela5[idvenda],Tabela5[[#This Row],[idvenda]],Tabela5[Total]))</f>
        <v/>
      </c>
    </row>
    <row r="29" spans="3:14" x14ac:dyDescent="0.3">
      <c r="C29" s="10">
        <v>1</v>
      </c>
      <c r="D29" s="29">
        <v>42187</v>
      </c>
      <c r="E29" s="10" t="s">
        <v>32</v>
      </c>
      <c r="F29" s="10" t="str">
        <f>VLOOKUP(E29,cálculos!$B$2:$E$32,4,FALSE)</f>
        <v>Pacote</v>
      </c>
      <c r="G29" s="33">
        <v>3</v>
      </c>
      <c r="H29" s="30">
        <f>VLOOKUP(E29,cálculos!$B$2:$E$32,3,FALSE)</f>
        <v>1.1499999999999999</v>
      </c>
      <c r="I29" s="30">
        <f>(Tabela5[[#This Row],[Quantidade]]*H29)</f>
        <v>3.4499999999999997</v>
      </c>
      <c r="J29" s="36"/>
      <c r="K29" s="34" t="s">
        <v>113</v>
      </c>
      <c r="L29" s="30">
        <f>IFERROR(VLOOKUP(Tabela5[[#This Row],[Entrega]],cálculos!$G$3:$H$7,2,FALSE),"0")</f>
        <v>0</v>
      </c>
      <c r="M29" s="30">
        <f>SUM(Tabela5[[#This Row],[Subtotal]]*(1-Tabela5[[#This Row],[Desconto]])+Tabela5[[#This Row],[Valor de Entrega]])</f>
        <v>3.4499999999999997</v>
      </c>
      <c r="N29" s="10" t="str">
        <f>IF(Tabela5[[#This Row],[idvenda]]=C30,"",SUMIF(Tabela5[idvenda],Tabela5[[#This Row],[idvenda]],Tabela5[Total]))</f>
        <v/>
      </c>
    </row>
    <row r="30" spans="3:14" x14ac:dyDescent="0.3">
      <c r="C30" s="10">
        <v>1</v>
      </c>
      <c r="D30" s="29">
        <v>42187</v>
      </c>
      <c r="E30" s="10" t="s">
        <v>37</v>
      </c>
      <c r="F30" s="10" t="str">
        <f>VLOOKUP(E30,cálculos!$B$2:$E$32,4,FALSE)</f>
        <v>Pacote</v>
      </c>
      <c r="G30" s="33">
        <v>1</v>
      </c>
      <c r="H30" s="30">
        <f>VLOOKUP(E30,cálculos!$B$2:$E$32,3,FALSE)</f>
        <v>1.99</v>
      </c>
      <c r="I30" s="30">
        <f>(Tabela5[[#This Row],[Quantidade]]*H30)</f>
        <v>1.99</v>
      </c>
      <c r="J30" s="36"/>
      <c r="K30" s="34" t="s">
        <v>113</v>
      </c>
      <c r="L30" s="30">
        <f>IFERROR(VLOOKUP(Tabela5[[#This Row],[Entrega]],cálculos!$G$3:$H$7,2,FALSE),"0")</f>
        <v>0</v>
      </c>
      <c r="M30" s="30">
        <f>SUM(Tabela5[[#This Row],[Subtotal]]*(1-Tabela5[[#This Row],[Desconto]])+Tabela5[[#This Row],[Valor de Entrega]])</f>
        <v>1.99</v>
      </c>
      <c r="N30" s="10">
        <f>IF(Tabela5[[#This Row],[idvenda]]=C31,"",SUMIF(Tabela5[idvenda],Tabela5[[#This Row],[idvenda]],Tabela5[Total]))</f>
        <v>10.42</v>
      </c>
    </row>
    <row r="31" spans="3:14" x14ac:dyDescent="0.3">
      <c r="H31" s="5"/>
      <c r="I31" s="5"/>
    </row>
    <row r="32" spans="3:14" ht="16.2" thickBot="1" x14ac:dyDescent="0.35">
      <c r="C32" s="38" t="s">
        <v>121</v>
      </c>
      <c r="D32" s="38"/>
      <c r="E32" s="38"/>
      <c r="F32" s="42"/>
      <c r="G32" s="42"/>
      <c r="H32" s="39"/>
      <c r="I32" s="39"/>
      <c r="J32" s="39"/>
      <c r="K32" s="39"/>
      <c r="L32" s="39"/>
      <c r="M32" s="39"/>
      <c r="N32" s="39">
        <f>SUM(Tabela5[Total Para o Cliente])</f>
        <v>662.41199999999992</v>
      </c>
    </row>
    <row r="33" spans="3:14" ht="16.2" thickBot="1" x14ac:dyDescent="0.35">
      <c r="C33" s="60" t="s">
        <v>120</v>
      </c>
      <c r="D33" s="60"/>
      <c r="E33" s="60"/>
      <c r="F33" s="61"/>
      <c r="G33" s="61"/>
      <c r="H33" s="62"/>
      <c r="I33" s="62"/>
      <c r="J33" s="62"/>
      <c r="K33" s="62"/>
      <c r="L33" s="62"/>
      <c r="M33" s="62"/>
      <c r="N33" s="63">
        <f>SUM(Tabela5[Valor de Entrega])</f>
        <v>47</v>
      </c>
    </row>
    <row r="34" spans="3:14" ht="14.4" customHeight="1" x14ac:dyDescent="0.3">
      <c r="C34" s="32" t="s">
        <v>138</v>
      </c>
      <c r="D34" s="32"/>
      <c r="E34" s="32"/>
      <c r="F34" s="35"/>
      <c r="N34" s="59">
        <f>SUM(IF(FREQUENCY(Tabela5[idvenda],Tabela5[idvenda])&gt;0,1))</f>
        <v>13</v>
      </c>
    </row>
  </sheetData>
  <mergeCells count="4">
    <mergeCell ref="C34:E34"/>
    <mergeCell ref="B2:Y2"/>
    <mergeCell ref="C32:E32"/>
    <mergeCell ref="C33:E33"/>
  </mergeCells>
  <phoneticPr fontId="7" type="noConversion"/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BBCD85E-BA43-4CCE-BB29-72C72150B5C7}">
          <x14:formula1>
            <xm:f>Estoque!$B$6:$B$29</xm:f>
          </x14:formula1>
          <xm:sqref>E6:E30</xm:sqref>
        </x14:dataValidation>
        <x14:dataValidation type="list" allowBlank="1" showInputMessage="1" showErrorMessage="1" xr:uid="{980E35F5-57F3-4332-BA45-2055C243B0A0}">
          <x14:formula1>
            <xm:f>cálculos!$G$3:$G$7</xm:f>
          </x14:formula1>
          <xm:sqref>K6:K30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6B861-062F-49B3-8176-127178F14ACE}">
  <dimension ref="C2:Z34"/>
  <sheetViews>
    <sheetView showGridLines="0" topLeftCell="E3" zoomScaleNormal="100" workbookViewId="0">
      <selection activeCell="G34" sqref="G34"/>
    </sheetView>
  </sheetViews>
  <sheetFormatPr defaultRowHeight="14.4" x14ac:dyDescent="0.3"/>
  <cols>
    <col min="1" max="1" width="8.88671875" style="35"/>
    <col min="2" max="2" width="5.77734375" style="35" customWidth="1"/>
    <col min="3" max="3" width="15.88671875" style="35" customWidth="1"/>
    <col min="4" max="4" width="20.6640625" style="35" customWidth="1"/>
    <col min="5" max="5" width="21.77734375" style="35" customWidth="1"/>
    <col min="6" max="6" width="17.21875" style="35" bestFit="1" customWidth="1"/>
    <col min="7" max="7" width="12" style="35" customWidth="1"/>
    <col min="8" max="8" width="16.109375" style="35" customWidth="1"/>
    <col min="9" max="9" width="13.44140625" style="35" customWidth="1"/>
    <col min="10" max="10" width="15" style="35" customWidth="1"/>
    <col min="11" max="11" width="14.6640625" style="35" customWidth="1"/>
    <col min="12" max="12" width="11.44140625" style="35" customWidth="1"/>
    <col min="13" max="13" width="11.88671875" style="35" customWidth="1"/>
    <col min="14" max="14" width="20.88671875" style="35" customWidth="1"/>
    <col min="15" max="15" width="21.88671875" style="35" bestFit="1" customWidth="1"/>
    <col min="16" max="16384" width="8.88671875" style="35"/>
  </cols>
  <sheetData>
    <row r="2" spans="3:26" ht="21" x14ac:dyDescent="0.3">
      <c r="C2" s="2" t="s">
        <v>122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4" spans="3:26" x14ac:dyDescent="0.3">
      <c r="C4" s="10" t="s">
        <v>107</v>
      </c>
      <c r="D4" s="10" t="s">
        <v>43</v>
      </c>
      <c r="E4" s="10" t="s">
        <v>99</v>
      </c>
      <c r="F4" s="10" t="s">
        <v>57</v>
      </c>
      <c r="G4" s="10" t="s">
        <v>58</v>
      </c>
      <c r="H4" s="10" t="s">
        <v>108</v>
      </c>
      <c r="I4" s="10" t="s">
        <v>109</v>
      </c>
      <c r="J4" s="10" t="s">
        <v>60</v>
      </c>
      <c r="K4" s="10" t="s">
        <v>110</v>
      </c>
      <c r="L4" s="10" t="s">
        <v>117</v>
      </c>
      <c r="M4" s="10" t="s">
        <v>118</v>
      </c>
      <c r="N4" s="10" t="s">
        <v>119</v>
      </c>
    </row>
    <row r="5" spans="3:26" x14ac:dyDescent="0.3">
      <c r="C5" s="10">
        <v>100</v>
      </c>
      <c r="D5" s="29">
        <v>42139</v>
      </c>
      <c r="E5" s="10" t="s">
        <v>34</v>
      </c>
      <c r="F5" s="10" t="str">
        <f>IFERROR(VLOOKUP(E5,cálculos!$B$2:$E$32,4,FALSE),"")</f>
        <v>Garrafa</v>
      </c>
      <c r="G5" s="35">
        <v>1</v>
      </c>
      <c r="H5" s="30">
        <f>IFERROR(VLOOKUP(E5,cálculos!$B$2:$E$32,3,FALSE),"")</f>
        <v>54.9</v>
      </c>
      <c r="I5" s="30">
        <f>IFERROR((Tabela58[[#This Row],[Quantidade]]*H5),"")</f>
        <v>54.9</v>
      </c>
      <c r="J5" s="36"/>
      <c r="K5" s="35" t="s">
        <v>115</v>
      </c>
      <c r="L5" s="30">
        <f>IFERROR(VLOOKUP(Tabela58[[#This Row],[Entrega]],cálculos!$G$3:$H$7,2,FALSE),"0")</f>
        <v>8</v>
      </c>
      <c r="M5" s="30">
        <f>IFERROR(SUM(Tabela58[[#This Row],[Subtotal]]*(1-Tabela58[[#This Row],[Desconto]])+Tabela58[[#This Row],[Valor de Entrega]]),"")</f>
        <v>62.9</v>
      </c>
      <c r="N5" s="10">
        <f>IF(Tabela58[[#This Row],[idvenda]]=C6,"",SUMIF(Tabela58[idvenda],Tabela58[[#This Row],[idvenda]],Tabela58[Total]))</f>
        <v>62.9</v>
      </c>
      <c r="O5" s="10"/>
    </row>
    <row r="6" spans="3:26" x14ac:dyDescent="0.3">
      <c r="C6" s="10"/>
      <c r="D6" s="29"/>
      <c r="E6" s="10"/>
      <c r="F6" s="10" t="str">
        <f>IFERROR(VLOOKUP(E6,cálculos!$B$2:$E$32,4,FALSE),"")</f>
        <v/>
      </c>
      <c r="H6" s="30" t="str">
        <f>IFERROR(VLOOKUP(E6,cálculos!$B$2:$E$32,3,FALSE),"")</f>
        <v/>
      </c>
      <c r="I6" s="30" t="str">
        <f>IFERROR((Tabela58[[#This Row],[Quantidade]]*H6),"")</f>
        <v/>
      </c>
      <c r="J6" s="36"/>
      <c r="L6" s="30" t="str">
        <f>IFERROR(VLOOKUP(Tabela58[[#This Row],[Entrega]],cálculos!$G$3:$H$7,2,FALSE),"0")</f>
        <v>0</v>
      </c>
      <c r="M6" s="30" t="str">
        <f>IFERROR(SUM(Tabela58[[#This Row],[Subtotal]]*(1-Tabela58[[#This Row],[Desconto]])+Tabela58[[#This Row],[Valor de Entrega]]),"")</f>
        <v/>
      </c>
      <c r="N6" s="10" t="str">
        <f>IF(Tabela58[[#This Row],[idvenda]]=C7,"",SUMIF(Tabela58[idvenda],Tabela58[[#This Row],[idvenda]],Tabela58[Total]))</f>
        <v/>
      </c>
      <c r="O6" s="10"/>
    </row>
    <row r="7" spans="3:26" x14ac:dyDescent="0.3">
      <c r="C7" s="10"/>
      <c r="D7" s="29"/>
      <c r="E7" s="10"/>
      <c r="F7" s="10" t="str">
        <f>IFERROR(VLOOKUP(E7,cálculos!$B$2:$E$32,4,FALSE),"")</f>
        <v/>
      </c>
      <c r="H7" s="30" t="str">
        <f>IFERROR(VLOOKUP(E7,cálculos!$B$2:$E$32,3,FALSE),"")</f>
        <v/>
      </c>
      <c r="I7" s="30" t="str">
        <f>IFERROR((Tabela58[[#This Row],[Quantidade]]*H7),"")</f>
        <v/>
      </c>
      <c r="J7" s="36"/>
      <c r="L7" s="30" t="str">
        <f>IFERROR(VLOOKUP(Tabela58[[#This Row],[Entrega]],cálculos!$G$3:$H$7,2,FALSE),"0")</f>
        <v>0</v>
      </c>
      <c r="M7" s="30" t="str">
        <f>IFERROR(SUM(Tabela58[[#This Row],[Subtotal]]*(1-Tabela58[[#This Row],[Desconto]])+Tabela58[[#This Row],[Valor de Entrega]]),"")</f>
        <v/>
      </c>
      <c r="N7" s="10" t="str">
        <f>IF(Tabela58[[#This Row],[idvenda]]=C8,"",SUMIF(Tabela58[idvenda],Tabela58[[#This Row],[idvenda]],Tabela58[Total]))</f>
        <v/>
      </c>
      <c r="O7" s="10"/>
    </row>
    <row r="8" spans="3:26" x14ac:dyDescent="0.3">
      <c r="C8" s="10"/>
      <c r="D8" s="29"/>
      <c r="E8" s="10"/>
      <c r="F8" s="10" t="str">
        <f>IFERROR(VLOOKUP(E8,cálculos!$B$2:$E$32,4,FALSE),"")</f>
        <v/>
      </c>
      <c r="H8" s="30" t="str">
        <f>IFERROR(VLOOKUP(E8,cálculos!$B$2:$E$32,3,FALSE),"")</f>
        <v/>
      </c>
      <c r="I8" s="30" t="str">
        <f>IFERROR((Tabela58[[#This Row],[Quantidade]]*H8),"")</f>
        <v/>
      </c>
      <c r="J8" s="36"/>
      <c r="L8" s="30" t="str">
        <f>IFERROR(VLOOKUP(Tabela58[[#This Row],[Entrega]],cálculos!$G$3:$H$7,2,FALSE),"0")</f>
        <v>0</v>
      </c>
      <c r="M8" s="30" t="str">
        <f>IFERROR(SUM(Tabela58[[#This Row],[Subtotal]]*(1-Tabela58[[#This Row],[Desconto]])+Tabela58[[#This Row],[Valor de Entrega]]),"")</f>
        <v/>
      </c>
      <c r="N8" s="41" t="str">
        <f>IF(Tabela58[[#This Row],[idvenda]]=C9,"",SUMIF(Tabela58[idvenda],Tabela58[[#This Row],[idvenda]],Tabela58[Total]))</f>
        <v/>
      </c>
      <c r="O8" s="10"/>
    </row>
    <row r="9" spans="3:26" x14ac:dyDescent="0.3">
      <c r="C9" s="10"/>
      <c r="D9" s="29"/>
      <c r="E9" s="10"/>
      <c r="F9" s="10" t="str">
        <f>IFERROR(VLOOKUP(E9,cálculos!$B$2:$E$32,4,FALSE),"")</f>
        <v/>
      </c>
      <c r="H9" s="30" t="str">
        <f>IFERROR(VLOOKUP(E9,cálculos!$B$2:$E$32,3,FALSE),"")</f>
        <v/>
      </c>
      <c r="I9" s="30" t="str">
        <f>IFERROR((Tabela58[[#This Row],[Quantidade]]*H9),"")</f>
        <v/>
      </c>
      <c r="J9" s="36"/>
      <c r="L9" s="30" t="str">
        <f>IFERROR(VLOOKUP(Tabela58[[#This Row],[Entrega]],cálculos!$G$3:$H$7,2,FALSE),"0")</f>
        <v>0</v>
      </c>
      <c r="M9" s="30" t="str">
        <f>IFERROR(SUM(Tabela58[[#This Row],[Subtotal]]*(1-Tabela58[[#This Row],[Desconto]])+Tabela58[[#This Row],[Valor de Entrega]]),"")</f>
        <v/>
      </c>
      <c r="N9" s="10" t="str">
        <f>IF(Tabela58[[#This Row],[idvenda]]=C10,"",SUMIF(Tabela58[idvenda],Tabela58[[#This Row],[idvenda]],Tabela58[Total]))</f>
        <v/>
      </c>
      <c r="O9" s="41"/>
    </row>
    <row r="10" spans="3:26" x14ac:dyDescent="0.3">
      <c r="C10" s="10"/>
      <c r="D10" s="29"/>
      <c r="E10" s="10"/>
      <c r="F10" s="10" t="str">
        <f>IFERROR(VLOOKUP(E10,cálculos!$B$2:$E$32,4,FALSE),"")</f>
        <v/>
      </c>
      <c r="H10" s="30" t="str">
        <f>IFERROR(VLOOKUP(E10,cálculos!$B$2:$E$32,3,FALSE),"")</f>
        <v/>
      </c>
      <c r="I10" s="30" t="str">
        <f>IFERROR((Tabela58[[#This Row],[Quantidade]]*H10),"")</f>
        <v/>
      </c>
      <c r="J10" s="36"/>
      <c r="L10" s="30" t="str">
        <f>IFERROR(VLOOKUP(Tabela58[[#This Row],[Entrega]],cálculos!$G$3:$H$7,2,FALSE),"0")</f>
        <v>0</v>
      </c>
      <c r="M10" s="30" t="str">
        <f>IFERROR(SUM(Tabela58[[#This Row],[Subtotal]]*(1-Tabela58[[#This Row],[Desconto]])+Tabela58[[#This Row],[Valor de Entrega]]),"")</f>
        <v/>
      </c>
      <c r="N10" s="10" t="str">
        <f>IF(Tabela58[[#This Row],[idvenda]]=C11,"",SUMIF(Tabela58[idvenda],Tabela58[[#This Row],[idvenda]],Tabela58[Total]))</f>
        <v/>
      </c>
      <c r="O10" s="10"/>
    </row>
    <row r="11" spans="3:26" x14ac:dyDescent="0.3">
      <c r="C11" s="10"/>
      <c r="D11" s="29"/>
      <c r="E11" s="10"/>
      <c r="F11" s="10" t="str">
        <f>IFERROR(VLOOKUP(E11,cálculos!$B$2:$E$32,4,FALSE),"")</f>
        <v/>
      </c>
      <c r="H11" s="30" t="str">
        <f>IFERROR(VLOOKUP(E11,cálculos!$B$2:$E$32,3,FALSE),"")</f>
        <v/>
      </c>
      <c r="I11" s="30" t="str">
        <f>IFERROR((Tabela58[[#This Row],[Quantidade]]*H11),"")</f>
        <v/>
      </c>
      <c r="J11" s="36"/>
      <c r="L11" s="30" t="str">
        <f>IFERROR(VLOOKUP(Tabela58[[#This Row],[Entrega]],cálculos!$G$3:$H$7,2,FALSE),"0")</f>
        <v>0</v>
      </c>
      <c r="M11" s="30" t="str">
        <f>IFERROR(SUM(Tabela58[[#This Row],[Subtotal]]*(1-Tabela58[[#This Row],[Desconto]])+Tabela58[[#This Row],[Valor de Entrega]]),"")</f>
        <v/>
      </c>
      <c r="N11" s="10" t="str">
        <f>IF(Tabela58[[#This Row],[idvenda]]=C12,"",SUMIF(Tabela58[idvenda],Tabela58[[#This Row],[idvenda]],Tabela58[Total]))</f>
        <v/>
      </c>
      <c r="O11" s="10"/>
    </row>
    <row r="12" spans="3:26" x14ac:dyDescent="0.3">
      <c r="C12" s="10"/>
      <c r="D12" s="29"/>
      <c r="E12" s="10"/>
      <c r="F12" s="10" t="str">
        <f>IFERROR(VLOOKUP(E12,cálculos!$B$2:$E$32,4,FALSE),"")</f>
        <v/>
      </c>
      <c r="H12" s="30" t="str">
        <f>IFERROR(VLOOKUP(E12,cálculos!$B$2:$E$32,3,FALSE),"")</f>
        <v/>
      </c>
      <c r="I12" s="30" t="str">
        <f>IFERROR((Tabela58[[#This Row],[Quantidade]]*H12),"")</f>
        <v/>
      </c>
      <c r="J12" s="36"/>
      <c r="L12" s="30" t="str">
        <f>IFERROR(VLOOKUP(Tabela58[[#This Row],[Entrega]],cálculos!$G$3:$H$7,2,FALSE),"0")</f>
        <v>0</v>
      </c>
      <c r="M12" s="30" t="str">
        <f>IFERROR(SUM(Tabela58[[#This Row],[Subtotal]]*(1-Tabela58[[#This Row],[Desconto]])+Tabela58[[#This Row],[Valor de Entrega]]),"")</f>
        <v/>
      </c>
      <c r="N12" s="10" t="str">
        <f>IF(Tabela58[[#This Row],[idvenda]]=C13,"",SUMIF(Tabela58[idvenda],Tabela58[[#This Row],[idvenda]],Tabela58[Total]))</f>
        <v/>
      </c>
      <c r="O12" s="10"/>
    </row>
    <row r="13" spans="3:26" x14ac:dyDescent="0.3">
      <c r="C13" s="10"/>
      <c r="D13" s="29"/>
      <c r="E13" s="10"/>
      <c r="F13" s="10" t="str">
        <f>IFERROR(VLOOKUP(E13,cálculos!$B$2:$E$32,4,FALSE),"")</f>
        <v/>
      </c>
      <c r="H13" s="30" t="str">
        <f>IFERROR(VLOOKUP(E13,cálculos!$B$2:$E$32,3,FALSE),"")</f>
        <v/>
      </c>
      <c r="I13" s="30" t="str">
        <f>IFERROR((Tabela58[[#This Row],[Quantidade]]*H13),"")</f>
        <v/>
      </c>
      <c r="J13" s="36"/>
      <c r="L13" s="30" t="str">
        <f>IFERROR(VLOOKUP(Tabela58[[#This Row],[Entrega]],cálculos!$G$3:$H$7,2,FALSE),"0")</f>
        <v>0</v>
      </c>
      <c r="M13" s="30" t="str">
        <f>IFERROR(SUM(Tabela58[[#This Row],[Subtotal]]*(1-Tabela58[[#This Row],[Desconto]])+Tabela58[[#This Row],[Valor de Entrega]]),"")</f>
        <v/>
      </c>
      <c r="N13" s="10" t="str">
        <f>IF(Tabela58[[#This Row],[idvenda]]=C14,"",SUMIF(Tabela58[idvenda],Tabela58[[#This Row],[idvenda]],Tabela58[Total]))</f>
        <v/>
      </c>
      <c r="O13" s="10"/>
    </row>
    <row r="14" spans="3:26" x14ac:dyDescent="0.3">
      <c r="C14" s="10"/>
      <c r="D14" s="29"/>
      <c r="E14" s="10"/>
      <c r="F14" s="10" t="str">
        <f>IFERROR(VLOOKUP(E14,cálculos!$B$2:$E$32,4,FALSE),"")</f>
        <v/>
      </c>
      <c r="H14" s="30" t="str">
        <f>IFERROR(VLOOKUP(E14,cálculos!$B$2:$E$32,3,FALSE),"")</f>
        <v/>
      </c>
      <c r="I14" s="30" t="str">
        <f>IFERROR((Tabela58[[#This Row],[Quantidade]]*H14),"")</f>
        <v/>
      </c>
      <c r="J14" s="36"/>
      <c r="L14" s="30" t="str">
        <f>IFERROR(VLOOKUP(Tabela58[[#This Row],[Entrega]],cálculos!$G$3:$H$7,2,FALSE),"0")</f>
        <v>0</v>
      </c>
      <c r="M14" s="30" t="str">
        <f>IFERROR(SUM(Tabela58[[#This Row],[Subtotal]]*(1-Tabela58[[#This Row],[Desconto]])+Tabela58[[#This Row],[Valor de Entrega]]),"")</f>
        <v/>
      </c>
      <c r="N14" s="10" t="str">
        <f>IF(Tabela58[[#This Row],[idvenda]]=C15,"",SUMIF(Tabela58[idvenda],Tabela58[[#This Row],[idvenda]],Tabela58[Total]))</f>
        <v/>
      </c>
      <c r="O14" s="10"/>
    </row>
    <row r="15" spans="3:26" x14ac:dyDescent="0.3">
      <c r="C15" s="10"/>
      <c r="D15" s="29"/>
      <c r="E15" s="10"/>
      <c r="F15" s="10" t="str">
        <f>IFERROR(VLOOKUP(E15,cálculos!$B$2:$E$32,4,FALSE),"")</f>
        <v/>
      </c>
      <c r="H15" s="30" t="str">
        <f>IFERROR(VLOOKUP(E15,cálculos!$B$2:$E$32,3,FALSE),"")</f>
        <v/>
      </c>
      <c r="I15" s="30" t="str">
        <f>IFERROR((Tabela58[[#This Row],[Quantidade]]*H15),"")</f>
        <v/>
      </c>
      <c r="J15" s="36"/>
      <c r="L15" s="30" t="str">
        <f>IFERROR(VLOOKUP(Tabela58[[#This Row],[Entrega]],cálculos!$G$3:$H$7,2,FALSE),"0")</f>
        <v>0</v>
      </c>
      <c r="M15" s="30" t="str">
        <f>IFERROR(SUM(Tabela58[[#This Row],[Subtotal]]*(1-Tabela58[[#This Row],[Desconto]])+Tabela58[[#This Row],[Valor de Entrega]]),"")</f>
        <v/>
      </c>
      <c r="N15" s="10" t="str">
        <f>IF(Tabela58[[#This Row],[idvenda]]=C16,"",SUMIF(Tabela58[idvenda],Tabela58[[#This Row],[idvenda]],Tabela58[Total]))</f>
        <v/>
      </c>
      <c r="O15" s="10"/>
    </row>
    <row r="16" spans="3:26" x14ac:dyDescent="0.3">
      <c r="C16" s="10"/>
      <c r="D16" s="29"/>
      <c r="E16" s="10"/>
      <c r="F16" s="10" t="str">
        <f>IFERROR(VLOOKUP(E16,cálculos!$B$2:$E$32,4,FALSE),"")</f>
        <v/>
      </c>
      <c r="H16" s="30" t="str">
        <f>IFERROR(VLOOKUP(E16,cálculos!$B$2:$E$32,3,FALSE),"")</f>
        <v/>
      </c>
      <c r="I16" s="30" t="str">
        <f>IFERROR((Tabela58[[#This Row],[Quantidade]]*H16),"")</f>
        <v/>
      </c>
      <c r="J16" s="36"/>
      <c r="L16" s="30" t="str">
        <f>IFERROR(VLOOKUP(Tabela58[[#This Row],[Entrega]],cálculos!$G$3:$H$7,2,FALSE),"0")</f>
        <v>0</v>
      </c>
      <c r="M16" s="30" t="str">
        <f>IFERROR(SUM(Tabela58[[#This Row],[Subtotal]]*(1-Tabela58[[#This Row],[Desconto]])+Tabela58[[#This Row],[Valor de Entrega]]),"")</f>
        <v/>
      </c>
      <c r="N16" s="10" t="str">
        <f>IF(Tabela58[[#This Row],[idvenda]]=C17,"",SUMIF(Tabela58[idvenda],Tabela58[[#This Row],[idvenda]],Tabela58[Total]))</f>
        <v/>
      </c>
      <c r="O16" s="10"/>
    </row>
    <row r="17" spans="3:15" x14ac:dyDescent="0.3">
      <c r="C17" s="10"/>
      <c r="D17" s="29"/>
      <c r="E17" s="10"/>
      <c r="F17" s="10" t="str">
        <f>IFERROR(VLOOKUP(E17,cálculos!$B$2:$E$32,4,FALSE),"")</f>
        <v/>
      </c>
      <c r="H17" s="30" t="str">
        <f>IFERROR(VLOOKUP(E17,cálculos!$B$2:$E$32,3,FALSE),"")</f>
        <v/>
      </c>
      <c r="I17" s="30" t="str">
        <f>IFERROR((Tabela58[[#This Row],[Quantidade]]*H17),"")</f>
        <v/>
      </c>
      <c r="J17" s="36"/>
      <c r="L17" s="30" t="str">
        <f>IFERROR(VLOOKUP(Tabela58[[#This Row],[Entrega]],cálculos!$G$3:$H$7,2,FALSE),"0")</f>
        <v>0</v>
      </c>
      <c r="M17" s="30" t="str">
        <f>IFERROR(SUM(Tabela58[[#This Row],[Subtotal]]*(1-Tabela58[[#This Row],[Desconto]])+Tabela58[[#This Row],[Valor de Entrega]]),"")</f>
        <v/>
      </c>
      <c r="N17" s="10" t="str">
        <f>IF(Tabela58[[#This Row],[idvenda]]=C18,"",SUMIF(Tabela58[idvenda],Tabela58[[#This Row],[idvenda]],Tabela58[Total]))</f>
        <v/>
      </c>
      <c r="O17" s="10"/>
    </row>
    <row r="18" spans="3:15" x14ac:dyDescent="0.3">
      <c r="C18" s="10"/>
      <c r="D18" s="29"/>
      <c r="E18" s="10"/>
      <c r="F18" s="10" t="str">
        <f>IFERROR(VLOOKUP(E18,cálculos!$B$2:$E$32,4,FALSE),"")</f>
        <v/>
      </c>
      <c r="H18" s="30" t="str">
        <f>IFERROR(VLOOKUP(E18,cálculos!$B$2:$E$32,3,FALSE),"")</f>
        <v/>
      </c>
      <c r="I18" s="30" t="str">
        <f>IFERROR((Tabela58[[#This Row],[Quantidade]]*H18),"")</f>
        <v/>
      </c>
      <c r="J18" s="36"/>
      <c r="L18" s="30" t="str">
        <f>IFERROR(VLOOKUP(Tabela58[[#This Row],[Entrega]],cálculos!$G$3:$H$7,2,FALSE),"0")</f>
        <v>0</v>
      </c>
      <c r="M18" s="30" t="str">
        <f>IFERROR(SUM(Tabela58[[#This Row],[Subtotal]]*(1-Tabela58[[#This Row],[Desconto]])+Tabela58[[#This Row],[Valor de Entrega]]),"")</f>
        <v/>
      </c>
      <c r="N18" s="10" t="str">
        <f>IF(Tabela58[[#This Row],[idvenda]]=C19,"",SUMIF(Tabela58[idvenda],Tabela58[[#This Row],[idvenda]],Tabela58[Total]))</f>
        <v/>
      </c>
      <c r="O18" s="10"/>
    </row>
    <row r="19" spans="3:15" x14ac:dyDescent="0.3">
      <c r="C19" s="10"/>
      <c r="D19" s="29"/>
      <c r="E19" s="10"/>
      <c r="F19" s="10" t="str">
        <f>IFERROR(VLOOKUP(E19,cálculos!$B$2:$E$32,4,FALSE),"")</f>
        <v/>
      </c>
      <c r="H19" s="30" t="str">
        <f>IFERROR(VLOOKUP(E19,cálculos!$B$2:$E$32,3,FALSE),"")</f>
        <v/>
      </c>
      <c r="I19" s="30" t="str">
        <f>IFERROR((Tabela58[[#This Row],[Quantidade]]*H19),"")</f>
        <v/>
      </c>
      <c r="J19" s="36"/>
      <c r="L19" s="30" t="str">
        <f>IFERROR(VLOOKUP(Tabela58[[#This Row],[Entrega]],cálculos!$G$3:$H$7,2,FALSE),"0")</f>
        <v>0</v>
      </c>
      <c r="M19" s="30" t="str">
        <f>IFERROR(SUM(Tabela58[[#This Row],[Subtotal]]*(1-Tabela58[[#This Row],[Desconto]])+Tabela58[[#This Row],[Valor de Entrega]]),"")</f>
        <v/>
      </c>
      <c r="N19" s="10" t="str">
        <f>IF(Tabela58[[#This Row],[idvenda]]=C20,"",SUMIF(Tabela58[idvenda],Tabela58[[#This Row],[idvenda]],Tabela58[Total]))</f>
        <v/>
      </c>
      <c r="O19" s="10"/>
    </row>
    <row r="20" spans="3:15" x14ac:dyDescent="0.3">
      <c r="C20" s="10"/>
      <c r="D20" s="29"/>
      <c r="E20" s="10"/>
      <c r="F20" s="10" t="str">
        <f>IFERROR(VLOOKUP(E20,cálculos!$B$2:$E$32,4,FALSE),"")</f>
        <v/>
      </c>
      <c r="H20" s="30" t="str">
        <f>IFERROR(VLOOKUP(E20,cálculos!$B$2:$E$32,3,FALSE),"")</f>
        <v/>
      </c>
      <c r="I20" s="30" t="str">
        <f>IFERROR((Tabela58[[#This Row],[Quantidade]]*H20),"")</f>
        <v/>
      </c>
      <c r="J20" s="36"/>
      <c r="L20" s="30" t="str">
        <f>IFERROR(VLOOKUP(Tabela58[[#This Row],[Entrega]],cálculos!$G$3:$H$7,2,FALSE),"0")</f>
        <v>0</v>
      </c>
      <c r="M20" s="30" t="str">
        <f>IFERROR(SUM(Tabela58[[#This Row],[Subtotal]]*(1-Tabela58[[#This Row],[Desconto]])+Tabela58[[#This Row],[Valor de Entrega]]),"")</f>
        <v/>
      </c>
      <c r="N20" s="10" t="str">
        <f>IF(Tabela58[[#This Row],[idvenda]]=C21,"",SUMIF(Tabela58[idvenda],Tabela58[[#This Row],[idvenda]],Tabela58[Total]))</f>
        <v/>
      </c>
      <c r="O20" s="10"/>
    </row>
    <row r="21" spans="3:15" x14ac:dyDescent="0.3">
      <c r="C21" s="10"/>
      <c r="D21" s="29"/>
      <c r="E21" s="10"/>
      <c r="F21" s="10" t="str">
        <f>IFERROR(VLOOKUP(E21,cálculos!$B$2:$E$32,4,FALSE),"")</f>
        <v/>
      </c>
      <c r="H21" s="30" t="str">
        <f>IFERROR(VLOOKUP(E21,cálculos!$B$2:$E$32,3,FALSE),"")</f>
        <v/>
      </c>
      <c r="I21" s="30" t="str">
        <f>IFERROR((Tabela58[[#This Row],[Quantidade]]*H21),"")</f>
        <v/>
      </c>
      <c r="J21" s="36"/>
      <c r="L21" s="30" t="str">
        <f>IFERROR(VLOOKUP(Tabela58[[#This Row],[Entrega]],cálculos!$G$3:$H$7,2,FALSE),"0")</f>
        <v>0</v>
      </c>
      <c r="M21" s="30" t="str">
        <f>IFERROR(SUM(Tabela58[[#This Row],[Subtotal]]*(1-Tabela58[[#This Row],[Desconto]])+Tabela58[[#This Row],[Valor de Entrega]]),"")</f>
        <v/>
      </c>
      <c r="N21" s="10" t="str">
        <f>IF(Tabela58[[#This Row],[idvenda]]=C22,"",SUMIF(Tabela58[idvenda],Tabela58[[#This Row],[idvenda]],Tabela58[Total]))</f>
        <v/>
      </c>
      <c r="O21" s="10"/>
    </row>
    <row r="22" spans="3:15" x14ac:dyDescent="0.3">
      <c r="C22" s="10"/>
      <c r="D22" s="29"/>
      <c r="E22" s="10"/>
      <c r="F22" s="10" t="str">
        <f>IFERROR(VLOOKUP(E22,cálculos!$B$2:$E$32,4,FALSE),"")</f>
        <v/>
      </c>
      <c r="H22" s="30" t="str">
        <f>IFERROR(VLOOKUP(E22,cálculos!$B$2:$E$32,3,FALSE),"")</f>
        <v/>
      </c>
      <c r="I22" s="30" t="str">
        <f>IFERROR((Tabela58[[#This Row],[Quantidade]]*H22),"")</f>
        <v/>
      </c>
      <c r="J22" s="36"/>
      <c r="L22" s="30" t="str">
        <f>IFERROR(VLOOKUP(Tabela58[[#This Row],[Entrega]],cálculos!$G$3:$H$7,2,FALSE),"0")</f>
        <v>0</v>
      </c>
      <c r="M22" s="30" t="str">
        <f>IFERROR(SUM(Tabela58[[#This Row],[Subtotal]]*(1-Tabela58[[#This Row],[Desconto]])+Tabela58[[#This Row],[Valor de Entrega]]),"")</f>
        <v/>
      </c>
      <c r="N22" s="10" t="str">
        <f>IF(Tabela58[[#This Row],[idvenda]]=C23,"",SUMIF(Tabela58[idvenda],Tabela58[[#This Row],[idvenda]],Tabela58[Total]))</f>
        <v/>
      </c>
      <c r="O22" s="10"/>
    </row>
    <row r="23" spans="3:15" x14ac:dyDescent="0.3">
      <c r="C23" s="10"/>
      <c r="D23" s="29"/>
      <c r="E23" s="10"/>
      <c r="F23" s="10" t="str">
        <f>IFERROR(VLOOKUP(E23,cálculos!$B$2:$E$32,4,FALSE),"")</f>
        <v/>
      </c>
      <c r="H23" s="30" t="str">
        <f>IFERROR(VLOOKUP(E23,cálculos!$B$2:$E$32,3,FALSE),"")</f>
        <v/>
      </c>
      <c r="I23" s="30" t="str">
        <f>IFERROR((Tabela58[[#This Row],[Quantidade]]*H23),"")</f>
        <v/>
      </c>
      <c r="J23" s="36"/>
      <c r="L23" s="30" t="str">
        <f>IFERROR(VLOOKUP(Tabela58[[#This Row],[Entrega]],cálculos!$G$3:$H$7,2,FALSE),"0")</f>
        <v>0</v>
      </c>
      <c r="M23" s="30" t="str">
        <f>IFERROR(SUM(Tabela58[[#This Row],[Subtotal]]*(1-Tabela58[[#This Row],[Desconto]])+Tabela58[[#This Row],[Valor de Entrega]]),"")</f>
        <v/>
      </c>
      <c r="N23" s="10" t="str">
        <f>IF(Tabela58[[#This Row],[idvenda]]=C24,"",SUMIF(Tabela58[idvenda],Tabela58[[#This Row],[idvenda]],Tabela58[Total]))</f>
        <v/>
      </c>
      <c r="O23" s="10"/>
    </row>
    <row r="24" spans="3:15" x14ac:dyDescent="0.3">
      <c r="C24" s="10"/>
      <c r="D24" s="29"/>
      <c r="E24" s="10"/>
      <c r="F24" s="10" t="str">
        <f>IFERROR(VLOOKUP(E24,cálculos!$B$2:$E$32,4,FALSE),"")</f>
        <v/>
      </c>
      <c r="H24" s="30" t="str">
        <f>IFERROR(VLOOKUP(E24,cálculos!$B$2:$E$32,3,FALSE),"")</f>
        <v/>
      </c>
      <c r="I24" s="30" t="str">
        <f>IFERROR((Tabela58[[#This Row],[Quantidade]]*H24),"")</f>
        <v/>
      </c>
      <c r="J24" s="36"/>
      <c r="L24" s="30" t="str">
        <f>IFERROR(VLOOKUP(Tabela58[[#This Row],[Entrega]],cálculos!$G$3:$H$7,2,FALSE),"0")</f>
        <v>0</v>
      </c>
      <c r="M24" s="30" t="str">
        <f>IFERROR(SUM(Tabela58[[#This Row],[Subtotal]]*(1-Tabela58[[#This Row],[Desconto]])+Tabela58[[#This Row],[Valor de Entrega]]),"")</f>
        <v/>
      </c>
      <c r="N24" s="10" t="str">
        <f>IF(Tabela58[[#This Row],[idvenda]]=C25,"",SUMIF(Tabela58[idvenda],Tabela58[[#This Row],[idvenda]],Tabela58[Total]))</f>
        <v/>
      </c>
      <c r="O24" s="10"/>
    </row>
    <row r="25" spans="3:15" x14ac:dyDescent="0.3">
      <c r="C25" s="10"/>
      <c r="D25" s="29"/>
      <c r="E25" s="10"/>
      <c r="F25" s="10" t="str">
        <f>IFERROR(VLOOKUP(E25,cálculos!$B$2:$E$32,4,FALSE),"")</f>
        <v/>
      </c>
      <c r="H25" s="30" t="str">
        <f>IFERROR(VLOOKUP(E25,cálculos!$B$2:$E$32,3,FALSE),"")</f>
        <v/>
      </c>
      <c r="I25" s="30" t="str">
        <f>IFERROR((Tabela58[[#This Row],[Quantidade]]*H25),"")</f>
        <v/>
      </c>
      <c r="J25" s="36"/>
      <c r="L25" s="30" t="str">
        <f>IFERROR(VLOOKUP(Tabela58[[#This Row],[Entrega]],cálculos!$G$3:$H$7,2,FALSE),"0")</f>
        <v>0</v>
      </c>
      <c r="M25" s="30" t="str">
        <f>IFERROR(SUM(Tabela58[[#This Row],[Subtotal]]*(1-Tabela58[[#This Row],[Desconto]])+Tabela58[[#This Row],[Valor de Entrega]]),"")</f>
        <v/>
      </c>
      <c r="N25" s="10" t="str">
        <f>IF(Tabela58[[#This Row],[idvenda]]=C26,"",SUMIF(Tabela58[idvenda],Tabela58[[#This Row],[idvenda]],Tabela58[Total]))</f>
        <v/>
      </c>
      <c r="O25" s="10"/>
    </row>
    <row r="26" spans="3:15" x14ac:dyDescent="0.3">
      <c r="C26" s="10"/>
      <c r="D26" s="29"/>
      <c r="E26" s="10"/>
      <c r="F26" s="10" t="str">
        <f>IFERROR(VLOOKUP(E26,cálculos!$B$2:$E$32,4,FALSE),"")</f>
        <v/>
      </c>
      <c r="H26" s="30" t="str">
        <f>IFERROR(VLOOKUP(E26,cálculos!$B$2:$E$32,3,FALSE),"")</f>
        <v/>
      </c>
      <c r="I26" s="30" t="str">
        <f>IFERROR((Tabela58[[#This Row],[Quantidade]]*H26),"")</f>
        <v/>
      </c>
      <c r="J26" s="36"/>
      <c r="L26" s="30" t="str">
        <f>IFERROR(VLOOKUP(Tabela58[[#This Row],[Entrega]],cálculos!$G$3:$H$7,2,FALSE),"0")</f>
        <v>0</v>
      </c>
      <c r="M26" s="30" t="str">
        <f>IFERROR(SUM(Tabela58[[#This Row],[Subtotal]]*(1-Tabela58[[#This Row],[Desconto]])+Tabela58[[#This Row],[Valor de Entrega]]),"")</f>
        <v/>
      </c>
      <c r="N26" s="10" t="str">
        <f>IF(Tabela58[[#This Row],[idvenda]]=C27,"",SUMIF(Tabela58[idvenda],Tabela58[[#This Row],[idvenda]],Tabela58[Total]))</f>
        <v/>
      </c>
      <c r="O26" s="10"/>
    </row>
    <row r="27" spans="3:15" x14ac:dyDescent="0.3">
      <c r="C27" s="10"/>
      <c r="D27" s="29"/>
      <c r="E27" s="10"/>
      <c r="F27" s="10" t="str">
        <f>IFERROR(VLOOKUP(E27,cálculos!$B$2:$E$32,4,FALSE),"")</f>
        <v/>
      </c>
      <c r="H27" s="30" t="str">
        <f>IFERROR(VLOOKUP(E27,cálculos!$B$2:$E$32,3,FALSE),"")</f>
        <v/>
      </c>
      <c r="I27" s="30" t="str">
        <f>IFERROR((Tabela58[[#This Row],[Quantidade]]*H27),"")</f>
        <v/>
      </c>
      <c r="J27" s="36"/>
      <c r="L27" s="30" t="str">
        <f>IFERROR(VLOOKUP(Tabela58[[#This Row],[Entrega]],cálculos!$G$3:$H$7,2,FALSE),"0")</f>
        <v>0</v>
      </c>
      <c r="M27" s="30" t="str">
        <f>IFERROR(SUM(Tabela58[[#This Row],[Subtotal]]*(1-Tabela58[[#This Row],[Desconto]])+Tabela58[[#This Row],[Valor de Entrega]]),"")</f>
        <v/>
      </c>
      <c r="N27" s="10" t="str">
        <f>IF(Tabela58[[#This Row],[idvenda]]=C28,"",SUMIF(Tabela58[idvenda],Tabela58[[#This Row],[idvenda]],Tabela58[Total]))</f>
        <v/>
      </c>
      <c r="O27" s="10"/>
    </row>
    <row r="28" spans="3:15" x14ac:dyDescent="0.3">
      <c r="C28" s="10"/>
      <c r="D28" s="29"/>
      <c r="E28" s="10"/>
      <c r="F28" s="10" t="str">
        <f>IFERROR(VLOOKUP(E28,cálculos!$B$2:$E$32,4,FALSE),"")</f>
        <v/>
      </c>
      <c r="H28" s="30" t="str">
        <f>IFERROR(VLOOKUP(E28,cálculos!$B$2:$E$32,3,FALSE),"")</f>
        <v/>
      </c>
      <c r="I28" s="30" t="str">
        <f>IFERROR((Tabela58[[#This Row],[Quantidade]]*H28),"")</f>
        <v/>
      </c>
      <c r="J28" s="36"/>
      <c r="L28" s="30" t="str">
        <f>IFERROR(VLOOKUP(Tabela58[[#This Row],[Entrega]],cálculos!$G$3:$H$7,2,FALSE),"0")</f>
        <v>0</v>
      </c>
      <c r="M28" s="30" t="str">
        <f>IFERROR(SUM(Tabela58[[#This Row],[Subtotal]]*(1-Tabela58[[#This Row],[Desconto]])+Tabela58[[#This Row],[Valor de Entrega]]),"")</f>
        <v/>
      </c>
      <c r="N28" s="10" t="str">
        <f>IF(Tabela58[[#This Row],[idvenda]]=C29,"",SUMIF(Tabela58[idvenda],Tabela58[[#This Row],[idvenda]],Tabela58[Total]))</f>
        <v/>
      </c>
      <c r="O28" s="10"/>
    </row>
    <row r="29" spans="3:15" x14ac:dyDescent="0.3">
      <c r="C29" s="10"/>
      <c r="D29" s="29"/>
      <c r="E29" s="10"/>
      <c r="F29" s="10" t="str">
        <f>IFERROR(VLOOKUP(E29,cálculos!$B$2:$E$32,4,FALSE),"")</f>
        <v/>
      </c>
      <c r="H29" s="30" t="str">
        <f>IFERROR(VLOOKUP(E29,cálculos!$B$2:$E$32,3,FALSE),"")</f>
        <v/>
      </c>
      <c r="I29" s="30" t="str">
        <f>IFERROR((Tabela58[[#This Row],[Quantidade]]*H29),"")</f>
        <v/>
      </c>
      <c r="J29" s="36"/>
      <c r="L29" s="30" t="str">
        <f>IFERROR(VLOOKUP(Tabela58[[#This Row],[Entrega]],cálculos!$G$3:$H$7,2,FALSE),"0")</f>
        <v>0</v>
      </c>
      <c r="M29" s="30" t="str">
        <f>IFERROR(SUM(Tabela58[[#This Row],[Subtotal]]*(1-Tabela58[[#This Row],[Desconto]])+Tabela58[[#This Row],[Valor de Entrega]]),"")</f>
        <v/>
      </c>
      <c r="N29" s="10" t="str">
        <f>IF(Tabela58[[#This Row],[idvenda]]=C30,"",SUMIF(Tabela58[idvenda],Tabela58[[#This Row],[idvenda]],Tabela58[Total]))</f>
        <v/>
      </c>
      <c r="O29" s="10"/>
    </row>
    <row r="30" spans="3:15" x14ac:dyDescent="0.3">
      <c r="D30" s="10"/>
      <c r="E30" s="65"/>
      <c r="F30" s="10"/>
      <c r="G30" s="10"/>
      <c r="I30" s="30"/>
      <c r="J30" s="30"/>
      <c r="K30" s="36"/>
      <c r="M30" s="30"/>
      <c r="N30" s="30"/>
      <c r="O30" s="10"/>
    </row>
    <row r="31" spans="3:15" x14ac:dyDescent="0.3">
      <c r="I31" s="5"/>
      <c r="J31" s="5"/>
    </row>
    <row r="32" spans="3:15" ht="16.2" thickBot="1" x14ac:dyDescent="0.35">
      <c r="C32" s="38" t="s">
        <v>121</v>
      </c>
      <c r="D32" s="38"/>
      <c r="E32" s="38"/>
      <c r="F32" s="42"/>
      <c r="G32" s="42"/>
      <c r="H32" s="39"/>
      <c r="I32" s="39"/>
      <c r="J32" s="39"/>
      <c r="K32" s="39"/>
      <c r="L32" s="39"/>
      <c r="M32" s="39"/>
      <c r="N32" s="39">
        <f>SUM(Tabela58[Total Para o Cliente])</f>
        <v>62.9</v>
      </c>
      <c r="O32" s="43"/>
    </row>
    <row r="33" spans="3:15" ht="16.2" thickBot="1" x14ac:dyDescent="0.35">
      <c r="C33" s="60" t="s">
        <v>120</v>
      </c>
      <c r="D33" s="60"/>
      <c r="E33" s="60"/>
      <c r="F33" s="61"/>
      <c r="G33" s="61"/>
      <c r="H33" s="62"/>
      <c r="I33" s="62"/>
      <c r="J33" s="62"/>
      <c r="K33" s="62"/>
      <c r="L33" s="62"/>
      <c r="M33" s="62"/>
      <c r="N33" s="63">
        <f>SUM(Tabela58[Valor de Entrega])</f>
        <v>8</v>
      </c>
      <c r="O33" s="44"/>
    </row>
    <row r="34" spans="3:15" ht="14.4" customHeight="1" x14ac:dyDescent="0.3">
      <c r="C34" s="32" t="s">
        <v>138</v>
      </c>
      <c r="D34" s="32"/>
      <c r="E34" s="32"/>
      <c r="N34" s="59">
        <f>SUM(IF(FREQUENCY(Tabela58[idvenda],Tabela58[idvenda])&gt;0,1))</f>
        <v>1</v>
      </c>
      <c r="O34" s="37"/>
    </row>
  </sheetData>
  <mergeCells count="4">
    <mergeCell ref="C2:Z2"/>
    <mergeCell ref="C32:E32"/>
    <mergeCell ref="C33:E33"/>
    <mergeCell ref="C34:E34"/>
  </mergeCells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0364DC7-1C16-40A6-A695-1BB5B5234EB3}">
          <x14:formula1>
            <xm:f>cálculos!$G$3:$G$7</xm:f>
          </x14:formula1>
          <xm:sqref>L30 K5:K29</xm:sqref>
        </x14:dataValidation>
        <x14:dataValidation type="list" allowBlank="1" showInputMessage="1" showErrorMessage="1" xr:uid="{77B75C34-74CA-4122-9ECB-3D85762F3011}">
          <x14:formula1>
            <xm:f>Estoque!$B$6:$B$29</xm:f>
          </x14:formula1>
          <xm:sqref>F30 E5:E29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Menu</vt:lpstr>
      <vt:lpstr>Despesas</vt:lpstr>
      <vt:lpstr>Compras</vt:lpstr>
      <vt:lpstr>Investimentos</vt:lpstr>
      <vt:lpstr>Estoque</vt:lpstr>
      <vt:lpstr>Resultados</vt:lpstr>
      <vt:lpstr>Vendas</vt:lpstr>
      <vt:lpstr>Semana 1</vt:lpstr>
      <vt:lpstr>Semana 2</vt:lpstr>
      <vt:lpstr>Semana 3</vt:lpstr>
      <vt:lpstr>Semana 4</vt:lpstr>
      <vt:lpstr>Semana 5</vt:lpstr>
      <vt:lpstr>cálculos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Diogo .</cp:lastModifiedBy>
  <dcterms:created xsi:type="dcterms:W3CDTF">2015-06-24T19:21:22Z</dcterms:created>
  <dcterms:modified xsi:type="dcterms:W3CDTF">2021-11-23T00:25:35Z</dcterms:modified>
</cp:coreProperties>
</file>