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1325"/>
  </bookViews>
  <sheets>
    <sheet name="a completer" sheetId="1" r:id="rId1"/>
    <sheet name="aide aux calculs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B113" i="1" l="1"/>
  <c r="B112" i="1"/>
  <c r="B110" i="1"/>
  <c r="B109" i="1"/>
  <c r="B108" i="1"/>
  <c r="B107" i="1"/>
  <c r="B101" i="1"/>
  <c r="I19" i="1" l="1"/>
  <c r="B102" i="1" s="1"/>
  <c r="D3" i="2"/>
  <c r="I49" i="1" l="1"/>
  <c r="I46" i="1"/>
  <c r="I45" i="1"/>
  <c r="I44" i="1" l="1"/>
  <c r="C21" i="3"/>
  <c r="I36" i="1" s="1"/>
  <c r="C18" i="3" l="1"/>
  <c r="I50" i="1" s="1"/>
  <c r="I48" i="1" s="1"/>
  <c r="B99" i="1" s="1"/>
  <c r="I42" i="1"/>
  <c r="D11" i="2"/>
  <c r="D10" i="2"/>
  <c r="D9" i="2"/>
  <c r="I41" i="1"/>
  <c r="I34" i="1"/>
  <c r="I33" i="1"/>
  <c r="I32" i="1"/>
  <c r="I15" i="1"/>
  <c r="I27" i="1"/>
  <c r="B104" i="1" s="1"/>
  <c r="I23" i="1"/>
  <c r="B103" i="1" s="1"/>
  <c r="I40" i="1" l="1"/>
  <c r="I14" i="1"/>
  <c r="B97" i="1" s="1"/>
  <c r="D8" i="2"/>
  <c r="I31" i="1"/>
  <c r="I30" i="1" l="1"/>
  <c r="B98" i="1" s="1"/>
  <c r="I2" i="1" l="1"/>
</calcChain>
</file>

<file path=xl/sharedStrings.xml><?xml version="1.0" encoding="utf-8"?>
<sst xmlns="http://schemas.openxmlformats.org/spreadsheetml/2006/main" count="135" uniqueCount="110">
  <si>
    <t>Bilan carbone de ma thèse</t>
  </si>
  <si>
    <t>Transport</t>
  </si>
  <si>
    <t>Moyens</t>
  </si>
  <si>
    <t>essais</t>
  </si>
  <si>
    <t>nbre cœurs</t>
  </si>
  <si>
    <t>Batiment</t>
  </si>
  <si>
    <t>m^2 bureaux</t>
  </si>
  <si>
    <t>total consommation énergie</t>
  </si>
  <si>
    <t>total amortissement construction</t>
  </si>
  <si>
    <t>total essais</t>
  </si>
  <si>
    <t>total calculs</t>
  </si>
  <si>
    <t>total moyens</t>
  </si>
  <si>
    <t>total avion</t>
  </si>
  <si>
    <t>total train</t>
  </si>
  <si>
    <t>total voiture conf</t>
  </si>
  <si>
    <t>total voiture quotidienne</t>
  </si>
  <si>
    <t>total transports</t>
  </si>
  <si>
    <t>Bilan global</t>
  </si>
  <si>
    <t>total batiment</t>
  </si>
  <si>
    <t>super calculateur</t>
  </si>
  <si>
    <t>fournitures</t>
  </si>
  <si>
    <t>feuilles papier</t>
  </si>
  <si>
    <t>poste fixe</t>
  </si>
  <si>
    <t>ordinateur portable</t>
  </si>
  <si>
    <t>total fourniture</t>
  </si>
  <si>
    <t>*litres essence</t>
  </si>
  <si>
    <t>il y a une aide pour remplir les champs précédés d'une * sur la feuille 2</t>
  </si>
  <si>
    <t>litres essence</t>
  </si>
  <si>
    <t>km</t>
  </si>
  <si>
    <t>*litres essence/jour</t>
  </si>
  <si>
    <t>Kg CO2</t>
  </si>
  <si>
    <t>litre carburant</t>
  </si>
  <si>
    <t>source</t>
  </si>
  <si>
    <t>commentaire</t>
  </si>
  <si>
    <t>Sur la base d'une moyenne essence (2,95 kg CO2e/L) et gazole (3,19 kg CO2e/L) pour les émissions de combustion du carburant avec amont à quoi on ajoute les émissions de fabrication de la voiture raportées à son utilisation (40 g CO2e/km) sur la base de 6 litres/100 km de conso moyenne. Le résultat de 3,737 kg CO2e/litre=1,019 kg Ce/litre est arrondi à 1 kg Ce/litre pour des raisons mnemotechnique. Base carbone - Voiture, fabrication amortie sur durée de vie ; Essence pure, amont et combustion ; Gazole pur, amont et combustion, consulté le 05/09/2014</t>
  </si>
  <si>
    <t>https://avenirclimatique.org/micmac/sources.php</t>
  </si>
  <si>
    <t>nbre covoitureurs</t>
  </si>
  <si>
    <t>KgeqCO2</t>
  </si>
  <si>
    <t>Train conf</t>
  </si>
  <si>
    <t>Avion conf</t>
  </si>
  <si>
    <t>remplir cette colonne</t>
  </si>
  <si>
    <t xml:space="preserve">                  \/</t>
  </si>
  <si>
    <t>Voiture/ moto quotidienne</t>
  </si>
  <si>
    <t>km.passager TGV</t>
  </si>
  <si>
    <t>km.passager TER</t>
  </si>
  <si>
    <t>https://www.bilans-ges.ademe.fr/fr/basecarbone/donnees-consulter/choix-categorie/categorie/177</t>
  </si>
  <si>
    <t>Distance km</t>
  </si>
  <si>
    <t>ratio TGV-TER</t>
  </si>
  <si>
    <t>temps de vol AR (h)</t>
  </si>
  <si>
    <t>heure vol</t>
  </si>
  <si>
    <t>total papier</t>
  </si>
  <si>
    <t>total poste fixe</t>
  </si>
  <si>
    <t>total portable</t>
  </si>
  <si>
    <t>ramette papier</t>
  </si>
  <si>
    <t>https://www.bilans-ges.ademe.fr/fr/basecarbone/donnees-consulter/liste-element/categorie/236</t>
  </si>
  <si>
    <t>ordinateur</t>
  </si>
  <si>
    <t>https://www.bilans-ges.ademe.fr/fr/basecarbone/donnees-consulter/liste-element/categorie/461</t>
  </si>
  <si>
    <t>Fixe ou portable équivalent pour simplifier (données très proches). Un poste fixe haute performance fait plutot 300. Le matériel peut être réutilisé après la thèse (mais a perdu beaucoup de valeur). Il faudrait aussi chiffrer le réseau internet, l'imprimante,…</t>
  </si>
  <si>
    <t>Chiffrer à l'heure permet de pénaliser les vols courts (plus d'emissions pendant le décollage). Déterminé sur la base de 251 gCO2e/(passager.km) et d'une vitesse de 750 km/h. Base Carbone - Avion, déplacement/voyage, 180-250 sièges, 3000-4000 km, carburant et amortissement de la fabrication du véhicule ; ordre de grandeur de vitesse tiré de ABM, consulté le 05/09/2014</t>
  </si>
  <si>
    <t>KWh electrique</t>
  </si>
  <si>
    <t>https://www.bilans-ges.ademe.fr/fr/basecarbone/donnees-consulter/liste-element/categorie/64/siGras/1</t>
  </si>
  <si>
    <t>total electricité</t>
  </si>
  <si>
    <t>Electricité (KWh)</t>
  </si>
  <si>
    <t>*Matériaux</t>
  </si>
  <si>
    <t>materiaux</t>
  </si>
  <si>
    <t>kg acier</t>
  </si>
  <si>
    <t>kg alu</t>
  </si>
  <si>
    <t>kg CFRP</t>
  </si>
  <si>
    <t>total</t>
  </si>
  <si>
    <t>https://www.bilans-ges.ademe.fr/fr/basecarbone/donnees-consulter/choix-categorie/categorie/266</t>
  </si>
  <si>
    <t>CES edupack</t>
  </si>
  <si>
    <t>total acier</t>
  </si>
  <si>
    <t>total alu</t>
  </si>
  <si>
    <t>total CFRP</t>
  </si>
  <si>
    <t>2,2 mais fraction recyclée</t>
  </si>
  <si>
    <t>7,8 mais fraction recyclée</t>
  </si>
  <si>
    <t>total matériaux</t>
  </si>
  <si>
    <t>m^2 bureau</t>
  </si>
  <si>
    <t>https://www.bilans-ges.ademe.fr/fr/basecarbone/donnees-consulter/liste-element/categorie/290</t>
  </si>
  <si>
    <t>650/m^2 batiment de bureau. Fois 2 pour toilettes, couloir, escalier,…  Fois 3/40 : trois ans par rapport à durée de vie typique</t>
  </si>
  <si>
    <t>1h.coeur pando</t>
  </si>
  <si>
    <t>interne : Julien Pedron</t>
  </si>
  <si>
    <t>nombre co-bureaux</t>
  </si>
  <si>
    <t>379W par nœud de 24 cœurs. A multiplier par 2 pour prendre en compte la climatisation (d'après JP; d'autres sources disent entre 1,5 et 2,5, donc on en plein dedans)</t>
  </si>
  <si>
    <t>visio</t>
  </si>
  <si>
    <t>1h France</t>
  </si>
  <si>
    <t>1h international</t>
  </si>
  <si>
    <t>total visio</t>
  </si>
  <si>
    <t>visio France</t>
  </si>
  <si>
    <t>visio internationale</t>
  </si>
  <si>
    <t>temps (h)</t>
  </si>
  <si>
    <t>https://ferme.yeswiki.net/Empreinte/?PagePrincipale&amp;wiki=PagePrincipale</t>
  </si>
  <si>
    <t>https://reseau.batiactu.com/guides-conseils/calculer-lempreinte-carbone-dun-logement-g28</t>
  </si>
  <si>
    <t>il faudrait des chiffres plus précis =&gt; facture du batiment</t>
  </si>
  <si>
    <t>chauffage/clim /m^2 /an</t>
  </si>
  <si>
    <t>L/100km</t>
  </si>
  <si>
    <t>transport</t>
  </si>
  <si>
    <t>moyens</t>
  </si>
  <si>
    <t>batiment</t>
  </si>
  <si>
    <t>3,5 pour clio/208;    6,3 pour moyenne nationnale;   8 pour SUV;    15 pour voiture de sport</t>
  </si>
  <si>
    <t>quotidien</t>
  </si>
  <si>
    <t>auto conf</t>
  </si>
  <si>
    <t>train conf</t>
  </si>
  <si>
    <t>avion conf</t>
  </si>
  <si>
    <t>Voiture/moto   conf/mission</t>
  </si>
  <si>
    <t>super-calculateur</t>
  </si>
  <si>
    <t>énergie</t>
  </si>
  <si>
    <t>construction</t>
  </si>
  <si>
    <t>Pour toute remarque, correction, proposition : edouard.duriez@gmail.com</t>
  </si>
  <si>
    <t>les données (facteurs d'émission) et sources sont en feuille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</si>
</sst>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24457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3" xfId="0" applyFill="1" applyBorder="1"/>
    <xf numFmtId="0" fontId="0" fillId="4" borderId="1" xfId="0" applyFill="1" applyBorder="1"/>
    <xf numFmtId="0" fontId="3" fillId="0" borderId="0" xfId="1"/>
    <xf numFmtId="0" fontId="1" fillId="3" borderId="2" xfId="0" applyFont="1" applyFill="1" applyBorder="1"/>
    <xf numFmtId="0" fontId="1" fillId="3" borderId="5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Répartition globale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 completer'!$A$97:$A$99</c:f>
              <c:strCache>
                <c:ptCount val="3"/>
                <c:pt idx="0">
                  <c:v>transport</c:v>
                </c:pt>
                <c:pt idx="1">
                  <c:v>moyens</c:v>
                </c:pt>
                <c:pt idx="2">
                  <c:v>batiment</c:v>
                </c:pt>
              </c:strCache>
            </c:strRef>
          </c:cat>
          <c:val>
            <c:numRef>
              <c:f>'a completer'!$B$97:$B$99</c:f>
              <c:numCache>
                <c:formatCode>General</c:formatCode>
                <c:ptCount val="3"/>
                <c:pt idx="0">
                  <c:v>6290.8</c:v>
                </c:pt>
                <c:pt idx="1">
                  <c:v>622.70000000000005</c:v>
                </c:pt>
                <c:pt idx="2">
                  <c:v>2175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Répartition transport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 completer'!$A$101:$A$104</c:f>
              <c:strCache>
                <c:ptCount val="4"/>
                <c:pt idx="0">
                  <c:v>quotidien</c:v>
                </c:pt>
                <c:pt idx="1">
                  <c:v>auto conf</c:v>
                </c:pt>
                <c:pt idx="2">
                  <c:v>train conf</c:v>
                </c:pt>
                <c:pt idx="3">
                  <c:v>avion conf</c:v>
                </c:pt>
              </c:strCache>
            </c:strRef>
          </c:cat>
          <c:val>
            <c:numRef>
              <c:f>'a completer'!$B$101:$B$104</c:f>
              <c:numCache>
                <c:formatCode>General</c:formatCode>
                <c:ptCount val="4"/>
                <c:pt idx="0">
                  <c:v>2466.4</c:v>
                </c:pt>
                <c:pt idx="1">
                  <c:v>49.8</c:v>
                </c:pt>
                <c:pt idx="2">
                  <c:v>9.5</c:v>
                </c:pt>
                <c:pt idx="3">
                  <c:v>3765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Répartition moyens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 completer'!$A$107:$A$110</c:f>
              <c:strCache>
                <c:ptCount val="4"/>
                <c:pt idx="0">
                  <c:v>fournitures</c:v>
                </c:pt>
                <c:pt idx="1">
                  <c:v>super-calculateur</c:v>
                </c:pt>
                <c:pt idx="2">
                  <c:v>essais</c:v>
                </c:pt>
                <c:pt idx="3">
                  <c:v>visio</c:v>
                </c:pt>
              </c:strCache>
            </c:strRef>
          </c:cat>
          <c:val>
            <c:numRef>
              <c:f>'a completer'!$B$107:$B$110</c:f>
              <c:numCache>
                <c:formatCode>General</c:formatCode>
                <c:ptCount val="4"/>
                <c:pt idx="0">
                  <c:v>322.3</c:v>
                </c:pt>
                <c:pt idx="1">
                  <c:v>283.8</c:v>
                </c:pt>
                <c:pt idx="2">
                  <c:v>16.600000000000001</c:v>
                </c:pt>
                <c:pt idx="3">
                  <c:v>15.9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Répartition batiment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 completer'!$A$112:$A$113</c:f>
              <c:strCache>
                <c:ptCount val="2"/>
                <c:pt idx="0">
                  <c:v>énergie</c:v>
                </c:pt>
                <c:pt idx="1">
                  <c:v>construction</c:v>
                </c:pt>
              </c:strCache>
            </c:strRef>
          </c:cat>
          <c:val>
            <c:numRef>
              <c:f>'a completer'!$B$112:$B$113</c:f>
              <c:numCache>
                <c:formatCode>General</c:formatCode>
                <c:ptCount val="2"/>
                <c:pt idx="0">
                  <c:v>1200</c:v>
                </c:pt>
                <c:pt idx="1">
                  <c:v>975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4762</xdr:rowOff>
    </xdr:from>
    <xdr:to>
      <xdr:col>16</xdr:col>
      <xdr:colOff>238125</xdr:colOff>
      <xdr:row>13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695325</xdr:colOff>
      <xdr:row>15</xdr:row>
      <xdr:rowOff>76200</xdr:rowOff>
    </xdr:from>
    <xdr:to>
      <xdr:col>16</xdr:col>
      <xdr:colOff>285750</xdr:colOff>
      <xdr:row>27</xdr:row>
      <xdr:rowOff>147638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619125</xdr:colOff>
      <xdr:row>32</xdr:row>
      <xdr:rowOff>57150</xdr:rowOff>
    </xdr:from>
    <xdr:to>
      <xdr:col>16</xdr:col>
      <xdr:colOff>209550</xdr:colOff>
      <xdr:row>44</xdr:row>
      <xdr:rowOff>128588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48</xdr:row>
      <xdr:rowOff>104775</xdr:rowOff>
    </xdr:from>
    <xdr:to>
      <xdr:col>16</xdr:col>
      <xdr:colOff>142875</xdr:colOff>
      <xdr:row>60</xdr:row>
      <xdr:rowOff>176213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ilans-ges.ademe.fr/fr/basecarbone/donnees-consulter/choix-categorie/categorie/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activeCell="A5" sqref="A5"/>
    </sheetView>
  </sheetViews>
  <sheetFormatPr baseColWidth="10" defaultRowHeight="15" x14ac:dyDescent="0.25"/>
  <sheetData>
    <row r="1" spans="1:10" ht="15.75" thickBot="1" x14ac:dyDescent="0.3">
      <c r="A1" t="s">
        <v>108</v>
      </c>
    </row>
    <row r="2" spans="1:10" s="9" customFormat="1" ht="15.75" thickBot="1" x14ac:dyDescent="0.3">
      <c r="A2" s="10" t="s">
        <v>0</v>
      </c>
      <c r="F2" s="10" t="s">
        <v>17</v>
      </c>
      <c r="I2" s="15">
        <f>ROUND(I14+I30+I48,1)</f>
        <v>9088.5</v>
      </c>
      <c r="J2" s="16" t="s">
        <v>37</v>
      </c>
    </row>
    <row r="3" spans="1:10" x14ac:dyDescent="0.25">
      <c r="A3" t="s">
        <v>26</v>
      </c>
    </row>
    <row r="4" spans="1:10" x14ac:dyDescent="0.25">
      <c r="A4" t="s">
        <v>109</v>
      </c>
    </row>
    <row r="12" spans="1:10" x14ac:dyDescent="0.25">
      <c r="C12" s="9" t="s">
        <v>40</v>
      </c>
      <c r="D12" s="9"/>
    </row>
    <row r="13" spans="1:10" ht="15.75" thickBot="1" x14ac:dyDescent="0.3">
      <c r="C13" s="9" t="s">
        <v>41</v>
      </c>
    </row>
    <row r="14" spans="1:10" s="4" customFormat="1" ht="15.75" thickBot="1" x14ac:dyDescent="0.3">
      <c r="A14" s="3" t="s">
        <v>1</v>
      </c>
      <c r="F14" s="3" t="s">
        <v>16</v>
      </c>
      <c r="I14" s="5">
        <f>ROUND(SUM(I15+I19+I23+I27),1)</f>
        <v>6290.8</v>
      </c>
      <c r="J14" s="4" t="s">
        <v>37</v>
      </c>
    </row>
    <row r="15" spans="1:10" s="11" customFormat="1" x14ac:dyDescent="0.25">
      <c r="A15" s="11" t="s">
        <v>42</v>
      </c>
      <c r="F15" s="11" t="s">
        <v>15</v>
      </c>
      <c r="I15" s="12">
        <f>C17/'a completer'!C16*sources!C4*220*3</f>
        <v>2466.42</v>
      </c>
      <c r="J15" s="11" t="s">
        <v>37</v>
      </c>
    </row>
    <row r="16" spans="1:10" x14ac:dyDescent="0.25">
      <c r="A16" t="s">
        <v>36</v>
      </c>
      <c r="C16">
        <v>1</v>
      </c>
    </row>
    <row r="17" spans="1:10" x14ac:dyDescent="0.25">
      <c r="A17" t="s">
        <v>29</v>
      </c>
      <c r="C17">
        <v>1</v>
      </c>
    </row>
    <row r="19" spans="1:10" s="11" customFormat="1" x14ac:dyDescent="0.25">
      <c r="A19" s="11" t="s">
        <v>104</v>
      </c>
      <c r="F19" s="11" t="s">
        <v>14</v>
      </c>
      <c r="I19" s="13">
        <f>C21/'a completer'!C20*sources!C4</f>
        <v>49.826666666666668</v>
      </c>
      <c r="J19" s="11" t="s">
        <v>37</v>
      </c>
    </row>
    <row r="20" spans="1:10" x14ac:dyDescent="0.25">
      <c r="A20" t="s">
        <v>36</v>
      </c>
      <c r="C20">
        <v>3</v>
      </c>
    </row>
    <row r="21" spans="1:10" x14ac:dyDescent="0.25">
      <c r="A21" t="s">
        <v>25</v>
      </c>
      <c r="C21">
        <v>40</v>
      </c>
    </row>
    <row r="23" spans="1:10" s="11" customFormat="1" x14ac:dyDescent="0.25">
      <c r="A23" s="11" t="s">
        <v>38</v>
      </c>
      <c r="F23" s="11" t="s">
        <v>13</v>
      </c>
      <c r="I23" s="13">
        <f>C24*(C25*sources!C5+(1-C25)*sources!C6)</f>
        <v>9.5159999999999982</v>
      </c>
      <c r="J23" s="11" t="s">
        <v>37</v>
      </c>
    </row>
    <row r="24" spans="1:10" x14ac:dyDescent="0.25">
      <c r="A24" t="s">
        <v>46</v>
      </c>
      <c r="C24">
        <v>1500</v>
      </c>
    </row>
    <row r="25" spans="1:10" x14ac:dyDescent="0.25">
      <c r="A25" t="s">
        <v>47</v>
      </c>
      <c r="C25">
        <v>0.8</v>
      </c>
    </row>
    <row r="27" spans="1:10" s="11" customFormat="1" x14ac:dyDescent="0.25">
      <c r="A27" s="11" t="s">
        <v>39</v>
      </c>
      <c r="F27" s="11" t="s">
        <v>12</v>
      </c>
      <c r="I27" s="13">
        <f>C28*sources!C7</f>
        <v>3765</v>
      </c>
      <c r="J27" s="11" t="s">
        <v>37</v>
      </c>
    </row>
    <row r="28" spans="1:10" x14ac:dyDescent="0.25">
      <c r="A28" t="s">
        <v>48</v>
      </c>
      <c r="C28">
        <v>20</v>
      </c>
    </row>
    <row r="29" spans="1:10" ht="15.75" thickBot="1" x14ac:dyDescent="0.3"/>
    <row r="30" spans="1:10" s="4" customFormat="1" ht="15.75" thickBot="1" x14ac:dyDescent="0.3">
      <c r="A30" s="3" t="s">
        <v>2</v>
      </c>
      <c r="F30" s="3" t="s">
        <v>11</v>
      </c>
      <c r="I30" s="5">
        <f>ROUND(SUM(I31,I36,I40),1)</f>
        <v>622.70000000000005</v>
      </c>
      <c r="J30" s="4" t="s">
        <v>37</v>
      </c>
    </row>
    <row r="31" spans="1:10" s="11" customFormat="1" x14ac:dyDescent="0.25">
      <c r="A31" s="11" t="s">
        <v>20</v>
      </c>
      <c r="F31" s="11" t="s">
        <v>24</v>
      </c>
      <c r="I31" s="12">
        <f>SUM(I32:I34)</f>
        <v>322.28999999999996</v>
      </c>
      <c r="J31" s="11" t="s">
        <v>37</v>
      </c>
    </row>
    <row r="32" spans="1:10" x14ac:dyDescent="0.25">
      <c r="A32" t="s">
        <v>21</v>
      </c>
      <c r="C32">
        <v>500</v>
      </c>
      <c r="F32" t="s">
        <v>50</v>
      </c>
      <c r="I32">
        <f>C32*sources!C9/500</f>
        <v>2.29</v>
      </c>
    </row>
    <row r="33" spans="1:10" x14ac:dyDescent="0.25">
      <c r="A33" t="s">
        <v>22</v>
      </c>
      <c r="C33">
        <v>1</v>
      </c>
      <c r="F33" t="s">
        <v>51</v>
      </c>
      <c r="I33">
        <f>C33*sources!C10</f>
        <v>160</v>
      </c>
    </row>
    <row r="34" spans="1:10" x14ac:dyDescent="0.25">
      <c r="A34" t="s">
        <v>23</v>
      </c>
      <c r="C34">
        <v>1</v>
      </c>
      <c r="F34" t="s">
        <v>52</v>
      </c>
      <c r="I34">
        <f>C34*sources!C10</f>
        <v>160</v>
      </c>
    </row>
    <row r="35" spans="1:10" x14ac:dyDescent="0.25">
      <c r="I35" s="6"/>
    </row>
    <row r="36" spans="1:10" s="11" customFormat="1" x14ac:dyDescent="0.25">
      <c r="A36" s="11" t="s">
        <v>19</v>
      </c>
      <c r="F36" s="11" t="s">
        <v>10</v>
      </c>
      <c r="I36" s="13">
        <f>C37*C38*sources!C21</f>
        <v>283.77625</v>
      </c>
      <c r="J36" s="11" t="s">
        <v>37</v>
      </c>
    </row>
    <row r="37" spans="1:10" x14ac:dyDescent="0.25">
      <c r="A37" t="s">
        <v>4</v>
      </c>
      <c r="C37">
        <v>1</v>
      </c>
    </row>
    <row r="38" spans="1:10" x14ac:dyDescent="0.25">
      <c r="A38" t="s">
        <v>90</v>
      </c>
      <c r="C38">
        <v>150000</v>
      </c>
    </row>
    <row r="40" spans="1:10" s="11" customFormat="1" x14ac:dyDescent="0.25">
      <c r="A40" s="11" t="s">
        <v>3</v>
      </c>
      <c r="F40" s="11" t="s">
        <v>9</v>
      </c>
      <c r="I40" s="13">
        <f>SUM(I41:I42)</f>
        <v>16.599</v>
      </c>
      <c r="J40" s="11" t="s">
        <v>37</v>
      </c>
    </row>
    <row r="41" spans="1:10" x14ac:dyDescent="0.25">
      <c r="A41" t="s">
        <v>62</v>
      </c>
      <c r="C41">
        <v>10</v>
      </c>
      <c r="F41" t="s">
        <v>61</v>
      </c>
      <c r="I41">
        <f>C41*sources!C12</f>
        <v>0.59899999999999998</v>
      </c>
    </row>
    <row r="42" spans="1:10" x14ac:dyDescent="0.25">
      <c r="A42" t="s">
        <v>63</v>
      </c>
      <c r="C42">
        <v>16</v>
      </c>
      <c r="F42" t="s">
        <v>76</v>
      </c>
      <c r="I42">
        <f>C42</f>
        <v>16</v>
      </c>
    </row>
    <row r="44" spans="1:10" s="11" customFormat="1" x14ac:dyDescent="0.25">
      <c r="A44" s="11" t="s">
        <v>84</v>
      </c>
      <c r="F44" s="11" t="s">
        <v>87</v>
      </c>
      <c r="I44" s="11">
        <f>SUM(I45:I46)</f>
        <v>15.879999999999999</v>
      </c>
      <c r="J44" s="11" t="s">
        <v>37</v>
      </c>
    </row>
    <row r="45" spans="1:10" x14ac:dyDescent="0.25">
      <c r="A45" t="s">
        <v>85</v>
      </c>
      <c r="C45">
        <v>50</v>
      </c>
      <c r="I45">
        <f>C45*sources!C23</f>
        <v>3.55</v>
      </c>
    </row>
    <row r="46" spans="1:10" x14ac:dyDescent="0.25">
      <c r="A46" t="s">
        <v>86</v>
      </c>
      <c r="C46">
        <v>30</v>
      </c>
      <c r="I46">
        <f>C46*sources!C24</f>
        <v>12.33</v>
      </c>
    </row>
    <row r="47" spans="1:10" ht="15.75" thickBot="1" x14ac:dyDescent="0.3"/>
    <row r="48" spans="1:10" s="4" customFormat="1" ht="15.75" thickBot="1" x14ac:dyDescent="0.3">
      <c r="A48" s="3" t="s">
        <v>5</v>
      </c>
      <c r="F48" s="3" t="s">
        <v>18</v>
      </c>
      <c r="I48" s="5">
        <f>ROUND(I49+I50,1)</f>
        <v>2175</v>
      </c>
      <c r="J48" s="4" t="s">
        <v>37</v>
      </c>
    </row>
    <row r="49" spans="1:10" x14ac:dyDescent="0.25">
      <c r="A49" t="s">
        <v>6</v>
      </c>
      <c r="C49">
        <v>20</v>
      </c>
      <c r="F49" t="s">
        <v>7</v>
      </c>
      <c r="I49" s="2">
        <f>C49*sources!C19*3</f>
        <v>1200</v>
      </c>
      <c r="J49" t="s">
        <v>37</v>
      </c>
    </row>
    <row r="50" spans="1:10" x14ac:dyDescent="0.25">
      <c r="A50" t="s">
        <v>82</v>
      </c>
      <c r="C50">
        <v>2</v>
      </c>
      <c r="F50" t="s">
        <v>8</v>
      </c>
      <c r="I50" s="1">
        <f>C49/C50*sources!C18</f>
        <v>975</v>
      </c>
      <c r="J50" t="s">
        <v>37</v>
      </c>
    </row>
    <row r="97" spans="1:2" x14ac:dyDescent="0.25">
      <c r="A97" t="s">
        <v>96</v>
      </c>
      <c r="B97">
        <f>I14</f>
        <v>6290.8</v>
      </c>
    </row>
    <row r="98" spans="1:2" x14ac:dyDescent="0.25">
      <c r="A98" t="s">
        <v>97</v>
      </c>
      <c r="B98">
        <f>I30</f>
        <v>622.70000000000005</v>
      </c>
    </row>
    <row r="99" spans="1:2" x14ac:dyDescent="0.25">
      <c r="A99" t="s">
        <v>98</v>
      </c>
      <c r="B99">
        <f>I48</f>
        <v>2175</v>
      </c>
    </row>
    <row r="101" spans="1:2" x14ac:dyDescent="0.25">
      <c r="A101" t="s">
        <v>100</v>
      </c>
      <c r="B101">
        <f>ROUND(I15,1)</f>
        <v>2466.4</v>
      </c>
    </row>
    <row r="102" spans="1:2" x14ac:dyDescent="0.25">
      <c r="A102" t="s">
        <v>101</v>
      </c>
      <c r="B102">
        <f>ROUND(I19,1)</f>
        <v>49.8</v>
      </c>
    </row>
    <row r="103" spans="1:2" x14ac:dyDescent="0.25">
      <c r="A103" t="s">
        <v>102</v>
      </c>
      <c r="B103">
        <f>ROUND(I23,1)</f>
        <v>9.5</v>
      </c>
    </row>
    <row r="104" spans="1:2" x14ac:dyDescent="0.25">
      <c r="A104" t="s">
        <v>103</v>
      </c>
      <c r="B104">
        <f>ROUND(I27,1)</f>
        <v>3765</v>
      </c>
    </row>
    <row r="107" spans="1:2" x14ac:dyDescent="0.25">
      <c r="A107" t="s">
        <v>20</v>
      </c>
      <c r="B107">
        <f>ROUND(I31,1)</f>
        <v>322.3</v>
      </c>
    </row>
    <row r="108" spans="1:2" x14ac:dyDescent="0.25">
      <c r="A108" t="s">
        <v>105</v>
      </c>
      <c r="B108">
        <f>ROUND(I36,1)</f>
        <v>283.8</v>
      </c>
    </row>
    <row r="109" spans="1:2" x14ac:dyDescent="0.25">
      <c r="A109" t="s">
        <v>3</v>
      </c>
      <c r="B109">
        <f>ROUND(I40,1)</f>
        <v>16.600000000000001</v>
      </c>
    </row>
    <row r="110" spans="1:2" x14ac:dyDescent="0.25">
      <c r="A110" t="s">
        <v>84</v>
      </c>
      <c r="B110">
        <f>ROUND(I44,1)</f>
        <v>15.9</v>
      </c>
    </row>
    <row r="112" spans="1:2" x14ac:dyDescent="0.25">
      <c r="A112" t="s">
        <v>106</v>
      </c>
      <c r="B112">
        <f>ROUND(I49,1)</f>
        <v>1200</v>
      </c>
    </row>
    <row r="113" spans="1:2" x14ac:dyDescent="0.25">
      <c r="A113" t="s">
        <v>107</v>
      </c>
      <c r="B113">
        <f>ROUND(I50,1)</f>
        <v>975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opLeftCell="A2" workbookViewId="0">
      <selection activeCell="B10" sqref="B10"/>
    </sheetView>
  </sheetViews>
  <sheetFormatPr baseColWidth="10" defaultRowHeight="15" x14ac:dyDescent="0.25"/>
  <sheetData>
    <row r="3" spans="1:4" x14ac:dyDescent="0.25">
      <c r="A3" t="s">
        <v>27</v>
      </c>
      <c r="C3" t="s">
        <v>68</v>
      </c>
      <c r="D3">
        <f>B4*B5/100</f>
        <v>1.008</v>
      </c>
    </row>
    <row r="4" spans="1:4" x14ac:dyDescent="0.25">
      <c r="A4" t="s">
        <v>28</v>
      </c>
      <c r="B4" s="7">
        <v>16</v>
      </c>
    </row>
    <row r="5" spans="1:4" x14ac:dyDescent="0.25">
      <c r="A5" t="s">
        <v>95</v>
      </c>
      <c r="B5" s="2">
        <v>6.3</v>
      </c>
      <c r="D5" t="s">
        <v>99</v>
      </c>
    </row>
    <row r="8" spans="1:4" x14ac:dyDescent="0.25">
      <c r="A8" t="s">
        <v>64</v>
      </c>
      <c r="C8" t="s">
        <v>68</v>
      </c>
      <c r="D8">
        <f>SUM(D9:D11)</f>
        <v>1030</v>
      </c>
    </row>
    <row r="9" spans="1:4" x14ac:dyDescent="0.25">
      <c r="A9" t="s">
        <v>65</v>
      </c>
      <c r="B9">
        <v>5</v>
      </c>
      <c r="C9" t="s">
        <v>71</v>
      </c>
      <c r="D9">
        <f>B9*sources!C14</f>
        <v>10</v>
      </c>
    </row>
    <row r="10" spans="1:4" x14ac:dyDescent="0.25">
      <c r="A10" t="s">
        <v>66</v>
      </c>
      <c r="B10">
        <v>10</v>
      </c>
      <c r="C10" t="s">
        <v>72</v>
      </c>
      <c r="D10">
        <f>B10*sources!C15</f>
        <v>60</v>
      </c>
    </row>
    <row r="11" spans="1:4" x14ac:dyDescent="0.25">
      <c r="A11" t="s">
        <v>67</v>
      </c>
      <c r="B11">
        <v>20</v>
      </c>
      <c r="C11" t="s">
        <v>73</v>
      </c>
      <c r="D11">
        <f>B11*sources!C16</f>
        <v>960</v>
      </c>
    </row>
    <row r="13" spans="1:4" x14ac:dyDescent="0.25"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workbookViewId="0">
      <selection activeCell="D15" sqref="D15"/>
    </sheetView>
  </sheetViews>
  <sheetFormatPr baseColWidth="10" defaultRowHeight="15" x14ac:dyDescent="0.25"/>
  <sheetData>
    <row r="3" spans="1:12" x14ac:dyDescent="0.25">
      <c r="C3" t="s">
        <v>30</v>
      </c>
      <c r="D3" t="s">
        <v>32</v>
      </c>
      <c r="L3" t="s">
        <v>33</v>
      </c>
    </row>
    <row r="4" spans="1:12" x14ac:dyDescent="0.25">
      <c r="A4" t="s">
        <v>31</v>
      </c>
      <c r="C4">
        <v>3.7370000000000001</v>
      </c>
      <c r="D4" t="s">
        <v>35</v>
      </c>
      <c r="L4" s="8" t="s">
        <v>34</v>
      </c>
    </row>
    <row r="5" spans="1:12" x14ac:dyDescent="0.25">
      <c r="A5" t="s">
        <v>43</v>
      </c>
      <c r="C5">
        <v>1.73E-3</v>
      </c>
      <c r="D5" t="s">
        <v>45</v>
      </c>
    </row>
    <row r="6" spans="1:12" x14ac:dyDescent="0.25">
      <c r="A6" t="s">
        <v>44</v>
      </c>
      <c r="C6">
        <v>2.4799999999999999E-2</v>
      </c>
      <c r="D6" t="s">
        <v>45</v>
      </c>
    </row>
    <row r="7" spans="1:12" x14ac:dyDescent="0.25">
      <c r="A7" t="s">
        <v>49</v>
      </c>
      <c r="C7">
        <v>188.25</v>
      </c>
      <c r="D7" t="s">
        <v>35</v>
      </c>
      <c r="L7" s="8" t="s">
        <v>58</v>
      </c>
    </row>
    <row r="9" spans="1:12" x14ac:dyDescent="0.25">
      <c r="A9" t="s">
        <v>53</v>
      </c>
      <c r="C9">
        <v>2.29</v>
      </c>
      <c r="D9" t="s">
        <v>54</v>
      </c>
    </row>
    <row r="10" spans="1:12" x14ac:dyDescent="0.25">
      <c r="A10" t="s">
        <v>55</v>
      </c>
      <c r="C10">
        <v>160</v>
      </c>
      <c r="D10" t="s">
        <v>56</v>
      </c>
      <c r="L10" t="s">
        <v>57</v>
      </c>
    </row>
    <row r="12" spans="1:12" x14ac:dyDescent="0.25">
      <c r="A12" t="s">
        <v>59</v>
      </c>
      <c r="C12">
        <v>5.9900000000000002E-2</v>
      </c>
      <c r="D12" t="s">
        <v>60</v>
      </c>
    </row>
    <row r="14" spans="1:12" x14ac:dyDescent="0.25">
      <c r="A14" t="s">
        <v>65</v>
      </c>
      <c r="C14">
        <v>2</v>
      </c>
      <c r="D14" t="s">
        <v>69</v>
      </c>
      <c r="L14" t="s">
        <v>74</v>
      </c>
    </row>
    <row r="15" spans="1:12" x14ac:dyDescent="0.25">
      <c r="A15" t="s">
        <v>66</v>
      </c>
      <c r="C15">
        <v>6</v>
      </c>
      <c r="D15" s="14" t="s">
        <v>69</v>
      </c>
      <c r="L15" t="s">
        <v>75</v>
      </c>
    </row>
    <row r="16" spans="1:12" x14ac:dyDescent="0.25">
      <c r="A16" t="s">
        <v>67</v>
      </c>
      <c r="C16">
        <v>48</v>
      </c>
      <c r="D16" t="s">
        <v>70</v>
      </c>
    </row>
    <row r="18" spans="1:12" x14ac:dyDescent="0.25">
      <c r="A18" t="s">
        <v>77</v>
      </c>
      <c r="C18">
        <f>650*2*3/40</f>
        <v>97.5</v>
      </c>
      <c r="D18" t="s">
        <v>78</v>
      </c>
      <c r="L18" t="s">
        <v>79</v>
      </c>
    </row>
    <row r="19" spans="1:12" x14ac:dyDescent="0.25">
      <c r="A19" t="s">
        <v>94</v>
      </c>
      <c r="C19">
        <v>20</v>
      </c>
      <c r="D19" s="14" t="s">
        <v>92</v>
      </c>
      <c r="L19" t="s">
        <v>93</v>
      </c>
    </row>
    <row r="21" spans="1:12" x14ac:dyDescent="0.25">
      <c r="A21" t="s">
        <v>80</v>
      </c>
      <c r="C21">
        <f>379/24*C12/1000*2</f>
        <v>1.8918416666666665E-3</v>
      </c>
      <c r="D21" t="s">
        <v>81</v>
      </c>
      <c r="L21" t="s">
        <v>83</v>
      </c>
    </row>
    <row r="23" spans="1:12" x14ac:dyDescent="0.25">
      <c r="A23" t="s">
        <v>88</v>
      </c>
      <c r="C23">
        <v>7.0999999999999994E-2</v>
      </c>
      <c r="D23" t="s">
        <v>91</v>
      </c>
    </row>
    <row r="24" spans="1:12" x14ac:dyDescent="0.25">
      <c r="A24" t="s">
        <v>89</v>
      </c>
      <c r="C24">
        <v>0.41099999999999998</v>
      </c>
      <c r="D24" t="s">
        <v>91</v>
      </c>
    </row>
  </sheetData>
  <hyperlinks>
    <hyperlink ref="D1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 completer</vt:lpstr>
      <vt:lpstr>aide aux calculs</vt:lpstr>
      <vt:lpstr>sources</vt:lpstr>
    </vt:vector>
  </TitlesOfParts>
  <Company>ISAE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e.duriez</dc:creator>
  <cp:lastModifiedBy>e.duriez</cp:lastModifiedBy>
  <dcterms:created xsi:type="dcterms:W3CDTF">2021-03-31T07:42:50Z</dcterms:created>
  <dcterms:modified xsi:type="dcterms:W3CDTF">2021-06-24T10:54:28Z</dcterms:modified>
</cp:coreProperties>
</file>