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3"/>
  </bookViews>
  <sheets>
    <sheet name="14" sheetId="2" r:id="rId1"/>
    <sheet name="14L" sheetId="3" r:id="rId2"/>
    <sheet name="Normal" sheetId="4" r:id="rId3"/>
    <sheet name="Lucky" sheetId="5" r:id="rId4"/>
    <sheet name="Sheet1" sheetId="6" r:id="rId5"/>
  </sheets>
  <calcPr calcId="144525" concurrentCalc="0"/>
</workbook>
</file>

<file path=xl/sharedStrings.xml><?xml version="1.0" encoding="utf-8"?>
<sst xmlns="http://schemas.openxmlformats.org/spreadsheetml/2006/main" count="174">
  <si>
    <t>表格输入</t>
  </si>
  <si>
    <t>Id</t>
  </si>
  <si>
    <t>Symbols</t>
  </si>
  <si>
    <t>PayoutType</t>
  </si>
  <si>
    <t>Count</t>
  </si>
  <si>
    <t>Ratio</t>
  </si>
  <si>
    <t>OverallHit</t>
  </si>
  <si>
    <t>FreeSpinOverallHit</t>
  </si>
  <si>
    <t>FreeSpinHits</t>
  </si>
  <si>
    <t>LongLuckySubtractFactor</t>
  </si>
  <si>
    <t>IsFixed</t>
  </si>
  <si>
    <t>Reel1Wild（1）</t>
  </si>
  <si>
    <t>Reel1Wild（2）</t>
  </si>
  <si>
    <t>Reel1Wild（3）</t>
  </si>
  <si>
    <t>Reel1Wild（4）</t>
  </si>
  <si>
    <t>Reel2Wild2（1）</t>
  </si>
  <si>
    <t>Reel2Wild3（2）</t>
  </si>
  <si>
    <t>Reel2Wild5（3）</t>
  </si>
  <si>
    <t>Reel3Wild（1）</t>
  </si>
  <si>
    <t>Reel3Wild（2）</t>
  </si>
  <si>
    <t>Reel3Wild（3）</t>
  </si>
  <si>
    <t>Reel3Wild（4）</t>
  </si>
  <si>
    <t>Wild,Wildx5,Wild</t>
  </si>
  <si>
    <t>Ordered</t>
  </si>
  <si>
    <t>Wild,Wildx3,Wild</t>
  </si>
  <si>
    <t>Wild,Wildx2,Wild</t>
  </si>
  <si>
    <t>Cherry</t>
  </si>
  <si>
    <t>All</t>
  </si>
  <si>
    <t>High7</t>
  </si>
  <si>
    <t>7Bar</t>
  </si>
  <si>
    <t>TripleBar</t>
  </si>
  <si>
    <t>DoubleBar</t>
  </si>
  <si>
    <t>SingleBar</t>
  </si>
  <si>
    <t>High7,7Bar</t>
  </si>
  <si>
    <t>Any</t>
  </si>
  <si>
    <t>TripleBar,DoubleBar,SingleBar,7Bar</t>
  </si>
  <si>
    <t>计算结果</t>
  </si>
  <si>
    <t>概率</t>
  </si>
  <si>
    <t>RTP</t>
  </si>
  <si>
    <t>方差</t>
  </si>
  <si>
    <t>均方差</t>
  </si>
  <si>
    <t>变异系数</t>
  </si>
  <si>
    <t>合计</t>
  </si>
  <si>
    <t>计算过程（期望）</t>
  </si>
  <si>
    <t>Cherry影响</t>
  </si>
  <si>
    <t>wild系数</t>
  </si>
  <si>
    <t>CherryPayout</t>
  </si>
  <si>
    <t>Cherry（any2）</t>
  </si>
  <si>
    <t>Cherry（any1）</t>
  </si>
  <si>
    <t>单次合计</t>
  </si>
  <si>
    <t>平均次数</t>
  </si>
  <si>
    <t>中奖模式</t>
  </si>
  <si>
    <t>所属类别</t>
  </si>
  <si>
    <t>中奖倍率</t>
  </si>
  <si>
    <t>中奖方式</t>
  </si>
  <si>
    <t>基本概率</t>
  </si>
  <si>
    <t>修正概率</t>
  </si>
  <si>
    <t>总倍率</t>
  </si>
  <si>
    <t>修正总倍率</t>
  </si>
  <si>
    <t>总概率</t>
  </si>
  <si>
    <t>期望</t>
  </si>
  <si>
    <t>Ch，Ch,Ch</t>
  </si>
  <si>
    <t>W,Ch,Ch|Ch,Ch,W</t>
  </si>
  <si>
    <t>W,Ch,W</t>
  </si>
  <si>
    <t>W,W2,Ch|Ch,W2,W</t>
  </si>
  <si>
    <t>Ch,W2,Ch</t>
  </si>
  <si>
    <t>W,W3,Ch|Ch,W3,W</t>
  </si>
  <si>
    <t>Ch,W3,Ch</t>
  </si>
  <si>
    <t>W,W5,Ch|Ch,W5,W</t>
  </si>
  <si>
    <t>Ch,W5,Ch</t>
  </si>
  <si>
    <t>W，Wn，W</t>
  </si>
  <si>
    <t>Wild系数</t>
  </si>
  <si>
    <r>
      <rPr>
        <sz val="11"/>
        <color theme="1"/>
        <rFont val="宋体"/>
        <charset val="134"/>
      </rPr>
      <t>H7，H7,H7|W,H7,H7|H7,H7,W|</t>
    </r>
    <r>
      <rPr>
        <sz val="11"/>
        <color rgb="FFFF0000"/>
        <rFont val="宋体"/>
        <charset val="134"/>
      </rPr>
      <t>W,H7,W</t>
    </r>
  </si>
  <si>
    <r>
      <rPr>
        <sz val="11"/>
        <color theme="1"/>
        <rFont val="宋体"/>
        <charset val="134"/>
      </rPr>
      <t>H7,W2,H7</t>
    </r>
    <r>
      <rPr>
        <sz val="11"/>
        <color rgb="FFFF0000"/>
        <rFont val="宋体"/>
        <charset val="134"/>
      </rPr>
      <t>|W,W2,H7|H7,W2,W</t>
    </r>
  </si>
  <si>
    <r>
      <rPr>
        <sz val="11"/>
        <color theme="1"/>
        <rFont val="宋体"/>
        <charset val="134"/>
      </rPr>
      <t>H7,W3,H7</t>
    </r>
    <r>
      <rPr>
        <sz val="11"/>
        <color rgb="FFFF0000"/>
        <rFont val="宋体"/>
        <charset val="134"/>
      </rPr>
      <t>|W,W3,H7|H7,W3,W</t>
    </r>
  </si>
  <si>
    <r>
      <rPr>
        <sz val="11"/>
        <color theme="1"/>
        <rFont val="宋体"/>
        <charset val="134"/>
      </rPr>
      <t>H7,W5,H7</t>
    </r>
    <r>
      <rPr>
        <sz val="11"/>
        <color rgb="FFFF0000"/>
        <rFont val="宋体"/>
        <charset val="134"/>
      </rPr>
      <t>|W,W5,H7|H7,W5,W</t>
    </r>
  </si>
  <si>
    <t>7B，7B,7B|W,7B,7B|7B,7B,W|W,7B,W</t>
  </si>
  <si>
    <t>7B,W2,7B|W,W2,7B|7B,W2,W</t>
  </si>
  <si>
    <t>7B,W3,7B|W,W3,7B|7B,W3,W</t>
  </si>
  <si>
    <t>7B,W5,7B|W,W5,7B|7B,W5,W</t>
  </si>
  <si>
    <t>TB，TB,TB|W,TB,TB|TB,TB,W|W,TB,W</t>
  </si>
  <si>
    <t>TB,W2,TB|W,W2,TB|TB,W2,W</t>
  </si>
  <si>
    <t>TB,W3,TB|W,W3,TB|TB,W3,W</t>
  </si>
  <si>
    <t>TB,W5,TB|W,W5,TB|TB,W5,W</t>
  </si>
  <si>
    <t>DB，DB,DB|W,DB,DB|DB,DB,W|W,DB,W</t>
  </si>
  <si>
    <t>DB,W2,DB|W,W2,DB|DB,W2,W</t>
  </si>
  <si>
    <t>DB,W3,DB|W,W3,DB|DB,W3,W</t>
  </si>
  <si>
    <t>DB,W5,DB|W,W5,DB|DB,W5,W</t>
  </si>
  <si>
    <t>SB，SB,SB|W,SB,SB|SB,SB,W|W,SB,W</t>
  </si>
  <si>
    <t>SB,W2,SB|W,W2,SB|SB,W2,W</t>
  </si>
  <si>
    <t>SB,W3,SB|W,W3,SB|SB,W3,W</t>
  </si>
  <si>
    <t>SB,W5,SB|W,W5,SB|SB,W5,W</t>
  </si>
  <si>
    <t>N，N，N|W,N,N|N,N,W</t>
  </si>
  <si>
    <t>N,W2,N</t>
  </si>
  <si>
    <t>N,W3,N</t>
  </si>
  <si>
    <t>N,W5,N</t>
  </si>
  <si>
    <t>ANY3各种情况</t>
  </si>
  <si>
    <t>出现概率</t>
  </si>
  <si>
    <t>A,B,C</t>
  </si>
  <si>
    <t>N,N,N|W1,N.N|N,N,W1</t>
  </si>
  <si>
    <t>N,BW,N</t>
  </si>
  <si>
    <t>W3,N,N|N,N,W3</t>
  </si>
  <si>
    <t>W5,N,N|N,N,W5</t>
  </si>
  <si>
    <t>A,A,B</t>
  </si>
  <si>
    <t>N,N,N|W,N，N</t>
  </si>
  <si>
    <t>A,B,A</t>
  </si>
  <si>
    <t>N,N,N|W,N.N|N,N,W</t>
  </si>
  <si>
    <t>B,A,A</t>
  </si>
  <si>
    <t>N,N,N|N,N，W</t>
  </si>
  <si>
    <t>计算过程（方差）</t>
  </si>
  <si>
    <t>中奖总倍率</t>
  </si>
  <si>
    <t>中奖总概率</t>
  </si>
  <si>
    <t>未中奖</t>
  </si>
  <si>
    <t>Reel1Wild3（1）</t>
  </si>
  <si>
    <t>Reel1Wild2（2）</t>
  </si>
  <si>
    <t>Reel2Wild3（1）</t>
  </si>
  <si>
    <t>Reel2Wild2（2）</t>
  </si>
  <si>
    <t>Reel3Wild3（1）</t>
  </si>
  <si>
    <t>Reel3Wild2（2）</t>
  </si>
  <si>
    <t>Wildx3,Wildx3,Wildx3</t>
  </si>
  <si>
    <t>Wildx2,Wildx2,Wildx2</t>
  </si>
  <si>
    <t>Wildx3,Wildx2</t>
  </si>
  <si>
    <t>Low7</t>
  </si>
  <si>
    <t>High7,Low7,7Bar</t>
  </si>
  <si>
    <t>real Ratio</t>
  </si>
  <si>
    <t>W2,W2,W3|W2,W3,W2|W3,W2,W2</t>
  </si>
  <si>
    <t>W3,W3,W2|W3,W2,W3|W2,W3,W3</t>
  </si>
  <si>
    <t>H7,H7,H7</t>
  </si>
  <si>
    <t>W2,H7,H7|H7,W2,H7|H7,H7,W2</t>
  </si>
  <si>
    <t>W3,H7,H7|H7,W3,H7|H7,H7,W3</t>
  </si>
  <si>
    <t>W2,W2,H7|W2,H7,W2|H7,W2,W2</t>
  </si>
  <si>
    <t>W3,W2,H7|W2,W3,H7|W3,H7,W2|
W2,H7,W3|H7,W2,W3|H7,W3,W2</t>
  </si>
  <si>
    <t>W3,W3,H7|W3,H7,W3|H7,W3,W3</t>
  </si>
  <si>
    <t>Wn,Wn,Wn</t>
  </si>
  <si>
    <t>L7,L7,L7</t>
  </si>
  <si>
    <t>W2,L7,L7|L7,W2,L7|L7,L7,W2</t>
  </si>
  <si>
    <t>W3,L7,L7|L7,W3,L7|L7,L7,W3</t>
  </si>
  <si>
    <t>W2,W2,L7|W2,L7,W2|L7,W2,W2</t>
  </si>
  <si>
    <t>W3,W2,L7|W2,W3,L7|W3,L7,W2|
W2,L7,W3|L7,W2,W3|L7,W3,W2</t>
  </si>
  <si>
    <t>W3,W3,L7|W3,L7,W3|L7,W3,W3</t>
  </si>
  <si>
    <t>7B,7B,7B</t>
  </si>
  <si>
    <t>W2,7B,7B|7B,W2,7B|7B,7B,W2</t>
  </si>
  <si>
    <t>W3,7B,7B|7B,W3,7B|7B,7B,W3</t>
  </si>
  <si>
    <t>W2,W2,7B|W2,7B,W2|7B,W2,W2</t>
  </si>
  <si>
    <t>W3,W2,7B|W2,W3,7B|W3,7B,W2|
W2,7B,W3|7B,W2,W3|7B,W3,W2</t>
  </si>
  <si>
    <t>W3,W3,7B|W3,7B,W3|7B,W3,W3</t>
  </si>
  <si>
    <t>TB,TB,TB</t>
  </si>
  <si>
    <t>W2,TB,TB|TB,W2,TB|TB,TB,W2</t>
  </si>
  <si>
    <t>W3,TB,TB|TB,W3,TB|TB,TB,W3</t>
  </si>
  <si>
    <t>W2,W2,TB|W2,TB,W2|TB,W2,W2</t>
  </si>
  <si>
    <t>W3,W2,TB|W2,W3,TB|W3,TB,W2|
W2,TB,W3|TB,W2,W3|TB,W3,W2</t>
  </si>
  <si>
    <t>W3,W3,TB|W3,TB,W3|TB,W3,W3</t>
  </si>
  <si>
    <t>DB,DB,DB</t>
  </si>
  <si>
    <t>W2,DB,DB|DB,W2,DB|DB,DB,W2</t>
  </si>
  <si>
    <t>W3,DB,DB|DB,W3,DB|DB,DB,W3</t>
  </si>
  <si>
    <t>W2,W2,DB|W2,DB,W2|DB,W2,W2</t>
  </si>
  <si>
    <t>W3,W2,DB|W2,W3,DB|W3,DB,W2|
W2,DB,W3|DB,W2,W3|DB,W3,W2</t>
  </si>
  <si>
    <t>W3,W3,DB|W3,DB,W3|DB,W3,W3</t>
  </si>
  <si>
    <t>SB,SB,SB</t>
  </si>
  <si>
    <t>W2,SB,SB|SB,W2,SB|SB,SB,W2</t>
  </si>
  <si>
    <t>W3,SB,SB|SB,W3,SB|SB,SB,W3</t>
  </si>
  <si>
    <t>W2,W2,SB|W2,SB,W2|SB,W2,W2</t>
  </si>
  <si>
    <t>W3,W2,SB|W2,W3,SB|W3,SB,W2|
W2,SB,W3|SB,W2,W3|SB,W3,W2</t>
  </si>
  <si>
    <t>W3,W3,SB|W3,SB,W3|SB,W3,W3</t>
  </si>
  <si>
    <t>High7,Low7，7Bar</t>
  </si>
  <si>
    <t>N,N,N</t>
  </si>
  <si>
    <t>W2,N,N|N,W2,N|N,N,W2</t>
  </si>
  <si>
    <t>W3,N,N|N,W3,N|N,N,W3</t>
  </si>
  <si>
    <t>W2,N,N|N,W2,N</t>
  </si>
  <si>
    <t>W3,N,N|N,W3,N</t>
  </si>
  <si>
    <t>W2,N,N|N,N,W2</t>
  </si>
  <si>
    <t>N,W2,N|N,N,W2</t>
  </si>
  <si>
    <t>N,W3,N|N,N,W3</t>
  </si>
  <si>
    <t>实际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</si>
</sst>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0"/>
      <scheme val="minor"/>
    </font>
    <font>
      <sz val="12"/>
      <color rgb="FF000000"/>
      <name val="宋体"/>
      <charset val="0"/>
      <scheme val="minor"/>
    </font>
    <font>
      <sz val="12"/>
      <name val="宋体"/>
      <charset val="0"/>
      <scheme val="minor"/>
    </font>
    <font>
      <sz val="18"/>
      <color theme="1"/>
      <name val="宋体"/>
      <charset val="134"/>
      <scheme val="minor"/>
    </font>
    <font>
      <sz val="12"/>
      <color rgb="FFFF0000"/>
      <name val="宋体"/>
      <charset val="0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21" borderId="16" applyNumberFormat="0" applyAlignment="0" applyProtection="0">
      <alignment vertical="center"/>
    </xf>
    <xf numFmtId="0" fontId="20" fillId="21" borderId="10" applyNumberFormat="0" applyAlignment="0" applyProtection="0">
      <alignment vertical="center"/>
    </xf>
    <xf numFmtId="0" fontId="16" fillId="12" borderId="9" applyNumberFormat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</cellStyleXfs>
  <cellXfs count="6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49" applyFont="1" applyFill="1" applyBorder="1" applyAlignment="1">
      <alignment horizontal="left"/>
    </xf>
    <xf numFmtId="0" fontId="1" fillId="0" borderId="0" xfId="50" applyFont="1" applyFill="1" applyBorder="1" applyAlignment="1">
      <alignment horizontal="left"/>
    </xf>
    <xf numFmtId="0" fontId="3" fillId="0" borderId="0" xfId="50" applyFont="1" applyFill="1" applyBorder="1" applyAlignment="1">
      <alignment horizontal="left"/>
    </xf>
    <xf numFmtId="0" fontId="4" fillId="0" borderId="0" xfId="49" applyFont="1" applyFill="1" applyBorder="1" applyAlignment="1">
      <alignment horizontal="left"/>
    </xf>
    <xf numFmtId="0" fontId="4" fillId="0" borderId="0" xfId="50" applyFont="1" applyFill="1" applyBorder="1" applyAlignment="1">
      <alignment horizontal="left"/>
    </xf>
    <xf numFmtId="0" fontId="5" fillId="0" borderId="0" xfId="49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ill="1">
      <alignment vertical="center"/>
    </xf>
    <xf numFmtId="10" fontId="0" fillId="2" borderId="0" xfId="0" applyNumberFormat="1" applyFill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50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49" applyFont="1" applyFill="1" applyAlignment="1">
      <alignment horizontal="left"/>
    </xf>
    <xf numFmtId="0" fontId="4" fillId="2" borderId="0" xfId="49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ont="1" applyFill="1" applyAlignment="1">
      <alignment horizontal="left" vertical="center"/>
    </xf>
    <xf numFmtId="0" fontId="5" fillId="0" borderId="0" xfId="0" applyFont="1" applyFill="1" applyBorder="1" applyAlignment="1">
      <alignment horizontal="right"/>
    </xf>
    <xf numFmtId="0" fontId="1" fillId="0" borderId="0" xfId="49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1" fillId="2" borderId="0" xfId="49" applyFont="1" applyFill="1" applyAlignment="1">
      <alignment horizontal="left"/>
    </xf>
    <xf numFmtId="0" fontId="1" fillId="2" borderId="0" xfId="49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0" xfId="0" applyFont="1">
      <alignment vertical="center"/>
    </xf>
    <xf numFmtId="0" fontId="5" fillId="0" borderId="0" xfId="51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0" fillId="3" borderId="0" xfId="0" applyFill="1">
      <alignment vertical="center"/>
    </xf>
    <xf numFmtId="0" fontId="4" fillId="4" borderId="1" xfId="5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4" fillId="4" borderId="3" xfId="5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5" fillId="4" borderId="0" xfId="50" applyFont="1" applyFill="1" applyBorder="1" applyAlignment="1">
      <alignment horizontal="left"/>
    </xf>
    <xf numFmtId="0" fontId="4" fillId="4" borderId="0" xfId="5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6" fillId="4" borderId="5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6" xfId="0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0" fontId="3" fillId="0" borderId="0" xfId="49" applyFont="1" applyFill="1" applyBorder="1" applyAlignment="1">
      <alignment horizontal="left"/>
    </xf>
    <xf numFmtId="0" fontId="7" fillId="0" borderId="0" xfId="0" applyFont="1">
      <alignment vertical="center"/>
    </xf>
    <xf numFmtId="0" fontId="4" fillId="0" borderId="0" xfId="49" applyFont="1" applyAlignment="1">
      <alignment horizontal="left"/>
    </xf>
    <xf numFmtId="0" fontId="4" fillId="4" borderId="8" xfId="0" applyFont="1" applyFill="1" applyBorder="1" applyAlignment="1">
      <alignment horizontal="left"/>
    </xf>
    <xf numFmtId="0" fontId="8" fillId="0" borderId="0" xfId="50" applyFont="1" applyFill="1" applyBorder="1" applyAlignment="1">
      <alignment horizontal="left"/>
    </xf>
    <xf numFmtId="0" fontId="8" fillId="0" borderId="0" xfId="49" applyFont="1" applyFill="1" applyBorder="1" applyAlignment="1">
      <alignment horizontal="left"/>
    </xf>
    <xf numFmtId="0" fontId="0" fillId="5" borderId="0" xfId="0" applyFill="1">
      <alignment vertical="center"/>
    </xf>
    <xf numFmtId="0" fontId="9" fillId="5" borderId="0" xfId="49" applyFont="1" applyFill="1" applyBorder="1" applyAlignment="1">
      <alignment horizontal="left"/>
    </xf>
    <xf numFmtId="0" fontId="9" fillId="5" borderId="0" xfId="49" applyFont="1" applyFill="1" applyAlignment="1">
      <alignment horizontal="left"/>
    </xf>
    <xf numFmtId="0" fontId="10" fillId="5" borderId="0" xfId="0" applyFont="1" applyFill="1">
      <alignment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8" xfId="0" applyFill="1" applyBorder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7" xfId="50"/>
    <cellStyle name="常规 3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4"/>
  <sheetViews>
    <sheetView topLeftCell="A13" workbookViewId="0">
      <selection activeCell="J53" sqref="J53"/>
    </sheetView>
  </sheetViews>
  <sheetFormatPr defaultColWidth="9" defaultRowHeight="13.5"/>
  <cols>
    <col min="2" max="2" width="38.25" customWidth="1"/>
    <col min="3" max="3" width="20.375" customWidth="1"/>
    <col min="4" max="4" width="12.625" customWidth="1"/>
    <col min="5" max="5" width="12.625"/>
    <col min="6" max="6" width="36.75" customWidth="1"/>
    <col min="7" max="7" width="20.375" customWidth="1"/>
    <col min="8" max="8" width="13.75" customWidth="1"/>
    <col min="9" max="9" width="12.625"/>
    <col min="10" max="10" width="11.5" customWidth="1"/>
    <col min="11" max="14" width="16" customWidth="1"/>
    <col min="15" max="17" width="17.125" customWidth="1"/>
    <col min="18" max="21" width="16" customWidth="1"/>
  </cols>
  <sheetData>
    <row r="1" ht="25.5" spans="1:1">
      <c r="A1" s="6" t="s">
        <v>0</v>
      </c>
    </row>
    <row r="2" s="1" customFormat="1" ht="14.25" spans="1:2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1" t="s">
        <v>21</v>
      </c>
    </row>
    <row r="3" s="1" customFormat="1" ht="14.25" spans="1:21">
      <c r="A3" s="7">
        <v>1</v>
      </c>
      <c r="B3" s="7" t="s">
        <v>22</v>
      </c>
      <c r="C3" s="7" t="s">
        <v>23</v>
      </c>
      <c r="D3" s="7">
        <v>3</v>
      </c>
      <c r="E3" s="7">
        <v>500</v>
      </c>
      <c r="F3" s="7">
        <v>1e-5</v>
      </c>
      <c r="G3" s="8">
        <v>0</v>
      </c>
      <c r="H3" s="9">
        <v>1</v>
      </c>
      <c r="I3" s="7">
        <v>1</v>
      </c>
      <c r="J3" s="7" t="b">
        <v>1</v>
      </c>
      <c r="K3" s="7">
        <v>0.25</v>
      </c>
      <c r="L3" s="7">
        <v>0.25</v>
      </c>
      <c r="M3" s="7">
        <v>0.25</v>
      </c>
      <c r="N3" s="7">
        <v>0.25</v>
      </c>
      <c r="O3" s="7">
        <v>0</v>
      </c>
      <c r="P3" s="7">
        <v>0</v>
      </c>
      <c r="Q3" s="7">
        <v>1</v>
      </c>
      <c r="R3" s="7">
        <v>0.25</v>
      </c>
      <c r="S3" s="7">
        <v>0.25</v>
      </c>
      <c r="T3" s="7">
        <v>0.25</v>
      </c>
      <c r="U3" s="1">
        <v>0.25</v>
      </c>
    </row>
    <row r="4" s="1" customFormat="1" ht="14.25" spans="1:21">
      <c r="A4" s="7">
        <v>2</v>
      </c>
      <c r="B4" s="7" t="s">
        <v>24</v>
      </c>
      <c r="C4" s="7" t="s">
        <v>23</v>
      </c>
      <c r="D4" s="7">
        <v>3</v>
      </c>
      <c r="E4" s="7">
        <v>300</v>
      </c>
      <c r="F4" s="7">
        <v>2e-5</v>
      </c>
      <c r="G4" s="8">
        <v>0</v>
      </c>
      <c r="H4" s="9">
        <v>1</v>
      </c>
      <c r="I4" s="7">
        <v>1</v>
      </c>
      <c r="J4" s="7" t="b">
        <v>1</v>
      </c>
      <c r="K4" s="7">
        <v>0.25</v>
      </c>
      <c r="L4" s="7">
        <v>0.25</v>
      </c>
      <c r="M4" s="7">
        <v>0.25</v>
      </c>
      <c r="N4" s="7">
        <v>0.25</v>
      </c>
      <c r="O4" s="7">
        <v>0</v>
      </c>
      <c r="P4" s="7">
        <v>1</v>
      </c>
      <c r="Q4" s="7">
        <v>0</v>
      </c>
      <c r="R4" s="7">
        <v>0.25</v>
      </c>
      <c r="S4" s="7">
        <v>0.25</v>
      </c>
      <c r="T4" s="7">
        <v>0.25</v>
      </c>
      <c r="U4" s="1">
        <v>0.25</v>
      </c>
    </row>
    <row r="5" s="1" customFormat="1" ht="14.25" spans="1:21">
      <c r="A5" s="7">
        <v>3</v>
      </c>
      <c r="B5" s="7" t="s">
        <v>25</v>
      </c>
      <c r="C5" s="7" t="s">
        <v>23</v>
      </c>
      <c r="D5" s="7">
        <v>3</v>
      </c>
      <c r="E5" s="7">
        <v>200</v>
      </c>
      <c r="F5" s="7">
        <v>4e-5</v>
      </c>
      <c r="G5" s="8">
        <v>0</v>
      </c>
      <c r="H5" s="9">
        <v>1</v>
      </c>
      <c r="I5" s="7">
        <v>1</v>
      </c>
      <c r="J5" s="7" t="b">
        <v>1</v>
      </c>
      <c r="K5" s="7">
        <v>0.25</v>
      </c>
      <c r="L5" s="7">
        <v>0.25</v>
      </c>
      <c r="M5" s="7">
        <v>0.25</v>
      </c>
      <c r="N5" s="7">
        <v>0.25</v>
      </c>
      <c r="O5" s="7">
        <v>1</v>
      </c>
      <c r="P5" s="24">
        <v>0</v>
      </c>
      <c r="Q5" s="24">
        <v>0</v>
      </c>
      <c r="R5" s="7">
        <v>0.25</v>
      </c>
      <c r="S5" s="7">
        <v>0.25</v>
      </c>
      <c r="T5" s="7">
        <v>0.25</v>
      </c>
      <c r="U5" s="1">
        <v>0.25</v>
      </c>
    </row>
    <row r="6" s="1" customFormat="1" ht="14.25" spans="1:21">
      <c r="A6" s="7">
        <v>4</v>
      </c>
      <c r="B6" s="7" t="s">
        <v>26</v>
      </c>
      <c r="C6" s="7" t="s">
        <v>27</v>
      </c>
      <c r="D6" s="7">
        <v>3</v>
      </c>
      <c r="E6" s="7">
        <v>25</v>
      </c>
      <c r="F6" s="7">
        <v>0.001</v>
      </c>
      <c r="G6" s="8">
        <v>0</v>
      </c>
      <c r="H6" s="9">
        <v>1</v>
      </c>
      <c r="I6" s="7">
        <v>1</v>
      </c>
      <c r="J6" s="7" t="b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">
        <v>0</v>
      </c>
    </row>
    <row r="7" s="1" customFormat="1" ht="14.25" spans="1:21">
      <c r="A7" s="7">
        <v>5</v>
      </c>
      <c r="B7" s="7" t="s">
        <v>28</v>
      </c>
      <c r="C7" s="7" t="s">
        <v>27</v>
      </c>
      <c r="D7" s="7">
        <v>3</v>
      </c>
      <c r="E7" s="7">
        <v>20</v>
      </c>
      <c r="F7" s="7">
        <v>0.003</v>
      </c>
      <c r="G7" s="8">
        <v>0.02</v>
      </c>
      <c r="H7" s="9">
        <v>1</v>
      </c>
      <c r="I7" s="7">
        <v>1</v>
      </c>
      <c r="J7" s="7" t="b">
        <v>0</v>
      </c>
      <c r="K7" s="7">
        <v>0.025</v>
      </c>
      <c r="L7" s="7">
        <v>0.025</v>
      </c>
      <c r="M7" s="7">
        <v>0.025</v>
      </c>
      <c r="N7" s="7">
        <v>0.025</v>
      </c>
      <c r="O7" s="7">
        <v>0.1</v>
      </c>
      <c r="P7" s="7">
        <v>0.04</v>
      </c>
      <c r="Q7" s="7">
        <v>0.01</v>
      </c>
      <c r="R7" s="7">
        <v>0.025</v>
      </c>
      <c r="S7" s="7">
        <v>0.025</v>
      </c>
      <c r="T7" s="7">
        <v>0.025</v>
      </c>
      <c r="U7" s="1">
        <v>0.025</v>
      </c>
    </row>
    <row r="8" s="1" customFormat="1" ht="14.25" spans="1:21">
      <c r="A8" s="7">
        <v>6</v>
      </c>
      <c r="B8" s="7" t="s">
        <v>29</v>
      </c>
      <c r="C8" s="7" t="s">
        <v>27</v>
      </c>
      <c r="D8" s="7">
        <v>3</v>
      </c>
      <c r="E8" s="7">
        <v>7</v>
      </c>
      <c r="F8" s="7">
        <v>0.006</v>
      </c>
      <c r="G8" s="8">
        <v>0.04</v>
      </c>
      <c r="H8" s="9">
        <v>1</v>
      </c>
      <c r="I8" s="7">
        <v>1</v>
      </c>
      <c r="J8" s="7" t="b">
        <v>0</v>
      </c>
      <c r="K8" s="7">
        <v>0.025</v>
      </c>
      <c r="L8" s="7">
        <v>0.025</v>
      </c>
      <c r="M8" s="7">
        <v>0.025</v>
      </c>
      <c r="N8" s="7">
        <v>0.025</v>
      </c>
      <c r="O8" s="7">
        <v>0.1</v>
      </c>
      <c r="P8" s="7">
        <v>0.04</v>
      </c>
      <c r="Q8" s="7">
        <v>0.01</v>
      </c>
      <c r="R8" s="7">
        <v>0.025</v>
      </c>
      <c r="S8" s="7">
        <v>0.025</v>
      </c>
      <c r="T8" s="7">
        <v>0.025</v>
      </c>
      <c r="U8" s="1">
        <v>0.025</v>
      </c>
    </row>
    <row r="9" s="1" customFormat="1" ht="14.25" spans="1:21">
      <c r="A9" s="7">
        <v>7</v>
      </c>
      <c r="B9" s="7" t="s">
        <v>30</v>
      </c>
      <c r="C9" s="7" t="s">
        <v>27</v>
      </c>
      <c r="D9" s="7">
        <v>3</v>
      </c>
      <c r="E9" s="7">
        <v>5</v>
      </c>
      <c r="F9" s="7">
        <v>0.01</v>
      </c>
      <c r="G9" s="8">
        <v>0.07</v>
      </c>
      <c r="H9" s="9">
        <v>1</v>
      </c>
      <c r="I9" s="7">
        <v>1</v>
      </c>
      <c r="J9" s="7" t="b">
        <v>0</v>
      </c>
      <c r="K9" s="7">
        <v>0.025</v>
      </c>
      <c r="L9" s="7">
        <v>0.025</v>
      </c>
      <c r="M9" s="7">
        <v>0.025</v>
      </c>
      <c r="N9" s="7">
        <v>0.025</v>
      </c>
      <c r="O9" s="7">
        <v>0.1</v>
      </c>
      <c r="P9" s="7">
        <v>0.04</v>
      </c>
      <c r="Q9" s="7">
        <v>0.01</v>
      </c>
      <c r="R9" s="7">
        <v>0.025</v>
      </c>
      <c r="S9" s="7">
        <v>0.025</v>
      </c>
      <c r="T9" s="7">
        <v>0.025</v>
      </c>
      <c r="U9" s="1">
        <v>0.025</v>
      </c>
    </row>
    <row r="10" s="1" customFormat="1" ht="14.25" spans="1:21">
      <c r="A10" s="7">
        <v>8</v>
      </c>
      <c r="B10" s="7" t="s">
        <v>31</v>
      </c>
      <c r="C10" s="7" t="s">
        <v>27</v>
      </c>
      <c r="D10" s="7">
        <v>3</v>
      </c>
      <c r="E10" s="7">
        <v>4</v>
      </c>
      <c r="F10" s="7">
        <v>0.01</v>
      </c>
      <c r="G10" s="8">
        <v>0.07</v>
      </c>
      <c r="H10" s="9">
        <v>1</v>
      </c>
      <c r="I10" s="7">
        <v>1</v>
      </c>
      <c r="J10" s="7" t="b">
        <v>0</v>
      </c>
      <c r="K10" s="7">
        <v>0.025</v>
      </c>
      <c r="L10" s="7">
        <v>0.025</v>
      </c>
      <c r="M10" s="7">
        <v>0.025</v>
      </c>
      <c r="N10" s="7">
        <v>0.025</v>
      </c>
      <c r="O10" s="7">
        <v>0.1</v>
      </c>
      <c r="P10" s="7">
        <v>0.04</v>
      </c>
      <c r="Q10" s="7">
        <v>0.01</v>
      </c>
      <c r="R10" s="7">
        <v>0.025</v>
      </c>
      <c r="S10" s="7">
        <v>0.025</v>
      </c>
      <c r="T10" s="7">
        <v>0.025</v>
      </c>
      <c r="U10" s="1">
        <v>0.025</v>
      </c>
    </row>
    <row r="11" s="1" customFormat="1" ht="14.25" spans="1:21">
      <c r="A11" s="7">
        <v>9</v>
      </c>
      <c r="B11" s="7" t="s">
        <v>32</v>
      </c>
      <c r="C11" s="7" t="s">
        <v>27</v>
      </c>
      <c r="D11" s="7">
        <v>3</v>
      </c>
      <c r="E11" s="7">
        <v>3</v>
      </c>
      <c r="F11" s="7">
        <v>0.012</v>
      </c>
      <c r="G11" s="8">
        <v>0.1</v>
      </c>
      <c r="H11" s="9">
        <v>1</v>
      </c>
      <c r="I11" s="7">
        <v>1</v>
      </c>
      <c r="J11" s="7" t="b">
        <v>0</v>
      </c>
      <c r="K11" s="7">
        <v>0.025</v>
      </c>
      <c r="L11" s="7">
        <v>0.025</v>
      </c>
      <c r="M11" s="7">
        <v>0.025</v>
      </c>
      <c r="N11" s="7">
        <v>0.025</v>
      </c>
      <c r="O11" s="7">
        <v>0.1</v>
      </c>
      <c r="P11" s="7">
        <v>0.04</v>
      </c>
      <c r="Q11" s="7">
        <v>0.01</v>
      </c>
      <c r="R11" s="7">
        <v>0.025</v>
      </c>
      <c r="S11" s="7">
        <v>0.025</v>
      </c>
      <c r="T11" s="7">
        <v>0.025</v>
      </c>
      <c r="U11" s="1">
        <v>0.025</v>
      </c>
    </row>
    <row r="12" s="1" customFormat="1" ht="14.25" spans="1:21">
      <c r="A12" s="7">
        <v>10</v>
      </c>
      <c r="B12" s="7" t="s">
        <v>33</v>
      </c>
      <c r="C12" s="7" t="s">
        <v>34</v>
      </c>
      <c r="D12" s="7">
        <v>3</v>
      </c>
      <c r="E12" s="7">
        <v>2</v>
      </c>
      <c r="F12" s="7">
        <v>0.012</v>
      </c>
      <c r="G12" s="8">
        <v>0.1</v>
      </c>
      <c r="H12" s="9">
        <v>1</v>
      </c>
      <c r="I12" s="7">
        <v>1</v>
      </c>
      <c r="J12" s="7" t="b">
        <v>0</v>
      </c>
      <c r="K12" s="7">
        <v>0.025</v>
      </c>
      <c r="L12" s="7">
        <v>0.025</v>
      </c>
      <c r="M12" s="7">
        <v>0.025</v>
      </c>
      <c r="N12" s="7">
        <v>0.025</v>
      </c>
      <c r="O12" s="7">
        <v>0.1</v>
      </c>
      <c r="P12" s="7">
        <v>0.04</v>
      </c>
      <c r="Q12" s="7">
        <v>0.01</v>
      </c>
      <c r="R12" s="7">
        <v>0.025</v>
      </c>
      <c r="S12" s="7">
        <v>0.025</v>
      </c>
      <c r="T12" s="7">
        <v>0.025</v>
      </c>
      <c r="U12" s="1">
        <v>0.025</v>
      </c>
    </row>
    <row r="13" s="1" customFormat="1" ht="14.25" spans="1:21">
      <c r="A13" s="7">
        <v>11</v>
      </c>
      <c r="B13" s="7" t="s">
        <v>35</v>
      </c>
      <c r="C13" s="7" t="s">
        <v>34</v>
      </c>
      <c r="D13" s="49">
        <v>3</v>
      </c>
      <c r="E13" s="49">
        <v>1</v>
      </c>
      <c r="F13" s="7">
        <v>0.03</v>
      </c>
      <c r="G13" s="8">
        <v>0.1</v>
      </c>
      <c r="H13" s="9">
        <v>1</v>
      </c>
      <c r="I13" s="7">
        <v>1</v>
      </c>
      <c r="J13" s="7" t="b">
        <v>0</v>
      </c>
      <c r="K13" s="7">
        <v>0.025</v>
      </c>
      <c r="L13" s="7">
        <v>0.025</v>
      </c>
      <c r="M13" s="7">
        <v>0.025</v>
      </c>
      <c r="N13" s="7">
        <v>0.025</v>
      </c>
      <c r="O13" s="7">
        <v>0.1</v>
      </c>
      <c r="P13" s="7">
        <v>0.04</v>
      </c>
      <c r="Q13" s="7">
        <v>0.01</v>
      </c>
      <c r="R13" s="7">
        <v>0.025</v>
      </c>
      <c r="S13" s="7">
        <v>0.025</v>
      </c>
      <c r="T13" s="7">
        <v>0.025</v>
      </c>
      <c r="U13" s="1">
        <v>0.025</v>
      </c>
    </row>
    <row r="14" s="1" customFormat="1" ht="14.25" spans="1:21">
      <c r="A14" s="7">
        <v>12</v>
      </c>
      <c r="B14" s="7" t="s">
        <v>26</v>
      </c>
      <c r="C14" s="7" t="s">
        <v>34</v>
      </c>
      <c r="D14" s="49">
        <v>2</v>
      </c>
      <c r="E14" s="49">
        <v>1</v>
      </c>
      <c r="F14" s="7">
        <v>0.02</v>
      </c>
      <c r="G14" s="8">
        <v>0.2</v>
      </c>
      <c r="H14" s="9">
        <v>1</v>
      </c>
      <c r="I14" s="7">
        <v>1</v>
      </c>
      <c r="J14" s="7" t="b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1">
        <v>0</v>
      </c>
    </row>
    <row r="15" s="1" customFormat="1" ht="14.25" spans="1:21">
      <c r="A15" s="7">
        <v>13</v>
      </c>
      <c r="B15" s="7" t="s">
        <v>26</v>
      </c>
      <c r="C15" s="7" t="s">
        <v>34</v>
      </c>
      <c r="D15" s="7">
        <v>1</v>
      </c>
      <c r="E15" s="7">
        <v>1</v>
      </c>
      <c r="F15" s="7">
        <v>0.03</v>
      </c>
      <c r="G15" s="8">
        <v>0.3</v>
      </c>
      <c r="H15" s="9">
        <v>1</v>
      </c>
      <c r="I15" s="7">
        <v>1</v>
      </c>
      <c r="J15" s="7" t="b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1">
        <v>0</v>
      </c>
    </row>
    <row r="16" s="3" customFormat="1" ht="25.5" spans="1:21">
      <c r="A16" s="6" t="s">
        <v>36</v>
      </c>
      <c r="C16" s="13" t="s">
        <v>37</v>
      </c>
      <c r="D16" s="13" t="s">
        <v>38</v>
      </c>
      <c r="E16" s="13"/>
      <c r="F16" s="13"/>
      <c r="G16" s="13" t="s">
        <v>39</v>
      </c>
      <c r="H16" s="13" t="s">
        <v>40</v>
      </c>
      <c r="I16" s="3" t="s">
        <v>41</v>
      </c>
      <c r="S16" s="31"/>
      <c r="T16" s="31"/>
      <c r="U16" s="31"/>
    </row>
    <row r="17" ht="14.25" spans="1:20">
      <c r="A17" s="7">
        <v>1</v>
      </c>
      <c r="B17" s="7" t="s">
        <v>22</v>
      </c>
      <c r="C17">
        <f>F3</f>
        <v>1e-5</v>
      </c>
      <c r="D17" s="14">
        <f>L49</f>
        <v>0.005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4.25" spans="1:4">
      <c r="A18" s="7">
        <v>2</v>
      </c>
      <c r="B18" s="7" t="s">
        <v>24</v>
      </c>
      <c r="C18">
        <f t="shared" ref="C18:C29" si="0">F4</f>
        <v>2e-5</v>
      </c>
      <c r="D18" s="14">
        <f>L50</f>
        <v>0.006</v>
      </c>
    </row>
    <row r="19" ht="14.25" spans="1:4">
      <c r="A19" s="7">
        <v>3</v>
      </c>
      <c r="B19" s="7" t="s">
        <v>25</v>
      </c>
      <c r="C19">
        <f t="shared" si="0"/>
        <v>4e-5</v>
      </c>
      <c r="D19" s="14">
        <f>L51</f>
        <v>0.008</v>
      </c>
    </row>
    <row r="20" ht="14.25" spans="1:4">
      <c r="A20" s="7">
        <v>4</v>
      </c>
      <c r="B20" s="7" t="s">
        <v>26</v>
      </c>
      <c r="C20">
        <f t="shared" si="0"/>
        <v>0.001</v>
      </c>
      <c r="D20">
        <f>L53</f>
        <v>0.037547057875</v>
      </c>
    </row>
    <row r="21" ht="14.25" spans="1:4">
      <c r="A21" s="7">
        <v>5</v>
      </c>
      <c r="B21" s="7" t="s">
        <v>28</v>
      </c>
      <c r="C21">
        <f t="shared" si="0"/>
        <v>0.003</v>
      </c>
      <c r="D21">
        <f>L71</f>
        <v>0.073156</v>
      </c>
    </row>
    <row r="22" ht="14.25" spans="1:4">
      <c r="A22" s="7">
        <v>6</v>
      </c>
      <c r="B22" s="7" t="s">
        <v>29</v>
      </c>
      <c r="C22">
        <f t="shared" si="0"/>
        <v>0.006</v>
      </c>
      <c r="D22">
        <f>L78</f>
        <v>0.0512092</v>
      </c>
    </row>
    <row r="23" ht="14.25" spans="1:4">
      <c r="A23" s="7">
        <v>7</v>
      </c>
      <c r="B23" s="7" t="s">
        <v>30</v>
      </c>
      <c r="C23">
        <f t="shared" si="0"/>
        <v>0.01</v>
      </c>
      <c r="D23">
        <f>L85</f>
        <v>0.0609633333333333</v>
      </c>
    </row>
    <row r="24" ht="14.25" spans="1:4">
      <c r="A24" s="7">
        <v>8</v>
      </c>
      <c r="B24" s="7" t="s">
        <v>31</v>
      </c>
      <c r="C24">
        <f t="shared" si="0"/>
        <v>0.01</v>
      </c>
      <c r="D24">
        <f>L92</f>
        <v>0.0487706666666667</v>
      </c>
    </row>
    <row r="25" ht="14.25" spans="1:4">
      <c r="A25" s="7">
        <v>9</v>
      </c>
      <c r="B25" s="7" t="s">
        <v>32</v>
      </c>
      <c r="C25">
        <f t="shared" si="0"/>
        <v>0.012</v>
      </c>
      <c r="D25">
        <f>L99</f>
        <v>0.0438936</v>
      </c>
    </row>
    <row r="26" ht="14.25" spans="1:4">
      <c r="A26" s="7">
        <v>10</v>
      </c>
      <c r="B26" s="7" t="s">
        <v>33</v>
      </c>
      <c r="C26">
        <f t="shared" si="0"/>
        <v>0.012</v>
      </c>
      <c r="D26">
        <f>L105</f>
        <v>0.0259152</v>
      </c>
    </row>
    <row r="27" ht="14.25" spans="1:4">
      <c r="A27" s="7">
        <v>11</v>
      </c>
      <c r="B27" s="7" t="s">
        <v>35</v>
      </c>
      <c r="C27">
        <f t="shared" si="0"/>
        <v>0.03</v>
      </c>
      <c r="D27">
        <f>L132</f>
        <v>0.032776725</v>
      </c>
    </row>
    <row r="28" ht="14.25" spans="1:4">
      <c r="A28" s="7">
        <v>12</v>
      </c>
      <c r="B28" s="7" t="s">
        <v>26</v>
      </c>
      <c r="C28">
        <f t="shared" si="0"/>
        <v>0.02</v>
      </c>
      <c r="D28">
        <f>L155</f>
        <v>0.215176455833334</v>
      </c>
    </row>
    <row r="29" ht="14.25" spans="1:4">
      <c r="A29" s="7">
        <v>13</v>
      </c>
      <c r="B29" s="7" t="s">
        <v>26</v>
      </c>
      <c r="C29">
        <f t="shared" si="0"/>
        <v>0.03</v>
      </c>
      <c r="D29">
        <f>L156</f>
        <v>0.23911763125</v>
      </c>
    </row>
    <row r="30" s="4" customFormat="1" spans="2:9">
      <c r="B30" s="4" t="s">
        <v>42</v>
      </c>
      <c r="C30" s="15">
        <f>SUM(C17:C29)</f>
        <v>0.13407</v>
      </c>
      <c r="D30" s="15">
        <f>SUM(D17:D29)</f>
        <v>0.847525869958334</v>
      </c>
      <c r="G30" s="4">
        <f>E194</f>
        <v>14.6501645062234</v>
      </c>
      <c r="H30" s="4">
        <f>SQRT(G30)</f>
        <v>3.82755333159754</v>
      </c>
      <c r="I30" s="4">
        <f>H30/D30</f>
        <v>4.51614926136202</v>
      </c>
    </row>
    <row r="31" s="3" customFormat="1" ht="25.5" spans="1:1">
      <c r="A31" s="16" t="s">
        <v>43</v>
      </c>
    </row>
    <row r="32" s="3" customFormat="1" ht="14.25" spans="1:20">
      <c r="A32" s="7" t="s">
        <v>1</v>
      </c>
      <c r="B32" s="7" t="s">
        <v>44</v>
      </c>
      <c r="C32" s="8" t="s">
        <v>7</v>
      </c>
      <c r="D32" s="17" t="s">
        <v>5</v>
      </c>
      <c r="E32" s="18" t="s">
        <v>45</v>
      </c>
      <c r="F32" s="18" t="s">
        <v>46</v>
      </c>
      <c r="G32" s="18"/>
      <c r="H32" s="18"/>
      <c r="I32" s="18"/>
      <c r="J32" s="18"/>
      <c r="K32" s="18"/>
      <c r="L32" s="18"/>
      <c r="M32" s="18"/>
      <c r="N32" s="18"/>
      <c r="P32" s="18"/>
      <c r="Q32" s="18"/>
      <c r="R32" s="18"/>
      <c r="S32" s="18"/>
      <c r="T32" s="18"/>
    </row>
    <row r="33" s="3" customFormat="1" ht="14.25" spans="1:20">
      <c r="A33" s="7">
        <v>1</v>
      </c>
      <c r="B33" s="7" t="s">
        <v>22</v>
      </c>
      <c r="C33" s="8">
        <f>G3</f>
        <v>0</v>
      </c>
      <c r="D33" s="19">
        <f>E3</f>
        <v>500</v>
      </c>
      <c r="E33" s="18">
        <v>1</v>
      </c>
      <c r="F33" s="18">
        <f>C33*D33*E33</f>
        <v>0</v>
      </c>
      <c r="G33" s="18"/>
      <c r="H33" s="18"/>
      <c r="I33" s="18"/>
      <c r="J33" s="18"/>
      <c r="K33" s="18"/>
      <c r="L33" s="18"/>
      <c r="M33" s="18"/>
      <c r="N33" s="18"/>
      <c r="P33" s="18"/>
      <c r="Q33" s="18"/>
      <c r="R33" s="18"/>
      <c r="S33" s="18"/>
      <c r="T33" s="18"/>
    </row>
    <row r="34" s="3" customFormat="1" ht="14.25" spans="1:20">
      <c r="A34" s="7">
        <v>2</v>
      </c>
      <c r="B34" s="7" t="s">
        <v>24</v>
      </c>
      <c r="C34" s="8">
        <f t="shared" ref="C34:C45" si="1">G4</f>
        <v>0</v>
      </c>
      <c r="D34" s="19">
        <f t="shared" ref="D34:D45" si="2">E4</f>
        <v>300</v>
      </c>
      <c r="E34" s="18">
        <v>1</v>
      </c>
      <c r="F34" s="18">
        <f t="shared" ref="F34:F45" si="3">C34*D34*E34</f>
        <v>0</v>
      </c>
      <c r="G34" s="18"/>
      <c r="H34" s="18"/>
      <c r="I34" s="18"/>
      <c r="J34" s="18"/>
      <c r="K34" s="18"/>
      <c r="L34" s="18"/>
      <c r="M34" s="18"/>
      <c r="N34" s="18"/>
      <c r="P34" s="18"/>
      <c r="Q34" s="18"/>
      <c r="R34" s="18"/>
      <c r="S34" s="18"/>
      <c r="T34" s="18"/>
    </row>
    <row r="35" s="3" customFormat="1" ht="14.25" spans="1:20">
      <c r="A35" s="7">
        <v>3</v>
      </c>
      <c r="B35" s="7" t="s">
        <v>25</v>
      </c>
      <c r="C35" s="8">
        <f t="shared" si="1"/>
        <v>0</v>
      </c>
      <c r="D35" s="19">
        <f t="shared" si="2"/>
        <v>200</v>
      </c>
      <c r="E35" s="18">
        <v>1</v>
      </c>
      <c r="F35" s="18">
        <f t="shared" si="3"/>
        <v>0</v>
      </c>
      <c r="G35" s="18"/>
      <c r="H35" s="18"/>
      <c r="I35" s="18"/>
      <c r="J35" s="18"/>
      <c r="K35" s="18"/>
      <c r="L35" s="18"/>
      <c r="M35" s="18"/>
      <c r="N35" s="18"/>
      <c r="P35" s="18"/>
      <c r="Q35" s="18"/>
      <c r="R35" s="18"/>
      <c r="S35" s="18"/>
      <c r="T35" s="18"/>
    </row>
    <row r="36" s="3" customFormat="1" ht="14.25" spans="1:20">
      <c r="A36" s="7">
        <v>4</v>
      </c>
      <c r="B36" s="7" t="s">
        <v>26</v>
      </c>
      <c r="C36" s="8">
        <f t="shared" si="1"/>
        <v>0</v>
      </c>
      <c r="D36" s="19">
        <f t="shared" si="2"/>
        <v>25</v>
      </c>
      <c r="E36" s="18">
        <v>1</v>
      </c>
      <c r="F36" s="18">
        <f t="shared" si="3"/>
        <v>0</v>
      </c>
      <c r="G36" s="18"/>
      <c r="H36" s="18"/>
      <c r="I36" s="18"/>
      <c r="J36" s="18"/>
      <c r="K36" s="18"/>
      <c r="L36" s="18"/>
      <c r="M36" s="18"/>
      <c r="N36" s="18"/>
      <c r="P36" s="18"/>
      <c r="Q36" s="18"/>
      <c r="R36" s="18"/>
      <c r="S36" s="18"/>
      <c r="T36" s="18"/>
    </row>
    <row r="37" s="3" customFormat="1" ht="14.25" spans="1:20">
      <c r="A37" s="7">
        <v>5</v>
      </c>
      <c r="B37" s="7" t="s">
        <v>28</v>
      </c>
      <c r="C37" s="8">
        <f t="shared" si="1"/>
        <v>0.02</v>
      </c>
      <c r="D37" s="19">
        <f t="shared" si="2"/>
        <v>20</v>
      </c>
      <c r="E37" s="18">
        <f>M71</f>
        <v>1.21926666666667</v>
      </c>
      <c r="F37" s="18">
        <f t="shared" si="3"/>
        <v>0.487706666666668</v>
      </c>
      <c r="G37" s="18"/>
      <c r="H37" s="18"/>
      <c r="I37" s="18"/>
      <c r="J37" s="18"/>
      <c r="K37" s="18"/>
      <c r="L37" s="18"/>
      <c r="M37" s="18"/>
      <c r="N37" s="18"/>
      <c r="P37" s="18"/>
      <c r="Q37" s="18"/>
      <c r="R37" s="18"/>
      <c r="S37" s="18"/>
      <c r="T37" s="18"/>
    </row>
    <row r="38" s="3" customFormat="1" ht="14.25" spans="1:20">
      <c r="A38" s="7">
        <v>6</v>
      </c>
      <c r="B38" s="7" t="s">
        <v>29</v>
      </c>
      <c r="C38" s="8">
        <f t="shared" si="1"/>
        <v>0.04</v>
      </c>
      <c r="D38" s="19">
        <f t="shared" si="2"/>
        <v>7</v>
      </c>
      <c r="E38" s="18">
        <f>M78</f>
        <v>1.21926666666667</v>
      </c>
      <c r="F38" s="18">
        <f t="shared" si="3"/>
        <v>0.341394666666668</v>
      </c>
      <c r="G38" s="18"/>
      <c r="H38" s="18"/>
      <c r="I38" s="18"/>
      <c r="J38" s="18"/>
      <c r="K38" s="18"/>
      <c r="L38" s="18"/>
      <c r="M38" s="18"/>
      <c r="N38" s="18"/>
      <c r="P38" s="18"/>
      <c r="Q38" s="18"/>
      <c r="R38" s="18"/>
      <c r="S38" s="18"/>
      <c r="T38" s="18"/>
    </row>
    <row r="39" s="3" customFormat="1" ht="14.25" spans="1:20">
      <c r="A39" s="7">
        <v>7</v>
      </c>
      <c r="B39" s="7" t="s">
        <v>30</v>
      </c>
      <c r="C39" s="8">
        <f t="shared" si="1"/>
        <v>0.07</v>
      </c>
      <c r="D39" s="19">
        <f t="shared" si="2"/>
        <v>5</v>
      </c>
      <c r="E39" s="18">
        <f>M85</f>
        <v>1.21926666666667</v>
      </c>
      <c r="F39" s="18">
        <f t="shared" si="3"/>
        <v>0.426743333333335</v>
      </c>
      <c r="G39" s="18"/>
      <c r="H39" s="18"/>
      <c r="I39" s="18"/>
      <c r="J39" s="18"/>
      <c r="K39" s="18"/>
      <c r="L39" s="18"/>
      <c r="M39" s="18"/>
      <c r="N39" s="18"/>
      <c r="P39" s="18"/>
      <c r="Q39" s="18"/>
      <c r="R39" s="18"/>
      <c r="S39" s="18"/>
      <c r="T39" s="18"/>
    </row>
    <row r="40" s="3" customFormat="1" ht="14.25" spans="1:20">
      <c r="A40" s="7">
        <v>8</v>
      </c>
      <c r="B40" s="7" t="s">
        <v>31</v>
      </c>
      <c r="C40" s="8">
        <f t="shared" si="1"/>
        <v>0.07</v>
      </c>
      <c r="D40" s="19">
        <f t="shared" si="2"/>
        <v>4</v>
      </c>
      <c r="E40" s="18">
        <f>M92</f>
        <v>1.21926666666667</v>
      </c>
      <c r="F40" s="18">
        <f t="shared" si="3"/>
        <v>0.341394666666668</v>
      </c>
      <c r="G40" s="18"/>
      <c r="H40" s="18"/>
      <c r="I40" s="18"/>
      <c r="J40" s="18"/>
      <c r="K40" s="18"/>
      <c r="L40" s="18"/>
      <c r="M40" s="18"/>
      <c r="N40" s="18"/>
      <c r="P40" s="18"/>
      <c r="Q40" s="18"/>
      <c r="R40" s="18"/>
      <c r="S40" s="18"/>
      <c r="T40" s="18"/>
    </row>
    <row r="41" s="3" customFormat="1" ht="14.25" spans="1:20">
      <c r="A41" s="7">
        <v>9</v>
      </c>
      <c r="B41" s="7" t="s">
        <v>32</v>
      </c>
      <c r="C41" s="8">
        <f t="shared" si="1"/>
        <v>0.1</v>
      </c>
      <c r="D41" s="19">
        <f t="shared" si="2"/>
        <v>3</v>
      </c>
      <c r="E41" s="18">
        <f>M99</f>
        <v>1.21926666666667</v>
      </c>
      <c r="F41" s="18">
        <f t="shared" si="3"/>
        <v>0.365780000000001</v>
      </c>
      <c r="G41" s="18"/>
      <c r="H41" s="18"/>
      <c r="I41" s="18"/>
      <c r="J41" s="18"/>
      <c r="K41" s="18"/>
      <c r="L41" s="18"/>
      <c r="M41" s="18"/>
      <c r="N41" s="18"/>
      <c r="P41" s="18"/>
      <c r="Q41" s="18"/>
      <c r="R41" s="18"/>
      <c r="S41" s="18"/>
      <c r="T41" s="18"/>
    </row>
    <row r="42" s="3" customFormat="1" ht="14.25" spans="1:20">
      <c r="A42" s="7">
        <v>10</v>
      </c>
      <c r="B42" s="7" t="s">
        <v>33</v>
      </c>
      <c r="C42" s="8">
        <f t="shared" si="1"/>
        <v>0.1</v>
      </c>
      <c r="D42" s="19">
        <f t="shared" si="2"/>
        <v>2</v>
      </c>
      <c r="E42" s="18">
        <f>M105</f>
        <v>1.0798</v>
      </c>
      <c r="F42" s="18">
        <f t="shared" si="3"/>
        <v>0.21596</v>
      </c>
      <c r="G42" s="18"/>
      <c r="H42" s="18"/>
      <c r="I42" s="18"/>
      <c r="J42" s="18"/>
      <c r="K42" s="18"/>
      <c r="L42" s="18"/>
      <c r="M42" s="18"/>
      <c r="N42" s="18"/>
      <c r="P42" s="18"/>
      <c r="Q42" s="18"/>
      <c r="R42" s="18"/>
      <c r="S42" s="18"/>
      <c r="T42" s="18"/>
    </row>
    <row r="43" s="3" customFormat="1" ht="14.25" spans="1:20">
      <c r="A43" s="7">
        <v>11</v>
      </c>
      <c r="B43" s="7" t="s">
        <v>35</v>
      </c>
      <c r="C43" s="8">
        <f t="shared" si="1"/>
        <v>0.1</v>
      </c>
      <c r="D43" s="19">
        <f t="shared" si="2"/>
        <v>1</v>
      </c>
      <c r="E43" s="18">
        <f>M132</f>
        <v>1.0925575</v>
      </c>
      <c r="F43" s="18">
        <f t="shared" si="3"/>
        <v>0.10925575</v>
      </c>
      <c r="G43" s="18"/>
      <c r="H43" s="18"/>
      <c r="I43" s="18"/>
      <c r="J43" s="18"/>
      <c r="K43" s="18"/>
      <c r="L43" s="18"/>
      <c r="M43" s="18"/>
      <c r="N43" s="18"/>
      <c r="P43" s="18"/>
      <c r="Q43" s="18"/>
      <c r="R43" s="18"/>
      <c r="S43" s="18"/>
      <c r="T43" s="18"/>
    </row>
    <row r="44" s="3" customFormat="1" ht="14.25" spans="1:20">
      <c r="A44" s="7">
        <v>12</v>
      </c>
      <c r="B44" s="7" t="s">
        <v>47</v>
      </c>
      <c r="C44" s="8">
        <f t="shared" si="1"/>
        <v>0.2</v>
      </c>
      <c r="D44" s="19">
        <f t="shared" si="2"/>
        <v>1</v>
      </c>
      <c r="E44" s="18">
        <f>M155</f>
        <v>1</v>
      </c>
      <c r="F44" s="18">
        <f t="shared" si="3"/>
        <v>0.2</v>
      </c>
      <c r="G44" s="18"/>
      <c r="H44" s="18"/>
      <c r="I44" s="18"/>
      <c r="J44" s="18"/>
      <c r="K44" s="18"/>
      <c r="L44" s="18"/>
      <c r="M44" s="18"/>
      <c r="N44" s="18"/>
      <c r="P44" s="18"/>
      <c r="Q44" s="18"/>
      <c r="R44" s="18"/>
      <c r="S44" s="18"/>
      <c r="T44" s="18"/>
    </row>
    <row r="45" s="3" customFormat="1" ht="14.25" spans="1:20">
      <c r="A45" s="7">
        <v>13</v>
      </c>
      <c r="B45" s="7" t="s">
        <v>48</v>
      </c>
      <c r="C45" s="8">
        <f t="shared" si="1"/>
        <v>0.3</v>
      </c>
      <c r="D45" s="19">
        <f t="shared" si="2"/>
        <v>1</v>
      </c>
      <c r="E45" s="18">
        <f>M156</f>
        <v>1</v>
      </c>
      <c r="F45" s="18">
        <f t="shared" si="3"/>
        <v>0.3</v>
      </c>
      <c r="G45" s="18"/>
      <c r="H45" s="18"/>
      <c r="I45" s="18"/>
      <c r="J45" s="18"/>
      <c r="K45" s="18"/>
      <c r="L45" s="18"/>
      <c r="M45" s="18"/>
      <c r="N45" s="18"/>
      <c r="P45" s="18"/>
      <c r="Q45" s="18"/>
      <c r="R45" s="18"/>
      <c r="S45" s="18"/>
      <c r="T45" s="18"/>
    </row>
    <row r="46" s="5" customFormat="1" ht="14.25" spans="2:20">
      <c r="B46" s="5" t="s">
        <v>49</v>
      </c>
      <c r="C46" s="5">
        <f>SUM(C33:C45)</f>
        <v>1</v>
      </c>
      <c r="D46" s="20"/>
      <c r="E46" s="21"/>
      <c r="F46" s="22">
        <f>SUM(F33:F45)</f>
        <v>2.78823508333334</v>
      </c>
      <c r="G46" s="21"/>
      <c r="H46" s="21"/>
      <c r="I46" s="21"/>
      <c r="J46" s="21"/>
      <c r="K46" s="21"/>
      <c r="L46" s="21"/>
      <c r="M46" s="21"/>
      <c r="N46" s="21"/>
      <c r="P46" s="21"/>
      <c r="Q46" s="21"/>
      <c r="R46" s="21"/>
      <c r="S46" s="21"/>
      <c r="T46" s="21"/>
    </row>
    <row r="47" s="5" customFormat="1" ht="14.25" spans="2:20">
      <c r="B47" s="5" t="s">
        <v>50</v>
      </c>
      <c r="D47" s="20"/>
      <c r="E47" s="21"/>
      <c r="F47" s="21">
        <f>1+(C36+C44+C45)/(1-(C36+C44+C45))</f>
        <v>2</v>
      </c>
      <c r="G47" s="21"/>
      <c r="H47" s="21"/>
      <c r="I47" s="21"/>
      <c r="J47" s="21"/>
      <c r="K47" s="21"/>
      <c r="L47" s="21"/>
      <c r="M47" s="21"/>
      <c r="N47" s="21"/>
      <c r="P47" s="21"/>
      <c r="Q47" s="21"/>
      <c r="R47" s="21"/>
      <c r="S47" s="21"/>
      <c r="T47" s="21"/>
    </row>
    <row r="48" s="3" customFormat="1" ht="14.25" spans="2:20">
      <c r="B48" s="3" t="s">
        <v>51</v>
      </c>
      <c r="C48" s="3" t="s">
        <v>52</v>
      </c>
      <c r="D48" s="10" t="s">
        <v>4</v>
      </c>
      <c r="E48" s="13" t="s">
        <v>53</v>
      </c>
      <c r="F48" s="13" t="s">
        <v>54</v>
      </c>
      <c r="G48" s="13" t="s">
        <v>55</v>
      </c>
      <c r="H48" s="13" t="s">
        <v>56</v>
      </c>
      <c r="I48" s="13" t="s">
        <v>57</v>
      </c>
      <c r="J48" s="13" t="s">
        <v>58</v>
      </c>
      <c r="K48" s="13" t="s">
        <v>59</v>
      </c>
      <c r="L48" s="13" t="s">
        <v>60</v>
      </c>
      <c r="M48" s="13"/>
      <c r="N48" s="13"/>
      <c r="P48" s="13"/>
      <c r="Q48" s="13"/>
      <c r="R48" s="13"/>
      <c r="S48" s="13"/>
      <c r="T48" s="18"/>
    </row>
    <row r="49" ht="14.25" spans="2:12">
      <c r="B49" s="7" t="s">
        <v>22</v>
      </c>
      <c r="C49" s="7" t="s">
        <v>23</v>
      </c>
      <c r="D49" s="7">
        <v>3</v>
      </c>
      <c r="E49" s="7">
        <v>1</v>
      </c>
      <c r="G49">
        <v>1</v>
      </c>
      <c r="H49">
        <v>1</v>
      </c>
      <c r="I49">
        <f>$E$3*E49</f>
        <v>500</v>
      </c>
      <c r="J49">
        <f>I49</f>
        <v>500</v>
      </c>
      <c r="K49">
        <f>F3*H49</f>
        <v>1e-5</v>
      </c>
      <c r="L49">
        <f>J49*K49</f>
        <v>0.005</v>
      </c>
    </row>
    <row r="50" ht="14.25" spans="2:12">
      <c r="B50" s="7" t="s">
        <v>24</v>
      </c>
      <c r="C50" s="7" t="s">
        <v>23</v>
      </c>
      <c r="D50" s="7">
        <v>3</v>
      </c>
      <c r="E50" s="7">
        <v>1</v>
      </c>
      <c r="G50">
        <v>1</v>
      </c>
      <c r="H50">
        <v>1</v>
      </c>
      <c r="I50">
        <f>$E$4*E50</f>
        <v>300</v>
      </c>
      <c r="J50">
        <f>I50</f>
        <v>300</v>
      </c>
      <c r="K50">
        <f>F4*H50</f>
        <v>2e-5</v>
      </c>
      <c r="L50">
        <f>J50*K50</f>
        <v>0.006</v>
      </c>
    </row>
    <row r="51" ht="14.25" spans="2:12">
      <c r="B51" s="7" t="s">
        <v>25</v>
      </c>
      <c r="C51" s="7" t="s">
        <v>23</v>
      </c>
      <c r="D51" s="7">
        <v>3</v>
      </c>
      <c r="E51" s="7">
        <v>1</v>
      </c>
      <c r="G51">
        <v>1</v>
      </c>
      <c r="H51">
        <v>1</v>
      </c>
      <c r="I51">
        <f>$E$5*E51</f>
        <v>200</v>
      </c>
      <c r="J51">
        <f>I51</f>
        <v>200</v>
      </c>
      <c r="K51">
        <f>F5*H51</f>
        <v>4e-5</v>
      </c>
      <c r="L51">
        <f>J51*K51</f>
        <v>0.008</v>
      </c>
    </row>
    <row r="52" ht="14.25" spans="2:17">
      <c r="B52" s="3" t="s">
        <v>51</v>
      </c>
      <c r="C52" s="3" t="s">
        <v>52</v>
      </c>
      <c r="D52" s="10" t="s">
        <v>4</v>
      </c>
      <c r="E52" s="13" t="s">
        <v>53</v>
      </c>
      <c r="F52" s="13" t="s">
        <v>54</v>
      </c>
      <c r="G52" s="13" t="s">
        <v>55</v>
      </c>
      <c r="H52" s="13" t="s">
        <v>56</v>
      </c>
      <c r="I52" s="13" t="s">
        <v>57</v>
      </c>
      <c r="J52" s="13" t="s">
        <v>58</v>
      </c>
      <c r="K52" s="13" t="s">
        <v>59</v>
      </c>
      <c r="L52" s="13" t="s">
        <v>60</v>
      </c>
      <c r="M52" s="13"/>
      <c r="N52" s="13"/>
      <c r="P52" s="18"/>
      <c r="Q52" s="18"/>
    </row>
    <row r="53" customFormat="1" ht="14.25" spans="2:17">
      <c r="B53" s="3" t="s">
        <v>26</v>
      </c>
      <c r="C53" s="3" t="s">
        <v>27</v>
      </c>
      <c r="D53" s="10">
        <v>3</v>
      </c>
      <c r="E53" s="18">
        <v>1</v>
      </c>
      <c r="F53" s="18" t="s">
        <v>61</v>
      </c>
      <c r="G53" s="18">
        <v>1</v>
      </c>
      <c r="H53" s="18">
        <v>1</v>
      </c>
      <c r="I53" s="18">
        <v>25</v>
      </c>
      <c r="J53" s="18">
        <f>I53+3*F46+1.5*F46</f>
        <v>37.547057875</v>
      </c>
      <c r="K53" s="14">
        <f>$F$6*H53</f>
        <v>0.001</v>
      </c>
      <c r="L53" s="33">
        <f>J53*K53</f>
        <v>0.037547057875</v>
      </c>
      <c r="M53" s="18"/>
      <c r="N53" s="18"/>
      <c r="P53" s="18"/>
      <c r="Q53" s="18"/>
    </row>
    <row r="54" s="55" customFormat="1" ht="14.25" spans="2:11">
      <c r="B54" s="56" t="s">
        <v>26</v>
      </c>
      <c r="C54" s="56" t="s">
        <v>27</v>
      </c>
      <c r="D54" s="56">
        <v>3</v>
      </c>
      <c r="E54" s="55">
        <v>1</v>
      </c>
      <c r="F54" s="55" t="s">
        <v>61</v>
      </c>
      <c r="G54" s="55">
        <f>(1-($K$7+$L$7+$M$7+$N$7))*(1-($O$7+$P$7+$Q$7))*(1-($R$7+$S$7+$T$7+$U$7))</f>
        <v>0.6885</v>
      </c>
      <c r="H54" s="55">
        <f>G54</f>
        <v>0.6885</v>
      </c>
      <c r="I54" s="55">
        <f>$E$6*E54</f>
        <v>25</v>
      </c>
      <c r="K54" s="55">
        <f>$F$6*H54</f>
        <v>0.0006885</v>
      </c>
    </row>
    <row r="55" s="55" customFormat="1" ht="14.25" spans="2:11">
      <c r="B55" s="57"/>
      <c r="C55" s="57"/>
      <c r="D55" s="57"/>
      <c r="E55" s="55">
        <v>1</v>
      </c>
      <c r="F55" s="55" t="s">
        <v>62</v>
      </c>
      <c r="G55" s="55">
        <f>($K$7+$L$7+$M$7+$N$7)*(1-($O$7+$P$7+$Q$7))*(1-($R$7+$S$7+$T$7+$U$7))+(1-($K$7+$L$7+$M$7+$N$7))*(1-($O$7+$P$7+$Q$7))*($R$7+$S$7+$T$7+$U$7)</f>
        <v>0.153</v>
      </c>
      <c r="H55" s="55">
        <f>G55</f>
        <v>0.153</v>
      </c>
      <c r="I55" s="55">
        <f t="shared" ref="I55:I63" si="4">$E$6*E55</f>
        <v>25</v>
      </c>
      <c r="K55" s="55">
        <f t="shared" ref="K55:K63" si="5">$F$6*H55</f>
        <v>0.000153</v>
      </c>
    </row>
    <row r="56" s="55" customFormat="1" ht="14.25" spans="2:11">
      <c r="B56" s="57"/>
      <c r="C56" s="57"/>
      <c r="D56" s="57"/>
      <c r="E56" s="55">
        <v>1</v>
      </c>
      <c r="F56" s="58" t="s">
        <v>63</v>
      </c>
      <c r="G56" s="55">
        <f>($K$7+$L$7+$M$7+$N$7)*(1-($O$7+$P$7+$Q$7))*($R$7+$S$7+$T$7+$U$7)</f>
        <v>0.0085</v>
      </c>
      <c r="H56" s="55">
        <f>G56+($K$7+$L$7+$M$7+$N$7)*($O$7+$P$7+$Q$7)*($R$7+$S$7+$T$7+$U$7)/3</f>
        <v>0.009</v>
      </c>
      <c r="I56" s="55">
        <f t="shared" si="4"/>
        <v>25</v>
      </c>
      <c r="K56" s="55">
        <f t="shared" si="5"/>
        <v>9e-6</v>
      </c>
    </row>
    <row r="57" s="55" customFormat="1" spans="5:11">
      <c r="E57" s="55">
        <v>2</v>
      </c>
      <c r="F57" s="58" t="s">
        <v>64</v>
      </c>
      <c r="G57" s="55">
        <f>($K$7+$L$7+$M$7+$N$7)*$O$7*(1-($R$7+$S$7+$T$7+$U$7))+(1-($K$7+$L$7+$M$7+$N$7))*$O$7*($R$7+$S$7+$T$7+$U$7)</f>
        <v>0.018</v>
      </c>
      <c r="H57" s="55">
        <f>G57+($K$7+$L$7+$M$7+$N$7)*$O$7*($R$7+$S$7+$T$7+$U$7)*2/3</f>
        <v>0.0186666666666667</v>
      </c>
      <c r="I57" s="55">
        <f t="shared" si="4"/>
        <v>50</v>
      </c>
      <c r="K57" s="55">
        <f t="shared" si="5"/>
        <v>1.86666666666667e-5</v>
      </c>
    </row>
    <row r="58" s="55" customFormat="1" spans="5:11">
      <c r="E58" s="55">
        <v>2</v>
      </c>
      <c r="F58" s="55" t="s">
        <v>65</v>
      </c>
      <c r="G58" s="55">
        <f>(1-($K$7+$L$7+$M$7+$N$7))*$O$7*(1-($R$7+$S$7+$T$7+$U$7))</f>
        <v>0.081</v>
      </c>
      <c r="H58" s="55">
        <f>G58</f>
        <v>0.081</v>
      </c>
      <c r="I58" s="55">
        <f t="shared" si="4"/>
        <v>50</v>
      </c>
      <c r="K58" s="55">
        <f t="shared" si="5"/>
        <v>8.1e-5</v>
      </c>
    </row>
    <row r="59" s="55" customFormat="1" spans="5:11">
      <c r="E59" s="55">
        <v>3</v>
      </c>
      <c r="F59" s="58" t="s">
        <v>66</v>
      </c>
      <c r="G59" s="55">
        <f>($K$7+$L$7+$M$7+$N$7)*$P$7*(1-($R$7+$S$7+$T$7+$U$7))+(1-($K$7+$L$7+$M$7+$N$7))*$P$7*($R$7+$S$7+$T$7+$U$7)</f>
        <v>0.0072</v>
      </c>
      <c r="H59" s="55">
        <f>G59+($K$7+$L$7+$M$7+$N$7)*$P$7*($R$7+$S$7+$T$7+$U$7)*2/3</f>
        <v>0.00746666666666667</v>
      </c>
      <c r="I59" s="55">
        <f t="shared" si="4"/>
        <v>75</v>
      </c>
      <c r="K59" s="55">
        <f t="shared" si="5"/>
        <v>7.46666666666667e-6</v>
      </c>
    </row>
    <row r="60" s="55" customFormat="1" spans="5:11">
      <c r="E60" s="55">
        <v>3</v>
      </c>
      <c r="F60" s="55" t="s">
        <v>67</v>
      </c>
      <c r="G60" s="55">
        <f>(1-($K$7+$L$7+$M$7+$N$7))*$P$7*(1-($R$7+$S$7+$T$7+$U$7))</f>
        <v>0.0324</v>
      </c>
      <c r="H60" s="55">
        <f>G60</f>
        <v>0.0324</v>
      </c>
      <c r="I60" s="55">
        <f t="shared" si="4"/>
        <v>75</v>
      </c>
      <c r="K60" s="55">
        <f t="shared" si="5"/>
        <v>3.24e-5</v>
      </c>
    </row>
    <row r="61" s="55" customFormat="1" spans="5:11">
      <c r="E61" s="55">
        <v>5</v>
      </c>
      <c r="F61" s="58" t="s">
        <v>68</v>
      </c>
      <c r="G61" s="55">
        <f>($K$7+$L$7+$M$7+$N$7)*$Q$7*(1-($R$7+$S$7+$T$7+$U$7))+(1-($K$7+$L$7+$M$7+$N$7))*$Q$7*($R$7+$S$7+$T$7+$U$7)</f>
        <v>0.0018</v>
      </c>
      <c r="H61" s="55">
        <f>G61+($K$7+$L$7+$M$7+$N$7)*$Q$7*($R$7+$S$7+$T$7+$U$7)*2/3</f>
        <v>0.00186666666666667</v>
      </c>
      <c r="I61" s="55">
        <f t="shared" si="4"/>
        <v>125</v>
      </c>
      <c r="K61" s="55">
        <f t="shared" si="5"/>
        <v>1.86666666666667e-6</v>
      </c>
    </row>
    <row r="62" s="55" customFormat="1" spans="5:11">
      <c r="E62" s="55">
        <v>5</v>
      </c>
      <c r="F62" s="55" t="s">
        <v>69</v>
      </c>
      <c r="G62" s="55">
        <f>(1-($K$7+$L$7+$M$7+$N$7))*$Q$7*(1-($R$7+$S$7+$T$7+$U$7))</f>
        <v>0.0081</v>
      </c>
      <c r="H62" s="55">
        <f>G62</f>
        <v>0.0081</v>
      </c>
      <c r="I62" s="55">
        <f t="shared" si="4"/>
        <v>125</v>
      </c>
      <c r="K62" s="55">
        <f t="shared" si="5"/>
        <v>8.1e-6</v>
      </c>
    </row>
    <row r="63" s="55" customFormat="1" spans="5:11">
      <c r="E63" s="55">
        <v>0</v>
      </c>
      <c r="F63" s="55" t="s">
        <v>70</v>
      </c>
      <c r="G63" s="55">
        <f>($K$7+$L$7+$M$7+$N$7)*($O$7+$P$7+$Q$7)*($R$7+$S$7+$T$7+$U$7)</f>
        <v>0.0015</v>
      </c>
      <c r="H63" s="55">
        <v>0</v>
      </c>
      <c r="I63" s="55">
        <f t="shared" si="4"/>
        <v>0</v>
      </c>
      <c r="K63" s="55">
        <f t="shared" si="5"/>
        <v>0</v>
      </c>
    </row>
    <row r="64" s="4" customFormat="1" spans="6:11">
      <c r="F64" s="4" t="s">
        <v>42</v>
      </c>
      <c r="G64" s="4">
        <f t="shared" ref="G64:K64" si="6">SUM(G54:G63)</f>
        <v>1</v>
      </c>
      <c r="H64" s="4">
        <f t="shared" si="6"/>
        <v>1</v>
      </c>
      <c r="K64" s="4">
        <f t="shared" si="6"/>
        <v>0.001</v>
      </c>
    </row>
    <row r="65" ht="14.25" spans="2:17">
      <c r="B65" s="3" t="s">
        <v>51</v>
      </c>
      <c r="C65" s="3" t="s">
        <v>52</v>
      </c>
      <c r="D65" s="10" t="s">
        <v>4</v>
      </c>
      <c r="E65" s="13" t="s">
        <v>53</v>
      </c>
      <c r="F65" s="13" t="s">
        <v>54</v>
      </c>
      <c r="G65" s="13" t="s">
        <v>55</v>
      </c>
      <c r="H65" s="13" t="s">
        <v>56</v>
      </c>
      <c r="I65" s="13" t="s">
        <v>57</v>
      </c>
      <c r="J65" s="13" t="s">
        <v>58</v>
      </c>
      <c r="K65" s="13" t="s">
        <v>59</v>
      </c>
      <c r="L65" s="13" t="s">
        <v>60</v>
      </c>
      <c r="M65" t="s">
        <v>71</v>
      </c>
      <c r="N65" s="13"/>
      <c r="P65" s="18"/>
      <c r="Q65" s="18"/>
    </row>
    <row r="66" ht="14.25" spans="2:13">
      <c r="B66" s="7" t="s">
        <v>28</v>
      </c>
      <c r="C66" s="7" t="s">
        <v>27</v>
      </c>
      <c r="D66" s="7">
        <v>3</v>
      </c>
      <c r="E66">
        <v>1</v>
      </c>
      <c r="F66" s="29" t="s">
        <v>72</v>
      </c>
      <c r="G66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66">
        <f>G66+($K$7+$L$7+$M$7+$N$7)*($O$7+$P$7+$Q$7)*($R$7+$S$7+$T$7+$U$7)/3</f>
        <v>0.8505</v>
      </c>
      <c r="I66">
        <f>$E$7*E66</f>
        <v>20</v>
      </c>
      <c r="J66">
        <f>I66</f>
        <v>20</v>
      </c>
      <c r="K66">
        <f>$F$7*H66</f>
        <v>0.0025515</v>
      </c>
      <c r="L66">
        <f>J66*K66</f>
        <v>0.05103</v>
      </c>
      <c r="M66">
        <f>E66*H66</f>
        <v>0.8505</v>
      </c>
    </row>
    <row r="67" spans="5:13">
      <c r="E67">
        <v>2</v>
      </c>
      <c r="F67" s="29" t="s">
        <v>73</v>
      </c>
      <c r="G67">
        <f>(1-($K$7+$L$7+$M$7+$N$7))*$O$7*(1-($R$7+$S$7+$T$7+$U$7))+($K$7+$L$7+$M$7+$N$7)*$O$7*(1-($R$7+$S$7+$T$7+$U$7))+(1-($K$7+$L$7+$M$7+$N$7))*$O$7*($R$7+$S$7+$T$7+$U$7)</f>
        <v>0.099</v>
      </c>
      <c r="H67">
        <f>G67+($K$7+$L$7+$M$7+$N$7)*$O$7*($R$7+$S$7+$T$7+$U$7)*2/3</f>
        <v>0.0996666666666667</v>
      </c>
      <c r="I67">
        <f>$E$7*E67</f>
        <v>40</v>
      </c>
      <c r="J67">
        <f>I67</f>
        <v>40</v>
      </c>
      <c r="K67">
        <f>$F$7*H67</f>
        <v>0.000299</v>
      </c>
      <c r="L67">
        <f>J67*K67</f>
        <v>0.01196</v>
      </c>
      <c r="M67">
        <f>E67*H67</f>
        <v>0.199333333333333</v>
      </c>
    </row>
    <row r="68" spans="5:13">
      <c r="E68">
        <v>3</v>
      </c>
      <c r="F68" s="29" t="s">
        <v>74</v>
      </c>
      <c r="G68">
        <f>(1-($K$7+$L$7+$M$7+$N$7))*$P$7*(1-($R$7+$S$7+$T$7+$U$7))+($K$7+$L$7+$M$7+$N$7)*$P$7*(1-($R$7+$S$7+$T$7+$U$7))+(1-($K$7+$L$7+$M$7+$N$7))*$P$7*($R$7+$S$7+$T$7+$U$7)</f>
        <v>0.0396</v>
      </c>
      <c r="H68">
        <f>G68+($K$7+$L$7+$M$7+$N$7)*$P$7*($R$7+$S$7+$T$7+$U$7)*2/3</f>
        <v>0.0398666666666667</v>
      </c>
      <c r="I68">
        <f>$E$7*E68</f>
        <v>60</v>
      </c>
      <c r="J68">
        <f t="shared" ref="J68:J77" si="7">I68</f>
        <v>60</v>
      </c>
      <c r="K68">
        <f>$F$7*H68</f>
        <v>0.0001196</v>
      </c>
      <c r="L68">
        <f t="shared" ref="L68:L77" si="8">J68*K68</f>
        <v>0.007176</v>
      </c>
      <c r="M68">
        <f t="shared" ref="M68:M77" si="9">E68*H68</f>
        <v>0.1196</v>
      </c>
    </row>
    <row r="69" spans="5:13">
      <c r="E69">
        <v>5</v>
      </c>
      <c r="F69" s="29" t="s">
        <v>75</v>
      </c>
      <c r="G69">
        <f>(1-($K$7+$L$7+$M$7+$N$7))*$Q$7*(1-($R$7+$S$7+$T$7+$U$7))+($K$7+$L$7+$M$7+$N$7)*$Q$7*(1-($R$7+$S$7+$T$7+$U$7))+(1-($K$7+$L$7+$M$7+$N$7))*$Q$7*($R$7+$S$7+$T$7+$U$7)</f>
        <v>0.0099</v>
      </c>
      <c r="H69">
        <f>G69+($K$7+$L$7+$M$7+$N$7)*$Q$7*($R$7+$S$7+$T$7+$U$7)*2/3</f>
        <v>0.00996666666666667</v>
      </c>
      <c r="I69">
        <f>$E$7*E69</f>
        <v>100</v>
      </c>
      <c r="J69">
        <f t="shared" si="7"/>
        <v>100</v>
      </c>
      <c r="K69">
        <f>$F$7*H69</f>
        <v>2.99e-5</v>
      </c>
      <c r="L69">
        <f t="shared" si="8"/>
        <v>0.00299</v>
      </c>
      <c r="M69">
        <f t="shared" si="9"/>
        <v>0.0498333333333333</v>
      </c>
    </row>
    <row r="70" customFormat="1" spans="5:13">
      <c r="E70">
        <v>0</v>
      </c>
      <c r="F70" s="34" t="s">
        <v>70</v>
      </c>
      <c r="G70">
        <f>($K$7+$L$7+$M$7+$N$7)*($O$7+$P$7+$Q$7)*($R$7+$S$7+$T$7+$U$7)</f>
        <v>0.0015</v>
      </c>
      <c r="H70">
        <v>0</v>
      </c>
      <c r="I70">
        <f>$E$7*E70</f>
        <v>0</v>
      </c>
      <c r="J70">
        <f t="shared" si="7"/>
        <v>0</v>
      </c>
      <c r="K70">
        <f>$F$7*H70</f>
        <v>0</v>
      </c>
      <c r="L70">
        <f t="shared" si="8"/>
        <v>0</v>
      </c>
      <c r="M70">
        <f t="shared" si="9"/>
        <v>0</v>
      </c>
    </row>
    <row r="71" s="4" customFormat="1" spans="6:13">
      <c r="F71" s="4" t="s">
        <v>42</v>
      </c>
      <c r="G71" s="4">
        <f t="shared" ref="G71:M71" si="10">SUM(G66:G70)</f>
        <v>1</v>
      </c>
      <c r="H71" s="4">
        <f t="shared" si="10"/>
        <v>1</v>
      </c>
      <c r="K71" s="4">
        <f t="shared" si="10"/>
        <v>0.003</v>
      </c>
      <c r="L71" s="4">
        <f t="shared" si="10"/>
        <v>0.073156</v>
      </c>
      <c r="M71" s="4">
        <f t="shared" si="10"/>
        <v>1.21926666666667</v>
      </c>
    </row>
    <row r="72" customFormat="1" ht="14.25" spans="2:17">
      <c r="B72" s="3" t="s">
        <v>51</v>
      </c>
      <c r="C72" s="3" t="s">
        <v>52</v>
      </c>
      <c r="D72" s="10" t="s">
        <v>4</v>
      </c>
      <c r="E72" s="13" t="s">
        <v>53</v>
      </c>
      <c r="F72" s="13" t="s">
        <v>54</v>
      </c>
      <c r="G72" s="13" t="s">
        <v>55</v>
      </c>
      <c r="H72" s="13" t="s">
        <v>56</v>
      </c>
      <c r="I72" s="13" t="s">
        <v>57</v>
      </c>
      <c r="J72" s="13" t="s">
        <v>58</v>
      </c>
      <c r="K72" s="13" t="s">
        <v>59</v>
      </c>
      <c r="L72" s="13" t="s">
        <v>60</v>
      </c>
      <c r="M72" t="s">
        <v>71</v>
      </c>
      <c r="N72" s="13"/>
      <c r="P72" s="18"/>
      <c r="Q72" s="18"/>
    </row>
    <row r="73" customFormat="1" ht="14.25" spans="2:13">
      <c r="B73" s="7" t="s">
        <v>29</v>
      </c>
      <c r="C73" s="7" t="s">
        <v>27</v>
      </c>
      <c r="D73" s="7">
        <v>3</v>
      </c>
      <c r="E73">
        <v>1</v>
      </c>
      <c r="F73" s="29" t="s">
        <v>76</v>
      </c>
      <c r="G73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73">
        <f>G73+($K$7+$L$7+$M$7+$N$7)*($O$7+$P$7+$Q$7)*($R$7+$S$7+$T$7+$U$7)/3</f>
        <v>0.8505</v>
      </c>
      <c r="I73">
        <f>$E$8*E73</f>
        <v>7</v>
      </c>
      <c r="J73">
        <f t="shared" si="7"/>
        <v>7</v>
      </c>
      <c r="K73">
        <f>$F$8*H73</f>
        <v>0.005103</v>
      </c>
      <c r="L73">
        <f t="shared" si="8"/>
        <v>0.035721</v>
      </c>
      <c r="M73">
        <f t="shared" si="9"/>
        <v>0.8505</v>
      </c>
    </row>
    <row r="74" customFormat="1" spans="5:13">
      <c r="E74">
        <v>2</v>
      </c>
      <c r="F74" s="29" t="s">
        <v>77</v>
      </c>
      <c r="G74">
        <f>(1-($K$7+$L$7+$M$7+$N$7))*$O$7*(1-($R$7+$S$7+$T$7+$U$7))+($K$7+$L$7+$M$7+$N$7)*$O$7*(1-($R$7+$S$7+$T$7+$U$7))+(1-($K$7+$L$7+$M$7+$N$7))*$O$7*($R$7+$S$7+$T$7+$U$7)</f>
        <v>0.099</v>
      </c>
      <c r="H74">
        <f>G74+($K$7+$L$7+$M$7+$N$7)*$O$7*($R$7+$S$7+$T$7+$U$7)*2/3</f>
        <v>0.0996666666666667</v>
      </c>
      <c r="I74">
        <f>$E$8*E74</f>
        <v>14</v>
      </c>
      <c r="J74">
        <f t="shared" si="7"/>
        <v>14</v>
      </c>
      <c r="K74">
        <f>$F$8*H74</f>
        <v>0.000598</v>
      </c>
      <c r="L74">
        <f t="shared" si="8"/>
        <v>0.008372</v>
      </c>
      <c r="M74">
        <f t="shared" si="9"/>
        <v>0.199333333333333</v>
      </c>
    </row>
    <row r="75" customFormat="1" spans="5:13">
      <c r="E75">
        <v>3</v>
      </c>
      <c r="F75" s="29" t="s">
        <v>78</v>
      </c>
      <c r="G75">
        <f>(1-($K$7+$L$7+$M$7+$N$7))*$P$7*(1-($R$7+$S$7+$T$7+$U$7))+($K$7+$L$7+$M$7+$N$7)*$P$7*(1-($R$7+$S$7+$T$7+$U$7))+(1-($K$7+$L$7+$M$7+$N$7))*$P$7*($R$7+$S$7+$T$7+$U$7)</f>
        <v>0.0396</v>
      </c>
      <c r="H75">
        <f>G75+($K$7+$L$7+$M$7+$N$7)*$P$7*($R$7+$S$7+$T$7+$U$7)*2/3</f>
        <v>0.0398666666666667</v>
      </c>
      <c r="I75">
        <f>$E$8*E75</f>
        <v>21</v>
      </c>
      <c r="J75">
        <f t="shared" si="7"/>
        <v>21</v>
      </c>
      <c r="K75">
        <f>$F$8*H75</f>
        <v>0.0002392</v>
      </c>
      <c r="L75">
        <f t="shared" si="8"/>
        <v>0.0050232</v>
      </c>
      <c r="M75">
        <f t="shared" si="9"/>
        <v>0.1196</v>
      </c>
    </row>
    <row r="76" customFormat="1" spans="5:13">
      <c r="E76">
        <v>5</v>
      </c>
      <c r="F76" s="29" t="s">
        <v>79</v>
      </c>
      <c r="G76">
        <f>(1-($K$7+$L$7+$M$7+$N$7))*$Q$7*(1-($R$7+$S$7+$T$7+$U$7))+($K$7+$L$7+$M$7+$N$7)*$Q$7*(1-($R$7+$S$7+$T$7+$U$7))+(1-($K$7+$L$7+$M$7+$N$7))*$Q$7*($R$7+$S$7+$T$7+$U$7)</f>
        <v>0.0099</v>
      </c>
      <c r="H76">
        <f>G76+($K$7+$L$7+$M$7+$N$7)*$Q$7*($R$7+$S$7+$T$7+$U$7)*2/3</f>
        <v>0.00996666666666667</v>
      </c>
      <c r="I76">
        <f>$E$8*E76</f>
        <v>35</v>
      </c>
      <c r="J76">
        <f t="shared" si="7"/>
        <v>35</v>
      </c>
      <c r="K76">
        <f>$F$8*H76</f>
        <v>5.98e-5</v>
      </c>
      <c r="L76">
        <f t="shared" si="8"/>
        <v>0.002093</v>
      </c>
      <c r="M76">
        <f t="shared" si="9"/>
        <v>0.0498333333333333</v>
      </c>
    </row>
    <row r="77" customFormat="1" spans="5:13">
      <c r="E77">
        <v>0</v>
      </c>
      <c r="F77" s="34" t="s">
        <v>70</v>
      </c>
      <c r="G77">
        <f>($K$7+$L$7+$M$7+$N$7)*($O$7+$P$7+$Q$7)*($R$7+$S$7+$T$7+$U$7)</f>
        <v>0.0015</v>
      </c>
      <c r="H77">
        <v>0</v>
      </c>
      <c r="I77">
        <f>$E$8*E77</f>
        <v>0</v>
      </c>
      <c r="J77">
        <f t="shared" si="7"/>
        <v>0</v>
      </c>
      <c r="K77">
        <f>$F$8*H77</f>
        <v>0</v>
      </c>
      <c r="L77">
        <f t="shared" si="8"/>
        <v>0</v>
      </c>
      <c r="M77">
        <f t="shared" si="9"/>
        <v>0</v>
      </c>
    </row>
    <row r="78" s="4" customFormat="1" spans="6:13">
      <c r="F78" s="4" t="s">
        <v>42</v>
      </c>
      <c r="G78" s="4">
        <f t="shared" ref="G78:M78" si="11">SUM(G73:G77)</f>
        <v>1</v>
      </c>
      <c r="H78" s="4">
        <f t="shared" si="11"/>
        <v>1</v>
      </c>
      <c r="K78" s="4">
        <f t="shared" si="11"/>
        <v>0.006</v>
      </c>
      <c r="L78" s="4">
        <f t="shared" si="11"/>
        <v>0.0512092</v>
      </c>
      <c r="M78" s="4">
        <f t="shared" si="11"/>
        <v>1.21926666666667</v>
      </c>
    </row>
    <row r="79" customFormat="1" ht="14.25" spans="2:17">
      <c r="B79" s="3" t="s">
        <v>51</v>
      </c>
      <c r="C79" s="3" t="s">
        <v>52</v>
      </c>
      <c r="D79" s="10" t="s">
        <v>4</v>
      </c>
      <c r="E79" s="13" t="s">
        <v>53</v>
      </c>
      <c r="F79" s="13" t="s">
        <v>54</v>
      </c>
      <c r="G79" s="13" t="s">
        <v>55</v>
      </c>
      <c r="H79" s="13" t="s">
        <v>56</v>
      </c>
      <c r="I79" s="13" t="s">
        <v>57</v>
      </c>
      <c r="J79" s="13" t="s">
        <v>58</v>
      </c>
      <c r="K79" s="13" t="s">
        <v>59</v>
      </c>
      <c r="L79" s="13" t="s">
        <v>60</v>
      </c>
      <c r="M79" t="s">
        <v>71</v>
      </c>
      <c r="N79" s="13"/>
      <c r="P79" s="18"/>
      <c r="Q79" s="18"/>
    </row>
    <row r="80" customFormat="1" ht="14.25" spans="2:13">
      <c r="B80" s="7" t="s">
        <v>30</v>
      </c>
      <c r="C80" s="7" t="s">
        <v>27</v>
      </c>
      <c r="D80" s="7">
        <v>3</v>
      </c>
      <c r="E80">
        <v>1</v>
      </c>
      <c r="F80" s="29" t="s">
        <v>80</v>
      </c>
      <c r="G80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80">
        <f>G80+($K$7+$L$7+$M$7+$N$7)*($O$7+$P$7+$Q$7)*($R$7+$S$7+$T$7+$U$7)/3</f>
        <v>0.8505</v>
      </c>
      <c r="I80">
        <f>$E$9*E80</f>
        <v>5</v>
      </c>
      <c r="J80">
        <f t="shared" ref="J80:J84" si="12">I80</f>
        <v>5</v>
      </c>
      <c r="K80">
        <f>$F$9*H80</f>
        <v>0.008505</v>
      </c>
      <c r="L80">
        <f t="shared" ref="L80:L84" si="13">J80*K80</f>
        <v>0.042525</v>
      </c>
      <c r="M80">
        <f t="shared" ref="M80:M84" si="14">E80*H80</f>
        <v>0.8505</v>
      </c>
    </row>
    <row r="81" customFormat="1" spans="5:13">
      <c r="E81">
        <v>2</v>
      </c>
      <c r="F81" s="29" t="s">
        <v>81</v>
      </c>
      <c r="G81">
        <f>(1-($K$7+$L$7+$M$7+$N$7))*$O$7*(1-($R$7+$S$7+$T$7+$U$7))+($K$7+$L$7+$M$7+$N$7)*$O$7*(1-($R$7+$S$7+$T$7+$U$7))+(1-($K$7+$L$7+$M$7+$N$7))*$O$7*($R$7+$S$7+$T$7+$U$7)</f>
        <v>0.099</v>
      </c>
      <c r="H81">
        <f>G81+($K$7+$L$7+$M$7+$N$7)*$O$7*($R$7+$S$7+$T$7+$U$7)*2/3</f>
        <v>0.0996666666666667</v>
      </c>
      <c r="I81">
        <f>$E$9*E81</f>
        <v>10</v>
      </c>
      <c r="J81">
        <f t="shared" si="12"/>
        <v>10</v>
      </c>
      <c r="K81">
        <f>$F$9*H81</f>
        <v>0.000996666666666667</v>
      </c>
      <c r="L81">
        <f t="shared" si="13"/>
        <v>0.00996666666666667</v>
      </c>
      <c r="M81">
        <f t="shared" si="14"/>
        <v>0.199333333333333</v>
      </c>
    </row>
    <row r="82" customFormat="1" spans="5:13">
      <c r="E82">
        <v>3</v>
      </c>
      <c r="F82" s="29" t="s">
        <v>82</v>
      </c>
      <c r="G82">
        <f>(1-($K$7+$L$7+$M$7+$N$7))*$P$7*(1-($R$7+$S$7+$T$7+$U$7))+($K$7+$L$7+$M$7+$N$7)*$P$7*(1-($R$7+$S$7+$T$7+$U$7))+(1-($K$7+$L$7+$M$7+$N$7))*$P$7*($R$7+$S$7+$T$7+$U$7)</f>
        <v>0.0396</v>
      </c>
      <c r="H82">
        <f>G82+($K$7+$L$7+$M$7+$N$7)*$P$7*($R$7+$S$7+$T$7+$U$7)*2/3</f>
        <v>0.0398666666666667</v>
      </c>
      <c r="I82">
        <f>$E$9*E82</f>
        <v>15</v>
      </c>
      <c r="J82">
        <f t="shared" si="12"/>
        <v>15</v>
      </c>
      <c r="K82">
        <f>$F$9*H82</f>
        <v>0.000398666666666667</v>
      </c>
      <c r="L82">
        <f t="shared" si="13"/>
        <v>0.00598</v>
      </c>
      <c r="M82">
        <f t="shared" si="14"/>
        <v>0.1196</v>
      </c>
    </row>
    <row r="83" customFormat="1" spans="5:13">
      <c r="E83">
        <v>5</v>
      </c>
      <c r="F83" s="29" t="s">
        <v>83</v>
      </c>
      <c r="G83">
        <f>(1-($K$7+$L$7+$M$7+$N$7))*$Q$7*(1-($R$7+$S$7+$T$7+$U$7))+($K$7+$L$7+$M$7+$N$7)*$Q$7*(1-($R$7+$S$7+$T$7+$U$7))+(1-($K$7+$L$7+$M$7+$N$7))*$Q$7*($R$7+$S$7+$T$7+$U$7)</f>
        <v>0.0099</v>
      </c>
      <c r="H83">
        <f>G83+($K$7+$L$7+$M$7+$N$7)*$Q$7*($R$7+$S$7+$T$7+$U$7)*2/3</f>
        <v>0.00996666666666667</v>
      </c>
      <c r="I83">
        <f>$E$9*E83</f>
        <v>25</v>
      </c>
      <c r="J83">
        <f t="shared" si="12"/>
        <v>25</v>
      </c>
      <c r="K83">
        <f>$F$9*H83</f>
        <v>9.96666666666667e-5</v>
      </c>
      <c r="L83">
        <f t="shared" si="13"/>
        <v>0.00249166666666667</v>
      </c>
      <c r="M83">
        <f t="shared" si="14"/>
        <v>0.0498333333333333</v>
      </c>
    </row>
    <row r="84" customFormat="1" spans="5:13">
      <c r="E84">
        <v>0</v>
      </c>
      <c r="F84" s="34" t="s">
        <v>70</v>
      </c>
      <c r="G84">
        <f>($K$7+$L$7+$M$7+$N$7)*($O$7+$P$7+$Q$7)*($R$7+$S$7+$T$7+$U$7)</f>
        <v>0.0015</v>
      </c>
      <c r="H84">
        <v>0</v>
      </c>
      <c r="I84">
        <f>$E$9*E84</f>
        <v>0</v>
      </c>
      <c r="J84">
        <f t="shared" si="12"/>
        <v>0</v>
      </c>
      <c r="K84">
        <f>$F$9*H84</f>
        <v>0</v>
      </c>
      <c r="L84">
        <f t="shared" si="13"/>
        <v>0</v>
      </c>
      <c r="M84">
        <f t="shared" si="14"/>
        <v>0</v>
      </c>
    </row>
    <row r="85" s="4" customFormat="1" spans="6:13">
      <c r="F85" s="4" t="s">
        <v>42</v>
      </c>
      <c r="G85" s="4">
        <f t="shared" ref="G85:M85" si="15">SUM(G80:G84)</f>
        <v>1</v>
      </c>
      <c r="H85" s="4">
        <f t="shared" si="15"/>
        <v>1</v>
      </c>
      <c r="K85" s="4">
        <f t="shared" si="15"/>
        <v>0.01</v>
      </c>
      <c r="L85" s="4">
        <f t="shared" si="15"/>
        <v>0.0609633333333333</v>
      </c>
      <c r="M85" s="4">
        <f t="shared" si="15"/>
        <v>1.21926666666667</v>
      </c>
    </row>
    <row r="86" customFormat="1" ht="14.25" spans="2:17">
      <c r="B86" s="3" t="s">
        <v>51</v>
      </c>
      <c r="C86" s="3" t="s">
        <v>52</v>
      </c>
      <c r="D86" s="10" t="s">
        <v>4</v>
      </c>
      <c r="E86" s="13" t="s">
        <v>53</v>
      </c>
      <c r="F86" s="13" t="s">
        <v>54</v>
      </c>
      <c r="G86" s="13" t="s">
        <v>55</v>
      </c>
      <c r="H86" s="13" t="s">
        <v>56</v>
      </c>
      <c r="I86" s="13" t="s">
        <v>57</v>
      </c>
      <c r="J86" s="13" t="s">
        <v>58</v>
      </c>
      <c r="K86" s="13" t="s">
        <v>59</v>
      </c>
      <c r="L86" s="13" t="s">
        <v>60</v>
      </c>
      <c r="M86" t="s">
        <v>71</v>
      </c>
      <c r="N86" s="13"/>
      <c r="P86" s="18"/>
      <c r="Q86" s="18"/>
    </row>
    <row r="87" customFormat="1" ht="14.25" spans="2:13">
      <c r="B87" s="7" t="s">
        <v>31</v>
      </c>
      <c r="C87" s="7" t="s">
        <v>27</v>
      </c>
      <c r="D87" s="7">
        <v>3</v>
      </c>
      <c r="E87">
        <v>1</v>
      </c>
      <c r="F87" s="29" t="s">
        <v>84</v>
      </c>
      <c r="G87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87">
        <f>G87+($K$7+$L$7+$M$7+$N$7)*($O$7+$P$7+$Q$7)*($R$7+$S$7+$T$7+$U$7)/3</f>
        <v>0.8505</v>
      </c>
      <c r="I87">
        <f>$E$10*E87</f>
        <v>4</v>
      </c>
      <c r="J87">
        <f t="shared" ref="J87:J91" si="16">I87</f>
        <v>4</v>
      </c>
      <c r="K87">
        <f>$F$10*H87</f>
        <v>0.008505</v>
      </c>
      <c r="L87">
        <f t="shared" ref="L87:L91" si="17">J87*K87</f>
        <v>0.03402</v>
      </c>
      <c r="M87">
        <f t="shared" ref="M87:M91" si="18">E87*H87</f>
        <v>0.8505</v>
      </c>
    </row>
    <row r="88" customFormat="1" spans="5:13">
      <c r="E88">
        <v>2</v>
      </c>
      <c r="F88" s="29" t="s">
        <v>85</v>
      </c>
      <c r="G88">
        <f>(1-($K$7+$L$7+$M$7+$N$7))*$O$7*(1-($R$7+$S$7+$T$7+$U$7))+($K$7+$L$7+$M$7+$N$7)*$O$7*(1-($R$7+$S$7+$T$7+$U$7))+(1-($K$7+$L$7+$M$7+$N$7))*$O$7*($R$7+$S$7+$T$7+$U$7)</f>
        <v>0.099</v>
      </c>
      <c r="H88">
        <f>G88+($K$7+$L$7+$M$7+$N$7)*$O$7*($R$7+$S$7+$T$7+$U$7)*2/3</f>
        <v>0.0996666666666667</v>
      </c>
      <c r="I88">
        <f>$E$10*E88</f>
        <v>8</v>
      </c>
      <c r="J88">
        <f t="shared" si="16"/>
        <v>8</v>
      </c>
      <c r="K88">
        <f>$F$10*H88</f>
        <v>0.000996666666666667</v>
      </c>
      <c r="L88">
        <f t="shared" si="17"/>
        <v>0.00797333333333334</v>
      </c>
      <c r="M88">
        <f t="shared" si="18"/>
        <v>0.199333333333333</v>
      </c>
    </row>
    <row r="89" customFormat="1" spans="5:13">
      <c r="E89">
        <v>3</v>
      </c>
      <c r="F89" s="29" t="s">
        <v>86</v>
      </c>
      <c r="G89">
        <f>(1-($K$7+$L$7+$M$7+$N$7))*$P$7*(1-($R$7+$S$7+$T$7+$U$7))+($K$7+$L$7+$M$7+$N$7)*$P$7*(1-($R$7+$S$7+$T$7+$U$7))+(1-($K$7+$L$7+$M$7+$N$7))*$P$7*($R$7+$S$7+$T$7+$U$7)</f>
        <v>0.0396</v>
      </c>
      <c r="H89">
        <f>G89+($K$7+$L$7+$M$7+$N$7)*$P$7*($R$7+$S$7+$T$7+$U$7)*2/3</f>
        <v>0.0398666666666667</v>
      </c>
      <c r="I89">
        <f>$E$10*E89</f>
        <v>12</v>
      </c>
      <c r="J89">
        <f t="shared" si="16"/>
        <v>12</v>
      </c>
      <c r="K89">
        <f>$F$10*H89</f>
        <v>0.000398666666666667</v>
      </c>
      <c r="L89">
        <f t="shared" si="17"/>
        <v>0.004784</v>
      </c>
      <c r="M89">
        <f t="shared" si="18"/>
        <v>0.1196</v>
      </c>
    </row>
    <row r="90" customFormat="1" spans="5:13">
      <c r="E90">
        <v>5</v>
      </c>
      <c r="F90" s="29" t="s">
        <v>87</v>
      </c>
      <c r="G90">
        <f>(1-($K$7+$L$7+$M$7+$N$7))*$Q$7*(1-($R$7+$S$7+$T$7+$U$7))+($K$7+$L$7+$M$7+$N$7)*$Q$7*(1-($R$7+$S$7+$T$7+$U$7))+(1-($K$7+$L$7+$M$7+$N$7))*$Q$7*($R$7+$S$7+$T$7+$U$7)</f>
        <v>0.0099</v>
      </c>
      <c r="H90">
        <f>G90+($K$7+$L$7+$M$7+$N$7)*$Q$7*($R$7+$S$7+$T$7+$U$7)*2/3</f>
        <v>0.00996666666666667</v>
      </c>
      <c r="I90">
        <f>$E$10*E90</f>
        <v>20</v>
      </c>
      <c r="J90">
        <f t="shared" si="16"/>
        <v>20</v>
      </c>
      <c r="K90">
        <f>$F$10*H90</f>
        <v>9.96666666666667e-5</v>
      </c>
      <c r="L90">
        <f t="shared" si="17"/>
        <v>0.00199333333333333</v>
      </c>
      <c r="M90">
        <f t="shared" si="18"/>
        <v>0.0498333333333333</v>
      </c>
    </row>
    <row r="91" customFormat="1" spans="5:13">
      <c r="E91">
        <v>0</v>
      </c>
      <c r="F91" s="34" t="s">
        <v>70</v>
      </c>
      <c r="G91">
        <f>($K$7+$L$7+$M$7+$N$7)*($O$7+$P$7+$Q$7)*($R$7+$S$7+$T$7+$U$7)</f>
        <v>0.0015</v>
      </c>
      <c r="H91">
        <v>0</v>
      </c>
      <c r="I91">
        <f>$E$10*E91</f>
        <v>0</v>
      </c>
      <c r="J91">
        <f t="shared" si="16"/>
        <v>0</v>
      </c>
      <c r="K91">
        <f>$F$10*H91</f>
        <v>0</v>
      </c>
      <c r="L91">
        <f t="shared" si="17"/>
        <v>0</v>
      </c>
      <c r="M91">
        <f t="shared" si="18"/>
        <v>0</v>
      </c>
    </row>
    <row r="92" s="4" customFormat="1" spans="6:13">
      <c r="F92" s="4" t="s">
        <v>42</v>
      </c>
      <c r="G92" s="4">
        <f t="shared" ref="G92:M92" si="19">SUM(G87:G91)</f>
        <v>1</v>
      </c>
      <c r="H92" s="4">
        <f t="shared" si="19"/>
        <v>1</v>
      </c>
      <c r="K92" s="4">
        <f t="shared" si="19"/>
        <v>0.01</v>
      </c>
      <c r="L92" s="4">
        <f t="shared" si="19"/>
        <v>0.0487706666666667</v>
      </c>
      <c r="M92" s="4">
        <f t="shared" si="19"/>
        <v>1.21926666666667</v>
      </c>
    </row>
    <row r="93" customFormat="1" ht="14.25" spans="2:17">
      <c r="B93" s="3" t="s">
        <v>51</v>
      </c>
      <c r="C93" s="3" t="s">
        <v>52</v>
      </c>
      <c r="D93" s="10" t="s">
        <v>4</v>
      </c>
      <c r="E93" s="13" t="s">
        <v>53</v>
      </c>
      <c r="F93" s="13" t="s">
        <v>54</v>
      </c>
      <c r="G93" s="13" t="s">
        <v>55</v>
      </c>
      <c r="H93" s="13" t="s">
        <v>56</v>
      </c>
      <c r="I93" s="13" t="s">
        <v>57</v>
      </c>
      <c r="J93" s="13" t="s">
        <v>58</v>
      </c>
      <c r="K93" s="13" t="s">
        <v>59</v>
      </c>
      <c r="L93" s="13" t="s">
        <v>60</v>
      </c>
      <c r="M93" t="s">
        <v>71</v>
      </c>
      <c r="N93" s="13"/>
      <c r="P93" s="18"/>
      <c r="Q93" s="18"/>
    </row>
    <row r="94" customFormat="1" ht="14.25" spans="2:13">
      <c r="B94" s="7" t="s">
        <v>32</v>
      </c>
      <c r="C94" s="7" t="s">
        <v>27</v>
      </c>
      <c r="D94" s="7">
        <v>3</v>
      </c>
      <c r="E94">
        <v>1</v>
      </c>
      <c r="F94" s="29" t="s">
        <v>88</v>
      </c>
      <c r="G94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94">
        <f>G94+($K$7+$L$7+$M$7+$N$7)*($O$7+$P$7+$Q$7)*($R$7+$S$7+$T$7+$U$7)/3</f>
        <v>0.8505</v>
      </c>
      <c r="I94">
        <f>$E$11*E94</f>
        <v>3</v>
      </c>
      <c r="J94">
        <f t="shared" ref="J94:J98" si="20">I94</f>
        <v>3</v>
      </c>
      <c r="K94">
        <f>$F$11*H94</f>
        <v>0.010206</v>
      </c>
      <c r="L94">
        <f t="shared" ref="L94:L98" si="21">J94*K94</f>
        <v>0.030618</v>
      </c>
      <c r="M94">
        <f t="shared" ref="M94:M98" si="22">E94*H94</f>
        <v>0.8505</v>
      </c>
    </row>
    <row r="95" customFormat="1" spans="5:13">
      <c r="E95">
        <v>2</v>
      </c>
      <c r="F95" s="29" t="s">
        <v>89</v>
      </c>
      <c r="G95">
        <f>(1-($K$7+$L$7+$M$7+$N$7))*$O$7*(1-($R$7+$S$7+$T$7+$U$7))+($K$7+$L$7+$M$7+$N$7)*$O$7*(1-($R$7+$S$7+$T$7+$U$7))+(1-($K$7+$L$7+$M$7+$N$7))*$O$7*($R$7+$S$7+$T$7+$U$7)</f>
        <v>0.099</v>
      </c>
      <c r="H95">
        <f>G95+($K$7+$L$7+$M$7+$N$7)*$O$7*($R$7+$S$7+$T$7+$U$7)*2/3</f>
        <v>0.0996666666666667</v>
      </c>
      <c r="I95">
        <f>$E$11*E95</f>
        <v>6</v>
      </c>
      <c r="J95">
        <f t="shared" si="20"/>
        <v>6</v>
      </c>
      <c r="K95">
        <f>$F$11*H95</f>
        <v>0.001196</v>
      </c>
      <c r="L95">
        <f t="shared" si="21"/>
        <v>0.007176</v>
      </c>
      <c r="M95">
        <f t="shared" si="22"/>
        <v>0.199333333333333</v>
      </c>
    </row>
    <row r="96" customFormat="1" spans="5:13">
      <c r="E96">
        <v>3</v>
      </c>
      <c r="F96" s="29" t="s">
        <v>90</v>
      </c>
      <c r="G96">
        <f>(1-($K$7+$L$7+$M$7+$N$7))*$P$7*(1-($R$7+$S$7+$T$7+$U$7))+($K$7+$L$7+$M$7+$N$7)*$P$7*(1-($R$7+$S$7+$T$7+$U$7))+(1-($K$7+$L$7+$M$7+$N$7))*$P$7*($R$7+$S$7+$T$7+$U$7)</f>
        <v>0.0396</v>
      </c>
      <c r="H96">
        <f>G96+($K$7+$L$7+$M$7+$N$7)*$P$7*($R$7+$S$7+$T$7+$U$7)*2/3</f>
        <v>0.0398666666666667</v>
      </c>
      <c r="I96">
        <f t="shared" ref="I96:I101" si="23">$E$11*E96</f>
        <v>9</v>
      </c>
      <c r="J96">
        <f t="shared" si="20"/>
        <v>9</v>
      </c>
      <c r="K96">
        <f t="shared" ref="K96:K101" si="24">$F$11*H96</f>
        <v>0.0004784</v>
      </c>
      <c r="L96">
        <f t="shared" si="21"/>
        <v>0.0043056</v>
      </c>
      <c r="M96">
        <f t="shared" si="22"/>
        <v>0.1196</v>
      </c>
    </row>
    <row r="97" customFormat="1" spans="5:13">
      <c r="E97">
        <v>5</v>
      </c>
      <c r="F97" s="29" t="s">
        <v>91</v>
      </c>
      <c r="G97">
        <f>(1-($K$7+$L$7+$M$7+$N$7))*$Q$7*(1-($R$7+$S$7+$T$7+$U$7))+($K$7+$L$7+$M$7+$N$7)*$Q$7*(1-($R$7+$S$7+$T$7+$U$7))+(1-($K$7+$L$7+$M$7+$N$7))*$Q$7*($R$7+$S$7+$T$7+$U$7)</f>
        <v>0.0099</v>
      </c>
      <c r="H97">
        <f>G97+($K$7+$L$7+$M$7+$N$7)*$Q$7*($R$7+$S$7+$T$7+$U$7)*2/3</f>
        <v>0.00996666666666667</v>
      </c>
      <c r="I97">
        <f t="shared" si="23"/>
        <v>15</v>
      </c>
      <c r="J97">
        <f t="shared" si="20"/>
        <v>15</v>
      </c>
      <c r="K97">
        <f t="shared" si="24"/>
        <v>0.0001196</v>
      </c>
      <c r="L97">
        <f t="shared" si="21"/>
        <v>0.001794</v>
      </c>
      <c r="M97">
        <f t="shared" si="22"/>
        <v>0.0498333333333333</v>
      </c>
    </row>
    <row r="98" customFormat="1" spans="5:13">
      <c r="E98">
        <v>0</v>
      </c>
      <c r="F98" s="34" t="s">
        <v>70</v>
      </c>
      <c r="G98">
        <f>($K$7+$L$7+$M$7+$N$7)*($O$7+$P$7+$Q$7)*($R$7+$S$7+$T$7+$U$7)</f>
        <v>0.0015</v>
      </c>
      <c r="H98">
        <v>0</v>
      </c>
      <c r="I98">
        <f t="shared" si="23"/>
        <v>0</v>
      </c>
      <c r="J98">
        <f t="shared" si="20"/>
        <v>0</v>
      </c>
      <c r="K98">
        <f t="shared" si="24"/>
        <v>0</v>
      </c>
      <c r="L98">
        <f t="shared" si="21"/>
        <v>0</v>
      </c>
      <c r="M98">
        <f t="shared" si="22"/>
        <v>0</v>
      </c>
    </row>
    <row r="99" s="4" customFormat="1" spans="6:13">
      <c r="F99" s="4" t="s">
        <v>42</v>
      </c>
      <c r="G99" s="4">
        <f t="shared" ref="G99:M99" si="25">SUM(G94:G98)</f>
        <v>1</v>
      </c>
      <c r="H99" s="4">
        <f t="shared" si="25"/>
        <v>1</v>
      </c>
      <c r="K99" s="4">
        <f t="shared" si="25"/>
        <v>0.012</v>
      </c>
      <c r="L99" s="4">
        <f t="shared" si="25"/>
        <v>0.0438936</v>
      </c>
      <c r="M99" s="4">
        <f t="shared" si="25"/>
        <v>1.21926666666667</v>
      </c>
    </row>
    <row r="100" spans="2:13">
      <c r="B100" t="s">
        <v>33</v>
      </c>
      <c r="C100" t="s">
        <v>34</v>
      </c>
      <c r="D100">
        <v>3</v>
      </c>
      <c r="E100" t="s">
        <v>53</v>
      </c>
      <c r="F100" t="s">
        <v>54</v>
      </c>
      <c r="G100" t="s">
        <v>55</v>
      </c>
      <c r="H100" t="s">
        <v>56</v>
      </c>
      <c r="I100" t="s">
        <v>57</v>
      </c>
      <c r="J100" t="s">
        <v>58</v>
      </c>
      <c r="K100" t="s">
        <v>59</v>
      </c>
      <c r="L100" t="s">
        <v>60</v>
      </c>
      <c r="M100" t="s">
        <v>71</v>
      </c>
    </row>
    <row r="101" spans="5:13">
      <c r="E101">
        <v>1</v>
      </c>
      <c r="F101" t="s">
        <v>92</v>
      </c>
      <c r="G101">
        <f>G113*D113+D118*G119+D121*G122</f>
        <v>0.936666666666666</v>
      </c>
      <c r="H101">
        <f>G101</f>
        <v>0.936666666666666</v>
      </c>
      <c r="I101">
        <f>$E$12*E101</f>
        <v>2</v>
      </c>
      <c r="J101">
        <f>I101</f>
        <v>2</v>
      </c>
      <c r="K101">
        <f>$F$12*H101</f>
        <v>0.01124</v>
      </c>
      <c r="L101">
        <f>J101*K101</f>
        <v>0.02248</v>
      </c>
      <c r="M101">
        <f>E101*H101</f>
        <v>0.936666666666666</v>
      </c>
    </row>
    <row r="102" spans="5:13">
      <c r="E102">
        <v>2</v>
      </c>
      <c r="F102" t="s">
        <v>93</v>
      </c>
      <c r="G102">
        <f>G114*D113*2</f>
        <v>0.0493999999999999</v>
      </c>
      <c r="H102">
        <f>G102</f>
        <v>0.0493999999999999</v>
      </c>
      <c r="I102">
        <f>$E$12*E102</f>
        <v>4</v>
      </c>
      <c r="J102">
        <f>I102</f>
        <v>4</v>
      </c>
      <c r="K102">
        <f>$F$12*H102</f>
        <v>0.000592799999999999</v>
      </c>
      <c r="L102">
        <f>J102*K102</f>
        <v>0.0023712</v>
      </c>
      <c r="M102">
        <f>E102*H102</f>
        <v>0.0987999999999999</v>
      </c>
    </row>
    <row r="103" spans="5:13">
      <c r="E103">
        <v>3</v>
      </c>
      <c r="F103" t="s">
        <v>94</v>
      </c>
      <c r="G103">
        <f>G115*D113*2</f>
        <v>0.0126666666666667</v>
      </c>
      <c r="H103">
        <f>G103</f>
        <v>0.0126666666666667</v>
      </c>
      <c r="I103">
        <f>$E$12*E103</f>
        <v>6</v>
      </c>
      <c r="J103">
        <f>I103</f>
        <v>6</v>
      </c>
      <c r="K103">
        <f>$F$12*H103</f>
        <v>0.000152</v>
      </c>
      <c r="L103">
        <f>J103*K103</f>
        <v>0.000912000000000002</v>
      </c>
      <c r="M103">
        <f>E103*H103</f>
        <v>0.038</v>
      </c>
    </row>
    <row r="104" spans="5:13">
      <c r="E104">
        <v>5</v>
      </c>
      <c r="F104" t="s">
        <v>95</v>
      </c>
      <c r="G104">
        <f>G116*D113*2</f>
        <v>0.00126666666666667</v>
      </c>
      <c r="H104">
        <f>G104</f>
        <v>0.00126666666666667</v>
      </c>
      <c r="I104">
        <f>$E$12*E104</f>
        <v>10</v>
      </c>
      <c r="J104">
        <f>I104</f>
        <v>10</v>
      </c>
      <c r="K104">
        <f>$F$12*H104</f>
        <v>1.52e-5</v>
      </c>
      <c r="L104">
        <f>J104*K104</f>
        <v>0.000152</v>
      </c>
      <c r="M104">
        <f>E104*H104</f>
        <v>0.00633333333333333</v>
      </c>
    </row>
    <row r="105" s="4" customFormat="1" spans="5:13">
      <c r="E105" s="4" t="s">
        <v>42</v>
      </c>
      <c r="G105" s="4">
        <f t="shared" ref="G105:M105" si="26">SUM(G101:G104)</f>
        <v>0.999999999999999</v>
      </c>
      <c r="K105" s="4">
        <f t="shared" si="26"/>
        <v>0.012</v>
      </c>
      <c r="L105" s="4">
        <f t="shared" si="26"/>
        <v>0.0259152</v>
      </c>
      <c r="M105" s="4">
        <f t="shared" si="26"/>
        <v>1.0798</v>
      </c>
    </row>
    <row r="106" spans="3:13">
      <c r="C106" s="59" t="s">
        <v>96</v>
      </c>
      <c r="D106" s="60" t="s">
        <v>97</v>
      </c>
      <c r="E106" s="60" t="s">
        <v>53</v>
      </c>
      <c r="F106" s="60" t="s">
        <v>54</v>
      </c>
      <c r="G106" s="60" t="s">
        <v>55</v>
      </c>
      <c r="H106" s="60" t="s">
        <v>56</v>
      </c>
      <c r="I106" s="60" t="s">
        <v>57</v>
      </c>
      <c r="J106" s="60" t="s">
        <v>58</v>
      </c>
      <c r="K106" s="60" t="s">
        <v>59</v>
      </c>
      <c r="L106" s="60" t="s">
        <v>60</v>
      </c>
      <c r="M106" s="65" t="s">
        <v>71</v>
      </c>
    </row>
    <row r="107" spans="3:13">
      <c r="C107" s="61" t="s">
        <v>98</v>
      </c>
      <c r="D107" s="62">
        <v>0</v>
      </c>
      <c r="E107" s="62">
        <v>1</v>
      </c>
      <c r="F107" s="62" t="s">
        <v>99</v>
      </c>
      <c r="G107" s="62"/>
      <c r="H107" s="62"/>
      <c r="I107" s="62"/>
      <c r="J107" s="62"/>
      <c r="K107" s="62"/>
      <c r="L107" s="62"/>
      <c r="M107" s="66"/>
    </row>
    <row r="108" spans="3:13">
      <c r="C108" s="61"/>
      <c r="D108" s="62"/>
      <c r="E108" s="62">
        <v>1</v>
      </c>
      <c r="F108" s="62" t="s">
        <v>100</v>
      </c>
      <c r="G108" s="62"/>
      <c r="H108" s="62"/>
      <c r="I108" s="62"/>
      <c r="J108" s="62"/>
      <c r="K108" s="62"/>
      <c r="L108" s="62"/>
      <c r="M108" s="66"/>
    </row>
    <row r="109" spans="3:13">
      <c r="C109" s="61"/>
      <c r="D109" s="62"/>
      <c r="E109" s="62">
        <v>3</v>
      </c>
      <c r="F109" s="62" t="s">
        <v>101</v>
      </c>
      <c r="G109" s="62"/>
      <c r="H109" s="62"/>
      <c r="I109" s="62"/>
      <c r="J109" s="62"/>
      <c r="K109" s="62"/>
      <c r="L109" s="62"/>
      <c r="M109" s="66"/>
    </row>
    <row r="110" spans="3:13">
      <c r="C110" s="61"/>
      <c r="D110" s="62"/>
      <c r="E110" s="62">
        <v>5</v>
      </c>
      <c r="F110" s="62" t="s">
        <v>102</v>
      </c>
      <c r="G110" s="62"/>
      <c r="H110" s="62"/>
      <c r="I110" s="62"/>
      <c r="J110" s="62"/>
      <c r="K110" s="62"/>
      <c r="L110" s="62"/>
      <c r="M110" s="66"/>
    </row>
    <row r="111" spans="3:13">
      <c r="C111" s="61"/>
      <c r="D111" s="62"/>
      <c r="E111" s="62" t="s">
        <v>42</v>
      </c>
      <c r="F111" s="62"/>
      <c r="G111" s="62"/>
      <c r="H111" s="62"/>
      <c r="I111" s="62"/>
      <c r="J111" s="62"/>
      <c r="K111" s="62"/>
      <c r="L111" s="62"/>
      <c r="M111" s="66"/>
    </row>
    <row r="112" spans="3:13">
      <c r="C112" s="61"/>
      <c r="D112" s="62"/>
      <c r="E112" s="62" t="s">
        <v>53</v>
      </c>
      <c r="F112" s="62" t="s">
        <v>54</v>
      </c>
      <c r="G112" s="62" t="s">
        <v>55</v>
      </c>
      <c r="H112" s="62" t="s">
        <v>56</v>
      </c>
      <c r="I112" s="62" t="s">
        <v>57</v>
      </c>
      <c r="J112" s="62" t="s">
        <v>58</v>
      </c>
      <c r="K112" s="62" t="s">
        <v>59</v>
      </c>
      <c r="L112" s="62" t="s">
        <v>60</v>
      </c>
      <c r="M112" s="66" t="s">
        <v>71</v>
      </c>
    </row>
    <row r="113" spans="3:13">
      <c r="C113" s="61" t="s">
        <v>103</v>
      </c>
      <c r="D113" s="62">
        <v>0.333333333333333</v>
      </c>
      <c r="E113" s="62">
        <v>1</v>
      </c>
      <c r="F113" s="62" t="s">
        <v>104</v>
      </c>
      <c r="G113" s="62">
        <f>0.81+0.19/2</f>
        <v>0.905</v>
      </c>
      <c r="H113" s="62"/>
      <c r="I113" s="62"/>
      <c r="J113" s="62"/>
      <c r="K113" s="62"/>
      <c r="L113" s="62"/>
      <c r="M113" s="66"/>
    </row>
    <row r="114" spans="3:13">
      <c r="C114" s="61"/>
      <c r="D114" s="62"/>
      <c r="E114" s="62">
        <v>2</v>
      </c>
      <c r="F114" s="62" t="s">
        <v>93</v>
      </c>
      <c r="G114" s="62">
        <f>0.19*0.78/2</f>
        <v>0.0741</v>
      </c>
      <c r="H114" s="62"/>
      <c r="I114" s="62"/>
      <c r="J114" s="62"/>
      <c r="K114" s="62"/>
      <c r="L114" s="62"/>
      <c r="M114" s="66"/>
    </row>
    <row r="115" spans="3:13">
      <c r="C115" s="61"/>
      <c r="D115" s="62"/>
      <c r="E115" s="62">
        <v>3</v>
      </c>
      <c r="F115" s="62" t="s">
        <v>94</v>
      </c>
      <c r="G115" s="62">
        <f>0.19*0.2/2</f>
        <v>0.019</v>
      </c>
      <c r="H115" s="62"/>
      <c r="I115" s="62"/>
      <c r="J115" s="62"/>
      <c r="K115" s="62"/>
      <c r="L115" s="62"/>
      <c r="M115" s="66"/>
    </row>
    <row r="116" spans="3:13">
      <c r="C116" s="61"/>
      <c r="D116" s="62"/>
      <c r="E116" s="62">
        <v>5</v>
      </c>
      <c r="F116" s="62" t="s">
        <v>95</v>
      </c>
      <c r="G116" s="62">
        <f>0.19*0.02/2</f>
        <v>0.0019</v>
      </c>
      <c r="H116" s="62"/>
      <c r="I116" s="62"/>
      <c r="J116" s="62"/>
      <c r="K116" s="62"/>
      <c r="L116" s="62"/>
      <c r="M116" s="66"/>
    </row>
    <row r="117" spans="3:13">
      <c r="C117" s="61"/>
      <c r="D117" s="62"/>
      <c r="E117" s="62" t="s">
        <v>42</v>
      </c>
      <c r="F117" s="62"/>
      <c r="G117" s="62">
        <f>SUM(G113:G116)</f>
        <v>1</v>
      </c>
      <c r="H117" s="62"/>
      <c r="I117" s="62"/>
      <c r="J117" s="62"/>
      <c r="K117" s="62"/>
      <c r="L117" s="62"/>
      <c r="M117" s="66"/>
    </row>
    <row r="118" spans="3:13">
      <c r="C118" s="61" t="s">
        <v>105</v>
      </c>
      <c r="D118" s="62">
        <v>0.333333333333333</v>
      </c>
      <c r="E118" s="62" t="s">
        <v>53</v>
      </c>
      <c r="F118" s="62" t="s">
        <v>54</v>
      </c>
      <c r="G118" s="62" t="s">
        <v>55</v>
      </c>
      <c r="H118" s="62" t="s">
        <v>56</v>
      </c>
      <c r="I118" s="62" t="s">
        <v>57</v>
      </c>
      <c r="J118" s="62" t="s">
        <v>58</v>
      </c>
      <c r="K118" s="62" t="s">
        <v>59</v>
      </c>
      <c r="L118" s="62" t="s">
        <v>60</v>
      </c>
      <c r="M118" s="66" t="s">
        <v>71</v>
      </c>
    </row>
    <row r="119" spans="3:13">
      <c r="C119" s="61"/>
      <c r="D119" s="62"/>
      <c r="E119" s="62">
        <v>1</v>
      </c>
      <c r="F119" s="62" t="s">
        <v>106</v>
      </c>
      <c r="G119" s="62">
        <v>1</v>
      </c>
      <c r="H119" s="62"/>
      <c r="I119" s="62"/>
      <c r="J119" s="62"/>
      <c r="K119" s="62"/>
      <c r="L119" s="62"/>
      <c r="M119" s="66"/>
    </row>
    <row r="120" spans="3:13">
      <c r="C120" s="61"/>
      <c r="D120" s="62"/>
      <c r="E120" s="62" t="s">
        <v>42</v>
      </c>
      <c r="F120" s="62"/>
      <c r="G120" s="62">
        <v>1</v>
      </c>
      <c r="H120" s="62"/>
      <c r="I120" s="62"/>
      <c r="J120" s="62"/>
      <c r="K120" s="62"/>
      <c r="L120" s="62"/>
      <c r="M120" s="66"/>
    </row>
    <row r="121" spans="3:13">
      <c r="C121" s="61" t="s">
        <v>107</v>
      </c>
      <c r="D121" s="62">
        <v>0.333333333333333</v>
      </c>
      <c r="E121" s="62" t="s">
        <v>53</v>
      </c>
      <c r="F121" s="62" t="s">
        <v>54</v>
      </c>
      <c r="G121" s="62" t="s">
        <v>55</v>
      </c>
      <c r="H121" s="62" t="s">
        <v>56</v>
      </c>
      <c r="I121" s="62" t="s">
        <v>57</v>
      </c>
      <c r="J121" s="62" t="s">
        <v>58</v>
      </c>
      <c r="K121" s="62" t="s">
        <v>59</v>
      </c>
      <c r="L121" s="62" t="s">
        <v>60</v>
      </c>
      <c r="M121" s="66" t="s">
        <v>71</v>
      </c>
    </row>
    <row r="122" spans="3:13">
      <c r="C122" s="61"/>
      <c r="D122" s="62"/>
      <c r="E122" s="62">
        <v>1</v>
      </c>
      <c r="F122" s="62" t="s">
        <v>108</v>
      </c>
      <c r="G122" s="62">
        <f>0.81+0.19/2</f>
        <v>0.905</v>
      </c>
      <c r="H122" s="62"/>
      <c r="I122" s="62"/>
      <c r="J122" s="62"/>
      <c r="K122" s="62"/>
      <c r="L122" s="62"/>
      <c r="M122" s="66"/>
    </row>
    <row r="123" spans="3:13">
      <c r="C123" s="61"/>
      <c r="D123" s="62"/>
      <c r="E123" s="62">
        <v>2</v>
      </c>
      <c r="F123" s="62" t="s">
        <v>93</v>
      </c>
      <c r="G123" s="62">
        <f>0.19*0.78/2</f>
        <v>0.0741</v>
      </c>
      <c r="H123" s="62"/>
      <c r="I123" s="62"/>
      <c r="J123" s="62"/>
      <c r="K123" s="62"/>
      <c r="L123" s="62"/>
      <c r="M123" s="66"/>
    </row>
    <row r="124" spans="3:13">
      <c r="C124" s="61"/>
      <c r="D124" s="62"/>
      <c r="E124" s="62">
        <v>3</v>
      </c>
      <c r="F124" s="62" t="s">
        <v>94</v>
      </c>
      <c r="G124" s="62">
        <f>0.19*0.2/2</f>
        <v>0.019</v>
      </c>
      <c r="H124" s="62"/>
      <c r="I124" s="62"/>
      <c r="J124" s="62"/>
      <c r="K124" s="62"/>
      <c r="L124" s="62"/>
      <c r="M124" s="66"/>
    </row>
    <row r="125" spans="3:13">
      <c r="C125" s="61"/>
      <c r="D125" s="62"/>
      <c r="E125" s="62">
        <v>5</v>
      </c>
      <c r="F125" s="62" t="s">
        <v>95</v>
      </c>
      <c r="G125" s="62">
        <f>0.19*0.02/2</f>
        <v>0.0019</v>
      </c>
      <c r="H125" s="62"/>
      <c r="I125" s="62"/>
      <c r="J125" s="62"/>
      <c r="K125" s="62"/>
      <c r="L125" s="62"/>
      <c r="M125" s="66"/>
    </row>
    <row r="126" spans="3:13">
      <c r="C126" s="63"/>
      <c r="D126" s="64"/>
      <c r="E126" s="64" t="s">
        <v>42</v>
      </c>
      <c r="F126" s="64"/>
      <c r="G126" s="62">
        <f>SUM(G122:G125)</f>
        <v>1</v>
      </c>
      <c r="H126" s="64"/>
      <c r="I126" s="64"/>
      <c r="J126" s="64"/>
      <c r="K126" s="64"/>
      <c r="L126" s="64"/>
      <c r="M126" s="67"/>
    </row>
    <row r="127" spans="2:13">
      <c r="B127" t="s">
        <v>35</v>
      </c>
      <c r="C127" t="s">
        <v>34</v>
      </c>
      <c r="D127">
        <v>3</v>
      </c>
      <c r="E127" t="s">
        <v>53</v>
      </c>
      <c r="F127" t="s">
        <v>54</v>
      </c>
      <c r="G127" t="s">
        <v>55</v>
      </c>
      <c r="H127" t="s">
        <v>56</v>
      </c>
      <c r="I127" t="s">
        <v>57</v>
      </c>
      <c r="J127" t="s">
        <v>58</v>
      </c>
      <c r="K127" t="s">
        <v>59</v>
      </c>
      <c r="L127" t="s">
        <v>60</v>
      </c>
      <c r="M127" t="s">
        <v>71</v>
      </c>
    </row>
    <row r="128" spans="5:13">
      <c r="E128">
        <v>1</v>
      </c>
      <c r="F128" t="s">
        <v>92</v>
      </c>
      <c r="G128">
        <f>D134*G134+D140*G140+D145*G146+D148*G149</f>
        <v>0.926541666666666</v>
      </c>
      <c r="H128">
        <f>G128</f>
        <v>0.926541666666666</v>
      </c>
      <c r="I128">
        <f>$E$13*E128</f>
        <v>1</v>
      </c>
      <c r="J128">
        <f>I128</f>
        <v>1</v>
      </c>
      <c r="K128">
        <f>$F$13*H128</f>
        <v>0.02779625</v>
      </c>
      <c r="L128">
        <f>J128*K128</f>
        <v>0.02779625</v>
      </c>
      <c r="M128">
        <f>E128*H128</f>
        <v>0.926541666666666</v>
      </c>
    </row>
    <row r="129" spans="5:13">
      <c r="E129">
        <v>2</v>
      </c>
      <c r="F129" t="s">
        <v>93</v>
      </c>
      <c r="G129">
        <f>D134*G135+D140*G141+D148*G150</f>
        <v>0.0572974999999999</v>
      </c>
      <c r="H129">
        <f>G129</f>
        <v>0.0572974999999999</v>
      </c>
      <c r="I129">
        <f>$E$13*E129</f>
        <v>2</v>
      </c>
      <c r="J129">
        <f>I129</f>
        <v>2</v>
      </c>
      <c r="K129">
        <f>$F$13*H129</f>
        <v>0.001718925</v>
      </c>
      <c r="L129">
        <f>J129*K129</f>
        <v>0.00343785</v>
      </c>
      <c r="M129">
        <f>E129*H129</f>
        <v>0.114595</v>
      </c>
    </row>
    <row r="130" spans="5:13">
      <c r="E130">
        <v>3</v>
      </c>
      <c r="F130" t="s">
        <v>94</v>
      </c>
      <c r="G130">
        <f>D134*G136+D140*G142+D148*G151</f>
        <v>0.0146916666666667</v>
      </c>
      <c r="H130">
        <f>G130</f>
        <v>0.0146916666666667</v>
      </c>
      <c r="I130">
        <f>$E$13*E130</f>
        <v>3</v>
      </c>
      <c r="J130">
        <f>I130</f>
        <v>3</v>
      </c>
      <c r="K130">
        <f>$F$13*H130</f>
        <v>0.00044075</v>
      </c>
      <c r="L130">
        <f>J130*K130</f>
        <v>0.00132225</v>
      </c>
      <c r="M130">
        <f>E130*H130</f>
        <v>0.044075</v>
      </c>
    </row>
    <row r="131" spans="5:13">
      <c r="E131">
        <v>5</v>
      </c>
      <c r="F131" t="s">
        <v>95</v>
      </c>
      <c r="G131">
        <f>D134*G137+D140*G143+D148*G152</f>
        <v>0.00146916666666667</v>
      </c>
      <c r="H131">
        <f>G131</f>
        <v>0.00146916666666667</v>
      </c>
      <c r="I131">
        <f>$E$13*E131</f>
        <v>5</v>
      </c>
      <c r="J131">
        <f>I131</f>
        <v>5</v>
      </c>
      <c r="K131">
        <f>$F$13*H131</f>
        <v>4.4075e-5</v>
      </c>
      <c r="L131">
        <f>J131*K131</f>
        <v>0.000220375</v>
      </c>
      <c r="M131">
        <f>E131*H131</f>
        <v>0.00734583333333333</v>
      </c>
    </row>
    <row r="132" s="4" customFormat="1" spans="5:13">
      <c r="E132" s="4" t="s">
        <v>42</v>
      </c>
      <c r="G132" s="4">
        <f t="shared" ref="G132:M132" si="27">SUM(G128:G131)</f>
        <v>0.999999999999999</v>
      </c>
      <c r="K132" s="4">
        <f t="shared" si="27"/>
        <v>0.03</v>
      </c>
      <c r="L132" s="4">
        <f t="shared" si="27"/>
        <v>0.032776725</v>
      </c>
      <c r="M132" s="4">
        <f t="shared" si="27"/>
        <v>1.0925575</v>
      </c>
    </row>
    <row r="133" spans="3:13">
      <c r="C133" s="59" t="s">
        <v>96</v>
      </c>
      <c r="D133" s="60" t="s">
        <v>97</v>
      </c>
      <c r="E133" s="60" t="s">
        <v>53</v>
      </c>
      <c r="F133" s="60" t="s">
        <v>54</v>
      </c>
      <c r="G133" s="60" t="s">
        <v>55</v>
      </c>
      <c r="H133" s="60" t="s">
        <v>56</v>
      </c>
      <c r="I133" s="60" t="s">
        <v>57</v>
      </c>
      <c r="J133" s="60" t="s">
        <v>58</v>
      </c>
      <c r="K133" s="60" t="s">
        <v>59</v>
      </c>
      <c r="L133" s="60" t="s">
        <v>60</v>
      </c>
      <c r="M133" s="65" t="s">
        <v>71</v>
      </c>
    </row>
    <row r="134" spans="3:13">
      <c r="C134" s="61" t="s">
        <v>98</v>
      </c>
      <c r="D134" s="62">
        <v>0.375</v>
      </c>
      <c r="E134" s="62">
        <v>1</v>
      </c>
      <c r="F134" s="62" t="s">
        <v>106</v>
      </c>
      <c r="G134" s="62">
        <f>0.9^3+(1-0.9^3)*2/3</f>
        <v>0.909666666666667</v>
      </c>
      <c r="H134" s="62"/>
      <c r="I134" s="62"/>
      <c r="J134" s="62"/>
      <c r="K134" s="62"/>
      <c r="L134" s="62"/>
      <c r="M134" s="66"/>
    </row>
    <row r="135" spans="3:13">
      <c r="C135" s="61"/>
      <c r="D135" s="62"/>
      <c r="E135" s="62">
        <v>2</v>
      </c>
      <c r="F135" s="62" t="s">
        <v>93</v>
      </c>
      <c r="G135" s="62">
        <f t="shared" ref="G135:G137" si="28">(1-0.9^3)*0.78/3</f>
        <v>0.07046</v>
      </c>
      <c r="H135" s="62"/>
      <c r="I135" s="62"/>
      <c r="J135" s="62"/>
      <c r="K135" s="62"/>
      <c r="L135" s="62"/>
      <c r="M135" s="66"/>
    </row>
    <row r="136" spans="3:13">
      <c r="C136" s="61"/>
      <c r="D136" s="62"/>
      <c r="E136" s="62">
        <v>3</v>
      </c>
      <c r="F136" s="62" t="s">
        <v>94</v>
      </c>
      <c r="G136" s="62">
        <f>(1-0.9^3)*0.2/3</f>
        <v>0.0180666666666667</v>
      </c>
      <c r="H136" s="62"/>
      <c r="I136" s="62"/>
      <c r="J136" s="62"/>
      <c r="K136" s="62"/>
      <c r="L136" s="62"/>
      <c r="M136" s="66"/>
    </row>
    <row r="137" spans="3:13">
      <c r="C137" s="61"/>
      <c r="D137" s="62"/>
      <c r="E137" s="62">
        <v>5</v>
      </c>
      <c r="F137" s="62" t="s">
        <v>95</v>
      </c>
      <c r="G137" s="62">
        <f>(1-0.9^3)*0.02/3</f>
        <v>0.00180666666666667</v>
      </c>
      <c r="H137" s="62"/>
      <c r="I137" s="62"/>
      <c r="J137" s="62"/>
      <c r="K137" s="62"/>
      <c r="L137" s="62"/>
      <c r="M137" s="66"/>
    </row>
    <row r="138" spans="3:13">
      <c r="C138" s="61"/>
      <c r="D138" s="62"/>
      <c r="E138" s="62" t="s">
        <v>42</v>
      </c>
      <c r="F138" s="62"/>
      <c r="G138" s="62">
        <f>SUM(G134:G137)</f>
        <v>1</v>
      </c>
      <c r="H138" s="62"/>
      <c r="I138" s="62"/>
      <c r="J138" s="62"/>
      <c r="K138" s="62"/>
      <c r="L138" s="62"/>
      <c r="M138" s="66"/>
    </row>
    <row r="139" spans="3:13">
      <c r="C139" s="61"/>
      <c r="D139" s="62"/>
      <c r="E139" s="62" t="s">
        <v>53</v>
      </c>
      <c r="F139" s="62" t="s">
        <v>54</v>
      </c>
      <c r="G139" s="62" t="s">
        <v>55</v>
      </c>
      <c r="H139" s="62" t="s">
        <v>56</v>
      </c>
      <c r="I139" s="62" t="s">
        <v>57</v>
      </c>
      <c r="J139" s="62" t="s">
        <v>58</v>
      </c>
      <c r="K139" s="62" t="s">
        <v>59</v>
      </c>
      <c r="L139" s="62" t="s">
        <v>60</v>
      </c>
      <c r="M139" s="66" t="s">
        <v>71</v>
      </c>
    </row>
    <row r="140" spans="3:13">
      <c r="C140" s="61" t="s">
        <v>103</v>
      </c>
      <c r="D140" s="62">
        <v>0.208333333333333</v>
      </c>
      <c r="E140" s="62">
        <v>1</v>
      </c>
      <c r="F140" s="62" t="s">
        <v>104</v>
      </c>
      <c r="G140" s="62">
        <f>0.81+0.19/2</f>
        <v>0.905</v>
      </c>
      <c r="H140" s="62"/>
      <c r="I140" s="62"/>
      <c r="J140" s="62"/>
      <c r="K140" s="62"/>
      <c r="L140" s="62"/>
      <c r="M140" s="66"/>
    </row>
    <row r="141" spans="3:13">
      <c r="C141" s="61"/>
      <c r="D141" s="62"/>
      <c r="E141" s="62">
        <v>2</v>
      </c>
      <c r="F141" s="62" t="s">
        <v>93</v>
      </c>
      <c r="G141" s="62">
        <f>0.19*0.78/2</f>
        <v>0.0741</v>
      </c>
      <c r="H141" s="62"/>
      <c r="I141" s="62"/>
      <c r="J141" s="62"/>
      <c r="K141" s="62"/>
      <c r="L141" s="62"/>
      <c r="M141" s="66"/>
    </row>
    <row r="142" spans="3:13">
      <c r="C142" s="61"/>
      <c r="D142" s="62"/>
      <c r="E142" s="62">
        <v>3</v>
      </c>
      <c r="F142" s="62" t="s">
        <v>94</v>
      </c>
      <c r="G142" s="62">
        <f>0.19*0.2/2</f>
        <v>0.019</v>
      </c>
      <c r="H142" s="62"/>
      <c r="I142" s="62"/>
      <c r="J142" s="62"/>
      <c r="K142" s="62"/>
      <c r="L142" s="62"/>
      <c r="M142" s="66"/>
    </row>
    <row r="143" spans="3:13">
      <c r="C143" s="61"/>
      <c r="D143" s="62"/>
      <c r="E143" s="62">
        <v>5</v>
      </c>
      <c r="F143" s="62" t="s">
        <v>95</v>
      </c>
      <c r="G143" s="62">
        <f>0.19*0.02/2</f>
        <v>0.0019</v>
      </c>
      <c r="H143" s="62"/>
      <c r="I143" s="62"/>
      <c r="J143" s="62"/>
      <c r="K143" s="62"/>
      <c r="L143" s="62"/>
      <c r="M143" s="66"/>
    </row>
    <row r="144" spans="3:13">
      <c r="C144" s="61"/>
      <c r="D144" s="62"/>
      <c r="E144" s="62" t="s">
        <v>42</v>
      </c>
      <c r="F144" s="62"/>
      <c r="G144" s="62">
        <f>SUM(G140:G143)</f>
        <v>1</v>
      </c>
      <c r="H144" s="62"/>
      <c r="I144" s="62"/>
      <c r="J144" s="62"/>
      <c r="K144" s="62"/>
      <c r="L144" s="62"/>
      <c r="M144" s="66"/>
    </row>
    <row r="145" spans="3:13">
      <c r="C145" s="61" t="s">
        <v>105</v>
      </c>
      <c r="D145" s="62">
        <v>0.208333333333333</v>
      </c>
      <c r="E145" s="62" t="s">
        <v>53</v>
      </c>
      <c r="F145" s="62" t="s">
        <v>54</v>
      </c>
      <c r="G145" s="62" t="s">
        <v>55</v>
      </c>
      <c r="H145" s="62" t="s">
        <v>56</v>
      </c>
      <c r="I145" s="62" t="s">
        <v>57</v>
      </c>
      <c r="J145" s="62" t="s">
        <v>58</v>
      </c>
      <c r="K145" s="62" t="s">
        <v>59</v>
      </c>
      <c r="L145" s="62" t="s">
        <v>60</v>
      </c>
      <c r="M145" s="66" t="s">
        <v>71</v>
      </c>
    </row>
    <row r="146" spans="3:13">
      <c r="C146" s="61"/>
      <c r="D146" s="62"/>
      <c r="E146" s="62">
        <v>1</v>
      </c>
      <c r="F146" s="62" t="s">
        <v>106</v>
      </c>
      <c r="G146" s="62">
        <v>1</v>
      </c>
      <c r="H146" s="62"/>
      <c r="I146" s="62"/>
      <c r="J146" s="62"/>
      <c r="K146" s="62"/>
      <c r="L146" s="62"/>
      <c r="M146" s="66"/>
    </row>
    <row r="147" spans="3:13">
      <c r="C147" s="61"/>
      <c r="D147" s="62"/>
      <c r="E147" s="62" t="s">
        <v>42</v>
      </c>
      <c r="F147" s="62"/>
      <c r="G147" s="62">
        <v>1</v>
      </c>
      <c r="H147" s="62"/>
      <c r="I147" s="62"/>
      <c r="J147" s="62"/>
      <c r="K147" s="62"/>
      <c r="L147" s="62"/>
      <c r="M147" s="66"/>
    </row>
    <row r="148" spans="3:13">
      <c r="C148" s="61" t="s">
        <v>107</v>
      </c>
      <c r="D148" s="62">
        <v>0.208333333333333</v>
      </c>
      <c r="E148" s="62" t="s">
        <v>53</v>
      </c>
      <c r="F148" s="62" t="s">
        <v>54</v>
      </c>
      <c r="G148" s="62" t="s">
        <v>55</v>
      </c>
      <c r="H148" s="62" t="s">
        <v>56</v>
      </c>
      <c r="I148" s="62" t="s">
        <v>57</v>
      </c>
      <c r="J148" s="62" t="s">
        <v>58</v>
      </c>
      <c r="K148" s="62" t="s">
        <v>59</v>
      </c>
      <c r="L148" s="62" t="s">
        <v>60</v>
      </c>
      <c r="M148" s="66" t="s">
        <v>71</v>
      </c>
    </row>
    <row r="149" spans="3:13">
      <c r="C149" s="61"/>
      <c r="D149" s="62"/>
      <c r="E149" s="62">
        <v>1</v>
      </c>
      <c r="F149" s="62" t="s">
        <v>108</v>
      </c>
      <c r="G149" s="62">
        <f>0.81+0.19/2</f>
        <v>0.905</v>
      </c>
      <c r="H149" s="62"/>
      <c r="I149" s="62"/>
      <c r="J149" s="62"/>
      <c r="K149" s="62"/>
      <c r="L149" s="62"/>
      <c r="M149" s="66"/>
    </row>
    <row r="150" spans="3:13">
      <c r="C150" s="61"/>
      <c r="D150" s="62"/>
      <c r="E150" s="62">
        <v>2</v>
      </c>
      <c r="F150" s="62" t="s">
        <v>93</v>
      </c>
      <c r="G150" s="62">
        <f>0.19*0.78/2</f>
        <v>0.0741</v>
      </c>
      <c r="H150" s="62"/>
      <c r="I150" s="62"/>
      <c r="J150" s="62"/>
      <c r="K150" s="62"/>
      <c r="L150" s="62"/>
      <c r="M150" s="66"/>
    </row>
    <row r="151" spans="3:13">
      <c r="C151" s="61"/>
      <c r="D151" s="62"/>
      <c r="E151" s="62">
        <v>3</v>
      </c>
      <c r="F151" s="62" t="s">
        <v>94</v>
      </c>
      <c r="G151" s="62">
        <f>0.19*0.2/2</f>
        <v>0.019</v>
      </c>
      <c r="H151" s="62"/>
      <c r="I151" s="62"/>
      <c r="J151" s="62"/>
      <c r="K151" s="62"/>
      <c r="L151" s="62"/>
      <c r="M151" s="66"/>
    </row>
    <row r="152" spans="3:13">
      <c r="C152" s="61"/>
      <c r="D152" s="62"/>
      <c r="E152" s="62">
        <v>5</v>
      </c>
      <c r="F152" s="62" t="s">
        <v>95</v>
      </c>
      <c r="G152" s="62">
        <f>0.19*0.02/2</f>
        <v>0.0019</v>
      </c>
      <c r="H152" s="62"/>
      <c r="I152" s="62"/>
      <c r="J152" s="62"/>
      <c r="K152" s="62"/>
      <c r="L152" s="62"/>
      <c r="M152" s="66"/>
    </row>
    <row r="153" spans="3:13">
      <c r="C153" s="63"/>
      <c r="D153" s="64"/>
      <c r="E153" s="64" t="s">
        <v>42</v>
      </c>
      <c r="F153" s="64"/>
      <c r="G153" s="62">
        <f>SUM(G149:G152)</f>
        <v>1</v>
      </c>
      <c r="H153" s="64"/>
      <c r="I153" s="64"/>
      <c r="J153" s="64"/>
      <c r="K153" s="64"/>
      <c r="L153" s="64"/>
      <c r="M153" s="67"/>
    </row>
    <row r="154" customFormat="1" ht="14.25" spans="2:17">
      <c r="B154" s="3" t="s">
        <v>51</v>
      </c>
      <c r="C154" s="3" t="s">
        <v>52</v>
      </c>
      <c r="D154" s="10" t="s">
        <v>4</v>
      </c>
      <c r="E154" s="13" t="s">
        <v>53</v>
      </c>
      <c r="F154" s="13" t="s">
        <v>54</v>
      </c>
      <c r="G154" s="13" t="s">
        <v>55</v>
      </c>
      <c r="H154" s="13" t="s">
        <v>56</v>
      </c>
      <c r="I154" s="13" t="s">
        <v>57</v>
      </c>
      <c r="J154" s="13" t="s">
        <v>58</v>
      </c>
      <c r="K154" s="13" t="s">
        <v>59</v>
      </c>
      <c r="L154" s="13" t="s">
        <v>60</v>
      </c>
      <c r="M154" t="s">
        <v>71</v>
      </c>
      <c r="N154" s="13"/>
      <c r="P154" s="18"/>
      <c r="Q154" s="18"/>
    </row>
    <row r="155" ht="14.25" spans="2:13">
      <c r="B155" s="7" t="s">
        <v>26</v>
      </c>
      <c r="C155" s="7" t="s">
        <v>34</v>
      </c>
      <c r="D155" s="49">
        <v>2</v>
      </c>
      <c r="E155" s="49">
        <v>1</v>
      </c>
      <c r="G155">
        <v>1</v>
      </c>
      <c r="H155">
        <v>1</v>
      </c>
      <c r="I155">
        <f>$E$14*E155</f>
        <v>1</v>
      </c>
      <c r="J155">
        <f>I155+F46*2+F46*1.5</f>
        <v>10.7588227916667</v>
      </c>
      <c r="K155">
        <f>$F$14*H155</f>
        <v>0.02</v>
      </c>
      <c r="L155">
        <f>J155*K155</f>
        <v>0.215176455833334</v>
      </c>
      <c r="M155">
        <v>1</v>
      </c>
    </row>
    <row r="156" ht="14.25" spans="2:13">
      <c r="B156" s="7" t="s">
        <v>26</v>
      </c>
      <c r="C156" s="7" t="s">
        <v>34</v>
      </c>
      <c r="D156" s="7">
        <v>1</v>
      </c>
      <c r="E156" s="7">
        <v>1</v>
      </c>
      <c r="G156">
        <v>1</v>
      </c>
      <c r="H156">
        <v>1</v>
      </c>
      <c r="I156">
        <f>$E$15*E156</f>
        <v>1</v>
      </c>
      <c r="J156">
        <f>I156+F46*1+F46*1.5</f>
        <v>7.97058770833335</v>
      </c>
      <c r="K156">
        <f>$F$15*H156</f>
        <v>0.03</v>
      </c>
      <c r="L156">
        <f>J156*K156</f>
        <v>0.23911763125</v>
      </c>
      <c r="M156">
        <v>1</v>
      </c>
    </row>
    <row r="157" customFormat="1" ht="22.5" spans="1:14">
      <c r="A157" s="50" t="s">
        <v>109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customFormat="1" ht="14.25" spans="2:14">
      <c r="B158" t="s">
        <v>51</v>
      </c>
      <c r="C158" t="s">
        <v>110</v>
      </c>
      <c r="D158" s="51" t="s">
        <v>111</v>
      </c>
      <c r="E158" s="13" t="s">
        <v>39</v>
      </c>
      <c r="F158" s="13"/>
      <c r="G158" s="13"/>
      <c r="H158" s="13"/>
      <c r="I158" s="13"/>
      <c r="J158" s="13"/>
      <c r="K158" s="13"/>
      <c r="L158" s="13"/>
      <c r="M158" s="13"/>
      <c r="N158" s="13"/>
    </row>
    <row r="159" ht="14.25" spans="2:5">
      <c r="B159" s="7" t="s">
        <v>22</v>
      </c>
      <c r="C159">
        <f>J49</f>
        <v>500</v>
      </c>
      <c r="D159">
        <f>K49</f>
        <v>1e-5</v>
      </c>
      <c r="E159">
        <f>(C159-$D$30)^2*D159</f>
        <v>2.49153192430142</v>
      </c>
    </row>
    <row r="160" ht="14.25" spans="2:5">
      <c r="B160" s="7" t="s">
        <v>24</v>
      </c>
      <c r="C160">
        <f>J50</f>
        <v>300</v>
      </c>
      <c r="D160">
        <f>K50</f>
        <v>2e-5</v>
      </c>
      <c r="E160">
        <f t="shared" ref="E160:E193" si="29">(C160-$D$30)^2*D160</f>
        <v>1.7898440555625</v>
      </c>
    </row>
    <row r="161" ht="14.25" spans="2:5">
      <c r="B161" s="7" t="s">
        <v>25</v>
      </c>
      <c r="C161">
        <f>J51</f>
        <v>200</v>
      </c>
      <c r="D161">
        <f>K51</f>
        <v>4e-5</v>
      </c>
      <c r="E161">
        <f t="shared" si="29"/>
        <v>1.58646831808468</v>
      </c>
    </row>
    <row r="162" spans="2:5">
      <c r="B162" s="3" t="s">
        <v>26</v>
      </c>
      <c r="C162">
        <f>J53</f>
        <v>37.547057875</v>
      </c>
      <c r="D162">
        <f>K53</f>
        <v>0.001</v>
      </c>
      <c r="E162">
        <f t="shared" si="29"/>
        <v>1.34685564938908</v>
      </c>
    </row>
    <row r="163" ht="14.25" spans="2:5">
      <c r="B163" s="7" t="s">
        <v>28</v>
      </c>
      <c r="C163">
        <f>J66</f>
        <v>20</v>
      </c>
      <c r="D163">
        <f>K66</f>
        <v>0.0025515</v>
      </c>
      <c r="E163">
        <f t="shared" si="29"/>
        <v>0.935934252417837</v>
      </c>
    </row>
    <row r="164" spans="3:5">
      <c r="C164">
        <f>J67</f>
        <v>40</v>
      </c>
      <c r="D164">
        <f>K67</f>
        <v>0.000299</v>
      </c>
      <c r="E164">
        <f t="shared" si="29"/>
        <v>0.458341952920571</v>
      </c>
    </row>
    <row r="165" spans="3:5">
      <c r="C165">
        <f>J68</f>
        <v>60</v>
      </c>
      <c r="D165">
        <f>K68</f>
        <v>0.0001196</v>
      </c>
      <c r="E165">
        <f t="shared" si="29"/>
        <v>0.418482217406348</v>
      </c>
    </row>
    <row r="166" spans="3:5">
      <c r="C166">
        <f>J69</f>
        <v>100</v>
      </c>
      <c r="D166">
        <f>K69</f>
        <v>2.99e-5</v>
      </c>
      <c r="E166">
        <f t="shared" si="29"/>
        <v>0.293953272470647</v>
      </c>
    </row>
    <row r="167" ht="14.25" spans="2:5">
      <c r="B167" s="7" t="s">
        <v>29</v>
      </c>
      <c r="C167">
        <f>J73</f>
        <v>7</v>
      </c>
      <c r="D167">
        <f>K73</f>
        <v>0.005103</v>
      </c>
      <c r="E167">
        <f t="shared" si="29"/>
        <v>0.193163542210005</v>
      </c>
    </row>
    <row r="168" spans="3:5">
      <c r="C168">
        <f>J74</f>
        <v>14</v>
      </c>
      <c r="D168">
        <f>K74</f>
        <v>0.000598</v>
      </c>
      <c r="E168">
        <f t="shared" si="29"/>
        <v>0.103446570293366</v>
      </c>
    </row>
    <row r="169" spans="3:5">
      <c r="C169">
        <f>J75</f>
        <v>21</v>
      </c>
      <c r="D169">
        <f>K75</f>
        <v>0.0002392</v>
      </c>
      <c r="E169">
        <f t="shared" si="29"/>
        <v>0.09714443348403</v>
      </c>
    </row>
    <row r="170" spans="3:5">
      <c r="C170">
        <f>J76</f>
        <v>35</v>
      </c>
      <c r="D170">
        <f>K76</f>
        <v>5.98e-5</v>
      </c>
      <c r="E170">
        <f t="shared" si="29"/>
        <v>0.0697502110543493</v>
      </c>
    </row>
    <row r="171" ht="14.25" spans="2:5">
      <c r="B171" s="7" t="s">
        <v>30</v>
      </c>
      <c r="C171">
        <f>J80</f>
        <v>5</v>
      </c>
      <c r="D171">
        <f>K80</f>
        <v>0.008505</v>
      </c>
      <c r="E171">
        <f t="shared" si="29"/>
        <v>0.146652067112658</v>
      </c>
    </row>
    <row r="172" spans="3:5">
      <c r="C172">
        <f>J81</f>
        <v>10</v>
      </c>
      <c r="D172">
        <f>K81</f>
        <v>0.000996666666666667</v>
      </c>
      <c r="E172">
        <f t="shared" si="29"/>
        <v>0.083488556758745</v>
      </c>
    </row>
    <row r="173" spans="3:5">
      <c r="C173">
        <f>J82</f>
        <v>15</v>
      </c>
      <c r="D173">
        <f>K82</f>
        <v>0.000398666666666667</v>
      </c>
      <c r="E173">
        <f t="shared" si="29"/>
        <v>0.0798499529019309</v>
      </c>
    </row>
    <row r="174" spans="3:5">
      <c r="C174">
        <f>J83</f>
        <v>25</v>
      </c>
      <c r="D174">
        <f>K83</f>
        <v>9.96666666666667e-5</v>
      </c>
      <c r="E174">
        <f t="shared" si="29"/>
        <v>0.0581397533246991</v>
      </c>
    </row>
    <row r="175" ht="14.25" spans="2:5">
      <c r="B175" s="7" t="s">
        <v>31</v>
      </c>
      <c r="C175">
        <f>J87</f>
        <v>4</v>
      </c>
      <c r="D175">
        <f>K87</f>
        <v>0.008505</v>
      </c>
      <c r="E175">
        <f t="shared" si="29"/>
        <v>0.0845234821606495</v>
      </c>
    </row>
    <row r="176" spans="3:5">
      <c r="C176">
        <f>J88</f>
        <v>8</v>
      </c>
      <c r="D176">
        <f>K88</f>
        <v>0.000996666666666667</v>
      </c>
      <c r="E176">
        <f t="shared" si="29"/>
        <v>0.0509873598936456</v>
      </c>
    </row>
    <row r="177" spans="3:5">
      <c r="C177">
        <f>J89</f>
        <v>12</v>
      </c>
      <c r="D177">
        <f>K89</f>
        <v>0.000398666666666667</v>
      </c>
      <c r="E177">
        <f t="shared" si="29"/>
        <v>0.0495852347828712</v>
      </c>
    </row>
    <row r="178" spans="3:5">
      <c r="C178">
        <f>J90</f>
        <v>20</v>
      </c>
      <c r="D178">
        <f>K90</f>
        <v>9.96666666666667e-5</v>
      </c>
      <c r="E178">
        <f t="shared" si="29"/>
        <v>0.0365594541084242</v>
      </c>
    </row>
    <row r="179" spans="2:5">
      <c r="B179" t="s">
        <v>32</v>
      </c>
      <c r="C179">
        <f>J94</f>
        <v>3</v>
      </c>
      <c r="D179">
        <f>K94</f>
        <v>0.010206</v>
      </c>
      <c r="E179">
        <f t="shared" si="29"/>
        <v>0.047285876650369</v>
      </c>
    </row>
    <row r="180" spans="3:5">
      <c r="C180">
        <f>J95</f>
        <v>6</v>
      </c>
      <c r="D180">
        <f>K95</f>
        <v>0.001196</v>
      </c>
      <c r="E180">
        <f t="shared" si="29"/>
        <v>0.0317513956342554</v>
      </c>
    </row>
    <row r="181" spans="3:5">
      <c r="C181">
        <f>J96</f>
        <v>9</v>
      </c>
      <c r="D181">
        <f>K96</f>
        <v>0.0004784</v>
      </c>
      <c r="E181">
        <f t="shared" si="29"/>
        <v>0.0317958199965737</v>
      </c>
    </row>
    <row r="182" spans="3:5">
      <c r="C182">
        <f>J97</f>
        <v>15</v>
      </c>
      <c r="D182">
        <f>K97</f>
        <v>0.0001196</v>
      </c>
      <c r="E182">
        <f t="shared" si="29"/>
        <v>0.0239549858705792</v>
      </c>
    </row>
    <row r="183" spans="2:5">
      <c r="B183" t="s">
        <v>33</v>
      </c>
      <c r="C183">
        <f>J101</f>
        <v>2</v>
      </c>
      <c r="D183">
        <f>K101</f>
        <v>0.01124</v>
      </c>
      <c r="E183">
        <f t="shared" si="29"/>
        <v>0.0149289300134679</v>
      </c>
    </row>
    <row r="184" spans="3:5">
      <c r="C184">
        <f>J102</f>
        <v>4</v>
      </c>
      <c r="D184">
        <f>K102</f>
        <v>0.000592799999999999</v>
      </c>
      <c r="E184">
        <f t="shared" si="29"/>
        <v>0.00589130161373697</v>
      </c>
    </row>
    <row r="185" spans="3:5">
      <c r="C185">
        <f>J103</f>
        <v>6</v>
      </c>
      <c r="D185">
        <f>K103</f>
        <v>0.000152</v>
      </c>
      <c r="E185">
        <f t="shared" si="29"/>
        <v>0.00403529442843379</v>
      </c>
    </row>
    <row r="186" spans="3:5">
      <c r="C186">
        <f>J104</f>
        <v>10</v>
      </c>
      <c r="D186">
        <f>K104</f>
        <v>1.52e-5</v>
      </c>
      <c r="E186">
        <f t="shared" si="29"/>
        <v>0.00127327029705645</v>
      </c>
    </row>
    <row r="187" spans="2:5">
      <c r="B187" t="s">
        <v>35</v>
      </c>
      <c r="C187">
        <f>J128</f>
        <v>1</v>
      </c>
      <c r="D187">
        <f>K128</f>
        <v>0.02779625</v>
      </c>
      <c r="E187">
        <f t="shared" si="29"/>
        <v>0.00064621723587732</v>
      </c>
    </row>
    <row r="188" spans="3:5">
      <c r="C188">
        <f>J129</f>
        <v>2</v>
      </c>
      <c r="D188">
        <f>K129</f>
        <v>0.001718925</v>
      </c>
      <c r="E188">
        <f t="shared" si="29"/>
        <v>0.00228307037574736</v>
      </c>
    </row>
    <row r="189" spans="3:5">
      <c r="C189">
        <f>J130</f>
        <v>3</v>
      </c>
      <c r="D189">
        <f>K130</f>
        <v>0.00044075</v>
      </c>
      <c r="E189">
        <f t="shared" si="29"/>
        <v>0.00204205860607977</v>
      </c>
    </row>
    <row r="190" spans="3:5">
      <c r="C190">
        <f>J131</f>
        <v>5</v>
      </c>
      <c r="D190">
        <f>K131</f>
        <v>4.4075e-5</v>
      </c>
      <c r="E190">
        <f t="shared" si="29"/>
        <v>0.000759987049734323</v>
      </c>
    </row>
    <row r="191" spans="2:5">
      <c r="B191" t="s">
        <v>48</v>
      </c>
      <c r="C191">
        <f>J155</f>
        <v>10.7588227916667</v>
      </c>
      <c r="D191">
        <f>K155</f>
        <v>0.02</v>
      </c>
      <c r="E191">
        <f t="shared" si="29"/>
        <v>1.96467613340531</v>
      </c>
    </row>
    <row r="192" spans="2:5">
      <c r="B192" t="s">
        <v>47</v>
      </c>
      <c r="C192">
        <f>J156</f>
        <v>7.97058770833335</v>
      </c>
      <c r="D192">
        <f>K156</f>
        <v>0.03</v>
      </c>
      <c r="E192">
        <f t="shared" si="29"/>
        <v>1.52214029859943</v>
      </c>
    </row>
    <row r="193" spans="2:5">
      <c r="B193" t="s">
        <v>112</v>
      </c>
      <c r="C193">
        <v>0</v>
      </c>
      <c r="D193">
        <f>1-C30</f>
        <v>0.86593</v>
      </c>
      <c r="E193">
        <f t="shared" si="29"/>
        <v>0.621997605808297</v>
      </c>
    </row>
    <row r="194" spans="2:5">
      <c r="B194" t="s">
        <v>42</v>
      </c>
      <c r="D194">
        <f>SUM(D159:D193)</f>
        <v>1</v>
      </c>
      <c r="E194">
        <f>SUM(E159:E193)</f>
        <v>14.6501645062234</v>
      </c>
    </row>
  </sheetData>
  <dataValidations count="1">
    <dataValidation type="list" allowBlank="1" showInputMessage="1" showErrorMessage="1" sqref="C5 C6 C7 C14 C15 C51 C54 C66 C73 C80 C87 C94 C155 C156 C157 C2:C4 C8:C11 C12:C13 C49:C50 C55:C56">
      <formula1>"PayoutType,Ordered,All,Any"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4"/>
  <sheetViews>
    <sheetView topLeftCell="A4" workbookViewId="0">
      <selection activeCell="F21" sqref="F21"/>
    </sheetView>
  </sheetViews>
  <sheetFormatPr defaultColWidth="9" defaultRowHeight="13.5"/>
  <cols>
    <col min="2" max="2" width="38.25" customWidth="1"/>
    <col min="3" max="3" width="20.375" customWidth="1"/>
    <col min="4" max="4" width="12.625" customWidth="1"/>
    <col min="5" max="5" width="12.625"/>
    <col min="6" max="6" width="36.75" customWidth="1"/>
    <col min="7" max="7" width="20.375" customWidth="1"/>
    <col min="8" max="8" width="13.75" customWidth="1"/>
    <col min="10" max="10" width="11.5" customWidth="1"/>
    <col min="11" max="14" width="16" customWidth="1"/>
    <col min="15" max="17" width="17.125" customWidth="1"/>
    <col min="18" max="21" width="16" customWidth="1"/>
  </cols>
  <sheetData>
    <row r="1" customFormat="1" ht="25.5" spans="1:1">
      <c r="A1" s="6" t="s">
        <v>0</v>
      </c>
    </row>
    <row r="2" s="1" customFormat="1" ht="14.25" spans="1:2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1" t="s">
        <v>21</v>
      </c>
    </row>
    <row r="3" s="1" customFormat="1" ht="14.25" spans="1:21">
      <c r="A3" s="7">
        <v>1</v>
      </c>
      <c r="B3" s="7" t="s">
        <v>22</v>
      </c>
      <c r="C3" s="7" t="s">
        <v>23</v>
      </c>
      <c r="D3" s="7">
        <v>3</v>
      </c>
      <c r="E3" s="7">
        <v>500</v>
      </c>
      <c r="F3" s="7">
        <v>4e-5</v>
      </c>
      <c r="G3" s="8">
        <v>0</v>
      </c>
      <c r="H3" s="9">
        <v>1</v>
      </c>
      <c r="I3" s="7">
        <v>1</v>
      </c>
      <c r="J3" s="7" t="b">
        <v>1</v>
      </c>
      <c r="K3" s="7">
        <v>0.25</v>
      </c>
      <c r="L3" s="7">
        <v>0.25</v>
      </c>
      <c r="M3" s="7">
        <v>0.25</v>
      </c>
      <c r="N3" s="7">
        <v>0.25</v>
      </c>
      <c r="O3" s="7">
        <v>0</v>
      </c>
      <c r="P3" s="7">
        <v>0</v>
      </c>
      <c r="Q3" s="7">
        <v>1</v>
      </c>
      <c r="R3" s="7">
        <v>0.25</v>
      </c>
      <c r="S3" s="7">
        <v>0.25</v>
      </c>
      <c r="T3" s="7">
        <v>0.25</v>
      </c>
      <c r="U3" s="1">
        <v>0.25</v>
      </c>
    </row>
    <row r="4" s="1" customFormat="1" ht="14.25" spans="1:21">
      <c r="A4" s="7">
        <v>2</v>
      </c>
      <c r="B4" s="7" t="s">
        <v>24</v>
      </c>
      <c r="C4" s="7" t="s">
        <v>23</v>
      </c>
      <c r="D4" s="7">
        <v>3</v>
      </c>
      <c r="E4" s="7">
        <v>300</v>
      </c>
      <c r="F4" s="7">
        <v>8e-5</v>
      </c>
      <c r="G4" s="8">
        <v>0</v>
      </c>
      <c r="H4" s="9">
        <v>1</v>
      </c>
      <c r="I4" s="7">
        <v>1</v>
      </c>
      <c r="J4" s="7" t="b">
        <v>1</v>
      </c>
      <c r="K4" s="7">
        <v>0.25</v>
      </c>
      <c r="L4" s="7">
        <v>0.25</v>
      </c>
      <c r="M4" s="7">
        <v>0.25</v>
      </c>
      <c r="N4" s="7">
        <v>0.25</v>
      </c>
      <c r="O4" s="7">
        <v>0</v>
      </c>
      <c r="P4" s="7">
        <v>1</v>
      </c>
      <c r="Q4" s="7">
        <v>0</v>
      </c>
      <c r="R4" s="7">
        <v>0.25</v>
      </c>
      <c r="S4" s="7">
        <v>0.25</v>
      </c>
      <c r="T4" s="7">
        <v>0.25</v>
      </c>
      <c r="U4" s="1">
        <v>0.25</v>
      </c>
    </row>
    <row r="5" s="1" customFormat="1" ht="14.25" spans="1:21">
      <c r="A5" s="7">
        <v>3</v>
      </c>
      <c r="B5" s="7" t="s">
        <v>25</v>
      </c>
      <c r="C5" s="7" t="s">
        <v>23</v>
      </c>
      <c r="D5" s="7">
        <v>3</v>
      </c>
      <c r="E5" s="7">
        <v>200</v>
      </c>
      <c r="F5" s="7">
        <v>0.00016</v>
      </c>
      <c r="G5" s="8">
        <v>0</v>
      </c>
      <c r="H5" s="9">
        <v>1</v>
      </c>
      <c r="I5" s="7">
        <v>1</v>
      </c>
      <c r="J5" s="7" t="b">
        <v>1</v>
      </c>
      <c r="K5" s="7">
        <v>0.25</v>
      </c>
      <c r="L5" s="7">
        <v>0.25</v>
      </c>
      <c r="M5" s="7">
        <v>0.25</v>
      </c>
      <c r="N5" s="7">
        <v>0.25</v>
      </c>
      <c r="O5" s="7">
        <v>1</v>
      </c>
      <c r="P5" s="24">
        <v>0</v>
      </c>
      <c r="Q5" s="24">
        <v>0</v>
      </c>
      <c r="R5" s="7">
        <v>0.25</v>
      </c>
      <c r="S5" s="7">
        <v>0.25</v>
      </c>
      <c r="T5" s="7">
        <v>0.25</v>
      </c>
      <c r="U5" s="1">
        <v>0.25</v>
      </c>
    </row>
    <row r="6" s="1" customFormat="1" ht="14.25" spans="1:21">
      <c r="A6" s="7">
        <v>4</v>
      </c>
      <c r="B6" s="7" t="s">
        <v>26</v>
      </c>
      <c r="C6" s="7" t="s">
        <v>27</v>
      </c>
      <c r="D6" s="7">
        <v>3</v>
      </c>
      <c r="E6" s="7">
        <v>25</v>
      </c>
      <c r="F6" s="7">
        <v>0.004</v>
      </c>
      <c r="G6" s="8">
        <v>0</v>
      </c>
      <c r="H6" s="9">
        <v>1</v>
      </c>
      <c r="I6" s="7">
        <v>1</v>
      </c>
      <c r="J6" s="7" t="b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1">
        <v>0</v>
      </c>
    </row>
    <row r="7" s="1" customFormat="1" ht="14.25" spans="1:21">
      <c r="A7" s="7">
        <v>5</v>
      </c>
      <c r="B7" s="7" t="s">
        <v>28</v>
      </c>
      <c r="C7" s="7" t="s">
        <v>27</v>
      </c>
      <c r="D7" s="7">
        <v>3</v>
      </c>
      <c r="E7" s="7">
        <v>20</v>
      </c>
      <c r="F7" s="7">
        <v>0.006</v>
      </c>
      <c r="G7" s="8">
        <v>0.04</v>
      </c>
      <c r="H7" s="9">
        <v>1</v>
      </c>
      <c r="I7" s="7">
        <v>1</v>
      </c>
      <c r="J7" s="7" t="b">
        <v>0</v>
      </c>
      <c r="K7" s="7">
        <v>0.025</v>
      </c>
      <c r="L7" s="7">
        <v>0.025</v>
      </c>
      <c r="M7" s="7">
        <v>0.025</v>
      </c>
      <c r="N7" s="7">
        <v>0.025</v>
      </c>
      <c r="O7" s="7">
        <v>0.1</v>
      </c>
      <c r="P7" s="7">
        <v>0.04</v>
      </c>
      <c r="Q7" s="7">
        <v>0.01</v>
      </c>
      <c r="R7" s="7">
        <v>0.025</v>
      </c>
      <c r="S7" s="7">
        <v>0.025</v>
      </c>
      <c r="T7" s="7">
        <v>0.025</v>
      </c>
      <c r="U7" s="1">
        <v>0.025</v>
      </c>
    </row>
    <row r="8" s="1" customFormat="1" ht="14.25" spans="1:21">
      <c r="A8" s="7">
        <v>6</v>
      </c>
      <c r="B8" s="7" t="s">
        <v>29</v>
      </c>
      <c r="C8" s="7" t="s">
        <v>27</v>
      </c>
      <c r="D8" s="7">
        <v>3</v>
      </c>
      <c r="E8" s="7">
        <v>7</v>
      </c>
      <c r="F8" s="7">
        <v>0.012</v>
      </c>
      <c r="G8" s="8">
        <v>0.07</v>
      </c>
      <c r="H8" s="9">
        <v>1</v>
      </c>
      <c r="I8" s="7">
        <v>1</v>
      </c>
      <c r="J8" s="7" t="b">
        <v>0</v>
      </c>
      <c r="K8" s="7">
        <v>0.025</v>
      </c>
      <c r="L8" s="7">
        <v>0.025</v>
      </c>
      <c r="M8" s="7">
        <v>0.025</v>
      </c>
      <c r="N8" s="7">
        <v>0.025</v>
      </c>
      <c r="O8" s="7">
        <v>0.1</v>
      </c>
      <c r="P8" s="7">
        <v>0.04</v>
      </c>
      <c r="Q8" s="7">
        <v>0.01</v>
      </c>
      <c r="R8" s="7">
        <v>0.025</v>
      </c>
      <c r="S8" s="7">
        <v>0.025</v>
      </c>
      <c r="T8" s="7">
        <v>0.025</v>
      </c>
      <c r="U8" s="1">
        <v>0.025</v>
      </c>
    </row>
    <row r="9" s="1" customFormat="1" ht="14.25" spans="1:21">
      <c r="A9" s="7">
        <v>7</v>
      </c>
      <c r="B9" s="7" t="s">
        <v>30</v>
      </c>
      <c r="C9" s="7" t="s">
        <v>27</v>
      </c>
      <c r="D9" s="7">
        <v>3</v>
      </c>
      <c r="E9" s="7">
        <v>5</v>
      </c>
      <c r="F9" s="7">
        <v>0.04</v>
      </c>
      <c r="G9" s="8">
        <v>0.12</v>
      </c>
      <c r="H9" s="9">
        <v>1</v>
      </c>
      <c r="I9" s="7">
        <v>1</v>
      </c>
      <c r="J9" s="7" t="b">
        <v>0</v>
      </c>
      <c r="K9" s="7">
        <v>0.025</v>
      </c>
      <c r="L9" s="7">
        <v>0.025</v>
      </c>
      <c r="M9" s="7">
        <v>0.025</v>
      </c>
      <c r="N9" s="7">
        <v>0.025</v>
      </c>
      <c r="O9" s="7">
        <v>0.1</v>
      </c>
      <c r="P9" s="7">
        <v>0.04</v>
      </c>
      <c r="Q9" s="7">
        <v>0.01</v>
      </c>
      <c r="R9" s="7">
        <v>0.025</v>
      </c>
      <c r="S9" s="7">
        <v>0.025</v>
      </c>
      <c r="T9" s="7">
        <v>0.025</v>
      </c>
      <c r="U9" s="1">
        <v>0.025</v>
      </c>
    </row>
    <row r="10" s="1" customFormat="1" ht="14.25" spans="1:21">
      <c r="A10" s="7">
        <v>8</v>
      </c>
      <c r="B10" s="7" t="s">
        <v>31</v>
      </c>
      <c r="C10" s="7" t="s">
        <v>27</v>
      </c>
      <c r="D10" s="7">
        <v>3</v>
      </c>
      <c r="E10" s="7">
        <v>4</v>
      </c>
      <c r="F10" s="7">
        <v>0.04</v>
      </c>
      <c r="G10" s="8">
        <v>0.12</v>
      </c>
      <c r="H10" s="9">
        <v>1</v>
      </c>
      <c r="I10" s="7">
        <v>1</v>
      </c>
      <c r="J10" s="7" t="b">
        <v>0</v>
      </c>
      <c r="K10" s="7">
        <v>0.025</v>
      </c>
      <c r="L10" s="7">
        <v>0.025</v>
      </c>
      <c r="M10" s="7">
        <v>0.025</v>
      </c>
      <c r="N10" s="7">
        <v>0.025</v>
      </c>
      <c r="O10" s="7">
        <v>0.1</v>
      </c>
      <c r="P10" s="7">
        <v>0.04</v>
      </c>
      <c r="Q10" s="7">
        <v>0.01</v>
      </c>
      <c r="R10" s="7">
        <v>0.025</v>
      </c>
      <c r="S10" s="7">
        <v>0.025</v>
      </c>
      <c r="T10" s="7">
        <v>0.025</v>
      </c>
      <c r="U10" s="1">
        <v>0.025</v>
      </c>
    </row>
    <row r="11" s="1" customFormat="1" ht="14.25" spans="1:21">
      <c r="A11" s="7">
        <v>9</v>
      </c>
      <c r="B11" s="7" t="s">
        <v>32</v>
      </c>
      <c r="C11" s="7" t="s">
        <v>27</v>
      </c>
      <c r="D11" s="7">
        <v>3</v>
      </c>
      <c r="E11" s="7">
        <v>3</v>
      </c>
      <c r="F11" s="7">
        <v>0.02</v>
      </c>
      <c r="G11" s="8">
        <v>0.05</v>
      </c>
      <c r="H11" s="9">
        <v>1</v>
      </c>
      <c r="I11" s="7">
        <v>1</v>
      </c>
      <c r="J11" s="7" t="b">
        <v>0</v>
      </c>
      <c r="K11" s="7">
        <v>0.025</v>
      </c>
      <c r="L11" s="7">
        <v>0.025</v>
      </c>
      <c r="M11" s="7">
        <v>0.025</v>
      </c>
      <c r="N11" s="7">
        <v>0.025</v>
      </c>
      <c r="O11" s="7">
        <v>0.1</v>
      </c>
      <c r="P11" s="7">
        <v>0.04</v>
      </c>
      <c r="Q11" s="7">
        <v>0.01</v>
      </c>
      <c r="R11" s="7">
        <v>0.025</v>
      </c>
      <c r="S11" s="7">
        <v>0.025</v>
      </c>
      <c r="T11" s="7">
        <v>0.025</v>
      </c>
      <c r="U11" s="1">
        <v>0.025</v>
      </c>
    </row>
    <row r="12" s="1" customFormat="1" ht="14.25" spans="1:21">
      <c r="A12" s="7">
        <v>10</v>
      </c>
      <c r="B12" s="7" t="s">
        <v>33</v>
      </c>
      <c r="C12" s="7" t="s">
        <v>34</v>
      </c>
      <c r="D12" s="7">
        <v>3</v>
      </c>
      <c r="E12" s="7">
        <v>2</v>
      </c>
      <c r="F12" s="7">
        <v>0.02</v>
      </c>
      <c r="G12" s="8">
        <v>0.05</v>
      </c>
      <c r="H12" s="9">
        <v>1</v>
      </c>
      <c r="I12" s="7">
        <v>1</v>
      </c>
      <c r="J12" s="7" t="b">
        <v>0</v>
      </c>
      <c r="K12" s="7">
        <v>0.025</v>
      </c>
      <c r="L12" s="7">
        <v>0.025</v>
      </c>
      <c r="M12" s="7">
        <v>0.025</v>
      </c>
      <c r="N12" s="7">
        <v>0.025</v>
      </c>
      <c r="O12" s="7">
        <v>0.1</v>
      </c>
      <c r="P12" s="7">
        <v>0.04</v>
      </c>
      <c r="Q12" s="7">
        <v>0.01</v>
      </c>
      <c r="R12" s="7">
        <v>0.025</v>
      </c>
      <c r="S12" s="7">
        <v>0.025</v>
      </c>
      <c r="T12" s="7">
        <v>0.025</v>
      </c>
      <c r="U12" s="1">
        <v>0.025</v>
      </c>
    </row>
    <row r="13" s="1" customFormat="1" ht="14.25" spans="1:21">
      <c r="A13" s="7">
        <v>11</v>
      </c>
      <c r="B13" s="7" t="s">
        <v>35</v>
      </c>
      <c r="C13" s="7" t="s">
        <v>34</v>
      </c>
      <c r="D13" s="49">
        <v>3</v>
      </c>
      <c r="E13" s="49">
        <v>1</v>
      </c>
      <c r="F13" s="7">
        <v>0.02</v>
      </c>
      <c r="G13" s="8">
        <v>0.05</v>
      </c>
      <c r="H13" s="9">
        <v>1</v>
      </c>
      <c r="I13" s="7">
        <v>1</v>
      </c>
      <c r="J13" s="7" t="b">
        <v>0</v>
      </c>
      <c r="K13" s="7">
        <v>0.025</v>
      </c>
      <c r="L13" s="7">
        <v>0.025</v>
      </c>
      <c r="M13" s="7">
        <v>0.025</v>
      </c>
      <c r="N13" s="7">
        <v>0.025</v>
      </c>
      <c r="O13" s="7">
        <v>0.1</v>
      </c>
      <c r="P13" s="7">
        <v>0.04</v>
      </c>
      <c r="Q13" s="7">
        <v>0.01</v>
      </c>
      <c r="R13" s="7">
        <v>0.025</v>
      </c>
      <c r="S13" s="7">
        <v>0.025</v>
      </c>
      <c r="T13" s="7">
        <v>0.025</v>
      </c>
      <c r="U13" s="1">
        <v>0.025</v>
      </c>
    </row>
    <row r="14" s="1" customFormat="1" ht="14.25" spans="1:21">
      <c r="A14" s="7">
        <v>12</v>
      </c>
      <c r="B14" s="7" t="s">
        <v>26</v>
      </c>
      <c r="C14" s="7" t="s">
        <v>34</v>
      </c>
      <c r="D14" s="49">
        <v>2</v>
      </c>
      <c r="E14" s="49">
        <v>1</v>
      </c>
      <c r="F14" s="7">
        <v>0.02</v>
      </c>
      <c r="G14" s="8">
        <v>0.2</v>
      </c>
      <c r="H14" s="9">
        <v>1</v>
      </c>
      <c r="I14" s="7">
        <v>1</v>
      </c>
      <c r="J14" s="7" t="b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1">
        <v>0</v>
      </c>
    </row>
    <row r="15" s="1" customFormat="1" ht="14.25" spans="1:21">
      <c r="A15" s="7">
        <v>13</v>
      </c>
      <c r="B15" s="7" t="s">
        <v>26</v>
      </c>
      <c r="C15" s="7" t="s">
        <v>34</v>
      </c>
      <c r="D15" s="7">
        <v>1</v>
      </c>
      <c r="E15" s="7">
        <v>1</v>
      </c>
      <c r="F15" s="7">
        <v>0.03</v>
      </c>
      <c r="G15" s="8">
        <v>0.3</v>
      </c>
      <c r="H15" s="9">
        <v>1</v>
      </c>
      <c r="I15" s="7">
        <v>1</v>
      </c>
      <c r="J15" s="7" t="b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1">
        <v>0</v>
      </c>
    </row>
    <row r="16" s="3" customFormat="1" ht="25.5" spans="1:21">
      <c r="A16" s="6" t="s">
        <v>36</v>
      </c>
      <c r="C16" s="13" t="s">
        <v>37</v>
      </c>
      <c r="D16" s="13" t="s">
        <v>38</v>
      </c>
      <c r="E16" s="13"/>
      <c r="F16" s="13"/>
      <c r="G16" s="13" t="s">
        <v>39</v>
      </c>
      <c r="H16" s="13" t="s">
        <v>40</v>
      </c>
      <c r="S16" s="31"/>
      <c r="T16" s="31"/>
      <c r="U16" s="31"/>
    </row>
    <row r="17" customFormat="1" ht="14.25" spans="1:20">
      <c r="A17" s="7">
        <v>1</v>
      </c>
      <c r="B17" s="7" t="s">
        <v>22</v>
      </c>
      <c r="C17">
        <f t="shared" ref="C17:C29" si="0">F3</f>
        <v>4e-5</v>
      </c>
      <c r="D17" s="14">
        <f t="shared" ref="D17:D19" si="1">L49</f>
        <v>0.02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customFormat="1" ht="14.25" spans="1:4">
      <c r="A18" s="7">
        <v>2</v>
      </c>
      <c r="B18" s="7" t="s">
        <v>24</v>
      </c>
      <c r="C18">
        <f t="shared" si="0"/>
        <v>8e-5</v>
      </c>
      <c r="D18" s="14">
        <f t="shared" si="1"/>
        <v>0.024</v>
      </c>
    </row>
    <row r="19" customFormat="1" ht="14.25" spans="1:4">
      <c r="A19" s="7">
        <v>3</v>
      </c>
      <c r="B19" s="7" t="s">
        <v>25</v>
      </c>
      <c r="C19">
        <f t="shared" si="0"/>
        <v>0.00016</v>
      </c>
      <c r="D19" s="14">
        <f t="shared" si="1"/>
        <v>0.032</v>
      </c>
    </row>
    <row r="20" customFormat="1" ht="14.25" spans="1:4">
      <c r="A20" s="7">
        <v>4</v>
      </c>
      <c r="B20" s="7" t="s">
        <v>26</v>
      </c>
      <c r="C20">
        <f t="shared" si="0"/>
        <v>0.004</v>
      </c>
      <c r="D20">
        <f>L53</f>
        <v>0.16723287775</v>
      </c>
    </row>
    <row r="21" customFormat="1" ht="14.25" spans="1:4">
      <c r="A21" s="7">
        <v>5</v>
      </c>
      <c r="B21" s="7" t="s">
        <v>28</v>
      </c>
      <c r="C21">
        <f t="shared" si="0"/>
        <v>0.006</v>
      </c>
      <c r="D21">
        <f>L71</f>
        <v>0.146312</v>
      </c>
    </row>
    <row r="22" customFormat="1" ht="14.25" spans="1:4">
      <c r="A22" s="7">
        <v>6</v>
      </c>
      <c r="B22" s="7" t="s">
        <v>29</v>
      </c>
      <c r="C22">
        <f t="shared" si="0"/>
        <v>0.012</v>
      </c>
      <c r="D22">
        <f>L78</f>
        <v>0.1024184</v>
      </c>
    </row>
    <row r="23" customFormat="1" ht="14.25" spans="1:4">
      <c r="A23" s="7">
        <v>7</v>
      </c>
      <c r="B23" s="7" t="s">
        <v>30</v>
      </c>
      <c r="C23">
        <f t="shared" si="0"/>
        <v>0.04</v>
      </c>
      <c r="D23">
        <f>L85</f>
        <v>0.243853333333333</v>
      </c>
    </row>
    <row r="24" customFormat="1" ht="14.25" spans="1:4">
      <c r="A24" s="7">
        <v>8</v>
      </c>
      <c r="B24" s="7" t="s">
        <v>31</v>
      </c>
      <c r="C24">
        <f t="shared" si="0"/>
        <v>0.04</v>
      </c>
      <c r="D24">
        <f>L92</f>
        <v>0.195082666666667</v>
      </c>
    </row>
    <row r="25" customFormat="1" ht="14.25" spans="1:4">
      <c r="A25" s="7">
        <v>9</v>
      </c>
      <c r="B25" s="7" t="s">
        <v>32</v>
      </c>
      <c r="C25">
        <f t="shared" si="0"/>
        <v>0.02</v>
      </c>
      <c r="D25">
        <f>L99</f>
        <v>0.073156</v>
      </c>
    </row>
    <row r="26" customFormat="1" ht="14.25" spans="1:4">
      <c r="A26" s="7">
        <v>10</v>
      </c>
      <c r="B26" s="7" t="s">
        <v>33</v>
      </c>
      <c r="C26">
        <f t="shared" si="0"/>
        <v>0.02</v>
      </c>
      <c r="D26">
        <f>L105</f>
        <v>0.043192</v>
      </c>
    </row>
    <row r="27" customFormat="1" ht="14.25" spans="1:4">
      <c r="A27" s="7">
        <v>11</v>
      </c>
      <c r="B27" s="7" t="s">
        <v>35</v>
      </c>
      <c r="C27">
        <f t="shared" si="0"/>
        <v>0.02</v>
      </c>
      <c r="D27">
        <f>L132</f>
        <v>0.02185115</v>
      </c>
    </row>
    <row r="28" customFormat="1" ht="14.25" spans="1:4">
      <c r="A28" s="7">
        <v>12</v>
      </c>
      <c r="B28" s="7" t="s">
        <v>26</v>
      </c>
      <c r="C28">
        <f t="shared" si="0"/>
        <v>0.02</v>
      </c>
      <c r="D28">
        <f>L155</f>
        <v>0.281461191250001</v>
      </c>
    </row>
    <row r="29" customFormat="1" ht="14.25" spans="1:4">
      <c r="A29" s="7">
        <v>13</v>
      </c>
      <c r="B29" s="7" t="s">
        <v>26</v>
      </c>
      <c r="C29">
        <f t="shared" si="0"/>
        <v>0.03</v>
      </c>
      <c r="D29">
        <f>L156</f>
        <v>0.310136990625001</v>
      </c>
    </row>
    <row r="30" s="4" customFormat="1" spans="2:8">
      <c r="B30" s="4" t="s">
        <v>42</v>
      </c>
      <c r="C30" s="15">
        <f>SUM(C17:C29)</f>
        <v>0.21228</v>
      </c>
      <c r="D30" s="15">
        <f>SUM(D17:D29)</f>
        <v>1.660696609625</v>
      </c>
      <c r="G30" s="4">
        <f>E194</f>
        <v>44.0589662783745</v>
      </c>
      <c r="H30" s="4">
        <f>SQRT(G30)</f>
        <v>6.6376928430272</v>
      </c>
    </row>
    <row r="31" s="3" customFormat="1" ht="25.5" spans="1:1">
      <c r="A31" s="16" t="s">
        <v>43</v>
      </c>
    </row>
    <row r="32" s="3" customFormat="1" ht="14.25" spans="1:20">
      <c r="A32" s="7" t="s">
        <v>1</v>
      </c>
      <c r="B32" s="7" t="s">
        <v>44</v>
      </c>
      <c r="C32" s="8" t="s">
        <v>7</v>
      </c>
      <c r="D32" s="17" t="s">
        <v>5</v>
      </c>
      <c r="E32" s="18" t="s">
        <v>45</v>
      </c>
      <c r="F32" s="18" t="s">
        <v>46</v>
      </c>
      <c r="G32" s="18"/>
      <c r="H32" s="18"/>
      <c r="I32" s="18"/>
      <c r="J32" s="18"/>
      <c r="K32" s="18"/>
      <c r="L32" s="18"/>
      <c r="M32" s="18"/>
      <c r="N32" s="18"/>
      <c r="P32" s="18"/>
      <c r="Q32" s="18"/>
      <c r="R32" s="18"/>
      <c r="S32" s="18"/>
      <c r="T32" s="18"/>
    </row>
    <row r="33" s="3" customFormat="1" ht="14.25" spans="1:20">
      <c r="A33" s="7">
        <v>1</v>
      </c>
      <c r="B33" s="7" t="s">
        <v>22</v>
      </c>
      <c r="C33" s="8">
        <f t="shared" ref="C33:C45" si="2">G3</f>
        <v>0</v>
      </c>
      <c r="D33" s="19">
        <f t="shared" ref="D33:D45" si="3">E3</f>
        <v>500</v>
      </c>
      <c r="E33" s="18">
        <v>1</v>
      </c>
      <c r="F33" s="18">
        <f t="shared" ref="F33:F45" si="4">C33*D33*E33</f>
        <v>0</v>
      </c>
      <c r="G33" s="18"/>
      <c r="H33" s="18"/>
      <c r="I33" s="18"/>
      <c r="J33" s="18"/>
      <c r="K33" s="18"/>
      <c r="L33" s="18"/>
      <c r="M33" s="18"/>
      <c r="N33" s="18"/>
      <c r="P33" s="18"/>
      <c r="Q33" s="18"/>
      <c r="R33" s="18"/>
      <c r="S33" s="18"/>
      <c r="T33" s="18"/>
    </row>
    <row r="34" s="3" customFormat="1" ht="14.25" spans="1:20">
      <c r="A34" s="7">
        <v>2</v>
      </c>
      <c r="B34" s="7" t="s">
        <v>24</v>
      </c>
      <c r="C34" s="8">
        <f t="shared" si="2"/>
        <v>0</v>
      </c>
      <c r="D34" s="19">
        <f t="shared" si="3"/>
        <v>300</v>
      </c>
      <c r="E34" s="18">
        <v>1</v>
      </c>
      <c r="F34" s="18">
        <f t="shared" si="4"/>
        <v>0</v>
      </c>
      <c r="G34" s="18"/>
      <c r="H34" s="18"/>
      <c r="I34" s="18"/>
      <c r="J34" s="18"/>
      <c r="K34" s="18"/>
      <c r="L34" s="18"/>
      <c r="M34" s="18"/>
      <c r="N34" s="18"/>
      <c r="P34" s="18"/>
      <c r="Q34" s="18"/>
      <c r="R34" s="18"/>
      <c r="S34" s="18"/>
      <c r="T34" s="18"/>
    </row>
    <row r="35" s="3" customFormat="1" ht="14.25" spans="1:20">
      <c r="A35" s="7">
        <v>3</v>
      </c>
      <c r="B35" s="7" t="s">
        <v>25</v>
      </c>
      <c r="C35" s="8">
        <f t="shared" si="2"/>
        <v>0</v>
      </c>
      <c r="D35" s="19">
        <f t="shared" si="3"/>
        <v>200</v>
      </c>
      <c r="E35" s="18">
        <v>1</v>
      </c>
      <c r="F35" s="18">
        <f t="shared" si="4"/>
        <v>0</v>
      </c>
      <c r="G35" s="18"/>
      <c r="H35" s="18"/>
      <c r="I35" s="18"/>
      <c r="J35" s="18"/>
      <c r="K35" s="18"/>
      <c r="L35" s="18"/>
      <c r="M35" s="18"/>
      <c r="N35" s="18"/>
      <c r="P35" s="18"/>
      <c r="Q35" s="18"/>
      <c r="R35" s="18"/>
      <c r="S35" s="18"/>
      <c r="T35" s="18"/>
    </row>
    <row r="36" s="3" customFormat="1" ht="14.25" spans="1:20">
      <c r="A36" s="7">
        <v>4</v>
      </c>
      <c r="B36" s="7" t="s">
        <v>26</v>
      </c>
      <c r="C36" s="8">
        <f t="shared" si="2"/>
        <v>0</v>
      </c>
      <c r="D36" s="19">
        <f t="shared" si="3"/>
        <v>25</v>
      </c>
      <c r="E36" s="18">
        <v>1</v>
      </c>
      <c r="F36" s="18">
        <f t="shared" si="4"/>
        <v>0</v>
      </c>
      <c r="G36" s="18"/>
      <c r="H36" s="18"/>
      <c r="I36" s="18"/>
      <c r="J36" s="18"/>
      <c r="K36" s="18"/>
      <c r="L36" s="18"/>
      <c r="M36" s="18"/>
      <c r="N36" s="18"/>
      <c r="P36" s="18"/>
      <c r="Q36" s="18"/>
      <c r="R36" s="18"/>
      <c r="S36" s="18"/>
      <c r="T36" s="18"/>
    </row>
    <row r="37" s="3" customFormat="1" ht="14.25" spans="1:20">
      <c r="A37" s="7">
        <v>5</v>
      </c>
      <c r="B37" s="7" t="s">
        <v>28</v>
      </c>
      <c r="C37" s="8">
        <f t="shared" si="2"/>
        <v>0.04</v>
      </c>
      <c r="D37" s="19">
        <f t="shared" si="3"/>
        <v>20</v>
      </c>
      <c r="E37" s="18">
        <f>M71</f>
        <v>1.21926666666667</v>
      </c>
      <c r="F37" s="18">
        <f t="shared" si="4"/>
        <v>0.975413333333336</v>
      </c>
      <c r="G37" s="18"/>
      <c r="H37" s="18"/>
      <c r="I37" s="18"/>
      <c r="J37" s="18"/>
      <c r="K37" s="18"/>
      <c r="L37" s="18"/>
      <c r="M37" s="18"/>
      <c r="N37" s="18"/>
      <c r="P37" s="18"/>
      <c r="Q37" s="18"/>
      <c r="R37" s="18"/>
      <c r="S37" s="18"/>
      <c r="T37" s="18"/>
    </row>
    <row r="38" s="3" customFormat="1" ht="14.25" spans="1:20">
      <c r="A38" s="7">
        <v>6</v>
      </c>
      <c r="B38" s="7" t="s">
        <v>29</v>
      </c>
      <c r="C38" s="8">
        <f t="shared" si="2"/>
        <v>0.07</v>
      </c>
      <c r="D38" s="19">
        <f t="shared" si="3"/>
        <v>7</v>
      </c>
      <c r="E38" s="18">
        <f>M78</f>
        <v>1.21926666666667</v>
      </c>
      <c r="F38" s="18">
        <f t="shared" si="4"/>
        <v>0.597440666666668</v>
      </c>
      <c r="G38" s="18"/>
      <c r="H38" s="18"/>
      <c r="I38" s="18"/>
      <c r="J38" s="18"/>
      <c r="K38" s="18"/>
      <c r="L38" s="18"/>
      <c r="M38" s="18"/>
      <c r="N38" s="18"/>
      <c r="P38" s="18"/>
      <c r="Q38" s="18"/>
      <c r="R38" s="18"/>
      <c r="S38" s="18"/>
      <c r="T38" s="18"/>
    </row>
    <row r="39" s="3" customFormat="1" ht="14.25" spans="1:20">
      <c r="A39" s="7">
        <v>7</v>
      </c>
      <c r="B39" s="7" t="s">
        <v>30</v>
      </c>
      <c r="C39" s="8">
        <f t="shared" si="2"/>
        <v>0.12</v>
      </c>
      <c r="D39" s="19">
        <f t="shared" si="3"/>
        <v>5</v>
      </c>
      <c r="E39" s="18">
        <f>M85</f>
        <v>1.21926666666667</v>
      </c>
      <c r="F39" s="18">
        <f t="shared" si="4"/>
        <v>0.731560000000002</v>
      </c>
      <c r="G39" s="18"/>
      <c r="H39" s="18"/>
      <c r="I39" s="18"/>
      <c r="J39" s="18"/>
      <c r="K39" s="18"/>
      <c r="L39" s="18"/>
      <c r="M39" s="18"/>
      <c r="N39" s="18"/>
      <c r="P39" s="18"/>
      <c r="Q39" s="18"/>
      <c r="R39" s="18"/>
      <c r="S39" s="18"/>
      <c r="T39" s="18"/>
    </row>
    <row r="40" s="3" customFormat="1" ht="14.25" spans="1:20">
      <c r="A40" s="7">
        <v>8</v>
      </c>
      <c r="B40" s="7" t="s">
        <v>31</v>
      </c>
      <c r="C40" s="8">
        <f t="shared" si="2"/>
        <v>0.12</v>
      </c>
      <c r="D40" s="19">
        <f t="shared" si="3"/>
        <v>4</v>
      </c>
      <c r="E40" s="18">
        <f>M92</f>
        <v>1.21926666666667</v>
      </c>
      <c r="F40" s="18">
        <f t="shared" si="4"/>
        <v>0.585248000000002</v>
      </c>
      <c r="G40" s="18"/>
      <c r="H40" s="18"/>
      <c r="I40" s="18"/>
      <c r="J40" s="18"/>
      <c r="K40" s="18"/>
      <c r="L40" s="18"/>
      <c r="M40" s="18"/>
      <c r="N40" s="18"/>
      <c r="P40" s="18"/>
      <c r="Q40" s="18"/>
      <c r="R40" s="18"/>
      <c r="S40" s="18"/>
      <c r="T40" s="18"/>
    </row>
    <row r="41" s="3" customFormat="1" ht="14.25" spans="1:20">
      <c r="A41" s="7">
        <v>9</v>
      </c>
      <c r="B41" s="7" t="s">
        <v>32</v>
      </c>
      <c r="C41" s="8">
        <f t="shared" si="2"/>
        <v>0.05</v>
      </c>
      <c r="D41" s="19">
        <f t="shared" si="3"/>
        <v>3</v>
      </c>
      <c r="E41" s="18">
        <f>M99</f>
        <v>1.21926666666667</v>
      </c>
      <c r="F41" s="18">
        <f t="shared" si="4"/>
        <v>0.182890000000001</v>
      </c>
      <c r="G41" s="18"/>
      <c r="H41" s="18"/>
      <c r="I41" s="18"/>
      <c r="J41" s="18"/>
      <c r="K41" s="18"/>
      <c r="L41" s="18"/>
      <c r="M41" s="18"/>
      <c r="N41" s="18"/>
      <c r="P41" s="18"/>
      <c r="Q41" s="18"/>
      <c r="R41" s="18"/>
      <c r="S41" s="18"/>
      <c r="T41" s="18"/>
    </row>
    <row r="42" s="3" customFormat="1" ht="14.25" spans="1:20">
      <c r="A42" s="7">
        <v>10</v>
      </c>
      <c r="B42" s="7" t="s">
        <v>33</v>
      </c>
      <c r="C42" s="8">
        <f t="shared" si="2"/>
        <v>0.05</v>
      </c>
      <c r="D42" s="19">
        <f t="shared" si="3"/>
        <v>2</v>
      </c>
      <c r="E42" s="18">
        <f>M105</f>
        <v>1.0798</v>
      </c>
      <c r="F42" s="18">
        <f t="shared" si="4"/>
        <v>0.10798</v>
      </c>
      <c r="G42" s="18"/>
      <c r="H42" s="18"/>
      <c r="I42" s="18"/>
      <c r="J42" s="18"/>
      <c r="K42" s="18"/>
      <c r="L42" s="18"/>
      <c r="M42" s="18"/>
      <c r="N42" s="18"/>
      <c r="P42" s="18"/>
      <c r="Q42" s="18"/>
      <c r="R42" s="18"/>
      <c r="S42" s="18"/>
      <c r="T42" s="18"/>
    </row>
    <row r="43" s="3" customFormat="1" ht="14.25" spans="1:20">
      <c r="A43" s="7">
        <v>11</v>
      </c>
      <c r="B43" s="7" t="s">
        <v>35</v>
      </c>
      <c r="C43" s="8">
        <f t="shared" si="2"/>
        <v>0.05</v>
      </c>
      <c r="D43" s="19">
        <f t="shared" si="3"/>
        <v>1</v>
      </c>
      <c r="E43" s="18">
        <f>M132</f>
        <v>1.0925575</v>
      </c>
      <c r="F43" s="18">
        <f t="shared" si="4"/>
        <v>0.054627875</v>
      </c>
      <c r="G43" s="18"/>
      <c r="H43" s="18"/>
      <c r="I43" s="18"/>
      <c r="J43" s="18"/>
      <c r="K43" s="18"/>
      <c r="L43" s="18"/>
      <c r="M43" s="18"/>
      <c r="N43" s="18"/>
      <c r="P43" s="18"/>
      <c r="Q43" s="18"/>
      <c r="R43" s="18"/>
      <c r="S43" s="18"/>
      <c r="T43" s="18"/>
    </row>
    <row r="44" s="3" customFormat="1" ht="14.25" spans="1:20">
      <c r="A44" s="7">
        <v>12</v>
      </c>
      <c r="B44" s="7" t="s">
        <v>47</v>
      </c>
      <c r="C44" s="8">
        <f t="shared" si="2"/>
        <v>0.2</v>
      </c>
      <c r="D44" s="19">
        <f t="shared" si="3"/>
        <v>1</v>
      </c>
      <c r="E44" s="18">
        <f>M155</f>
        <v>1</v>
      </c>
      <c r="F44" s="18">
        <f t="shared" si="4"/>
        <v>0.2</v>
      </c>
      <c r="G44" s="18"/>
      <c r="H44" s="18"/>
      <c r="I44" s="18"/>
      <c r="J44" s="18"/>
      <c r="K44" s="18"/>
      <c r="L44" s="18"/>
      <c r="M44" s="18"/>
      <c r="N44" s="18"/>
      <c r="P44" s="18"/>
      <c r="Q44" s="18"/>
      <c r="R44" s="18"/>
      <c r="S44" s="18"/>
      <c r="T44" s="18"/>
    </row>
    <row r="45" s="3" customFormat="1" ht="14.25" spans="1:20">
      <c r="A45" s="7">
        <v>13</v>
      </c>
      <c r="B45" s="7" t="s">
        <v>48</v>
      </c>
      <c r="C45" s="8">
        <f t="shared" si="2"/>
        <v>0.3</v>
      </c>
      <c r="D45" s="19">
        <f t="shared" si="3"/>
        <v>1</v>
      </c>
      <c r="E45" s="18">
        <f>M156</f>
        <v>1</v>
      </c>
      <c r="F45" s="18">
        <f t="shared" si="4"/>
        <v>0.3</v>
      </c>
      <c r="G45" s="18"/>
      <c r="H45" s="18"/>
      <c r="I45" s="18"/>
      <c r="J45" s="18"/>
      <c r="K45" s="18"/>
      <c r="L45" s="18"/>
      <c r="M45" s="18"/>
      <c r="N45" s="18"/>
      <c r="P45" s="18"/>
      <c r="Q45" s="18"/>
      <c r="R45" s="18"/>
      <c r="S45" s="18"/>
      <c r="T45" s="18"/>
    </row>
    <row r="46" s="5" customFormat="1" ht="14.25" spans="2:20">
      <c r="B46" s="5" t="s">
        <v>49</v>
      </c>
      <c r="C46" s="5">
        <f>SUM(C33:C45)</f>
        <v>1</v>
      </c>
      <c r="D46" s="20"/>
      <c r="E46" s="21"/>
      <c r="F46" s="22">
        <f>SUM(F33:F45)</f>
        <v>3.73515987500001</v>
      </c>
      <c r="G46" s="21"/>
      <c r="H46" s="21"/>
      <c r="I46" s="21"/>
      <c r="J46" s="21"/>
      <c r="K46" s="21"/>
      <c r="L46" s="21"/>
      <c r="M46" s="21"/>
      <c r="N46" s="21"/>
      <c r="P46" s="21"/>
      <c r="Q46" s="21"/>
      <c r="R46" s="21"/>
      <c r="S46" s="21"/>
      <c r="T46" s="21"/>
    </row>
    <row r="47" s="5" customFormat="1" ht="14.25" spans="2:20">
      <c r="B47" s="5" t="s">
        <v>50</v>
      </c>
      <c r="D47" s="20"/>
      <c r="E47" s="21"/>
      <c r="F47" s="21">
        <f>1+(C36+C44+C45)/(1-(C36+C44+C45))</f>
        <v>2</v>
      </c>
      <c r="G47" s="21"/>
      <c r="H47" s="21"/>
      <c r="I47" s="21"/>
      <c r="J47" s="21"/>
      <c r="K47" s="21"/>
      <c r="L47" s="21"/>
      <c r="M47" s="21"/>
      <c r="N47" s="21"/>
      <c r="P47" s="21"/>
      <c r="Q47" s="21"/>
      <c r="R47" s="21"/>
      <c r="S47" s="21"/>
      <c r="T47" s="21"/>
    </row>
    <row r="48" s="3" customFormat="1" ht="14.25" spans="2:20">
      <c r="B48" s="3" t="s">
        <v>51</v>
      </c>
      <c r="C48" s="3" t="s">
        <v>52</v>
      </c>
      <c r="D48" s="10" t="s">
        <v>4</v>
      </c>
      <c r="E48" s="13" t="s">
        <v>53</v>
      </c>
      <c r="F48" s="13" t="s">
        <v>54</v>
      </c>
      <c r="G48" s="13" t="s">
        <v>55</v>
      </c>
      <c r="H48" s="13" t="s">
        <v>56</v>
      </c>
      <c r="I48" s="13" t="s">
        <v>57</v>
      </c>
      <c r="J48" s="13" t="s">
        <v>58</v>
      </c>
      <c r="K48" s="13" t="s">
        <v>59</v>
      </c>
      <c r="L48" s="13" t="s">
        <v>60</v>
      </c>
      <c r="M48" s="13"/>
      <c r="N48" s="13"/>
      <c r="P48" s="13"/>
      <c r="Q48" s="13"/>
      <c r="R48" s="13"/>
      <c r="S48" s="13"/>
      <c r="T48" s="18"/>
    </row>
    <row r="49" customFormat="1" ht="14.25" spans="2:12">
      <c r="B49" s="7" t="s">
        <v>22</v>
      </c>
      <c r="C49" s="7" t="s">
        <v>23</v>
      </c>
      <c r="D49" s="7">
        <v>3</v>
      </c>
      <c r="E49" s="7">
        <v>1</v>
      </c>
      <c r="G49">
        <v>1</v>
      </c>
      <c r="H49">
        <v>1</v>
      </c>
      <c r="I49">
        <f>$E$3*E49</f>
        <v>500</v>
      </c>
      <c r="J49">
        <f t="shared" ref="J49:J51" si="5">I49</f>
        <v>500</v>
      </c>
      <c r="K49">
        <f>F3*H49</f>
        <v>4e-5</v>
      </c>
      <c r="L49">
        <f t="shared" ref="L49:L51" si="6">J49*K49</f>
        <v>0.02</v>
      </c>
    </row>
    <row r="50" customFormat="1" ht="14.25" spans="2:12">
      <c r="B50" s="7" t="s">
        <v>24</v>
      </c>
      <c r="C50" s="7" t="s">
        <v>23</v>
      </c>
      <c r="D50" s="7">
        <v>3</v>
      </c>
      <c r="E50" s="7">
        <v>1</v>
      </c>
      <c r="G50">
        <v>1</v>
      </c>
      <c r="H50">
        <v>1</v>
      </c>
      <c r="I50">
        <f>$E$4*E50</f>
        <v>300</v>
      </c>
      <c r="J50">
        <f t="shared" si="5"/>
        <v>300</v>
      </c>
      <c r="K50">
        <f>F4*H50</f>
        <v>8e-5</v>
      </c>
      <c r="L50">
        <f t="shared" si="6"/>
        <v>0.024</v>
      </c>
    </row>
    <row r="51" customFormat="1" ht="14.25" spans="2:12">
      <c r="B51" s="7" t="s">
        <v>25</v>
      </c>
      <c r="C51" s="7" t="s">
        <v>23</v>
      </c>
      <c r="D51" s="7">
        <v>3</v>
      </c>
      <c r="E51" s="7">
        <v>1</v>
      </c>
      <c r="G51">
        <v>1</v>
      </c>
      <c r="H51">
        <v>1</v>
      </c>
      <c r="I51">
        <f>$E$5*E51</f>
        <v>200</v>
      </c>
      <c r="J51">
        <f t="shared" si="5"/>
        <v>200</v>
      </c>
      <c r="K51">
        <f>F5*H51</f>
        <v>0.00016</v>
      </c>
      <c r="L51">
        <f t="shared" si="6"/>
        <v>0.032</v>
      </c>
    </row>
    <row r="52" customFormat="1" ht="14.25" spans="2:17">
      <c r="B52" s="3" t="s">
        <v>51</v>
      </c>
      <c r="C52" s="3" t="s">
        <v>52</v>
      </c>
      <c r="D52" s="10" t="s">
        <v>4</v>
      </c>
      <c r="E52" s="13" t="s">
        <v>53</v>
      </c>
      <c r="F52" s="13" t="s">
        <v>54</v>
      </c>
      <c r="G52" s="13" t="s">
        <v>55</v>
      </c>
      <c r="H52" s="13" t="s">
        <v>56</v>
      </c>
      <c r="I52" s="13" t="s">
        <v>57</v>
      </c>
      <c r="J52" s="13" t="s">
        <v>58</v>
      </c>
      <c r="K52" s="13" t="s">
        <v>59</v>
      </c>
      <c r="L52" s="13" t="s">
        <v>60</v>
      </c>
      <c r="M52" s="13"/>
      <c r="N52" s="13"/>
      <c r="P52" s="18"/>
      <c r="Q52" s="18"/>
    </row>
    <row r="53" customFormat="1" ht="14.25" spans="2:17">
      <c r="B53" s="3" t="s">
        <v>26</v>
      </c>
      <c r="C53" s="3" t="s">
        <v>27</v>
      </c>
      <c r="D53" s="10">
        <v>3</v>
      </c>
      <c r="E53" s="18">
        <v>1</v>
      </c>
      <c r="F53" s="18" t="s">
        <v>61</v>
      </c>
      <c r="G53" s="18">
        <v>1</v>
      </c>
      <c r="H53" s="18">
        <v>1</v>
      </c>
      <c r="I53" s="18">
        <v>25</v>
      </c>
      <c r="J53" s="18">
        <f>I53+3*F46+1.5*F46</f>
        <v>41.8082194375</v>
      </c>
      <c r="K53" s="14">
        <f t="shared" ref="K53:K63" si="7">$F$6*H53</f>
        <v>0.004</v>
      </c>
      <c r="L53" s="33">
        <f>J53*K53</f>
        <v>0.16723287775</v>
      </c>
      <c r="M53" s="18"/>
      <c r="N53" s="18"/>
      <c r="P53" s="18"/>
      <c r="Q53" s="18"/>
    </row>
    <row r="54" s="55" customFormat="1" ht="14.25" spans="2:11">
      <c r="B54" s="56" t="s">
        <v>26</v>
      </c>
      <c r="C54" s="56" t="s">
        <v>27</v>
      </c>
      <c r="D54" s="56">
        <v>3</v>
      </c>
      <c r="E54" s="55">
        <v>1</v>
      </c>
      <c r="F54" s="55" t="s">
        <v>61</v>
      </c>
      <c r="G54" s="55">
        <f>(1-($K$7+$L$7+$M$7+$N$7))*(1-($O$7+$P$7+$Q$7))*(1-($R$7+$S$7+$T$7+$U$7))</f>
        <v>0.6885</v>
      </c>
      <c r="H54" s="55">
        <f t="shared" ref="H54:H58" si="8">G54</f>
        <v>0.6885</v>
      </c>
      <c r="I54" s="55">
        <f t="shared" ref="I54:I63" si="9">$E$6*E54</f>
        <v>25</v>
      </c>
      <c r="K54" s="55">
        <f t="shared" si="7"/>
        <v>0.002754</v>
      </c>
    </row>
    <row r="55" s="55" customFormat="1" ht="14.25" spans="2:11">
      <c r="B55" s="57"/>
      <c r="C55" s="57"/>
      <c r="D55" s="57"/>
      <c r="E55" s="55">
        <v>1</v>
      </c>
      <c r="F55" s="55" t="s">
        <v>62</v>
      </c>
      <c r="G55" s="55">
        <f>($K$7+$L$7+$M$7+$N$7)*(1-($O$7+$P$7+$Q$7))*(1-($R$7+$S$7+$T$7+$U$7))+(1-($K$7+$L$7+$M$7+$N$7))*(1-($O$7+$P$7+$Q$7))*($R$7+$S$7+$T$7+$U$7)</f>
        <v>0.153</v>
      </c>
      <c r="H55" s="55">
        <f t="shared" si="8"/>
        <v>0.153</v>
      </c>
      <c r="I55" s="55">
        <f t="shared" si="9"/>
        <v>25</v>
      </c>
      <c r="K55" s="55">
        <f t="shared" si="7"/>
        <v>0.000612</v>
      </c>
    </row>
    <row r="56" s="55" customFormat="1" ht="14.25" spans="2:11">
      <c r="B56" s="57"/>
      <c r="C56" s="57"/>
      <c r="D56" s="57"/>
      <c r="E56" s="55">
        <v>1</v>
      </c>
      <c r="F56" s="58" t="s">
        <v>63</v>
      </c>
      <c r="G56" s="55">
        <f>($K$7+$L$7+$M$7+$N$7)*(1-($O$7+$P$7+$Q$7))*($R$7+$S$7+$T$7+$U$7)</f>
        <v>0.0085</v>
      </c>
      <c r="H56" s="55">
        <f>G56+($K$7+$L$7+$M$7+$N$7)*($O$7+$P$7+$Q$7)*($R$7+$S$7+$T$7+$U$7)/3</f>
        <v>0.009</v>
      </c>
      <c r="I56" s="55">
        <f t="shared" si="9"/>
        <v>25</v>
      </c>
      <c r="K56" s="55">
        <f t="shared" si="7"/>
        <v>3.6e-5</v>
      </c>
    </row>
    <row r="57" s="55" customFormat="1" spans="5:11">
      <c r="E57" s="55">
        <v>2</v>
      </c>
      <c r="F57" s="58" t="s">
        <v>64</v>
      </c>
      <c r="G57" s="55">
        <f>($K$7+$L$7+$M$7+$N$7)*$O$7*(1-($R$7+$S$7+$T$7+$U$7))+(1-($K$7+$L$7+$M$7+$N$7))*$O$7*($R$7+$S$7+$T$7+$U$7)</f>
        <v>0.018</v>
      </c>
      <c r="H57" s="55">
        <f>G57+($K$7+$L$7+$M$7+$N$7)*$O$7*($R$7+$S$7+$T$7+$U$7)*2/3</f>
        <v>0.0186666666666667</v>
      </c>
      <c r="I57" s="55">
        <f t="shared" si="9"/>
        <v>50</v>
      </c>
      <c r="K57" s="55">
        <f t="shared" si="7"/>
        <v>7.46666666666667e-5</v>
      </c>
    </row>
    <row r="58" s="55" customFormat="1" spans="5:11">
      <c r="E58" s="55">
        <v>2</v>
      </c>
      <c r="F58" s="55" t="s">
        <v>65</v>
      </c>
      <c r="G58" s="55">
        <f>(1-($K$7+$L$7+$M$7+$N$7))*$O$7*(1-($R$7+$S$7+$T$7+$U$7))</f>
        <v>0.081</v>
      </c>
      <c r="H58" s="55">
        <f t="shared" si="8"/>
        <v>0.081</v>
      </c>
      <c r="I58" s="55">
        <f t="shared" si="9"/>
        <v>50</v>
      </c>
      <c r="K58" s="55">
        <f t="shared" si="7"/>
        <v>0.000324</v>
      </c>
    </row>
    <row r="59" s="55" customFormat="1" spans="5:11">
      <c r="E59" s="55">
        <v>3</v>
      </c>
      <c r="F59" s="58" t="s">
        <v>66</v>
      </c>
      <c r="G59" s="55">
        <f>($K$7+$L$7+$M$7+$N$7)*$P$7*(1-($R$7+$S$7+$T$7+$U$7))+(1-($K$7+$L$7+$M$7+$N$7))*$P$7*($R$7+$S$7+$T$7+$U$7)</f>
        <v>0.0072</v>
      </c>
      <c r="H59" s="55">
        <f>G59+($K$7+$L$7+$M$7+$N$7)*$P$7*($R$7+$S$7+$T$7+$U$7)*2/3</f>
        <v>0.00746666666666667</v>
      </c>
      <c r="I59" s="55">
        <f t="shared" si="9"/>
        <v>75</v>
      </c>
      <c r="K59" s="55">
        <f t="shared" si="7"/>
        <v>2.98666666666667e-5</v>
      </c>
    </row>
    <row r="60" s="55" customFormat="1" spans="5:11">
      <c r="E60" s="55">
        <v>3</v>
      </c>
      <c r="F60" s="55" t="s">
        <v>67</v>
      </c>
      <c r="G60" s="55">
        <f>(1-($K$7+$L$7+$M$7+$N$7))*$P$7*(1-($R$7+$S$7+$T$7+$U$7))</f>
        <v>0.0324</v>
      </c>
      <c r="H60" s="55">
        <f>G60</f>
        <v>0.0324</v>
      </c>
      <c r="I60" s="55">
        <f t="shared" si="9"/>
        <v>75</v>
      </c>
      <c r="K60" s="55">
        <f t="shared" si="7"/>
        <v>0.0001296</v>
      </c>
    </row>
    <row r="61" s="55" customFormat="1" spans="5:11">
      <c r="E61" s="55">
        <v>5</v>
      </c>
      <c r="F61" s="58" t="s">
        <v>68</v>
      </c>
      <c r="G61" s="55">
        <f>($K$7+$L$7+$M$7+$N$7)*$Q$7*(1-($R$7+$S$7+$T$7+$U$7))+(1-($K$7+$L$7+$M$7+$N$7))*$Q$7*($R$7+$S$7+$T$7+$U$7)</f>
        <v>0.0018</v>
      </c>
      <c r="H61" s="55">
        <f>G61+($K$7+$L$7+$M$7+$N$7)*$Q$7*($R$7+$S$7+$T$7+$U$7)*2/3</f>
        <v>0.00186666666666667</v>
      </c>
      <c r="I61" s="55">
        <f t="shared" si="9"/>
        <v>125</v>
      </c>
      <c r="K61" s="55">
        <f t="shared" si="7"/>
        <v>7.46666666666667e-6</v>
      </c>
    </row>
    <row r="62" s="55" customFormat="1" spans="5:11">
      <c r="E62" s="55">
        <v>5</v>
      </c>
      <c r="F62" s="55" t="s">
        <v>69</v>
      </c>
      <c r="G62" s="55">
        <f>(1-($K$7+$L$7+$M$7+$N$7))*$Q$7*(1-($R$7+$S$7+$T$7+$U$7))</f>
        <v>0.0081</v>
      </c>
      <c r="H62" s="55">
        <f>G62</f>
        <v>0.0081</v>
      </c>
      <c r="I62" s="55">
        <f t="shared" si="9"/>
        <v>125</v>
      </c>
      <c r="K62" s="55">
        <f t="shared" si="7"/>
        <v>3.24e-5</v>
      </c>
    </row>
    <row r="63" s="55" customFormat="1" spans="5:11">
      <c r="E63" s="55">
        <v>0</v>
      </c>
      <c r="F63" s="55" t="s">
        <v>70</v>
      </c>
      <c r="G63" s="55">
        <f>($K$7+$L$7+$M$7+$N$7)*($O$7+$P$7+$Q$7)*($R$7+$S$7+$T$7+$U$7)</f>
        <v>0.0015</v>
      </c>
      <c r="H63" s="55">
        <v>0</v>
      </c>
      <c r="I63" s="55">
        <f t="shared" si="9"/>
        <v>0</v>
      </c>
      <c r="K63" s="55">
        <f t="shared" si="7"/>
        <v>0</v>
      </c>
    </row>
    <row r="64" s="4" customFormat="1" spans="6:11">
      <c r="F64" s="4" t="s">
        <v>42</v>
      </c>
      <c r="G64" s="4">
        <f t="shared" ref="G64:K64" si="10">SUM(G54:G63)</f>
        <v>1</v>
      </c>
      <c r="H64" s="4">
        <f t="shared" si="10"/>
        <v>1</v>
      </c>
      <c r="K64" s="4">
        <f t="shared" si="10"/>
        <v>0.004</v>
      </c>
    </row>
    <row r="65" customFormat="1" ht="14.25" spans="2:17">
      <c r="B65" s="3" t="s">
        <v>51</v>
      </c>
      <c r="C65" s="3" t="s">
        <v>52</v>
      </c>
      <c r="D65" s="10" t="s">
        <v>4</v>
      </c>
      <c r="E65" s="13" t="s">
        <v>53</v>
      </c>
      <c r="F65" s="13" t="s">
        <v>54</v>
      </c>
      <c r="G65" s="13" t="s">
        <v>55</v>
      </c>
      <c r="H65" s="13" t="s">
        <v>56</v>
      </c>
      <c r="I65" s="13" t="s">
        <v>57</v>
      </c>
      <c r="J65" s="13" t="s">
        <v>58</v>
      </c>
      <c r="K65" s="13" t="s">
        <v>59</v>
      </c>
      <c r="L65" s="13" t="s">
        <v>60</v>
      </c>
      <c r="M65" t="s">
        <v>71</v>
      </c>
      <c r="N65" s="13"/>
      <c r="P65" s="18"/>
      <c r="Q65" s="18"/>
    </row>
    <row r="66" customFormat="1" ht="14.25" spans="2:13">
      <c r="B66" s="7" t="s">
        <v>28</v>
      </c>
      <c r="C66" s="7" t="s">
        <v>27</v>
      </c>
      <c r="D66" s="7">
        <v>3</v>
      </c>
      <c r="E66">
        <v>1</v>
      </c>
      <c r="F66" s="29" t="s">
        <v>72</v>
      </c>
      <c r="G66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66">
        <f>G66+($K$7+$L$7+$M$7+$N$7)*($O$7+$P$7+$Q$7)*($R$7+$S$7+$T$7+$U$7)/3</f>
        <v>0.8505</v>
      </c>
      <c r="I66">
        <f t="shared" ref="I66:I70" si="11">$E$7*E66</f>
        <v>20</v>
      </c>
      <c r="J66">
        <f t="shared" ref="J66:J70" si="12">I66</f>
        <v>20</v>
      </c>
      <c r="K66">
        <f t="shared" ref="K66:K70" si="13">$F$7*H66</f>
        <v>0.005103</v>
      </c>
      <c r="L66">
        <f t="shared" ref="L66:L70" si="14">J66*K66</f>
        <v>0.10206</v>
      </c>
      <c r="M66">
        <f t="shared" ref="M66:M70" si="15">E66*H66</f>
        <v>0.8505</v>
      </c>
    </row>
    <row r="67" customFormat="1" spans="5:13">
      <c r="E67">
        <v>2</v>
      </c>
      <c r="F67" s="29" t="s">
        <v>73</v>
      </c>
      <c r="G67">
        <f>(1-($K$7+$L$7+$M$7+$N$7))*$O$7*(1-($R$7+$S$7+$T$7+$U$7))+($K$7+$L$7+$M$7+$N$7)*$O$7*(1-($R$7+$S$7+$T$7+$U$7))+(1-($K$7+$L$7+$M$7+$N$7))*$O$7*($R$7+$S$7+$T$7+$U$7)</f>
        <v>0.099</v>
      </c>
      <c r="H67">
        <f>G67+($K$7+$L$7+$M$7+$N$7)*$O$7*($R$7+$S$7+$T$7+$U$7)*2/3</f>
        <v>0.0996666666666667</v>
      </c>
      <c r="I67">
        <f t="shared" si="11"/>
        <v>40</v>
      </c>
      <c r="J67">
        <f t="shared" si="12"/>
        <v>40</v>
      </c>
      <c r="K67">
        <f t="shared" si="13"/>
        <v>0.000598</v>
      </c>
      <c r="L67">
        <f t="shared" si="14"/>
        <v>0.02392</v>
      </c>
      <c r="M67">
        <f t="shared" si="15"/>
        <v>0.199333333333333</v>
      </c>
    </row>
    <row r="68" customFormat="1" spans="5:13">
      <c r="E68">
        <v>3</v>
      </c>
      <c r="F68" s="29" t="s">
        <v>74</v>
      </c>
      <c r="G68">
        <f>(1-($K$7+$L$7+$M$7+$N$7))*$P$7*(1-($R$7+$S$7+$T$7+$U$7))+($K$7+$L$7+$M$7+$N$7)*$P$7*(1-($R$7+$S$7+$T$7+$U$7))+(1-($K$7+$L$7+$M$7+$N$7))*$P$7*($R$7+$S$7+$T$7+$U$7)</f>
        <v>0.0396</v>
      </c>
      <c r="H68">
        <f>G68+($K$7+$L$7+$M$7+$N$7)*$P$7*($R$7+$S$7+$T$7+$U$7)*2/3</f>
        <v>0.0398666666666667</v>
      </c>
      <c r="I68">
        <f t="shared" si="11"/>
        <v>60</v>
      </c>
      <c r="J68">
        <f t="shared" si="12"/>
        <v>60</v>
      </c>
      <c r="K68">
        <f t="shared" si="13"/>
        <v>0.0002392</v>
      </c>
      <c r="L68">
        <f t="shared" si="14"/>
        <v>0.014352</v>
      </c>
      <c r="M68">
        <f t="shared" si="15"/>
        <v>0.1196</v>
      </c>
    </row>
    <row r="69" customFormat="1" spans="5:13">
      <c r="E69">
        <v>5</v>
      </c>
      <c r="F69" s="29" t="s">
        <v>75</v>
      </c>
      <c r="G69">
        <f>(1-($K$7+$L$7+$M$7+$N$7))*$Q$7*(1-($R$7+$S$7+$T$7+$U$7))+($K$7+$L$7+$M$7+$N$7)*$Q$7*(1-($R$7+$S$7+$T$7+$U$7))+(1-($K$7+$L$7+$M$7+$N$7))*$Q$7*($R$7+$S$7+$T$7+$U$7)</f>
        <v>0.0099</v>
      </c>
      <c r="H69">
        <f>G69+($K$7+$L$7+$M$7+$N$7)*$Q$7*($R$7+$S$7+$T$7+$U$7)*2/3</f>
        <v>0.00996666666666667</v>
      </c>
      <c r="I69">
        <f t="shared" si="11"/>
        <v>100</v>
      </c>
      <c r="J69">
        <f t="shared" si="12"/>
        <v>100</v>
      </c>
      <c r="K69">
        <f t="shared" si="13"/>
        <v>5.98e-5</v>
      </c>
      <c r="L69">
        <f t="shared" si="14"/>
        <v>0.00598</v>
      </c>
      <c r="M69">
        <f t="shared" si="15"/>
        <v>0.0498333333333333</v>
      </c>
    </row>
    <row r="70" customFormat="1" spans="5:13">
      <c r="E70">
        <v>0</v>
      </c>
      <c r="F70" s="34" t="s">
        <v>70</v>
      </c>
      <c r="G70">
        <f>($K$7+$L$7+$M$7+$N$7)*($O$7+$P$7+$Q$7)*($R$7+$S$7+$T$7+$U$7)</f>
        <v>0.0015</v>
      </c>
      <c r="H70">
        <v>0</v>
      </c>
      <c r="I70">
        <f t="shared" si="11"/>
        <v>0</v>
      </c>
      <c r="J70">
        <f t="shared" si="12"/>
        <v>0</v>
      </c>
      <c r="K70">
        <f t="shared" si="13"/>
        <v>0</v>
      </c>
      <c r="L70">
        <f t="shared" si="14"/>
        <v>0</v>
      </c>
      <c r="M70">
        <f t="shared" si="15"/>
        <v>0</v>
      </c>
    </row>
    <row r="71" s="4" customFormat="1" spans="6:13">
      <c r="F71" s="4" t="s">
        <v>42</v>
      </c>
      <c r="G71" s="4">
        <f t="shared" ref="G71:M71" si="16">SUM(G66:G70)</f>
        <v>1</v>
      </c>
      <c r="H71" s="4">
        <f t="shared" si="16"/>
        <v>1</v>
      </c>
      <c r="K71" s="4">
        <f t="shared" si="16"/>
        <v>0.006</v>
      </c>
      <c r="L71" s="4">
        <f t="shared" si="16"/>
        <v>0.146312</v>
      </c>
      <c r="M71" s="4">
        <f t="shared" si="16"/>
        <v>1.21926666666667</v>
      </c>
    </row>
    <row r="72" customFormat="1" ht="14.25" spans="2:17">
      <c r="B72" s="3" t="s">
        <v>51</v>
      </c>
      <c r="C72" s="3" t="s">
        <v>52</v>
      </c>
      <c r="D72" s="10" t="s">
        <v>4</v>
      </c>
      <c r="E72" s="13" t="s">
        <v>53</v>
      </c>
      <c r="F72" s="13" t="s">
        <v>54</v>
      </c>
      <c r="G72" s="13" t="s">
        <v>55</v>
      </c>
      <c r="H72" s="13" t="s">
        <v>56</v>
      </c>
      <c r="I72" s="13" t="s">
        <v>57</v>
      </c>
      <c r="J72" s="13" t="s">
        <v>58</v>
      </c>
      <c r="K72" s="13" t="s">
        <v>59</v>
      </c>
      <c r="L72" s="13" t="s">
        <v>60</v>
      </c>
      <c r="M72" t="s">
        <v>71</v>
      </c>
      <c r="N72" s="13"/>
      <c r="P72" s="18"/>
      <c r="Q72" s="18"/>
    </row>
    <row r="73" customFormat="1" ht="14.25" spans="2:13">
      <c r="B73" s="7" t="s">
        <v>29</v>
      </c>
      <c r="C73" s="7" t="s">
        <v>27</v>
      </c>
      <c r="D73" s="7">
        <v>3</v>
      </c>
      <c r="E73">
        <v>1</v>
      </c>
      <c r="F73" s="29" t="s">
        <v>76</v>
      </c>
      <c r="G73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73">
        <f>G73+($K$7+$L$7+$M$7+$N$7)*($O$7+$P$7+$Q$7)*($R$7+$S$7+$T$7+$U$7)/3</f>
        <v>0.8505</v>
      </c>
      <c r="I73">
        <f t="shared" ref="I73:I77" si="17">$E$8*E73</f>
        <v>7</v>
      </c>
      <c r="J73">
        <f t="shared" ref="J73:J77" si="18">I73</f>
        <v>7</v>
      </c>
      <c r="K73">
        <f t="shared" ref="K73:K77" si="19">$F$8*H73</f>
        <v>0.010206</v>
      </c>
      <c r="L73">
        <f t="shared" ref="L73:L77" si="20">J73*K73</f>
        <v>0.071442</v>
      </c>
      <c r="M73">
        <f t="shared" ref="M73:M77" si="21">E73*H73</f>
        <v>0.8505</v>
      </c>
    </row>
    <row r="74" customFormat="1" spans="5:13">
      <c r="E74">
        <v>2</v>
      </c>
      <c r="F74" s="29" t="s">
        <v>77</v>
      </c>
      <c r="G74">
        <f>(1-($K$7+$L$7+$M$7+$N$7))*$O$7*(1-($R$7+$S$7+$T$7+$U$7))+($K$7+$L$7+$M$7+$N$7)*$O$7*(1-($R$7+$S$7+$T$7+$U$7))+(1-($K$7+$L$7+$M$7+$N$7))*$O$7*($R$7+$S$7+$T$7+$U$7)</f>
        <v>0.099</v>
      </c>
      <c r="H74">
        <f>G74+($K$7+$L$7+$M$7+$N$7)*$O$7*($R$7+$S$7+$T$7+$U$7)*2/3</f>
        <v>0.0996666666666667</v>
      </c>
      <c r="I74">
        <f t="shared" si="17"/>
        <v>14</v>
      </c>
      <c r="J74">
        <f t="shared" si="18"/>
        <v>14</v>
      </c>
      <c r="K74">
        <f t="shared" si="19"/>
        <v>0.001196</v>
      </c>
      <c r="L74">
        <f t="shared" si="20"/>
        <v>0.016744</v>
      </c>
      <c r="M74">
        <f t="shared" si="21"/>
        <v>0.199333333333333</v>
      </c>
    </row>
    <row r="75" customFormat="1" spans="5:13">
      <c r="E75">
        <v>3</v>
      </c>
      <c r="F75" s="29" t="s">
        <v>78</v>
      </c>
      <c r="G75">
        <f>(1-($K$7+$L$7+$M$7+$N$7))*$P$7*(1-($R$7+$S$7+$T$7+$U$7))+($K$7+$L$7+$M$7+$N$7)*$P$7*(1-($R$7+$S$7+$T$7+$U$7))+(1-($K$7+$L$7+$M$7+$N$7))*$P$7*($R$7+$S$7+$T$7+$U$7)</f>
        <v>0.0396</v>
      </c>
      <c r="H75">
        <f>G75+($K$7+$L$7+$M$7+$N$7)*$P$7*($R$7+$S$7+$T$7+$U$7)*2/3</f>
        <v>0.0398666666666667</v>
      </c>
      <c r="I75">
        <f t="shared" si="17"/>
        <v>21</v>
      </c>
      <c r="J75">
        <f t="shared" si="18"/>
        <v>21</v>
      </c>
      <c r="K75">
        <f t="shared" si="19"/>
        <v>0.0004784</v>
      </c>
      <c r="L75">
        <f t="shared" si="20"/>
        <v>0.0100464</v>
      </c>
      <c r="M75">
        <f t="shared" si="21"/>
        <v>0.1196</v>
      </c>
    </row>
    <row r="76" customFormat="1" spans="5:13">
      <c r="E76">
        <v>5</v>
      </c>
      <c r="F76" s="29" t="s">
        <v>79</v>
      </c>
      <c r="G76">
        <f>(1-($K$7+$L$7+$M$7+$N$7))*$Q$7*(1-($R$7+$S$7+$T$7+$U$7))+($K$7+$L$7+$M$7+$N$7)*$Q$7*(1-($R$7+$S$7+$T$7+$U$7))+(1-($K$7+$L$7+$M$7+$N$7))*$Q$7*($R$7+$S$7+$T$7+$U$7)</f>
        <v>0.0099</v>
      </c>
      <c r="H76">
        <f>G76+($K$7+$L$7+$M$7+$N$7)*$Q$7*($R$7+$S$7+$T$7+$U$7)*2/3</f>
        <v>0.00996666666666667</v>
      </c>
      <c r="I76">
        <f t="shared" si="17"/>
        <v>35</v>
      </c>
      <c r="J76">
        <f t="shared" si="18"/>
        <v>35</v>
      </c>
      <c r="K76">
        <f t="shared" si="19"/>
        <v>0.0001196</v>
      </c>
      <c r="L76">
        <f t="shared" si="20"/>
        <v>0.004186</v>
      </c>
      <c r="M76">
        <f t="shared" si="21"/>
        <v>0.0498333333333333</v>
      </c>
    </row>
    <row r="77" customFormat="1" spans="5:13">
      <c r="E77">
        <v>0</v>
      </c>
      <c r="F77" s="34" t="s">
        <v>70</v>
      </c>
      <c r="G77">
        <f>($K$7+$L$7+$M$7+$N$7)*($O$7+$P$7+$Q$7)*($R$7+$S$7+$T$7+$U$7)</f>
        <v>0.0015</v>
      </c>
      <c r="H77">
        <v>0</v>
      </c>
      <c r="I77">
        <f t="shared" si="17"/>
        <v>0</v>
      </c>
      <c r="J77">
        <f t="shared" si="18"/>
        <v>0</v>
      </c>
      <c r="K77">
        <f t="shared" si="19"/>
        <v>0</v>
      </c>
      <c r="L77">
        <f t="shared" si="20"/>
        <v>0</v>
      </c>
      <c r="M77">
        <f t="shared" si="21"/>
        <v>0</v>
      </c>
    </row>
    <row r="78" s="4" customFormat="1" spans="6:13">
      <c r="F78" s="4" t="s">
        <v>42</v>
      </c>
      <c r="G78" s="4">
        <f t="shared" ref="G78:M78" si="22">SUM(G73:G77)</f>
        <v>1</v>
      </c>
      <c r="H78" s="4">
        <f t="shared" si="22"/>
        <v>1</v>
      </c>
      <c r="K78" s="4">
        <f t="shared" si="22"/>
        <v>0.012</v>
      </c>
      <c r="L78" s="4">
        <f t="shared" si="22"/>
        <v>0.1024184</v>
      </c>
      <c r="M78" s="4">
        <f t="shared" si="22"/>
        <v>1.21926666666667</v>
      </c>
    </row>
    <row r="79" customFormat="1" ht="14.25" spans="2:17">
      <c r="B79" s="3" t="s">
        <v>51</v>
      </c>
      <c r="C79" s="3" t="s">
        <v>52</v>
      </c>
      <c r="D79" s="10" t="s">
        <v>4</v>
      </c>
      <c r="E79" s="13" t="s">
        <v>53</v>
      </c>
      <c r="F79" s="13" t="s">
        <v>54</v>
      </c>
      <c r="G79" s="13" t="s">
        <v>55</v>
      </c>
      <c r="H79" s="13" t="s">
        <v>56</v>
      </c>
      <c r="I79" s="13" t="s">
        <v>57</v>
      </c>
      <c r="J79" s="13" t="s">
        <v>58</v>
      </c>
      <c r="K79" s="13" t="s">
        <v>59</v>
      </c>
      <c r="L79" s="13" t="s">
        <v>60</v>
      </c>
      <c r="M79" t="s">
        <v>71</v>
      </c>
      <c r="N79" s="13"/>
      <c r="P79" s="18"/>
      <c r="Q79" s="18"/>
    </row>
    <row r="80" customFormat="1" ht="14.25" spans="2:13">
      <c r="B80" s="7" t="s">
        <v>30</v>
      </c>
      <c r="C80" s="7" t="s">
        <v>27</v>
      </c>
      <c r="D80" s="7">
        <v>3</v>
      </c>
      <c r="E80">
        <v>1</v>
      </c>
      <c r="F80" s="29" t="s">
        <v>80</v>
      </c>
      <c r="G80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80">
        <f>G80+($K$7+$L$7+$M$7+$N$7)*($O$7+$P$7+$Q$7)*($R$7+$S$7+$T$7+$U$7)/3</f>
        <v>0.8505</v>
      </c>
      <c r="I80">
        <f t="shared" ref="I80:I84" si="23">$E$9*E80</f>
        <v>5</v>
      </c>
      <c r="J80">
        <f t="shared" ref="J80:J84" si="24">I80</f>
        <v>5</v>
      </c>
      <c r="K80">
        <f t="shared" ref="K80:K84" si="25">$F$9*H80</f>
        <v>0.03402</v>
      </c>
      <c r="L80">
        <f t="shared" ref="L80:L84" si="26">J80*K80</f>
        <v>0.1701</v>
      </c>
      <c r="M80">
        <f t="shared" ref="M80:M84" si="27">E80*H80</f>
        <v>0.8505</v>
      </c>
    </row>
    <row r="81" customFormat="1" spans="5:13">
      <c r="E81">
        <v>2</v>
      </c>
      <c r="F81" s="29" t="s">
        <v>81</v>
      </c>
      <c r="G81">
        <f>(1-($K$7+$L$7+$M$7+$N$7))*$O$7*(1-($R$7+$S$7+$T$7+$U$7))+($K$7+$L$7+$M$7+$N$7)*$O$7*(1-($R$7+$S$7+$T$7+$U$7))+(1-($K$7+$L$7+$M$7+$N$7))*$O$7*($R$7+$S$7+$T$7+$U$7)</f>
        <v>0.099</v>
      </c>
      <c r="H81">
        <f>G81+($K$7+$L$7+$M$7+$N$7)*$O$7*($R$7+$S$7+$T$7+$U$7)*2/3</f>
        <v>0.0996666666666667</v>
      </c>
      <c r="I81">
        <f t="shared" si="23"/>
        <v>10</v>
      </c>
      <c r="J81">
        <f t="shared" si="24"/>
        <v>10</v>
      </c>
      <c r="K81">
        <f t="shared" si="25"/>
        <v>0.00398666666666667</v>
      </c>
      <c r="L81">
        <f t="shared" si="26"/>
        <v>0.0398666666666667</v>
      </c>
      <c r="M81">
        <f t="shared" si="27"/>
        <v>0.199333333333333</v>
      </c>
    </row>
    <row r="82" customFormat="1" spans="5:13">
      <c r="E82">
        <v>3</v>
      </c>
      <c r="F82" s="29" t="s">
        <v>82</v>
      </c>
      <c r="G82">
        <f>(1-($K$7+$L$7+$M$7+$N$7))*$P$7*(1-($R$7+$S$7+$T$7+$U$7))+($K$7+$L$7+$M$7+$N$7)*$P$7*(1-($R$7+$S$7+$T$7+$U$7))+(1-($K$7+$L$7+$M$7+$N$7))*$P$7*($R$7+$S$7+$T$7+$U$7)</f>
        <v>0.0396</v>
      </c>
      <c r="H82">
        <f>G82+($K$7+$L$7+$M$7+$N$7)*$P$7*($R$7+$S$7+$T$7+$U$7)*2/3</f>
        <v>0.0398666666666667</v>
      </c>
      <c r="I82">
        <f t="shared" si="23"/>
        <v>15</v>
      </c>
      <c r="J82">
        <f t="shared" si="24"/>
        <v>15</v>
      </c>
      <c r="K82">
        <f t="shared" si="25"/>
        <v>0.00159466666666667</v>
      </c>
      <c r="L82">
        <f t="shared" si="26"/>
        <v>0.02392</v>
      </c>
      <c r="M82">
        <f t="shared" si="27"/>
        <v>0.1196</v>
      </c>
    </row>
    <row r="83" customFormat="1" spans="5:13">
      <c r="E83">
        <v>5</v>
      </c>
      <c r="F83" s="29" t="s">
        <v>83</v>
      </c>
      <c r="G83">
        <f>(1-($K$7+$L$7+$M$7+$N$7))*$Q$7*(1-($R$7+$S$7+$T$7+$U$7))+($K$7+$L$7+$M$7+$N$7)*$Q$7*(1-($R$7+$S$7+$T$7+$U$7))+(1-($K$7+$L$7+$M$7+$N$7))*$Q$7*($R$7+$S$7+$T$7+$U$7)</f>
        <v>0.0099</v>
      </c>
      <c r="H83">
        <f>G83+($K$7+$L$7+$M$7+$N$7)*$Q$7*($R$7+$S$7+$T$7+$U$7)*2/3</f>
        <v>0.00996666666666667</v>
      </c>
      <c r="I83">
        <f t="shared" si="23"/>
        <v>25</v>
      </c>
      <c r="J83">
        <f t="shared" si="24"/>
        <v>25</v>
      </c>
      <c r="K83">
        <f t="shared" si="25"/>
        <v>0.000398666666666667</v>
      </c>
      <c r="L83">
        <f t="shared" si="26"/>
        <v>0.00996666666666667</v>
      </c>
      <c r="M83">
        <f t="shared" si="27"/>
        <v>0.0498333333333333</v>
      </c>
    </row>
    <row r="84" customFormat="1" spans="5:13">
      <c r="E84">
        <v>0</v>
      </c>
      <c r="F84" s="34" t="s">
        <v>70</v>
      </c>
      <c r="G84">
        <f>($K$7+$L$7+$M$7+$N$7)*($O$7+$P$7+$Q$7)*($R$7+$S$7+$T$7+$U$7)</f>
        <v>0.0015</v>
      </c>
      <c r="H84">
        <v>0</v>
      </c>
      <c r="I84">
        <f t="shared" si="23"/>
        <v>0</v>
      </c>
      <c r="J84">
        <f t="shared" si="24"/>
        <v>0</v>
      </c>
      <c r="K84">
        <f t="shared" si="25"/>
        <v>0</v>
      </c>
      <c r="L84">
        <f t="shared" si="26"/>
        <v>0</v>
      </c>
      <c r="M84">
        <f t="shared" si="27"/>
        <v>0</v>
      </c>
    </row>
    <row r="85" s="4" customFormat="1" spans="6:13">
      <c r="F85" s="4" t="s">
        <v>42</v>
      </c>
      <c r="G85" s="4">
        <f t="shared" ref="G85:M85" si="28">SUM(G80:G84)</f>
        <v>1</v>
      </c>
      <c r="H85" s="4">
        <f t="shared" si="28"/>
        <v>1</v>
      </c>
      <c r="K85" s="4">
        <f t="shared" si="28"/>
        <v>0.04</v>
      </c>
      <c r="L85" s="4">
        <f t="shared" si="28"/>
        <v>0.243853333333333</v>
      </c>
      <c r="M85" s="4">
        <f t="shared" si="28"/>
        <v>1.21926666666667</v>
      </c>
    </row>
    <row r="86" customFormat="1" ht="14.25" spans="2:17">
      <c r="B86" s="3" t="s">
        <v>51</v>
      </c>
      <c r="C86" s="3" t="s">
        <v>52</v>
      </c>
      <c r="D86" s="10" t="s">
        <v>4</v>
      </c>
      <c r="E86" s="13" t="s">
        <v>53</v>
      </c>
      <c r="F86" s="13" t="s">
        <v>54</v>
      </c>
      <c r="G86" s="13" t="s">
        <v>55</v>
      </c>
      <c r="H86" s="13" t="s">
        <v>56</v>
      </c>
      <c r="I86" s="13" t="s">
        <v>57</v>
      </c>
      <c r="J86" s="13" t="s">
        <v>58</v>
      </c>
      <c r="K86" s="13" t="s">
        <v>59</v>
      </c>
      <c r="L86" s="13" t="s">
        <v>60</v>
      </c>
      <c r="M86" t="s">
        <v>71</v>
      </c>
      <c r="N86" s="13"/>
      <c r="P86" s="18"/>
      <c r="Q86" s="18"/>
    </row>
    <row r="87" customFormat="1" ht="14.25" spans="2:13">
      <c r="B87" s="7" t="s">
        <v>31</v>
      </c>
      <c r="C87" s="7" t="s">
        <v>27</v>
      </c>
      <c r="D87" s="7">
        <v>3</v>
      </c>
      <c r="E87">
        <v>1</v>
      </c>
      <c r="F87" s="29" t="s">
        <v>84</v>
      </c>
      <c r="G87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87">
        <f>G87+($K$7+$L$7+$M$7+$N$7)*($O$7+$P$7+$Q$7)*($R$7+$S$7+$T$7+$U$7)/3</f>
        <v>0.8505</v>
      </c>
      <c r="I87">
        <f t="shared" ref="I87:I91" si="29">$E$10*E87</f>
        <v>4</v>
      </c>
      <c r="J87">
        <f t="shared" ref="J87:J91" si="30">I87</f>
        <v>4</v>
      </c>
      <c r="K87">
        <f t="shared" ref="K87:K91" si="31">$F$10*H87</f>
        <v>0.03402</v>
      </c>
      <c r="L87">
        <f t="shared" ref="L87:L91" si="32">J87*K87</f>
        <v>0.13608</v>
      </c>
      <c r="M87">
        <f t="shared" ref="M87:M91" si="33">E87*H87</f>
        <v>0.8505</v>
      </c>
    </row>
    <row r="88" customFormat="1" spans="5:13">
      <c r="E88">
        <v>2</v>
      </c>
      <c r="F88" s="29" t="s">
        <v>85</v>
      </c>
      <c r="G88">
        <f>(1-($K$7+$L$7+$M$7+$N$7))*$O$7*(1-($R$7+$S$7+$T$7+$U$7))+($K$7+$L$7+$M$7+$N$7)*$O$7*(1-($R$7+$S$7+$T$7+$U$7))+(1-($K$7+$L$7+$M$7+$N$7))*$O$7*($R$7+$S$7+$T$7+$U$7)</f>
        <v>0.099</v>
      </c>
      <c r="H88">
        <f>G88+($K$7+$L$7+$M$7+$N$7)*$O$7*($R$7+$S$7+$T$7+$U$7)*2/3</f>
        <v>0.0996666666666667</v>
      </c>
      <c r="I88">
        <f t="shared" si="29"/>
        <v>8</v>
      </c>
      <c r="J88">
        <f t="shared" si="30"/>
        <v>8</v>
      </c>
      <c r="K88">
        <f t="shared" si="31"/>
        <v>0.00398666666666667</v>
      </c>
      <c r="L88">
        <f t="shared" si="32"/>
        <v>0.0318933333333333</v>
      </c>
      <c r="M88">
        <f t="shared" si="33"/>
        <v>0.199333333333333</v>
      </c>
    </row>
    <row r="89" customFormat="1" spans="5:13">
      <c r="E89">
        <v>3</v>
      </c>
      <c r="F89" s="29" t="s">
        <v>86</v>
      </c>
      <c r="G89">
        <f>(1-($K$7+$L$7+$M$7+$N$7))*$P$7*(1-($R$7+$S$7+$T$7+$U$7))+($K$7+$L$7+$M$7+$N$7)*$P$7*(1-($R$7+$S$7+$T$7+$U$7))+(1-($K$7+$L$7+$M$7+$N$7))*$P$7*($R$7+$S$7+$T$7+$U$7)</f>
        <v>0.0396</v>
      </c>
      <c r="H89">
        <f>G89+($K$7+$L$7+$M$7+$N$7)*$P$7*($R$7+$S$7+$T$7+$U$7)*2/3</f>
        <v>0.0398666666666667</v>
      </c>
      <c r="I89">
        <f t="shared" si="29"/>
        <v>12</v>
      </c>
      <c r="J89">
        <f t="shared" si="30"/>
        <v>12</v>
      </c>
      <c r="K89">
        <f t="shared" si="31"/>
        <v>0.00159466666666667</v>
      </c>
      <c r="L89">
        <f t="shared" si="32"/>
        <v>0.019136</v>
      </c>
      <c r="M89">
        <f t="shared" si="33"/>
        <v>0.1196</v>
      </c>
    </row>
    <row r="90" customFormat="1" spans="5:13">
      <c r="E90">
        <v>5</v>
      </c>
      <c r="F90" s="29" t="s">
        <v>87</v>
      </c>
      <c r="G90">
        <f>(1-($K$7+$L$7+$M$7+$N$7))*$Q$7*(1-($R$7+$S$7+$T$7+$U$7))+($K$7+$L$7+$M$7+$N$7)*$Q$7*(1-($R$7+$S$7+$T$7+$U$7))+(1-($K$7+$L$7+$M$7+$N$7))*$Q$7*($R$7+$S$7+$T$7+$U$7)</f>
        <v>0.0099</v>
      </c>
      <c r="H90">
        <f>G90+($K$7+$L$7+$M$7+$N$7)*$Q$7*($R$7+$S$7+$T$7+$U$7)*2/3</f>
        <v>0.00996666666666667</v>
      </c>
      <c r="I90">
        <f t="shared" si="29"/>
        <v>20</v>
      </c>
      <c r="J90">
        <f t="shared" si="30"/>
        <v>20</v>
      </c>
      <c r="K90">
        <f t="shared" si="31"/>
        <v>0.000398666666666667</v>
      </c>
      <c r="L90">
        <f t="shared" si="32"/>
        <v>0.00797333333333333</v>
      </c>
      <c r="M90">
        <f t="shared" si="33"/>
        <v>0.0498333333333333</v>
      </c>
    </row>
    <row r="91" customFormat="1" spans="5:13">
      <c r="E91">
        <v>0</v>
      </c>
      <c r="F91" s="34" t="s">
        <v>70</v>
      </c>
      <c r="G91">
        <f>($K$7+$L$7+$M$7+$N$7)*($O$7+$P$7+$Q$7)*($R$7+$S$7+$T$7+$U$7)</f>
        <v>0.0015</v>
      </c>
      <c r="H91">
        <v>0</v>
      </c>
      <c r="I91">
        <f t="shared" si="29"/>
        <v>0</v>
      </c>
      <c r="J91">
        <f t="shared" si="30"/>
        <v>0</v>
      </c>
      <c r="K91">
        <f t="shared" si="31"/>
        <v>0</v>
      </c>
      <c r="L91">
        <f t="shared" si="32"/>
        <v>0</v>
      </c>
      <c r="M91">
        <f t="shared" si="33"/>
        <v>0</v>
      </c>
    </row>
    <row r="92" s="4" customFormat="1" spans="6:13">
      <c r="F92" s="4" t="s">
        <v>42</v>
      </c>
      <c r="G92" s="4">
        <f t="shared" ref="G92:M92" si="34">SUM(G87:G91)</f>
        <v>1</v>
      </c>
      <c r="H92" s="4">
        <f t="shared" si="34"/>
        <v>1</v>
      </c>
      <c r="K92" s="4">
        <f t="shared" si="34"/>
        <v>0.04</v>
      </c>
      <c r="L92" s="4">
        <f t="shared" si="34"/>
        <v>0.195082666666667</v>
      </c>
      <c r="M92" s="4">
        <f t="shared" si="34"/>
        <v>1.21926666666667</v>
      </c>
    </row>
    <row r="93" customFormat="1" ht="14.25" spans="2:17">
      <c r="B93" s="3" t="s">
        <v>51</v>
      </c>
      <c r="C93" s="3" t="s">
        <v>52</v>
      </c>
      <c r="D93" s="10" t="s">
        <v>4</v>
      </c>
      <c r="E93" s="13" t="s">
        <v>53</v>
      </c>
      <c r="F93" s="13" t="s">
        <v>54</v>
      </c>
      <c r="G93" s="13" t="s">
        <v>55</v>
      </c>
      <c r="H93" s="13" t="s">
        <v>56</v>
      </c>
      <c r="I93" s="13" t="s">
        <v>57</v>
      </c>
      <c r="J93" s="13" t="s">
        <v>58</v>
      </c>
      <c r="K93" s="13" t="s">
        <v>59</v>
      </c>
      <c r="L93" s="13" t="s">
        <v>60</v>
      </c>
      <c r="M93" t="s">
        <v>71</v>
      </c>
      <c r="N93" s="13"/>
      <c r="P93" s="18"/>
      <c r="Q93" s="18"/>
    </row>
    <row r="94" customFormat="1" ht="14.25" spans="2:13">
      <c r="B94" s="7" t="s">
        <v>32</v>
      </c>
      <c r="C94" s="7" t="s">
        <v>27</v>
      </c>
      <c r="D94" s="7">
        <v>3</v>
      </c>
      <c r="E94">
        <v>1</v>
      </c>
      <c r="F94" s="29" t="s">
        <v>88</v>
      </c>
      <c r="G94">
        <f>(1-($K$7+$L$7+$M$7+$N$7))*(1-($O$7+$P$7+$Q$7))*(1-($R$7+$S$7+$T$7+$U$7))+($K$7+$L$7+$M$7+$N$7)*(1-($O$7+$P$7+$Q$7))*(1-($R$7+$S$7+$T$7+$U$7))+(1-($K$7+$L$7+$M$7+$N$7))*(1-($O$7+$P$7+$Q$7))*($R$7+$S$7+$T$7+$U$7)+($K$7+$L$7+$M$7+$N$7)*(1-($O$7+$P$7+$Q$7))*($R$7+$S$7+$T$7+$U$7)</f>
        <v>0.85</v>
      </c>
      <c r="H94">
        <f>G94+($K$7+$L$7+$M$7+$N$7)*($O$7+$P$7+$Q$7)*($R$7+$S$7+$T$7+$U$7)/3</f>
        <v>0.8505</v>
      </c>
      <c r="I94">
        <f t="shared" ref="I94:I98" si="35">$E$11*E94</f>
        <v>3</v>
      </c>
      <c r="J94">
        <f t="shared" ref="J94:J98" si="36">I94</f>
        <v>3</v>
      </c>
      <c r="K94">
        <f t="shared" ref="K94:K98" si="37">$F$11*H94</f>
        <v>0.01701</v>
      </c>
      <c r="L94">
        <f t="shared" ref="L94:L98" si="38">J94*K94</f>
        <v>0.05103</v>
      </c>
      <c r="M94">
        <f t="shared" ref="M94:M98" si="39">E94*H94</f>
        <v>0.8505</v>
      </c>
    </row>
    <row r="95" customFormat="1" spans="5:13">
      <c r="E95">
        <v>2</v>
      </c>
      <c r="F95" s="29" t="s">
        <v>89</v>
      </c>
      <c r="G95">
        <f>(1-($K$7+$L$7+$M$7+$N$7))*$O$7*(1-($R$7+$S$7+$T$7+$U$7))+($K$7+$L$7+$M$7+$N$7)*$O$7*(1-($R$7+$S$7+$T$7+$U$7))+(1-($K$7+$L$7+$M$7+$N$7))*$O$7*($R$7+$S$7+$T$7+$U$7)</f>
        <v>0.099</v>
      </c>
      <c r="H95">
        <f>G95+($K$7+$L$7+$M$7+$N$7)*$O$7*($R$7+$S$7+$T$7+$U$7)*2/3</f>
        <v>0.0996666666666667</v>
      </c>
      <c r="I95">
        <f t="shared" si="35"/>
        <v>6</v>
      </c>
      <c r="J95">
        <f t="shared" si="36"/>
        <v>6</v>
      </c>
      <c r="K95">
        <f t="shared" si="37"/>
        <v>0.00199333333333333</v>
      </c>
      <c r="L95">
        <f t="shared" si="38"/>
        <v>0.01196</v>
      </c>
      <c r="M95">
        <f t="shared" si="39"/>
        <v>0.199333333333333</v>
      </c>
    </row>
    <row r="96" customFormat="1" spans="5:13">
      <c r="E96">
        <v>3</v>
      </c>
      <c r="F96" s="29" t="s">
        <v>90</v>
      </c>
      <c r="G96">
        <f>(1-($K$7+$L$7+$M$7+$N$7))*$P$7*(1-($R$7+$S$7+$T$7+$U$7))+($K$7+$L$7+$M$7+$N$7)*$P$7*(1-($R$7+$S$7+$T$7+$U$7))+(1-($K$7+$L$7+$M$7+$N$7))*$P$7*($R$7+$S$7+$T$7+$U$7)</f>
        <v>0.0396</v>
      </c>
      <c r="H96">
        <f>G96+($K$7+$L$7+$M$7+$N$7)*$P$7*($R$7+$S$7+$T$7+$U$7)*2/3</f>
        <v>0.0398666666666667</v>
      </c>
      <c r="I96">
        <f t="shared" si="35"/>
        <v>9</v>
      </c>
      <c r="J96">
        <f t="shared" si="36"/>
        <v>9</v>
      </c>
      <c r="K96">
        <f t="shared" si="37"/>
        <v>0.000797333333333333</v>
      </c>
      <c r="L96">
        <f t="shared" si="38"/>
        <v>0.007176</v>
      </c>
      <c r="M96">
        <f t="shared" si="39"/>
        <v>0.1196</v>
      </c>
    </row>
    <row r="97" customFormat="1" spans="5:13">
      <c r="E97">
        <v>5</v>
      </c>
      <c r="F97" s="29" t="s">
        <v>91</v>
      </c>
      <c r="G97">
        <f>(1-($K$7+$L$7+$M$7+$N$7))*$Q$7*(1-($R$7+$S$7+$T$7+$U$7))+($K$7+$L$7+$M$7+$N$7)*$Q$7*(1-($R$7+$S$7+$T$7+$U$7))+(1-($K$7+$L$7+$M$7+$N$7))*$Q$7*($R$7+$S$7+$T$7+$U$7)</f>
        <v>0.0099</v>
      </c>
      <c r="H97">
        <f>G97+($K$7+$L$7+$M$7+$N$7)*$Q$7*($R$7+$S$7+$T$7+$U$7)*2/3</f>
        <v>0.00996666666666667</v>
      </c>
      <c r="I97">
        <f t="shared" si="35"/>
        <v>15</v>
      </c>
      <c r="J97">
        <f t="shared" si="36"/>
        <v>15</v>
      </c>
      <c r="K97">
        <f t="shared" si="37"/>
        <v>0.000199333333333333</v>
      </c>
      <c r="L97">
        <f t="shared" si="38"/>
        <v>0.00299</v>
      </c>
      <c r="M97">
        <f t="shared" si="39"/>
        <v>0.0498333333333333</v>
      </c>
    </row>
    <row r="98" customFormat="1" spans="5:13">
      <c r="E98">
        <v>0</v>
      </c>
      <c r="F98" s="34" t="s">
        <v>70</v>
      </c>
      <c r="G98">
        <f>($K$7+$L$7+$M$7+$N$7)*($O$7+$P$7+$Q$7)*($R$7+$S$7+$T$7+$U$7)</f>
        <v>0.0015</v>
      </c>
      <c r="H98">
        <v>0</v>
      </c>
      <c r="I98">
        <f t="shared" si="35"/>
        <v>0</v>
      </c>
      <c r="J98">
        <f t="shared" si="36"/>
        <v>0</v>
      </c>
      <c r="K98">
        <f t="shared" si="37"/>
        <v>0</v>
      </c>
      <c r="L98">
        <f t="shared" si="38"/>
        <v>0</v>
      </c>
      <c r="M98">
        <f t="shared" si="39"/>
        <v>0</v>
      </c>
    </row>
    <row r="99" s="4" customFormat="1" spans="6:13">
      <c r="F99" s="4" t="s">
        <v>42</v>
      </c>
      <c r="G99" s="4">
        <f t="shared" ref="G99:M99" si="40">SUM(G94:G98)</f>
        <v>1</v>
      </c>
      <c r="H99" s="4">
        <f t="shared" si="40"/>
        <v>1</v>
      </c>
      <c r="K99" s="4">
        <f t="shared" si="40"/>
        <v>0.02</v>
      </c>
      <c r="L99" s="4">
        <f t="shared" si="40"/>
        <v>0.073156</v>
      </c>
      <c r="M99" s="4">
        <f t="shared" si="40"/>
        <v>1.21926666666667</v>
      </c>
    </row>
    <row r="100" customFormat="1" spans="2:13">
      <c r="B100" t="s">
        <v>33</v>
      </c>
      <c r="C100" t="s">
        <v>34</v>
      </c>
      <c r="D100">
        <v>3</v>
      </c>
      <c r="E100" t="s">
        <v>53</v>
      </c>
      <c r="F100" t="s">
        <v>54</v>
      </c>
      <c r="G100" t="s">
        <v>55</v>
      </c>
      <c r="H100" t="s">
        <v>56</v>
      </c>
      <c r="I100" t="s">
        <v>57</v>
      </c>
      <c r="J100" t="s">
        <v>58</v>
      </c>
      <c r="K100" t="s">
        <v>59</v>
      </c>
      <c r="L100" t="s">
        <v>60</v>
      </c>
      <c r="M100" t="s">
        <v>71</v>
      </c>
    </row>
    <row r="101" customFormat="1" spans="5:13">
      <c r="E101">
        <v>1</v>
      </c>
      <c r="F101" t="s">
        <v>92</v>
      </c>
      <c r="G101">
        <f>G113*D113+D118*G119+D121*G122</f>
        <v>0.936666666666666</v>
      </c>
      <c r="H101">
        <f t="shared" ref="H101:H104" si="41">G101</f>
        <v>0.936666666666666</v>
      </c>
      <c r="I101">
        <f t="shared" ref="I101:I104" si="42">$E$12*E101</f>
        <v>2</v>
      </c>
      <c r="J101">
        <f t="shared" ref="J101:J104" si="43">I101</f>
        <v>2</v>
      </c>
      <c r="K101">
        <f t="shared" ref="K101:K104" si="44">$F$12*H101</f>
        <v>0.0187333333333333</v>
      </c>
      <c r="L101">
        <f t="shared" ref="L101:L104" si="45">J101*K101</f>
        <v>0.0374666666666666</v>
      </c>
      <c r="M101">
        <f t="shared" ref="M101:M104" si="46">E101*H101</f>
        <v>0.936666666666666</v>
      </c>
    </row>
    <row r="102" customFormat="1" spans="5:13">
      <c r="E102">
        <v>2</v>
      </c>
      <c r="F102" t="s">
        <v>93</v>
      </c>
      <c r="G102">
        <f>G114*D113*2</f>
        <v>0.0493999999999999</v>
      </c>
      <c r="H102">
        <f t="shared" si="41"/>
        <v>0.0493999999999999</v>
      </c>
      <c r="I102">
        <f t="shared" si="42"/>
        <v>4</v>
      </c>
      <c r="J102">
        <f t="shared" si="43"/>
        <v>4</v>
      </c>
      <c r="K102">
        <f t="shared" si="44"/>
        <v>0.000987999999999999</v>
      </c>
      <c r="L102">
        <f t="shared" si="45"/>
        <v>0.003952</v>
      </c>
      <c r="M102">
        <f t="shared" si="46"/>
        <v>0.0987999999999999</v>
      </c>
    </row>
    <row r="103" customFormat="1" spans="5:13">
      <c r="E103">
        <v>3</v>
      </c>
      <c r="F103" t="s">
        <v>94</v>
      </c>
      <c r="G103">
        <f>G115*D113*2</f>
        <v>0.0126666666666667</v>
      </c>
      <c r="H103">
        <f t="shared" si="41"/>
        <v>0.0126666666666667</v>
      </c>
      <c r="I103">
        <f t="shared" si="42"/>
        <v>6</v>
      </c>
      <c r="J103">
        <f t="shared" si="43"/>
        <v>6</v>
      </c>
      <c r="K103">
        <f t="shared" si="44"/>
        <v>0.000253333333333333</v>
      </c>
      <c r="L103">
        <f t="shared" si="45"/>
        <v>0.00152</v>
      </c>
      <c r="M103">
        <f t="shared" si="46"/>
        <v>0.038</v>
      </c>
    </row>
    <row r="104" customFormat="1" spans="5:13">
      <c r="E104">
        <v>5</v>
      </c>
      <c r="F104" t="s">
        <v>95</v>
      </c>
      <c r="G104">
        <f>G116*D113*2</f>
        <v>0.00126666666666667</v>
      </c>
      <c r="H104">
        <f t="shared" si="41"/>
        <v>0.00126666666666667</v>
      </c>
      <c r="I104">
        <f t="shared" si="42"/>
        <v>10</v>
      </c>
      <c r="J104">
        <f t="shared" si="43"/>
        <v>10</v>
      </c>
      <c r="K104">
        <f t="shared" si="44"/>
        <v>2.53333333333333e-5</v>
      </c>
      <c r="L104">
        <f t="shared" si="45"/>
        <v>0.000253333333333333</v>
      </c>
      <c r="M104">
        <f t="shared" si="46"/>
        <v>0.00633333333333333</v>
      </c>
    </row>
    <row r="105" s="4" customFormat="1" spans="5:13">
      <c r="E105" s="4" t="s">
        <v>42</v>
      </c>
      <c r="G105" s="4">
        <f t="shared" ref="G105:M105" si="47">SUM(G101:G104)</f>
        <v>0.999999999999999</v>
      </c>
      <c r="K105" s="4">
        <f t="shared" si="47"/>
        <v>0.02</v>
      </c>
      <c r="L105" s="4">
        <f t="shared" si="47"/>
        <v>0.043192</v>
      </c>
      <c r="M105" s="4">
        <f t="shared" si="47"/>
        <v>1.0798</v>
      </c>
    </row>
    <row r="106" customFormat="1" spans="3:13">
      <c r="C106" s="59" t="s">
        <v>96</v>
      </c>
      <c r="D106" s="60" t="s">
        <v>97</v>
      </c>
      <c r="E106" s="60" t="s">
        <v>53</v>
      </c>
      <c r="F106" s="60" t="s">
        <v>54</v>
      </c>
      <c r="G106" s="60" t="s">
        <v>55</v>
      </c>
      <c r="H106" s="60" t="s">
        <v>56</v>
      </c>
      <c r="I106" s="60" t="s">
        <v>57</v>
      </c>
      <c r="J106" s="60" t="s">
        <v>58</v>
      </c>
      <c r="K106" s="60" t="s">
        <v>59</v>
      </c>
      <c r="L106" s="60" t="s">
        <v>60</v>
      </c>
      <c r="M106" s="65" t="s">
        <v>71</v>
      </c>
    </row>
    <row r="107" customFormat="1" spans="3:13">
      <c r="C107" s="61" t="s">
        <v>98</v>
      </c>
      <c r="D107" s="62">
        <v>0</v>
      </c>
      <c r="E107" s="62">
        <v>1</v>
      </c>
      <c r="F107" s="62" t="s">
        <v>99</v>
      </c>
      <c r="G107" s="62"/>
      <c r="H107" s="62"/>
      <c r="I107" s="62"/>
      <c r="J107" s="62"/>
      <c r="K107" s="62"/>
      <c r="L107" s="62"/>
      <c r="M107" s="66"/>
    </row>
    <row r="108" customFormat="1" spans="3:13">
      <c r="C108" s="61"/>
      <c r="D108" s="62"/>
      <c r="E108" s="62">
        <v>1</v>
      </c>
      <c r="F108" s="62" t="s">
        <v>100</v>
      </c>
      <c r="G108" s="62"/>
      <c r="H108" s="62"/>
      <c r="I108" s="62"/>
      <c r="J108" s="62"/>
      <c r="K108" s="62"/>
      <c r="L108" s="62"/>
      <c r="M108" s="66"/>
    </row>
    <row r="109" customFormat="1" spans="3:13">
      <c r="C109" s="61"/>
      <c r="D109" s="62"/>
      <c r="E109" s="62">
        <v>3</v>
      </c>
      <c r="F109" s="62" t="s">
        <v>101</v>
      </c>
      <c r="G109" s="62"/>
      <c r="H109" s="62"/>
      <c r="I109" s="62"/>
      <c r="J109" s="62"/>
      <c r="K109" s="62"/>
      <c r="L109" s="62"/>
      <c r="M109" s="66"/>
    </row>
    <row r="110" customFormat="1" spans="3:13">
      <c r="C110" s="61"/>
      <c r="D110" s="62"/>
      <c r="E110" s="62">
        <v>5</v>
      </c>
      <c r="F110" s="62" t="s">
        <v>102</v>
      </c>
      <c r="G110" s="62"/>
      <c r="H110" s="62"/>
      <c r="I110" s="62"/>
      <c r="J110" s="62"/>
      <c r="K110" s="62"/>
      <c r="L110" s="62"/>
      <c r="M110" s="66"/>
    </row>
    <row r="111" customFormat="1" spans="3:13">
      <c r="C111" s="61"/>
      <c r="D111" s="62"/>
      <c r="E111" s="62" t="s">
        <v>42</v>
      </c>
      <c r="F111" s="62"/>
      <c r="G111" s="62"/>
      <c r="H111" s="62"/>
      <c r="I111" s="62"/>
      <c r="J111" s="62"/>
      <c r="K111" s="62"/>
      <c r="L111" s="62"/>
      <c r="M111" s="66"/>
    </row>
    <row r="112" customFormat="1" spans="3:13">
      <c r="C112" s="61"/>
      <c r="D112" s="62"/>
      <c r="E112" s="62" t="s">
        <v>53</v>
      </c>
      <c r="F112" s="62" t="s">
        <v>54</v>
      </c>
      <c r="G112" s="62" t="s">
        <v>55</v>
      </c>
      <c r="H112" s="62" t="s">
        <v>56</v>
      </c>
      <c r="I112" s="62" t="s">
        <v>57</v>
      </c>
      <c r="J112" s="62" t="s">
        <v>58</v>
      </c>
      <c r="K112" s="62" t="s">
        <v>59</v>
      </c>
      <c r="L112" s="62" t="s">
        <v>60</v>
      </c>
      <c r="M112" s="66" t="s">
        <v>71</v>
      </c>
    </row>
    <row r="113" customFormat="1" spans="3:13">
      <c r="C113" s="61" t="s">
        <v>103</v>
      </c>
      <c r="D113" s="62">
        <v>0.333333333333333</v>
      </c>
      <c r="E113" s="62">
        <v>1</v>
      </c>
      <c r="F113" s="62" t="s">
        <v>104</v>
      </c>
      <c r="G113" s="62">
        <f>0.81+0.19/2</f>
        <v>0.905</v>
      </c>
      <c r="H113" s="62"/>
      <c r="I113" s="62"/>
      <c r="J113" s="62"/>
      <c r="K113" s="62"/>
      <c r="L113" s="62"/>
      <c r="M113" s="66"/>
    </row>
    <row r="114" customFormat="1" spans="3:13">
      <c r="C114" s="61"/>
      <c r="D114" s="62"/>
      <c r="E114" s="62">
        <v>2</v>
      </c>
      <c r="F114" s="62" t="s">
        <v>93</v>
      </c>
      <c r="G114" s="62">
        <f>0.19*0.78/2</f>
        <v>0.0741</v>
      </c>
      <c r="H114" s="62"/>
      <c r="I114" s="62"/>
      <c r="J114" s="62"/>
      <c r="K114" s="62"/>
      <c r="L114" s="62"/>
      <c r="M114" s="66"/>
    </row>
    <row r="115" customFormat="1" spans="3:13">
      <c r="C115" s="61"/>
      <c r="D115" s="62"/>
      <c r="E115" s="62">
        <v>3</v>
      </c>
      <c r="F115" s="62" t="s">
        <v>94</v>
      </c>
      <c r="G115" s="62">
        <f>0.19*0.2/2</f>
        <v>0.019</v>
      </c>
      <c r="H115" s="62"/>
      <c r="I115" s="62"/>
      <c r="J115" s="62"/>
      <c r="K115" s="62"/>
      <c r="L115" s="62"/>
      <c r="M115" s="66"/>
    </row>
    <row r="116" customFormat="1" spans="3:13">
      <c r="C116" s="61"/>
      <c r="D116" s="62"/>
      <c r="E116" s="62">
        <v>5</v>
      </c>
      <c r="F116" s="62" t="s">
        <v>95</v>
      </c>
      <c r="G116" s="62">
        <f>0.19*0.02/2</f>
        <v>0.0019</v>
      </c>
      <c r="H116" s="62"/>
      <c r="I116" s="62"/>
      <c r="J116" s="62"/>
      <c r="K116" s="62"/>
      <c r="L116" s="62"/>
      <c r="M116" s="66"/>
    </row>
    <row r="117" customFormat="1" spans="3:13">
      <c r="C117" s="61"/>
      <c r="D117" s="62"/>
      <c r="E117" s="62" t="s">
        <v>42</v>
      </c>
      <c r="F117" s="62"/>
      <c r="G117" s="62">
        <f>SUM(G113:G116)</f>
        <v>1</v>
      </c>
      <c r="H117" s="62"/>
      <c r="I117" s="62"/>
      <c r="J117" s="62"/>
      <c r="K117" s="62"/>
      <c r="L117" s="62"/>
      <c r="M117" s="66"/>
    </row>
    <row r="118" customFormat="1" spans="3:13">
      <c r="C118" s="61" t="s">
        <v>105</v>
      </c>
      <c r="D118" s="62">
        <v>0.333333333333333</v>
      </c>
      <c r="E118" s="62" t="s">
        <v>53</v>
      </c>
      <c r="F118" s="62" t="s">
        <v>54</v>
      </c>
      <c r="G118" s="62" t="s">
        <v>55</v>
      </c>
      <c r="H118" s="62" t="s">
        <v>56</v>
      </c>
      <c r="I118" s="62" t="s">
        <v>57</v>
      </c>
      <c r="J118" s="62" t="s">
        <v>58</v>
      </c>
      <c r="K118" s="62" t="s">
        <v>59</v>
      </c>
      <c r="L118" s="62" t="s">
        <v>60</v>
      </c>
      <c r="M118" s="66" t="s">
        <v>71</v>
      </c>
    </row>
    <row r="119" customFormat="1" spans="3:13">
      <c r="C119" s="61"/>
      <c r="D119" s="62"/>
      <c r="E119" s="62">
        <v>1</v>
      </c>
      <c r="F119" s="62" t="s">
        <v>106</v>
      </c>
      <c r="G119" s="62">
        <v>1</v>
      </c>
      <c r="H119" s="62"/>
      <c r="I119" s="62"/>
      <c r="J119" s="62"/>
      <c r="K119" s="62"/>
      <c r="L119" s="62"/>
      <c r="M119" s="66"/>
    </row>
    <row r="120" customFormat="1" spans="3:13">
      <c r="C120" s="61"/>
      <c r="D120" s="62"/>
      <c r="E120" s="62" t="s">
        <v>42</v>
      </c>
      <c r="F120" s="62"/>
      <c r="G120" s="62">
        <v>1</v>
      </c>
      <c r="H120" s="62"/>
      <c r="I120" s="62"/>
      <c r="J120" s="62"/>
      <c r="K120" s="62"/>
      <c r="L120" s="62"/>
      <c r="M120" s="66"/>
    </row>
    <row r="121" customFormat="1" spans="3:13">
      <c r="C121" s="61" t="s">
        <v>107</v>
      </c>
      <c r="D121" s="62">
        <v>0.333333333333333</v>
      </c>
      <c r="E121" s="62" t="s">
        <v>53</v>
      </c>
      <c r="F121" s="62" t="s">
        <v>54</v>
      </c>
      <c r="G121" s="62" t="s">
        <v>55</v>
      </c>
      <c r="H121" s="62" t="s">
        <v>56</v>
      </c>
      <c r="I121" s="62" t="s">
        <v>57</v>
      </c>
      <c r="J121" s="62" t="s">
        <v>58</v>
      </c>
      <c r="K121" s="62" t="s">
        <v>59</v>
      </c>
      <c r="L121" s="62" t="s">
        <v>60</v>
      </c>
      <c r="M121" s="66" t="s">
        <v>71</v>
      </c>
    </row>
    <row r="122" customFormat="1" spans="3:13">
      <c r="C122" s="61"/>
      <c r="D122" s="62"/>
      <c r="E122" s="62">
        <v>1</v>
      </c>
      <c r="F122" s="62" t="s">
        <v>108</v>
      </c>
      <c r="G122" s="62">
        <f>0.81+0.19/2</f>
        <v>0.905</v>
      </c>
      <c r="H122" s="62"/>
      <c r="I122" s="62"/>
      <c r="J122" s="62"/>
      <c r="K122" s="62"/>
      <c r="L122" s="62"/>
      <c r="M122" s="66"/>
    </row>
    <row r="123" customFormat="1" spans="3:13">
      <c r="C123" s="61"/>
      <c r="D123" s="62"/>
      <c r="E123" s="62">
        <v>2</v>
      </c>
      <c r="F123" s="62" t="s">
        <v>93</v>
      </c>
      <c r="G123" s="62">
        <f>0.19*0.78/2</f>
        <v>0.0741</v>
      </c>
      <c r="H123" s="62"/>
      <c r="I123" s="62"/>
      <c r="J123" s="62"/>
      <c r="K123" s="62"/>
      <c r="L123" s="62"/>
      <c r="M123" s="66"/>
    </row>
    <row r="124" customFormat="1" spans="3:13">
      <c r="C124" s="61"/>
      <c r="D124" s="62"/>
      <c r="E124" s="62">
        <v>3</v>
      </c>
      <c r="F124" s="62" t="s">
        <v>94</v>
      </c>
      <c r="G124" s="62">
        <f>0.19*0.2/2</f>
        <v>0.019</v>
      </c>
      <c r="H124" s="62"/>
      <c r="I124" s="62"/>
      <c r="J124" s="62"/>
      <c r="K124" s="62"/>
      <c r="L124" s="62"/>
      <c r="M124" s="66"/>
    </row>
    <row r="125" customFormat="1" spans="3:13">
      <c r="C125" s="61"/>
      <c r="D125" s="62"/>
      <c r="E125" s="62">
        <v>5</v>
      </c>
      <c r="F125" s="62" t="s">
        <v>95</v>
      </c>
      <c r="G125" s="62">
        <f>0.19*0.02/2</f>
        <v>0.0019</v>
      </c>
      <c r="H125" s="62"/>
      <c r="I125" s="62"/>
      <c r="J125" s="62"/>
      <c r="K125" s="62"/>
      <c r="L125" s="62"/>
      <c r="M125" s="66"/>
    </row>
    <row r="126" customFormat="1" spans="3:13">
      <c r="C126" s="63"/>
      <c r="D126" s="64"/>
      <c r="E126" s="64" t="s">
        <v>42</v>
      </c>
      <c r="F126" s="64"/>
      <c r="G126" s="62">
        <f>SUM(G122:G125)</f>
        <v>1</v>
      </c>
      <c r="H126" s="64"/>
      <c r="I126" s="64"/>
      <c r="J126" s="64"/>
      <c r="K126" s="64"/>
      <c r="L126" s="64"/>
      <c r="M126" s="67"/>
    </row>
    <row r="127" customFormat="1" spans="2:13">
      <c r="B127" t="s">
        <v>35</v>
      </c>
      <c r="C127" t="s">
        <v>34</v>
      </c>
      <c r="D127">
        <v>3</v>
      </c>
      <c r="E127" t="s">
        <v>53</v>
      </c>
      <c r="F127" t="s">
        <v>54</v>
      </c>
      <c r="G127" t="s">
        <v>55</v>
      </c>
      <c r="H127" t="s">
        <v>56</v>
      </c>
      <c r="I127" t="s">
        <v>57</v>
      </c>
      <c r="J127" t="s">
        <v>58</v>
      </c>
      <c r="K127" t="s">
        <v>59</v>
      </c>
      <c r="L127" t="s">
        <v>60</v>
      </c>
      <c r="M127" t="s">
        <v>71</v>
      </c>
    </row>
    <row r="128" customFormat="1" spans="5:13">
      <c r="E128">
        <v>1</v>
      </c>
      <c r="F128" t="s">
        <v>92</v>
      </c>
      <c r="G128">
        <f>D134*G134+D140*G140+D145*G146+D148*G149</f>
        <v>0.926541666666666</v>
      </c>
      <c r="H128">
        <f t="shared" ref="H128:H131" si="48">G128</f>
        <v>0.926541666666666</v>
      </c>
      <c r="I128">
        <f t="shared" ref="I128:I131" si="49">$E$13*E128</f>
        <v>1</v>
      </c>
      <c r="J128">
        <f t="shared" ref="J128:J131" si="50">I128</f>
        <v>1</v>
      </c>
      <c r="K128">
        <f t="shared" ref="K128:K131" si="51">$F$13*H128</f>
        <v>0.0185308333333333</v>
      </c>
      <c r="L128">
        <f t="shared" ref="L128:L131" si="52">J128*K128</f>
        <v>0.0185308333333333</v>
      </c>
      <c r="M128">
        <f t="shared" ref="M128:M131" si="53">E128*H128</f>
        <v>0.926541666666666</v>
      </c>
    </row>
    <row r="129" customFormat="1" spans="5:13">
      <c r="E129">
        <v>2</v>
      </c>
      <c r="F129" t="s">
        <v>93</v>
      </c>
      <c r="G129">
        <f>D134*G135+D140*G141+D148*G150</f>
        <v>0.0572974999999999</v>
      </c>
      <c r="H129">
        <f t="shared" si="48"/>
        <v>0.0572974999999999</v>
      </c>
      <c r="I129">
        <f t="shared" si="49"/>
        <v>2</v>
      </c>
      <c r="J129">
        <f t="shared" si="50"/>
        <v>2</v>
      </c>
      <c r="K129">
        <f t="shared" si="51"/>
        <v>0.00114595</v>
      </c>
      <c r="L129">
        <f t="shared" si="52"/>
        <v>0.0022919</v>
      </c>
      <c r="M129">
        <f t="shared" si="53"/>
        <v>0.114595</v>
      </c>
    </row>
    <row r="130" customFormat="1" spans="5:13">
      <c r="E130">
        <v>3</v>
      </c>
      <c r="F130" t="s">
        <v>94</v>
      </c>
      <c r="G130">
        <f>D134*G136+D140*G142+D148*G151</f>
        <v>0.0146916666666667</v>
      </c>
      <c r="H130">
        <f t="shared" si="48"/>
        <v>0.0146916666666667</v>
      </c>
      <c r="I130">
        <f t="shared" si="49"/>
        <v>3</v>
      </c>
      <c r="J130">
        <f t="shared" si="50"/>
        <v>3</v>
      </c>
      <c r="K130">
        <f t="shared" si="51"/>
        <v>0.000293833333333333</v>
      </c>
      <c r="L130">
        <f t="shared" si="52"/>
        <v>0.000881499999999999</v>
      </c>
      <c r="M130">
        <f t="shared" si="53"/>
        <v>0.044075</v>
      </c>
    </row>
    <row r="131" customFormat="1" spans="5:13">
      <c r="E131">
        <v>5</v>
      </c>
      <c r="F131" t="s">
        <v>95</v>
      </c>
      <c r="G131">
        <f>D134*G137+D140*G143+D148*G152</f>
        <v>0.00146916666666667</v>
      </c>
      <c r="H131">
        <f t="shared" si="48"/>
        <v>0.00146916666666667</v>
      </c>
      <c r="I131">
        <f t="shared" si="49"/>
        <v>5</v>
      </c>
      <c r="J131">
        <f t="shared" si="50"/>
        <v>5</v>
      </c>
      <c r="K131">
        <f t="shared" si="51"/>
        <v>2.93833333333333e-5</v>
      </c>
      <c r="L131">
        <f t="shared" si="52"/>
        <v>0.000146916666666667</v>
      </c>
      <c r="M131">
        <f t="shared" si="53"/>
        <v>0.00734583333333333</v>
      </c>
    </row>
    <row r="132" s="4" customFormat="1" spans="5:13">
      <c r="E132" s="4" t="s">
        <v>42</v>
      </c>
      <c r="G132" s="4">
        <f t="shared" ref="G132:M132" si="54">SUM(G128:G131)</f>
        <v>0.999999999999999</v>
      </c>
      <c r="K132" s="4">
        <f t="shared" si="54"/>
        <v>0.02</v>
      </c>
      <c r="L132" s="4">
        <f t="shared" si="54"/>
        <v>0.02185115</v>
      </c>
      <c r="M132" s="4">
        <f t="shared" si="54"/>
        <v>1.0925575</v>
      </c>
    </row>
    <row r="133" customFormat="1" spans="3:13">
      <c r="C133" s="59" t="s">
        <v>96</v>
      </c>
      <c r="D133" s="60" t="s">
        <v>97</v>
      </c>
      <c r="E133" s="60" t="s">
        <v>53</v>
      </c>
      <c r="F133" s="60" t="s">
        <v>54</v>
      </c>
      <c r="G133" s="60" t="s">
        <v>55</v>
      </c>
      <c r="H133" s="60" t="s">
        <v>56</v>
      </c>
      <c r="I133" s="60" t="s">
        <v>57</v>
      </c>
      <c r="J133" s="60" t="s">
        <v>58</v>
      </c>
      <c r="K133" s="60" t="s">
        <v>59</v>
      </c>
      <c r="L133" s="60" t="s">
        <v>60</v>
      </c>
      <c r="M133" s="65" t="s">
        <v>71</v>
      </c>
    </row>
    <row r="134" customFormat="1" spans="3:13">
      <c r="C134" s="61" t="s">
        <v>98</v>
      </c>
      <c r="D134" s="62">
        <v>0.375</v>
      </c>
      <c r="E134" s="62">
        <v>1</v>
      </c>
      <c r="F134" s="62" t="s">
        <v>106</v>
      </c>
      <c r="G134" s="62">
        <f>0.9^3+(1-0.9^3)*2/3</f>
        <v>0.909666666666667</v>
      </c>
      <c r="H134" s="62"/>
      <c r="I134" s="62"/>
      <c r="J134" s="62"/>
      <c r="K134" s="62"/>
      <c r="L134" s="62"/>
      <c r="M134" s="66"/>
    </row>
    <row r="135" customFormat="1" spans="3:13">
      <c r="C135" s="61"/>
      <c r="D135" s="62"/>
      <c r="E135" s="62">
        <v>2</v>
      </c>
      <c r="F135" s="62" t="s">
        <v>93</v>
      </c>
      <c r="G135" s="62">
        <f>(1-0.9^3)*0.78/3</f>
        <v>0.07046</v>
      </c>
      <c r="H135" s="62"/>
      <c r="I135" s="62"/>
      <c r="J135" s="62"/>
      <c r="K135" s="62"/>
      <c r="L135" s="62"/>
      <c r="M135" s="66"/>
    </row>
    <row r="136" customFormat="1" spans="3:13">
      <c r="C136" s="61"/>
      <c r="D136" s="62"/>
      <c r="E136" s="62">
        <v>3</v>
      </c>
      <c r="F136" s="62" t="s">
        <v>94</v>
      </c>
      <c r="G136" s="62">
        <f>(1-0.9^3)*0.2/3</f>
        <v>0.0180666666666667</v>
      </c>
      <c r="H136" s="62"/>
      <c r="I136" s="62"/>
      <c r="J136" s="62"/>
      <c r="K136" s="62"/>
      <c r="L136" s="62"/>
      <c r="M136" s="66"/>
    </row>
    <row r="137" customFormat="1" spans="3:13">
      <c r="C137" s="61"/>
      <c r="D137" s="62"/>
      <c r="E137" s="62">
        <v>5</v>
      </c>
      <c r="F137" s="62" t="s">
        <v>95</v>
      </c>
      <c r="G137" s="62">
        <f>(1-0.9^3)*0.02/3</f>
        <v>0.00180666666666667</v>
      </c>
      <c r="H137" s="62"/>
      <c r="I137" s="62"/>
      <c r="J137" s="62"/>
      <c r="K137" s="62"/>
      <c r="L137" s="62"/>
      <c r="M137" s="66"/>
    </row>
    <row r="138" customFormat="1" spans="3:13">
      <c r="C138" s="61"/>
      <c r="D138" s="62"/>
      <c r="E138" s="62" t="s">
        <v>42</v>
      </c>
      <c r="F138" s="62"/>
      <c r="G138" s="62">
        <f>SUM(G134:G137)</f>
        <v>1</v>
      </c>
      <c r="H138" s="62"/>
      <c r="I138" s="62"/>
      <c r="J138" s="62"/>
      <c r="K138" s="62"/>
      <c r="L138" s="62"/>
      <c r="M138" s="66"/>
    </row>
    <row r="139" customFormat="1" spans="3:13">
      <c r="C139" s="61"/>
      <c r="D139" s="62"/>
      <c r="E139" s="62" t="s">
        <v>53</v>
      </c>
      <c r="F139" s="62" t="s">
        <v>54</v>
      </c>
      <c r="G139" s="62" t="s">
        <v>55</v>
      </c>
      <c r="H139" s="62" t="s">
        <v>56</v>
      </c>
      <c r="I139" s="62" t="s">
        <v>57</v>
      </c>
      <c r="J139" s="62" t="s">
        <v>58</v>
      </c>
      <c r="K139" s="62" t="s">
        <v>59</v>
      </c>
      <c r="L139" s="62" t="s">
        <v>60</v>
      </c>
      <c r="M139" s="66" t="s">
        <v>71</v>
      </c>
    </row>
    <row r="140" customFormat="1" spans="3:13">
      <c r="C140" s="61" t="s">
        <v>103</v>
      </c>
      <c r="D140" s="62">
        <v>0.208333333333333</v>
      </c>
      <c r="E140" s="62">
        <v>1</v>
      </c>
      <c r="F140" s="62" t="s">
        <v>104</v>
      </c>
      <c r="G140" s="62">
        <f>0.81+0.19/2</f>
        <v>0.905</v>
      </c>
      <c r="H140" s="62"/>
      <c r="I140" s="62"/>
      <c r="J140" s="62"/>
      <c r="K140" s="62"/>
      <c r="L140" s="62"/>
      <c r="M140" s="66"/>
    </row>
    <row r="141" customFormat="1" spans="3:13">
      <c r="C141" s="61"/>
      <c r="D141" s="62"/>
      <c r="E141" s="62">
        <v>2</v>
      </c>
      <c r="F141" s="62" t="s">
        <v>93</v>
      </c>
      <c r="G141" s="62">
        <f>0.19*0.78/2</f>
        <v>0.0741</v>
      </c>
      <c r="H141" s="62"/>
      <c r="I141" s="62"/>
      <c r="J141" s="62"/>
      <c r="K141" s="62"/>
      <c r="L141" s="62"/>
      <c r="M141" s="66"/>
    </row>
    <row r="142" customFormat="1" spans="3:13">
      <c r="C142" s="61"/>
      <c r="D142" s="62"/>
      <c r="E142" s="62">
        <v>3</v>
      </c>
      <c r="F142" s="62" t="s">
        <v>94</v>
      </c>
      <c r="G142" s="62">
        <f>0.19*0.2/2</f>
        <v>0.019</v>
      </c>
      <c r="H142" s="62"/>
      <c r="I142" s="62"/>
      <c r="J142" s="62"/>
      <c r="K142" s="62"/>
      <c r="L142" s="62"/>
      <c r="M142" s="66"/>
    </row>
    <row r="143" customFormat="1" spans="3:13">
      <c r="C143" s="61"/>
      <c r="D143" s="62"/>
      <c r="E143" s="62">
        <v>5</v>
      </c>
      <c r="F143" s="62" t="s">
        <v>95</v>
      </c>
      <c r="G143" s="62">
        <f>0.19*0.02/2</f>
        <v>0.0019</v>
      </c>
      <c r="H143" s="62"/>
      <c r="I143" s="62"/>
      <c r="J143" s="62"/>
      <c r="K143" s="62"/>
      <c r="L143" s="62"/>
      <c r="M143" s="66"/>
    </row>
    <row r="144" customFormat="1" spans="3:13">
      <c r="C144" s="61"/>
      <c r="D144" s="62"/>
      <c r="E144" s="62" t="s">
        <v>42</v>
      </c>
      <c r="F144" s="62"/>
      <c r="G144" s="62">
        <f>SUM(G140:G143)</f>
        <v>1</v>
      </c>
      <c r="H144" s="62"/>
      <c r="I144" s="62"/>
      <c r="J144" s="62"/>
      <c r="K144" s="62"/>
      <c r="L144" s="62"/>
      <c r="M144" s="66"/>
    </row>
    <row r="145" customFormat="1" spans="3:13">
      <c r="C145" s="61" t="s">
        <v>105</v>
      </c>
      <c r="D145" s="62">
        <v>0.208333333333333</v>
      </c>
      <c r="E145" s="62" t="s">
        <v>53</v>
      </c>
      <c r="F145" s="62" t="s">
        <v>54</v>
      </c>
      <c r="G145" s="62" t="s">
        <v>55</v>
      </c>
      <c r="H145" s="62" t="s">
        <v>56</v>
      </c>
      <c r="I145" s="62" t="s">
        <v>57</v>
      </c>
      <c r="J145" s="62" t="s">
        <v>58</v>
      </c>
      <c r="K145" s="62" t="s">
        <v>59</v>
      </c>
      <c r="L145" s="62" t="s">
        <v>60</v>
      </c>
      <c r="M145" s="66" t="s">
        <v>71</v>
      </c>
    </row>
    <row r="146" customFormat="1" spans="3:13">
      <c r="C146" s="61"/>
      <c r="D146" s="62"/>
      <c r="E146" s="62">
        <v>1</v>
      </c>
      <c r="F146" s="62" t="s">
        <v>106</v>
      </c>
      <c r="G146" s="62">
        <v>1</v>
      </c>
      <c r="H146" s="62"/>
      <c r="I146" s="62"/>
      <c r="J146" s="62"/>
      <c r="K146" s="62"/>
      <c r="L146" s="62"/>
      <c r="M146" s="66"/>
    </row>
    <row r="147" customFormat="1" spans="3:13">
      <c r="C147" s="61"/>
      <c r="D147" s="62"/>
      <c r="E147" s="62" t="s">
        <v>42</v>
      </c>
      <c r="F147" s="62"/>
      <c r="G147" s="62">
        <v>1</v>
      </c>
      <c r="H147" s="62"/>
      <c r="I147" s="62"/>
      <c r="J147" s="62"/>
      <c r="K147" s="62"/>
      <c r="L147" s="62"/>
      <c r="M147" s="66"/>
    </row>
    <row r="148" customFormat="1" spans="3:13">
      <c r="C148" s="61" t="s">
        <v>107</v>
      </c>
      <c r="D148" s="62">
        <v>0.208333333333333</v>
      </c>
      <c r="E148" s="62" t="s">
        <v>53</v>
      </c>
      <c r="F148" s="62" t="s">
        <v>54</v>
      </c>
      <c r="G148" s="62" t="s">
        <v>55</v>
      </c>
      <c r="H148" s="62" t="s">
        <v>56</v>
      </c>
      <c r="I148" s="62" t="s">
        <v>57</v>
      </c>
      <c r="J148" s="62" t="s">
        <v>58</v>
      </c>
      <c r="K148" s="62" t="s">
        <v>59</v>
      </c>
      <c r="L148" s="62" t="s">
        <v>60</v>
      </c>
      <c r="M148" s="66" t="s">
        <v>71</v>
      </c>
    </row>
    <row r="149" customFormat="1" spans="3:13">
      <c r="C149" s="61"/>
      <c r="D149" s="62"/>
      <c r="E149" s="62">
        <v>1</v>
      </c>
      <c r="F149" s="62" t="s">
        <v>108</v>
      </c>
      <c r="G149" s="62">
        <f>0.81+0.19/2</f>
        <v>0.905</v>
      </c>
      <c r="H149" s="62"/>
      <c r="I149" s="62"/>
      <c r="J149" s="62"/>
      <c r="K149" s="62"/>
      <c r="L149" s="62"/>
      <c r="M149" s="66"/>
    </row>
    <row r="150" customFormat="1" spans="3:13">
      <c r="C150" s="61"/>
      <c r="D150" s="62"/>
      <c r="E150" s="62">
        <v>2</v>
      </c>
      <c r="F150" s="62" t="s">
        <v>93</v>
      </c>
      <c r="G150" s="62">
        <f>0.19*0.78/2</f>
        <v>0.0741</v>
      </c>
      <c r="H150" s="62"/>
      <c r="I150" s="62"/>
      <c r="J150" s="62"/>
      <c r="K150" s="62"/>
      <c r="L150" s="62"/>
      <c r="M150" s="66"/>
    </row>
    <row r="151" customFormat="1" spans="3:13">
      <c r="C151" s="61"/>
      <c r="D151" s="62"/>
      <c r="E151" s="62">
        <v>3</v>
      </c>
      <c r="F151" s="62" t="s">
        <v>94</v>
      </c>
      <c r="G151" s="62">
        <f>0.19*0.2/2</f>
        <v>0.019</v>
      </c>
      <c r="H151" s="62"/>
      <c r="I151" s="62"/>
      <c r="J151" s="62"/>
      <c r="K151" s="62"/>
      <c r="L151" s="62"/>
      <c r="M151" s="66"/>
    </row>
    <row r="152" customFormat="1" spans="3:13">
      <c r="C152" s="61"/>
      <c r="D152" s="62"/>
      <c r="E152" s="62">
        <v>5</v>
      </c>
      <c r="F152" s="62" t="s">
        <v>95</v>
      </c>
      <c r="G152" s="62">
        <f>0.19*0.02/2</f>
        <v>0.0019</v>
      </c>
      <c r="H152" s="62"/>
      <c r="I152" s="62"/>
      <c r="J152" s="62"/>
      <c r="K152" s="62"/>
      <c r="L152" s="62"/>
      <c r="M152" s="66"/>
    </row>
    <row r="153" customFormat="1" spans="3:13">
      <c r="C153" s="63"/>
      <c r="D153" s="64"/>
      <c r="E153" s="64" t="s">
        <v>42</v>
      </c>
      <c r="F153" s="64"/>
      <c r="G153" s="62">
        <f>SUM(G149:G152)</f>
        <v>1</v>
      </c>
      <c r="H153" s="64"/>
      <c r="I153" s="64"/>
      <c r="J153" s="64"/>
      <c r="K153" s="64"/>
      <c r="L153" s="64"/>
      <c r="M153" s="67"/>
    </row>
    <row r="154" customFormat="1" ht="14.25" spans="2:17">
      <c r="B154" s="3" t="s">
        <v>51</v>
      </c>
      <c r="C154" s="3" t="s">
        <v>52</v>
      </c>
      <c r="D154" s="10" t="s">
        <v>4</v>
      </c>
      <c r="E154" s="13" t="s">
        <v>53</v>
      </c>
      <c r="F154" s="13" t="s">
        <v>54</v>
      </c>
      <c r="G154" s="13" t="s">
        <v>55</v>
      </c>
      <c r="H154" s="13" t="s">
        <v>56</v>
      </c>
      <c r="I154" s="13" t="s">
        <v>57</v>
      </c>
      <c r="J154" s="13" t="s">
        <v>58</v>
      </c>
      <c r="K154" s="13" t="s">
        <v>59</v>
      </c>
      <c r="L154" s="13" t="s">
        <v>60</v>
      </c>
      <c r="M154" t="s">
        <v>71</v>
      </c>
      <c r="N154" s="13"/>
      <c r="P154" s="18"/>
      <c r="Q154" s="18"/>
    </row>
    <row r="155" customFormat="1" ht="14.25" spans="2:13">
      <c r="B155" s="7" t="s">
        <v>26</v>
      </c>
      <c r="C155" s="7" t="s">
        <v>34</v>
      </c>
      <c r="D155" s="49">
        <v>2</v>
      </c>
      <c r="E155" s="49">
        <v>1</v>
      </c>
      <c r="G155">
        <v>1</v>
      </c>
      <c r="H155">
        <v>1</v>
      </c>
      <c r="I155">
        <f>$E$14*E155</f>
        <v>1</v>
      </c>
      <c r="J155">
        <f>I155+F46*2+F46*1.5</f>
        <v>14.0730595625</v>
      </c>
      <c r="K155">
        <f>$F$14*H155</f>
        <v>0.02</v>
      </c>
      <c r="L155">
        <f>J155*K155</f>
        <v>0.281461191250001</v>
      </c>
      <c r="M155">
        <v>1</v>
      </c>
    </row>
    <row r="156" customFormat="1" ht="14.25" spans="2:13">
      <c r="B156" s="7" t="s">
        <v>26</v>
      </c>
      <c r="C156" s="7" t="s">
        <v>34</v>
      </c>
      <c r="D156" s="7">
        <v>1</v>
      </c>
      <c r="E156" s="7">
        <v>1</v>
      </c>
      <c r="G156">
        <v>1</v>
      </c>
      <c r="H156">
        <v>1</v>
      </c>
      <c r="I156">
        <f>$E$15*E156</f>
        <v>1</v>
      </c>
      <c r="J156">
        <f>I156+F46*1+F46*1.5</f>
        <v>10.3378996875</v>
      </c>
      <c r="K156">
        <f>$F$15*H156</f>
        <v>0.03</v>
      </c>
      <c r="L156">
        <f>J156*K156</f>
        <v>0.310136990625001</v>
      </c>
      <c r="M156">
        <v>1</v>
      </c>
    </row>
    <row r="157" customFormat="1" ht="22.5" spans="1:14">
      <c r="A157" s="50" t="s">
        <v>109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customFormat="1" ht="14.25" spans="2:14">
      <c r="B158" t="s">
        <v>51</v>
      </c>
      <c r="C158" t="s">
        <v>110</v>
      </c>
      <c r="D158" s="51" t="s">
        <v>111</v>
      </c>
      <c r="E158" s="13" t="s">
        <v>39</v>
      </c>
      <c r="F158" s="13"/>
      <c r="G158" s="13"/>
      <c r="H158" s="13"/>
      <c r="I158" s="13"/>
      <c r="J158" s="13"/>
      <c r="K158" s="13"/>
      <c r="L158" s="13"/>
      <c r="M158" s="13"/>
      <c r="N158" s="13"/>
    </row>
    <row r="159" customFormat="1" ht="14.25" spans="2:5">
      <c r="B159" s="7" t="s">
        <v>22</v>
      </c>
      <c r="C159">
        <f t="shared" ref="C159:C161" si="55">J49</f>
        <v>500</v>
      </c>
      <c r="D159">
        <f t="shared" ref="D159:D161" si="56">K49</f>
        <v>4e-5</v>
      </c>
      <c r="E159">
        <f t="shared" ref="E159:E193" si="57">(C159-$D$30)^2*D159</f>
        <v>9.93368245214417</v>
      </c>
    </row>
    <row r="160" customFormat="1" ht="14.25" spans="2:5">
      <c r="B160" s="7" t="s">
        <v>24</v>
      </c>
      <c r="C160">
        <f t="shared" si="55"/>
        <v>300</v>
      </c>
      <c r="D160">
        <f t="shared" si="56"/>
        <v>8e-5</v>
      </c>
      <c r="E160">
        <f t="shared" si="57"/>
        <v>7.12050719579634</v>
      </c>
    </row>
    <row r="161" customFormat="1" ht="14.25" spans="2:5">
      <c r="B161" s="7" t="s">
        <v>25</v>
      </c>
      <c r="C161">
        <f t="shared" si="55"/>
        <v>200</v>
      </c>
      <c r="D161">
        <f t="shared" si="56"/>
        <v>0.00016</v>
      </c>
      <c r="E161">
        <f t="shared" si="57"/>
        <v>6.29415668310068</v>
      </c>
    </row>
    <row r="162" customFormat="1" spans="2:5">
      <c r="B162" s="3" t="s">
        <v>26</v>
      </c>
      <c r="C162">
        <f>J53</f>
        <v>41.8082194375</v>
      </c>
      <c r="D162">
        <f>K53</f>
        <v>0.004</v>
      </c>
      <c r="E162">
        <f t="shared" si="57"/>
        <v>6.44729435685899</v>
      </c>
    </row>
    <row r="163" customFormat="1" ht="14.25" spans="2:5">
      <c r="B163" s="7" t="s">
        <v>28</v>
      </c>
      <c r="C163">
        <f t="shared" ref="C163:C166" si="58">J66</f>
        <v>20</v>
      </c>
      <c r="D163">
        <f t="shared" ref="D163:D166" si="59">K66</f>
        <v>0.005103</v>
      </c>
      <c r="E163">
        <f t="shared" si="57"/>
        <v>1.71629223925205</v>
      </c>
    </row>
    <row r="164" customFormat="1" spans="3:5">
      <c r="C164">
        <f t="shared" si="58"/>
        <v>40</v>
      </c>
      <c r="D164">
        <f t="shared" si="59"/>
        <v>0.000598</v>
      </c>
      <c r="E164">
        <f t="shared" si="57"/>
        <v>0.879001506306614</v>
      </c>
    </row>
    <row r="165" customFormat="1" spans="3:5">
      <c r="C165">
        <f t="shared" si="58"/>
        <v>60</v>
      </c>
      <c r="D165">
        <f t="shared" si="59"/>
        <v>0.0002392</v>
      </c>
      <c r="E165">
        <f t="shared" si="57"/>
        <v>0.814111057361753</v>
      </c>
    </row>
    <row r="166" customFormat="1" spans="3:5">
      <c r="C166">
        <f t="shared" si="58"/>
        <v>100</v>
      </c>
      <c r="D166">
        <f t="shared" si="59"/>
        <v>5.98e-5</v>
      </c>
      <c r="E166">
        <f t="shared" si="57"/>
        <v>0.578302991759992</v>
      </c>
    </row>
    <row r="167" customFormat="1" ht="14.25" spans="2:5">
      <c r="B167" s="7" t="s">
        <v>29</v>
      </c>
      <c r="C167">
        <f t="shared" ref="C167:C170" si="60">J73</f>
        <v>7</v>
      </c>
      <c r="D167">
        <f t="shared" ref="D167:D170" si="61">K73</f>
        <v>0.010206</v>
      </c>
      <c r="E167">
        <f t="shared" si="57"/>
        <v>0.29095428804776</v>
      </c>
    </row>
    <row r="168" customFormat="1" spans="3:5">
      <c r="C168">
        <f t="shared" si="60"/>
        <v>14</v>
      </c>
      <c r="D168">
        <f t="shared" si="61"/>
        <v>0.001196</v>
      </c>
      <c r="E168">
        <f t="shared" si="57"/>
        <v>0.182101056159025</v>
      </c>
    </row>
    <row r="169" customFormat="1" spans="3:5">
      <c r="C169">
        <f t="shared" si="60"/>
        <v>21</v>
      </c>
      <c r="D169">
        <f t="shared" si="61"/>
        <v>0.0004784</v>
      </c>
      <c r="E169">
        <f t="shared" si="57"/>
        <v>0.178925740850986</v>
      </c>
    </row>
    <row r="170" customFormat="1" spans="3:5">
      <c r="C170">
        <f t="shared" si="60"/>
        <v>35</v>
      </c>
      <c r="D170">
        <f t="shared" si="61"/>
        <v>0.0001196</v>
      </c>
      <c r="E170">
        <f t="shared" si="57"/>
        <v>0.132936494406434</v>
      </c>
    </row>
    <row r="171" customFormat="1" ht="14.25" spans="2:5">
      <c r="B171" s="7" t="s">
        <v>30</v>
      </c>
      <c r="C171">
        <f t="shared" ref="C171:C174" si="62">J80</f>
        <v>5</v>
      </c>
      <c r="D171">
        <f t="shared" ref="D171:D174" si="63">K80</f>
        <v>0.03402</v>
      </c>
      <c r="E171">
        <f t="shared" si="57"/>
        <v>0.379355221463638</v>
      </c>
    </row>
    <row r="172" customFormat="1" spans="3:5">
      <c r="C172">
        <f t="shared" si="62"/>
        <v>10</v>
      </c>
      <c r="D172">
        <f t="shared" si="63"/>
        <v>0.00398666666666667</v>
      </c>
      <c r="E172">
        <f t="shared" si="57"/>
        <v>0.27724867106639</v>
      </c>
    </row>
    <row r="173" customFormat="1" spans="3:5">
      <c r="C173">
        <f t="shared" si="62"/>
        <v>15</v>
      </c>
      <c r="D173">
        <f t="shared" si="63"/>
        <v>0.00159466666666667</v>
      </c>
      <c r="E173">
        <f t="shared" si="57"/>
        <v>0.283750226491737</v>
      </c>
    </row>
    <row r="174" customFormat="1" spans="3:5">
      <c r="C174">
        <f t="shared" si="62"/>
        <v>25</v>
      </c>
      <c r="D174">
        <f t="shared" si="63"/>
        <v>0.000398666666666667</v>
      </c>
      <c r="E174">
        <f t="shared" si="57"/>
        <v>0.217162935655524</v>
      </c>
    </row>
    <row r="175" customFormat="1" ht="14.25" spans="2:5">
      <c r="B175" s="7" t="s">
        <v>31</v>
      </c>
      <c r="C175">
        <f t="shared" ref="C175:C178" si="64">J87</f>
        <v>4</v>
      </c>
      <c r="D175">
        <f t="shared" ref="D175:D178" si="65">K87</f>
        <v>0.03402</v>
      </c>
      <c r="E175">
        <f t="shared" si="57"/>
        <v>0.186169018782523</v>
      </c>
    </row>
    <row r="176" customFormat="1" spans="3:5">
      <c r="C176">
        <f t="shared" si="64"/>
        <v>8</v>
      </c>
      <c r="D176">
        <f t="shared" si="65"/>
        <v>0.00398666666666667</v>
      </c>
      <c r="E176">
        <f t="shared" si="57"/>
        <v>0.160211246334544</v>
      </c>
    </row>
    <row r="177" customFormat="1" spans="3:5">
      <c r="C177">
        <f t="shared" si="64"/>
        <v>12</v>
      </c>
      <c r="D177">
        <f t="shared" si="65"/>
        <v>0.00159466666666667</v>
      </c>
      <c r="E177">
        <f t="shared" si="57"/>
        <v>0.170471771652628</v>
      </c>
    </row>
    <row r="178" customFormat="1" spans="3:5">
      <c r="C178">
        <f t="shared" si="64"/>
        <v>20</v>
      </c>
      <c r="D178">
        <f t="shared" si="65"/>
        <v>0.000398666666666667</v>
      </c>
      <c r="E178">
        <f t="shared" si="57"/>
        <v>0.134083579472562</v>
      </c>
    </row>
    <row r="179" customFormat="1" spans="2:5">
      <c r="B179" t="s">
        <v>32</v>
      </c>
      <c r="C179">
        <f t="shared" ref="C179:C182" si="66">J94</f>
        <v>3</v>
      </c>
      <c r="D179">
        <f t="shared" ref="D179:D182" si="67">K94</f>
        <v>0.01701</v>
      </c>
      <c r="E179">
        <f t="shared" si="57"/>
        <v>0.0305114080507041</v>
      </c>
    </row>
    <row r="180" customFormat="1" spans="3:5">
      <c r="C180">
        <f t="shared" si="66"/>
        <v>6</v>
      </c>
      <c r="D180">
        <f t="shared" si="67"/>
        <v>0.00199333333333333</v>
      </c>
      <c r="E180">
        <f t="shared" si="57"/>
        <v>0.0375335774680151</v>
      </c>
    </row>
    <row r="181" customFormat="1" spans="3:5">
      <c r="C181">
        <f t="shared" si="66"/>
        <v>9</v>
      </c>
      <c r="D181">
        <f t="shared" si="67"/>
        <v>0.000797333333333333</v>
      </c>
      <c r="E181">
        <f t="shared" si="57"/>
        <v>0.04294865840676</v>
      </c>
    </row>
    <row r="182" customFormat="1" spans="3:5">
      <c r="C182">
        <f t="shared" si="66"/>
        <v>15</v>
      </c>
      <c r="D182">
        <f t="shared" si="67"/>
        <v>0.000199333333333333</v>
      </c>
      <c r="E182">
        <f t="shared" si="57"/>
        <v>0.0354687783114669</v>
      </c>
    </row>
    <row r="183" customFormat="1" spans="2:5">
      <c r="B183" t="s">
        <v>33</v>
      </c>
      <c r="C183">
        <f t="shared" ref="C183:C186" si="68">J101</f>
        <v>2</v>
      </c>
      <c r="D183">
        <f t="shared" ref="D183:D186" si="69">K101</f>
        <v>0.0187333333333333</v>
      </c>
      <c r="E183">
        <f t="shared" si="57"/>
        <v>0.00215670854615408</v>
      </c>
    </row>
    <row r="184" customFormat="1" spans="3:5">
      <c r="C184">
        <f t="shared" si="68"/>
        <v>4</v>
      </c>
      <c r="D184">
        <f t="shared" si="69"/>
        <v>0.000987999999999999</v>
      </c>
      <c r="E184">
        <f t="shared" si="57"/>
        <v>0.00540667226799332</v>
      </c>
    </row>
    <row r="185" customFormat="1" spans="3:5">
      <c r="C185">
        <f t="shared" si="68"/>
        <v>6</v>
      </c>
      <c r="D185">
        <f t="shared" si="69"/>
        <v>0.000253333333333333</v>
      </c>
      <c r="E185">
        <f t="shared" si="57"/>
        <v>0.00477015365814238</v>
      </c>
    </row>
    <row r="186" customFormat="1" spans="3:5">
      <c r="C186">
        <f t="shared" si="68"/>
        <v>10</v>
      </c>
      <c r="D186">
        <f t="shared" si="69"/>
        <v>2.53333333333333e-5</v>
      </c>
      <c r="E186">
        <f t="shared" si="57"/>
        <v>0.00176178085293024</v>
      </c>
    </row>
    <row r="187" customFormat="1" spans="2:5">
      <c r="B187" t="s">
        <v>35</v>
      </c>
      <c r="C187">
        <f t="shared" ref="C187:C190" si="70">J128</f>
        <v>1</v>
      </c>
      <c r="D187">
        <f t="shared" ref="D187:D190" si="71">K128</f>
        <v>0.0185308333333333</v>
      </c>
      <c r="E187">
        <f t="shared" si="57"/>
        <v>0.00808907955141853</v>
      </c>
    </row>
    <row r="188" customFormat="1" spans="3:5">
      <c r="C188">
        <f t="shared" si="70"/>
        <v>2</v>
      </c>
      <c r="D188">
        <f t="shared" si="71"/>
        <v>0.00114595</v>
      </c>
      <c r="E188">
        <f t="shared" si="57"/>
        <v>0.000131929545825548</v>
      </c>
    </row>
    <row r="189" customFormat="1" spans="3:5">
      <c r="C189">
        <f t="shared" si="70"/>
        <v>3</v>
      </c>
      <c r="D189">
        <f t="shared" si="71"/>
        <v>0.000293833333333333</v>
      </c>
      <c r="E189">
        <f t="shared" si="57"/>
        <v>0.000527058714416924</v>
      </c>
    </row>
    <row r="190" customFormat="1" spans="3:5">
      <c r="C190">
        <f t="shared" si="70"/>
        <v>5</v>
      </c>
      <c r="D190">
        <f t="shared" si="71"/>
        <v>2.93833333333333e-5</v>
      </c>
      <c r="E190">
        <f t="shared" si="57"/>
        <v>0.000327651996590434</v>
      </c>
    </row>
    <row r="191" customFormat="1" spans="2:5">
      <c r="B191" t="s">
        <v>48</v>
      </c>
      <c r="C191">
        <f>J155</f>
        <v>14.0730595625</v>
      </c>
      <c r="D191">
        <f>K155</f>
        <v>0.02</v>
      </c>
      <c r="E191">
        <f t="shared" si="57"/>
        <v>3.08133508147809</v>
      </c>
    </row>
    <row r="192" customFormat="1" spans="2:5">
      <c r="B192" t="s">
        <v>47</v>
      </c>
      <c r="C192">
        <f>J156</f>
        <v>10.3378996875</v>
      </c>
      <c r="D192">
        <f>K156</f>
        <v>0.03</v>
      </c>
      <c r="E192">
        <f t="shared" si="57"/>
        <v>2.25881559764051</v>
      </c>
    </row>
    <row r="193" customFormat="1" spans="2:5">
      <c r="B193" t="s">
        <v>112</v>
      </c>
      <c r="C193">
        <v>0</v>
      </c>
      <c r="D193">
        <f>1-C30</f>
        <v>0.78772</v>
      </c>
      <c r="E193">
        <f t="shared" si="57"/>
        <v>2.17246340892116</v>
      </c>
    </row>
    <row r="194" customFormat="1" spans="2:5">
      <c r="B194" t="s">
        <v>42</v>
      </c>
      <c r="D194">
        <f>SUM(D159:D193)</f>
        <v>1</v>
      </c>
      <c r="E194">
        <f>SUM(E159:E193)</f>
        <v>44.0589662783745</v>
      </c>
    </row>
  </sheetData>
  <dataValidations count="1">
    <dataValidation type="list" allowBlank="1" showInputMessage="1" showErrorMessage="1" sqref="C5 C6 C7 C14 C15 C51 C54 C66 C73 C80 C87 C94 C155 C156 C157 C2:C4 C8:C11 C12:C13 C49:C50 C55:C56">
      <formula1>"PayoutType,Ordered,All,Any"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0"/>
  <sheetViews>
    <sheetView workbookViewId="0">
      <selection activeCell="F13" sqref="F13:F16"/>
    </sheetView>
  </sheetViews>
  <sheetFormatPr defaultColWidth="9" defaultRowHeight="13.5"/>
  <cols>
    <col min="2" max="2" width="38.25" customWidth="1"/>
    <col min="3" max="3" width="20.375" customWidth="1"/>
    <col min="4" max="4" width="12.625" customWidth="1"/>
    <col min="5" max="5" width="12.625"/>
    <col min="6" max="6" width="36.75" customWidth="1"/>
    <col min="7" max="7" width="20.375" customWidth="1"/>
    <col min="8" max="8" width="13.75" customWidth="1"/>
    <col min="9" max="9" width="12.625"/>
    <col min="10" max="10" width="11.5" customWidth="1"/>
    <col min="11" max="12" width="16" customWidth="1"/>
    <col min="13" max="14" width="17.125" customWidth="1"/>
    <col min="15" max="16" width="16" customWidth="1"/>
  </cols>
  <sheetData>
    <row r="1" customFormat="1" ht="25.5" spans="1:1">
      <c r="A1" s="6" t="s">
        <v>0</v>
      </c>
    </row>
    <row r="2" s="1" customFormat="1" ht="14.25" spans="1:1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7" t="s">
        <v>9</v>
      </c>
      <c r="J2" s="7" t="s">
        <v>10</v>
      </c>
      <c r="K2" s="7" t="s">
        <v>113</v>
      </c>
      <c r="L2" s="7" t="s">
        <v>114</v>
      </c>
      <c r="M2" s="7" t="s">
        <v>115</v>
      </c>
      <c r="N2" s="7" t="s">
        <v>116</v>
      </c>
      <c r="O2" s="7" t="s">
        <v>117</v>
      </c>
      <c r="P2" s="7" t="s">
        <v>118</v>
      </c>
    </row>
    <row r="3" s="1" customFormat="1" ht="14.25" spans="1:16">
      <c r="A3" s="10">
        <v>1</v>
      </c>
      <c r="B3" s="10" t="s">
        <v>119</v>
      </c>
      <c r="C3" s="10" t="s">
        <v>23</v>
      </c>
      <c r="D3" s="10">
        <v>3</v>
      </c>
      <c r="E3" s="10">
        <v>500</v>
      </c>
      <c r="F3" s="11">
        <v>1e-6</v>
      </c>
      <c r="G3" s="11">
        <v>0</v>
      </c>
      <c r="H3" s="9">
        <v>1</v>
      </c>
      <c r="I3" s="7">
        <v>1</v>
      </c>
      <c r="J3" s="7" t="b">
        <v>1</v>
      </c>
      <c r="K3" s="7">
        <v>1</v>
      </c>
      <c r="L3" s="7">
        <v>0</v>
      </c>
      <c r="M3" s="7">
        <v>1</v>
      </c>
      <c r="N3" s="7">
        <v>0</v>
      </c>
      <c r="O3" s="7">
        <v>1</v>
      </c>
      <c r="P3" s="7">
        <v>0</v>
      </c>
    </row>
    <row r="4" s="1" customFormat="1" ht="14.25" spans="1:16">
      <c r="A4" s="10">
        <v>2</v>
      </c>
      <c r="B4" s="10" t="s">
        <v>120</v>
      </c>
      <c r="C4" s="10" t="s">
        <v>23</v>
      </c>
      <c r="D4" s="10">
        <v>3</v>
      </c>
      <c r="E4" s="10">
        <v>300</v>
      </c>
      <c r="F4" s="11">
        <v>2e-6</v>
      </c>
      <c r="G4" s="11">
        <v>0</v>
      </c>
      <c r="H4" s="9">
        <v>1</v>
      </c>
      <c r="I4" s="7">
        <v>1</v>
      </c>
      <c r="J4" s="7" t="b">
        <v>1</v>
      </c>
      <c r="K4" s="7">
        <v>0</v>
      </c>
      <c r="L4" s="7">
        <v>1</v>
      </c>
      <c r="M4" s="7">
        <v>0</v>
      </c>
      <c r="N4" s="7">
        <v>1</v>
      </c>
      <c r="O4" s="7">
        <v>0</v>
      </c>
      <c r="P4" s="7">
        <v>1</v>
      </c>
    </row>
    <row r="5" s="1" customFormat="1" ht="14.25" spans="1:16">
      <c r="A5" s="10">
        <v>3</v>
      </c>
      <c r="B5" s="10" t="s">
        <v>121</v>
      </c>
      <c r="C5" s="10" t="s">
        <v>34</v>
      </c>
      <c r="D5" s="10">
        <v>3</v>
      </c>
      <c r="E5" s="10">
        <v>20</v>
      </c>
      <c r="F5" s="11">
        <v>4e-6</v>
      </c>
      <c r="G5" s="11">
        <v>0</v>
      </c>
      <c r="H5" s="9">
        <v>1</v>
      </c>
      <c r="I5" s="7">
        <v>1</v>
      </c>
      <c r="J5" s="7" t="b">
        <v>0</v>
      </c>
      <c r="K5" s="30">
        <v>0.3</v>
      </c>
      <c r="L5" s="30">
        <v>0.7</v>
      </c>
      <c r="M5" s="30">
        <v>0.3</v>
      </c>
      <c r="N5" s="30">
        <v>0.7</v>
      </c>
      <c r="O5" s="30">
        <v>0.3</v>
      </c>
      <c r="P5" s="30">
        <v>0.7</v>
      </c>
    </row>
    <row r="6" s="1" customFormat="1" ht="14.25" spans="1:16">
      <c r="A6" s="10">
        <v>4</v>
      </c>
      <c r="B6" s="10" t="s">
        <v>26</v>
      </c>
      <c r="C6" s="10" t="s">
        <v>27</v>
      </c>
      <c r="D6" s="10">
        <v>3</v>
      </c>
      <c r="E6" s="10">
        <v>10</v>
      </c>
      <c r="F6" s="11">
        <v>0.0005</v>
      </c>
      <c r="G6" s="11">
        <v>0</v>
      </c>
      <c r="H6" s="9">
        <v>1</v>
      </c>
      <c r="I6" s="7">
        <v>1</v>
      </c>
      <c r="J6" s="7" t="b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="1" customFormat="1" ht="14.25" spans="1:16">
      <c r="A7" s="10">
        <v>5</v>
      </c>
      <c r="B7" s="10" t="s">
        <v>28</v>
      </c>
      <c r="C7" s="10" t="s">
        <v>27</v>
      </c>
      <c r="D7" s="10">
        <v>3</v>
      </c>
      <c r="E7" s="10">
        <v>20</v>
      </c>
      <c r="F7" s="11">
        <v>0.0005</v>
      </c>
      <c r="G7" s="11">
        <v>0.005</v>
      </c>
      <c r="H7" s="9">
        <v>1</v>
      </c>
      <c r="I7" s="7">
        <v>1</v>
      </c>
      <c r="J7" s="7" t="b">
        <v>0</v>
      </c>
      <c r="K7" s="30">
        <v>0.03</v>
      </c>
      <c r="L7" s="30">
        <v>0.07</v>
      </c>
      <c r="M7" s="30">
        <v>0.03</v>
      </c>
      <c r="N7" s="30">
        <v>0.07</v>
      </c>
      <c r="O7" s="30">
        <v>0.03</v>
      </c>
      <c r="P7" s="30">
        <v>0.07</v>
      </c>
    </row>
    <row r="8" s="1" customFormat="1" ht="14.25" spans="1:16">
      <c r="A8" s="10">
        <v>6</v>
      </c>
      <c r="B8" s="10" t="s">
        <v>122</v>
      </c>
      <c r="C8" s="10" t="s">
        <v>27</v>
      </c>
      <c r="D8" s="10">
        <v>3</v>
      </c>
      <c r="E8" s="10">
        <v>15</v>
      </c>
      <c r="F8" s="11">
        <v>0.001</v>
      </c>
      <c r="G8" s="11">
        <v>0.005</v>
      </c>
      <c r="H8" s="9">
        <v>1</v>
      </c>
      <c r="I8" s="7">
        <v>1</v>
      </c>
      <c r="J8" s="7" t="b">
        <v>0</v>
      </c>
      <c r="K8" s="30">
        <v>0.03</v>
      </c>
      <c r="L8" s="30">
        <v>0.07</v>
      </c>
      <c r="M8" s="30">
        <v>0.03</v>
      </c>
      <c r="N8" s="30">
        <v>0.07</v>
      </c>
      <c r="O8" s="30">
        <v>0.03</v>
      </c>
      <c r="P8" s="30">
        <v>0.07</v>
      </c>
    </row>
    <row r="9" s="1" customFormat="1" ht="14.25" spans="1:16">
      <c r="A9" s="10">
        <v>7</v>
      </c>
      <c r="B9" s="10" t="s">
        <v>29</v>
      </c>
      <c r="C9" s="10" t="s">
        <v>27</v>
      </c>
      <c r="D9" s="10">
        <v>3</v>
      </c>
      <c r="E9" s="10">
        <v>10</v>
      </c>
      <c r="F9" s="11">
        <v>0.002</v>
      </c>
      <c r="G9" s="11">
        <v>0.01</v>
      </c>
      <c r="H9" s="9">
        <v>1</v>
      </c>
      <c r="I9" s="7">
        <v>1</v>
      </c>
      <c r="J9" s="7" t="b">
        <v>0</v>
      </c>
      <c r="K9" s="30">
        <v>0.03</v>
      </c>
      <c r="L9" s="30">
        <v>0.07</v>
      </c>
      <c r="M9" s="30">
        <v>0.03</v>
      </c>
      <c r="N9" s="30">
        <v>0.07</v>
      </c>
      <c r="O9" s="30">
        <v>0.03</v>
      </c>
      <c r="P9" s="30">
        <v>0.07</v>
      </c>
    </row>
    <row r="10" s="1" customFormat="1" ht="14.25" spans="1:16">
      <c r="A10" s="10">
        <v>8</v>
      </c>
      <c r="B10" s="10" t="s">
        <v>30</v>
      </c>
      <c r="C10" s="10" t="s">
        <v>27</v>
      </c>
      <c r="D10" s="10">
        <v>3</v>
      </c>
      <c r="E10" s="10">
        <v>7</v>
      </c>
      <c r="F10" s="11">
        <v>0.011</v>
      </c>
      <c r="G10" s="11">
        <v>0.06</v>
      </c>
      <c r="H10" s="9">
        <v>1</v>
      </c>
      <c r="I10" s="7">
        <v>1</v>
      </c>
      <c r="J10" s="7" t="b">
        <v>0</v>
      </c>
      <c r="K10" s="30">
        <v>0.03</v>
      </c>
      <c r="L10" s="30">
        <v>0.07</v>
      </c>
      <c r="M10" s="30">
        <v>0.03</v>
      </c>
      <c r="N10" s="30">
        <v>0.07</v>
      </c>
      <c r="O10" s="30">
        <v>0.03</v>
      </c>
      <c r="P10" s="30">
        <v>0.07</v>
      </c>
    </row>
    <row r="11" s="1" customFormat="1" ht="14.25" spans="1:16">
      <c r="A11" s="10">
        <v>9</v>
      </c>
      <c r="B11" s="10" t="s">
        <v>31</v>
      </c>
      <c r="C11" s="10" t="s">
        <v>27</v>
      </c>
      <c r="D11" s="10">
        <v>3</v>
      </c>
      <c r="E11" s="10">
        <v>5</v>
      </c>
      <c r="F11" s="11">
        <v>0.011</v>
      </c>
      <c r="G11" s="11">
        <v>0.06</v>
      </c>
      <c r="H11" s="9">
        <v>1</v>
      </c>
      <c r="I11" s="7">
        <v>1</v>
      </c>
      <c r="J11" s="7" t="b">
        <v>0</v>
      </c>
      <c r="K11" s="30">
        <v>0.03</v>
      </c>
      <c r="L11" s="30">
        <v>0.07</v>
      </c>
      <c r="M11" s="30">
        <v>0.03</v>
      </c>
      <c r="N11" s="30">
        <v>0.07</v>
      </c>
      <c r="O11" s="30">
        <v>0.03</v>
      </c>
      <c r="P11" s="30">
        <v>0.07</v>
      </c>
    </row>
    <row r="12" s="1" customFormat="1" ht="14.25" spans="1:16">
      <c r="A12" s="10">
        <v>10</v>
      </c>
      <c r="B12" s="10" t="s">
        <v>32</v>
      </c>
      <c r="C12" s="10" t="s">
        <v>27</v>
      </c>
      <c r="D12" s="10">
        <v>3</v>
      </c>
      <c r="E12" s="10">
        <v>3</v>
      </c>
      <c r="F12" s="11">
        <v>0.012</v>
      </c>
      <c r="G12" s="11">
        <v>0.12</v>
      </c>
      <c r="H12" s="9">
        <v>1</v>
      </c>
      <c r="I12" s="7">
        <v>1</v>
      </c>
      <c r="J12" s="7" t="b">
        <v>0</v>
      </c>
      <c r="K12" s="30">
        <v>0.03</v>
      </c>
      <c r="L12" s="30">
        <v>0.07</v>
      </c>
      <c r="M12" s="30">
        <v>0.03</v>
      </c>
      <c r="N12" s="30">
        <v>0.07</v>
      </c>
      <c r="O12" s="30">
        <v>0.03</v>
      </c>
      <c r="P12" s="30">
        <v>0.07</v>
      </c>
    </row>
    <row r="13" s="1" customFormat="1" ht="14.25" spans="1:16">
      <c r="A13" s="10">
        <v>11</v>
      </c>
      <c r="B13" s="10" t="s">
        <v>123</v>
      </c>
      <c r="C13" s="10" t="s">
        <v>34</v>
      </c>
      <c r="D13" s="10">
        <v>3</v>
      </c>
      <c r="E13" s="10">
        <v>2</v>
      </c>
      <c r="F13" s="53">
        <v>0.02</v>
      </c>
      <c r="G13" s="11">
        <v>0.12</v>
      </c>
      <c r="H13" s="9">
        <v>1</v>
      </c>
      <c r="I13" s="7">
        <v>1</v>
      </c>
      <c r="J13" s="7" t="b">
        <v>0</v>
      </c>
      <c r="K13" s="30">
        <v>0.03</v>
      </c>
      <c r="L13" s="30">
        <v>0.07</v>
      </c>
      <c r="M13" s="30">
        <v>0.03</v>
      </c>
      <c r="N13" s="30">
        <v>0.07</v>
      </c>
      <c r="O13" s="30">
        <v>0.03</v>
      </c>
      <c r="P13" s="30">
        <v>0.07</v>
      </c>
    </row>
    <row r="14" s="1" customFormat="1" ht="14.25" spans="1:16">
      <c r="A14" s="10">
        <v>12</v>
      </c>
      <c r="B14" s="10" t="s">
        <v>35</v>
      </c>
      <c r="C14" s="10" t="s">
        <v>34</v>
      </c>
      <c r="D14" s="12">
        <v>3</v>
      </c>
      <c r="E14" s="12">
        <v>1</v>
      </c>
      <c r="F14" s="53">
        <v>0.04</v>
      </c>
      <c r="G14" s="11">
        <v>0.12</v>
      </c>
      <c r="H14" s="9">
        <v>1</v>
      </c>
      <c r="I14" s="7">
        <v>1</v>
      </c>
      <c r="J14" s="7" t="b">
        <v>0</v>
      </c>
      <c r="K14" s="30">
        <v>0.03</v>
      </c>
      <c r="L14" s="30">
        <v>0.07</v>
      </c>
      <c r="M14" s="30">
        <v>0.03</v>
      </c>
      <c r="N14" s="30">
        <v>0.07</v>
      </c>
      <c r="O14" s="30">
        <v>0.03</v>
      </c>
      <c r="P14" s="30">
        <v>0.07</v>
      </c>
    </row>
    <row r="15" s="1" customFormat="1" ht="14.25" spans="1:16">
      <c r="A15" s="10">
        <v>13</v>
      </c>
      <c r="B15" s="10" t="s">
        <v>26</v>
      </c>
      <c r="C15" s="10" t="s">
        <v>34</v>
      </c>
      <c r="D15" s="12">
        <v>2</v>
      </c>
      <c r="E15" s="12">
        <v>1</v>
      </c>
      <c r="F15" s="54">
        <v>0.02</v>
      </c>
      <c r="G15" s="11">
        <v>0.2</v>
      </c>
      <c r="H15" s="9">
        <v>1</v>
      </c>
      <c r="I15" s="7">
        <v>1</v>
      </c>
      <c r="J15" s="7" t="b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</row>
    <row r="16" s="2" customFormat="1" ht="14.25" spans="1:16">
      <c r="A16" s="10">
        <v>14</v>
      </c>
      <c r="B16" s="10" t="s">
        <v>26</v>
      </c>
      <c r="C16" s="10" t="s">
        <v>34</v>
      </c>
      <c r="D16" s="10">
        <v>1</v>
      </c>
      <c r="E16" s="10">
        <v>1</v>
      </c>
      <c r="F16" s="53">
        <v>0.02</v>
      </c>
      <c r="G16" s="11">
        <v>0.3</v>
      </c>
      <c r="H16" s="9">
        <v>1</v>
      </c>
      <c r="I16" s="7">
        <v>1</v>
      </c>
      <c r="J16" s="7" t="b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</row>
    <row r="17" s="3" customFormat="1" ht="25.5" spans="1:16">
      <c r="A17" s="6" t="s">
        <v>36</v>
      </c>
      <c r="C17" s="13" t="s">
        <v>37</v>
      </c>
      <c r="D17" s="13" t="s">
        <v>38</v>
      </c>
      <c r="E17" s="13"/>
      <c r="F17" s="13"/>
      <c r="G17" s="13" t="s">
        <v>39</v>
      </c>
      <c r="H17" s="13" t="s">
        <v>40</v>
      </c>
      <c r="I17" s="3" t="s">
        <v>41</v>
      </c>
      <c r="P17" s="31"/>
    </row>
    <row r="18" customFormat="1" ht="14.25" spans="1:16">
      <c r="A18" s="10">
        <v>1</v>
      </c>
      <c r="B18" s="10" t="s">
        <v>119</v>
      </c>
      <c r="C18">
        <f>F3</f>
        <v>1e-6</v>
      </c>
      <c r="D18" s="14">
        <f>L52</f>
        <v>0.0005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customFormat="1" ht="14.25" spans="1:4">
      <c r="A19" s="10">
        <v>2</v>
      </c>
      <c r="B19" s="10" t="s">
        <v>120</v>
      </c>
      <c r="C19">
        <f t="shared" ref="C19:C31" si="0">F4</f>
        <v>2e-6</v>
      </c>
      <c r="D19" s="14">
        <f>L53</f>
        <v>0.0006</v>
      </c>
    </row>
    <row r="20" customFormat="1" ht="14.25" spans="1:4">
      <c r="A20" s="10">
        <v>3</v>
      </c>
      <c r="B20" s="10" t="s">
        <v>121</v>
      </c>
      <c r="C20">
        <f t="shared" si="0"/>
        <v>4e-6</v>
      </c>
      <c r="D20" s="14">
        <f>L57</f>
        <v>0.00106368</v>
      </c>
    </row>
    <row r="21" customFormat="1" ht="14.25" spans="1:4">
      <c r="A21" s="10">
        <v>4</v>
      </c>
      <c r="B21" s="10" t="s">
        <v>26</v>
      </c>
      <c r="C21">
        <f t="shared" si="0"/>
        <v>0.0005</v>
      </c>
      <c r="D21">
        <f>L60</f>
        <v>0.01154544096875</v>
      </c>
    </row>
    <row r="22" customFormat="1" ht="14.25" spans="1:4">
      <c r="A22" s="10">
        <v>5</v>
      </c>
      <c r="B22" s="10" t="s">
        <v>28</v>
      </c>
      <c r="C22">
        <f t="shared" si="0"/>
        <v>0.0005</v>
      </c>
      <c r="D22">
        <f>L69</f>
        <v>0.01436125</v>
      </c>
    </row>
    <row r="23" customFormat="1" ht="14.25" spans="1:4">
      <c r="A23" s="10">
        <v>6</v>
      </c>
      <c r="B23" s="10" t="s">
        <v>122</v>
      </c>
      <c r="C23">
        <f t="shared" si="0"/>
        <v>0.001</v>
      </c>
      <c r="D23">
        <f>L78</f>
        <v>0.021541875</v>
      </c>
    </row>
    <row r="24" customFormat="1" ht="14.25" spans="1:4">
      <c r="A24" s="10">
        <v>7</v>
      </c>
      <c r="B24" s="10" t="s">
        <v>29</v>
      </c>
      <c r="C24">
        <f t="shared" si="0"/>
        <v>0.002</v>
      </c>
      <c r="D24">
        <f>L87</f>
        <v>0.0287225</v>
      </c>
    </row>
    <row r="25" customFormat="1" ht="14.25" spans="1:4">
      <c r="A25" s="10">
        <v>8</v>
      </c>
      <c r="B25" s="10" t="s">
        <v>30</v>
      </c>
      <c r="C25">
        <f t="shared" si="0"/>
        <v>0.011</v>
      </c>
      <c r="D25">
        <f>L96</f>
        <v>0.110581625</v>
      </c>
    </row>
    <row r="26" customFormat="1" ht="14.25" spans="1:4">
      <c r="A26" s="10">
        <v>9</v>
      </c>
      <c r="B26" s="10" t="s">
        <v>31</v>
      </c>
      <c r="C26">
        <f t="shared" si="0"/>
        <v>0.011</v>
      </c>
      <c r="D26">
        <f>L105</f>
        <v>0.078986875</v>
      </c>
    </row>
    <row r="27" customFormat="1" ht="14.25" spans="1:4">
      <c r="A27" s="10">
        <v>10</v>
      </c>
      <c r="B27" s="10" t="s">
        <v>32</v>
      </c>
      <c r="C27">
        <f t="shared" si="0"/>
        <v>0.012</v>
      </c>
      <c r="D27">
        <f>L114</f>
        <v>0.0517005</v>
      </c>
    </row>
    <row r="28" customFormat="1" ht="14.25" spans="1:4">
      <c r="A28" s="10">
        <v>11</v>
      </c>
      <c r="B28" s="10" t="s">
        <v>123</v>
      </c>
      <c r="C28">
        <f t="shared" si="0"/>
        <v>0.02</v>
      </c>
      <c r="D28">
        <f>L119</f>
        <v>0.0514595</v>
      </c>
    </row>
    <row r="29" customFormat="1" ht="14.25" spans="1:4">
      <c r="A29" s="10">
        <v>12</v>
      </c>
      <c r="B29" s="10" t="s">
        <v>35</v>
      </c>
      <c r="C29">
        <f t="shared" si="0"/>
        <v>0.04</v>
      </c>
      <c r="D29">
        <f>L144</f>
        <v>0.0514595</v>
      </c>
    </row>
    <row r="30" customFormat="1" ht="14.25" spans="1:4">
      <c r="A30" s="10">
        <v>13</v>
      </c>
      <c r="B30" s="10" t="s">
        <v>26</v>
      </c>
      <c r="C30">
        <f t="shared" si="0"/>
        <v>0.02</v>
      </c>
      <c r="D30">
        <f>L166</f>
        <v>0.22363594125</v>
      </c>
    </row>
    <row r="31" customFormat="1" ht="14.25" spans="1:4">
      <c r="A31" s="10">
        <v>14</v>
      </c>
      <c r="B31" s="10" t="s">
        <v>26</v>
      </c>
      <c r="C31">
        <f t="shared" si="0"/>
        <v>0.02</v>
      </c>
      <c r="D31">
        <f>L167</f>
        <v>0.16545424375</v>
      </c>
    </row>
    <row r="32" s="4" customFormat="1" spans="2:9">
      <c r="B32" s="4" t="s">
        <v>42</v>
      </c>
      <c r="C32" s="15">
        <f>SUM(C18:C31)</f>
        <v>0.138007</v>
      </c>
      <c r="D32" s="15">
        <f>SUM(D18:D31)</f>
        <v>0.81161293096875</v>
      </c>
      <c r="G32" s="4">
        <f>E220</f>
        <v>8.94469634929299</v>
      </c>
      <c r="H32" s="4">
        <f>SQRT(G32)</f>
        <v>2.99076852151633</v>
      </c>
      <c r="I32" s="4">
        <f>H32/D32</f>
        <v>3.68496903806907</v>
      </c>
    </row>
    <row r="33" s="3" customFormat="1" ht="25.5" spans="1:1">
      <c r="A33" s="16" t="s">
        <v>43</v>
      </c>
    </row>
    <row r="34" s="3" customFormat="1" ht="14.25" spans="1:17">
      <c r="A34" s="7" t="s">
        <v>1</v>
      </c>
      <c r="B34" s="7" t="s">
        <v>44</v>
      </c>
      <c r="C34" s="8" t="s">
        <v>7</v>
      </c>
      <c r="D34" s="17" t="s">
        <v>5</v>
      </c>
      <c r="E34" s="18" t="s">
        <v>45</v>
      </c>
      <c r="F34" s="18" t="s">
        <v>124</v>
      </c>
      <c r="G34" s="18" t="s">
        <v>46</v>
      </c>
      <c r="H34" s="18"/>
      <c r="I34" s="18"/>
      <c r="J34" s="18"/>
      <c r="K34" s="18"/>
      <c r="L34" s="18"/>
      <c r="M34" s="18"/>
      <c r="O34" s="18"/>
      <c r="P34" s="18"/>
      <c r="Q34" s="18"/>
    </row>
    <row r="35" s="3" customFormat="1" ht="14.25" spans="1:17">
      <c r="A35" s="10">
        <v>1</v>
      </c>
      <c r="B35" s="10" t="s">
        <v>119</v>
      </c>
      <c r="C35" s="11">
        <f>G3</f>
        <v>0</v>
      </c>
      <c r="D35" s="19">
        <f t="shared" ref="D35:D47" si="1">E3</f>
        <v>500</v>
      </c>
      <c r="E35" s="18">
        <v>1</v>
      </c>
      <c r="F35" s="18">
        <f>D35*E35</f>
        <v>500</v>
      </c>
      <c r="G35" s="18">
        <f>C35*D35*E35</f>
        <v>0</v>
      </c>
      <c r="H35" s="18"/>
      <c r="I35" s="18"/>
      <c r="J35" s="18"/>
      <c r="K35" s="18"/>
      <c r="L35" s="18"/>
      <c r="M35" s="18"/>
      <c r="O35" s="18"/>
      <c r="P35" s="18"/>
      <c r="Q35" s="18"/>
    </row>
    <row r="36" s="3" customFormat="1" ht="14.25" spans="1:17">
      <c r="A36" s="10">
        <v>2</v>
      </c>
      <c r="B36" s="10" t="s">
        <v>120</v>
      </c>
      <c r="C36" s="11">
        <f t="shared" ref="C36:C48" si="2">G4</f>
        <v>0</v>
      </c>
      <c r="D36" s="19">
        <f t="shared" si="1"/>
        <v>300</v>
      </c>
      <c r="E36" s="18">
        <v>1</v>
      </c>
      <c r="F36" s="18">
        <f t="shared" ref="F36:F48" si="3">D36*E36</f>
        <v>300</v>
      </c>
      <c r="G36" s="18">
        <f>C36*D36*E36</f>
        <v>0</v>
      </c>
      <c r="H36" s="18"/>
      <c r="I36" s="18"/>
      <c r="J36" s="18"/>
      <c r="K36" s="18"/>
      <c r="L36" s="18"/>
      <c r="M36" s="18"/>
      <c r="O36" s="18"/>
      <c r="P36" s="18"/>
      <c r="Q36" s="18"/>
    </row>
    <row r="37" s="3" customFormat="1" ht="14.25" spans="1:17">
      <c r="A37" s="10">
        <v>3</v>
      </c>
      <c r="B37" s="10" t="s">
        <v>121</v>
      </c>
      <c r="C37" s="11">
        <f t="shared" si="2"/>
        <v>0</v>
      </c>
      <c r="D37" s="19">
        <f t="shared" si="1"/>
        <v>20</v>
      </c>
      <c r="E37" s="18">
        <v>1</v>
      </c>
      <c r="F37" s="18">
        <f t="shared" si="3"/>
        <v>20</v>
      </c>
      <c r="G37" s="18">
        <f>C37*D37*E37</f>
        <v>0</v>
      </c>
      <c r="H37" s="18"/>
      <c r="I37" s="18"/>
      <c r="J37" s="18"/>
      <c r="K37" s="18"/>
      <c r="L37" s="18"/>
      <c r="M37" s="18"/>
      <c r="O37" s="18"/>
      <c r="P37" s="18"/>
      <c r="Q37" s="18"/>
    </row>
    <row r="38" s="3" customFormat="1" ht="14.25" spans="1:17">
      <c r="A38" s="10">
        <v>4</v>
      </c>
      <c r="B38" s="10" t="s">
        <v>26</v>
      </c>
      <c r="C38" s="11">
        <f t="shared" si="2"/>
        <v>0</v>
      </c>
      <c r="D38" s="19">
        <f t="shared" si="1"/>
        <v>10</v>
      </c>
      <c r="E38" s="18">
        <v>1</v>
      </c>
      <c r="F38" s="18">
        <f t="shared" si="3"/>
        <v>10</v>
      </c>
      <c r="G38" s="18">
        <f>C38*D38*E38</f>
        <v>0</v>
      </c>
      <c r="H38" s="18"/>
      <c r="I38" s="18"/>
      <c r="J38" s="18"/>
      <c r="K38" s="18"/>
      <c r="L38" s="18"/>
      <c r="M38" s="18"/>
      <c r="O38" s="18"/>
      <c r="P38" s="18"/>
      <c r="Q38" s="18"/>
    </row>
    <row r="39" s="3" customFormat="1" ht="14.25" spans="1:17">
      <c r="A39" s="10">
        <v>5</v>
      </c>
      <c r="B39" s="10" t="s">
        <v>28</v>
      </c>
      <c r="C39" s="11">
        <f t="shared" si="2"/>
        <v>0.005</v>
      </c>
      <c r="D39" s="19">
        <f t="shared" si="1"/>
        <v>20</v>
      </c>
      <c r="E39" s="18">
        <f t="shared" ref="E39:E44" si="4">$M$69</f>
        <v>1.436125</v>
      </c>
      <c r="F39" s="18">
        <f t="shared" si="3"/>
        <v>28.7225</v>
      </c>
      <c r="G39" s="18">
        <f>C39*D39*E39</f>
        <v>0.1436125</v>
      </c>
      <c r="H39" s="18"/>
      <c r="I39" s="18"/>
      <c r="J39" s="18"/>
      <c r="K39" s="18"/>
      <c r="L39" s="18"/>
      <c r="M39" s="18"/>
      <c r="O39" s="18"/>
      <c r="P39" s="18"/>
      <c r="Q39" s="18"/>
    </row>
    <row r="40" s="3" customFormat="1" ht="14.25" spans="1:17">
      <c r="A40" s="10">
        <v>6</v>
      </c>
      <c r="B40" s="10" t="s">
        <v>122</v>
      </c>
      <c r="C40" s="11">
        <f t="shared" si="2"/>
        <v>0.005</v>
      </c>
      <c r="D40" s="19">
        <f t="shared" si="1"/>
        <v>15</v>
      </c>
      <c r="E40" s="18">
        <f t="shared" si="4"/>
        <v>1.436125</v>
      </c>
      <c r="F40" s="18">
        <f t="shared" si="3"/>
        <v>21.541875</v>
      </c>
      <c r="G40" s="18">
        <f t="shared" ref="G40:G48" si="5">C40*D40*E40</f>
        <v>0.107709375</v>
      </c>
      <c r="H40" s="18"/>
      <c r="I40" s="18"/>
      <c r="J40" s="18"/>
      <c r="K40" s="18"/>
      <c r="L40" s="18"/>
      <c r="M40" s="18"/>
      <c r="O40" s="18"/>
      <c r="P40" s="18"/>
      <c r="Q40" s="18"/>
    </row>
    <row r="41" s="3" customFormat="1" ht="14.25" spans="1:17">
      <c r="A41" s="10">
        <v>7</v>
      </c>
      <c r="B41" s="10" t="s">
        <v>29</v>
      </c>
      <c r="C41" s="11">
        <f t="shared" si="2"/>
        <v>0.01</v>
      </c>
      <c r="D41" s="19">
        <f t="shared" si="1"/>
        <v>10</v>
      </c>
      <c r="E41" s="18">
        <f t="shared" si="4"/>
        <v>1.436125</v>
      </c>
      <c r="F41" s="18">
        <f t="shared" si="3"/>
        <v>14.36125</v>
      </c>
      <c r="G41" s="18">
        <f t="shared" si="5"/>
        <v>0.1436125</v>
      </c>
      <c r="H41" s="18"/>
      <c r="I41" s="18"/>
      <c r="J41" s="18"/>
      <c r="K41" s="18"/>
      <c r="L41" s="18"/>
      <c r="M41" s="18"/>
      <c r="O41" s="18"/>
      <c r="P41" s="18"/>
      <c r="Q41" s="18"/>
    </row>
    <row r="42" s="3" customFormat="1" ht="14.25" spans="1:17">
      <c r="A42" s="10">
        <v>8</v>
      </c>
      <c r="B42" s="10" t="s">
        <v>30</v>
      </c>
      <c r="C42" s="11">
        <f t="shared" si="2"/>
        <v>0.06</v>
      </c>
      <c r="D42" s="19">
        <f t="shared" si="1"/>
        <v>7</v>
      </c>
      <c r="E42" s="18">
        <f t="shared" si="4"/>
        <v>1.436125</v>
      </c>
      <c r="F42" s="18">
        <f t="shared" si="3"/>
        <v>10.052875</v>
      </c>
      <c r="G42" s="18">
        <f t="shared" si="5"/>
        <v>0.6031725</v>
      </c>
      <c r="H42" s="18"/>
      <c r="I42" s="18"/>
      <c r="J42" s="18"/>
      <c r="K42" s="18"/>
      <c r="L42" s="18"/>
      <c r="M42" s="18"/>
      <c r="O42" s="18"/>
      <c r="P42" s="18"/>
      <c r="Q42" s="18"/>
    </row>
    <row r="43" s="3" customFormat="1" ht="14.25" spans="1:17">
      <c r="A43" s="10">
        <v>9</v>
      </c>
      <c r="B43" s="10" t="s">
        <v>31</v>
      </c>
      <c r="C43" s="11">
        <f t="shared" si="2"/>
        <v>0.06</v>
      </c>
      <c r="D43" s="19">
        <f t="shared" si="1"/>
        <v>5</v>
      </c>
      <c r="E43" s="18">
        <f t="shared" si="4"/>
        <v>1.436125</v>
      </c>
      <c r="F43" s="18">
        <f t="shared" si="3"/>
        <v>7.180625</v>
      </c>
      <c r="G43" s="18">
        <f t="shared" si="5"/>
        <v>0.4308375</v>
      </c>
      <c r="H43" s="18"/>
      <c r="I43" s="18"/>
      <c r="J43" s="18"/>
      <c r="K43" s="18"/>
      <c r="L43" s="18"/>
      <c r="M43" s="18"/>
      <c r="O43" s="18"/>
      <c r="P43" s="18"/>
      <c r="Q43" s="18"/>
    </row>
    <row r="44" s="3" customFormat="1" ht="14.25" spans="1:17">
      <c r="A44" s="10">
        <v>10</v>
      </c>
      <c r="B44" s="10" t="s">
        <v>32</v>
      </c>
      <c r="C44" s="11">
        <f t="shared" si="2"/>
        <v>0.12</v>
      </c>
      <c r="D44" s="19">
        <f t="shared" si="1"/>
        <v>3</v>
      </c>
      <c r="E44" s="18">
        <f t="shared" si="4"/>
        <v>1.436125</v>
      </c>
      <c r="F44" s="18">
        <f t="shared" si="3"/>
        <v>4.308375</v>
      </c>
      <c r="G44" s="18">
        <f t="shared" si="5"/>
        <v>0.517005</v>
      </c>
      <c r="H44" s="18"/>
      <c r="I44" s="18"/>
      <c r="J44" s="18"/>
      <c r="K44" s="18"/>
      <c r="L44" s="18"/>
      <c r="M44" s="18"/>
      <c r="O44" s="18"/>
      <c r="P44" s="18"/>
      <c r="Q44" s="18"/>
    </row>
    <row r="45" s="3" customFormat="1" ht="14.25" spans="1:17">
      <c r="A45" s="10">
        <v>11</v>
      </c>
      <c r="B45" s="10" t="s">
        <v>123</v>
      </c>
      <c r="C45" s="11">
        <f t="shared" si="2"/>
        <v>0.12</v>
      </c>
      <c r="D45" s="19">
        <f t="shared" si="1"/>
        <v>2</v>
      </c>
      <c r="E45" s="18">
        <f>$M$119</f>
        <v>1.2864875</v>
      </c>
      <c r="F45" s="18">
        <f t="shared" si="3"/>
        <v>2.572975</v>
      </c>
      <c r="G45" s="18">
        <f t="shared" si="5"/>
        <v>0.308757</v>
      </c>
      <c r="H45" s="18"/>
      <c r="I45" s="18"/>
      <c r="J45" s="18"/>
      <c r="K45" s="18"/>
      <c r="L45" s="18"/>
      <c r="M45" s="18"/>
      <c r="O45" s="18"/>
      <c r="P45" s="18"/>
      <c r="Q45" s="18"/>
    </row>
    <row r="46" s="3" customFormat="1" ht="14.25" spans="1:17">
      <c r="A46" s="10">
        <v>12</v>
      </c>
      <c r="B46" s="10" t="s">
        <v>35</v>
      </c>
      <c r="C46" s="11">
        <f t="shared" si="2"/>
        <v>0.12</v>
      </c>
      <c r="D46" s="19">
        <f t="shared" si="1"/>
        <v>1</v>
      </c>
      <c r="E46" s="18">
        <f>$M$119</f>
        <v>1.2864875</v>
      </c>
      <c r="F46" s="18">
        <f t="shared" si="3"/>
        <v>1.2864875</v>
      </c>
      <c r="G46" s="18">
        <f t="shared" si="5"/>
        <v>0.1543785</v>
      </c>
      <c r="H46" s="18"/>
      <c r="I46" s="18"/>
      <c r="J46" s="18"/>
      <c r="K46" s="18"/>
      <c r="L46" s="18"/>
      <c r="M46" s="18"/>
      <c r="O46" s="18"/>
      <c r="P46" s="18"/>
      <c r="Q46" s="18"/>
    </row>
    <row r="47" s="3" customFormat="1" ht="14.25" spans="1:17">
      <c r="A47" s="10">
        <v>13</v>
      </c>
      <c r="B47" s="10" t="s">
        <v>47</v>
      </c>
      <c r="C47" s="11">
        <f t="shared" si="2"/>
        <v>0.2</v>
      </c>
      <c r="D47" s="19">
        <f t="shared" si="1"/>
        <v>1</v>
      </c>
      <c r="E47" s="18">
        <v>1</v>
      </c>
      <c r="F47" s="18">
        <f t="shared" si="3"/>
        <v>1</v>
      </c>
      <c r="G47" s="18">
        <f t="shared" si="5"/>
        <v>0.2</v>
      </c>
      <c r="H47" s="18"/>
      <c r="I47" s="18"/>
      <c r="J47" s="18"/>
      <c r="K47" s="18"/>
      <c r="L47" s="18"/>
      <c r="M47" s="18"/>
      <c r="O47" s="18"/>
      <c r="P47" s="18"/>
      <c r="Q47" s="18"/>
    </row>
    <row r="48" s="3" customFormat="1" ht="14.25" spans="1:17">
      <c r="A48" s="10">
        <v>14</v>
      </c>
      <c r="B48" s="10" t="s">
        <v>48</v>
      </c>
      <c r="C48" s="11">
        <f t="shared" si="2"/>
        <v>0.3</v>
      </c>
      <c r="D48" s="19">
        <v>1</v>
      </c>
      <c r="E48" s="18">
        <v>1</v>
      </c>
      <c r="F48" s="18">
        <f t="shared" si="3"/>
        <v>1</v>
      </c>
      <c r="G48" s="18">
        <f t="shared" si="5"/>
        <v>0.3</v>
      </c>
      <c r="H48" s="18"/>
      <c r="I48" s="18"/>
      <c r="J48" s="18"/>
      <c r="K48" s="18"/>
      <c r="L48" s="18"/>
      <c r="M48" s="18"/>
      <c r="O48" s="18"/>
      <c r="P48" s="18"/>
      <c r="Q48" s="18"/>
    </row>
    <row r="49" s="5" customFormat="1" ht="14.25" spans="2:17">
      <c r="B49" s="5" t="s">
        <v>49</v>
      </c>
      <c r="C49" s="5">
        <f>SUM(C35:C48)</f>
        <v>1</v>
      </c>
      <c r="D49" s="20"/>
      <c r="E49" s="21"/>
      <c r="F49" s="21"/>
      <c r="G49" s="22">
        <f>SUM(G35:G48)</f>
        <v>2.909084875</v>
      </c>
      <c r="H49" s="21"/>
      <c r="I49" s="21"/>
      <c r="J49" s="21"/>
      <c r="K49" s="21"/>
      <c r="L49" s="21"/>
      <c r="M49" s="21"/>
      <c r="O49" s="21"/>
      <c r="P49" s="21"/>
      <c r="Q49" s="21"/>
    </row>
    <row r="50" s="5" customFormat="1" ht="14.25" spans="2:17">
      <c r="B50" s="5" t="s">
        <v>50</v>
      </c>
      <c r="D50" s="20"/>
      <c r="E50" s="21"/>
      <c r="F50" s="21"/>
      <c r="G50" s="21">
        <f>1+(C38+C47+C48)/(1-(C38+C47+C48))</f>
        <v>2</v>
      </c>
      <c r="H50" s="21"/>
      <c r="I50" s="21"/>
      <c r="J50" s="21"/>
      <c r="K50" s="21"/>
      <c r="L50" s="21"/>
      <c r="M50" s="21"/>
      <c r="O50" s="21"/>
      <c r="P50" s="21"/>
      <c r="Q50" s="21"/>
    </row>
    <row r="51" s="3" customFormat="1" ht="14.25" spans="2:16">
      <c r="B51" s="3" t="s">
        <v>51</v>
      </c>
      <c r="C51" s="3" t="s">
        <v>52</v>
      </c>
      <c r="D51" s="10" t="s">
        <v>4</v>
      </c>
      <c r="E51" s="13" t="s">
        <v>53</v>
      </c>
      <c r="F51" s="13" t="s">
        <v>54</v>
      </c>
      <c r="G51" s="13" t="s">
        <v>55</v>
      </c>
      <c r="H51" s="13" t="s">
        <v>56</v>
      </c>
      <c r="I51" s="13" t="s">
        <v>57</v>
      </c>
      <c r="J51" s="13" t="s">
        <v>58</v>
      </c>
      <c r="K51" s="13" t="s">
        <v>59</v>
      </c>
      <c r="L51" s="13" t="s">
        <v>60</v>
      </c>
      <c r="N51" s="13"/>
      <c r="O51" s="13"/>
      <c r="P51" s="13"/>
    </row>
    <row r="52" customFormat="1" ht="14.25" spans="2:12">
      <c r="B52" s="7" t="s">
        <v>119</v>
      </c>
      <c r="C52" s="7" t="s">
        <v>23</v>
      </c>
      <c r="D52" s="7">
        <v>3</v>
      </c>
      <c r="E52" s="7">
        <v>1</v>
      </c>
      <c r="G52">
        <v>1</v>
      </c>
      <c r="H52">
        <v>1</v>
      </c>
      <c r="I52">
        <f>$E$3*E52</f>
        <v>500</v>
      </c>
      <c r="J52">
        <f>I52</f>
        <v>500</v>
      </c>
      <c r="K52">
        <f>F3*H52</f>
        <v>1e-6</v>
      </c>
      <c r="L52">
        <f>J52*K52</f>
        <v>0.0005</v>
      </c>
    </row>
    <row r="53" customFormat="1" ht="14.25" spans="2:12">
      <c r="B53" s="7" t="s">
        <v>120</v>
      </c>
      <c r="C53" s="7" t="s">
        <v>23</v>
      </c>
      <c r="D53" s="7">
        <v>3</v>
      </c>
      <c r="E53" s="7">
        <v>1</v>
      </c>
      <c r="G53">
        <v>1</v>
      </c>
      <c r="H53">
        <v>1</v>
      </c>
      <c r="I53">
        <f>$E$4*E53</f>
        <v>300</v>
      </c>
      <c r="J53">
        <f>I53</f>
        <v>300</v>
      </c>
      <c r="K53">
        <f>F4*H53</f>
        <v>2e-6</v>
      </c>
      <c r="L53">
        <f>J53*K53</f>
        <v>0.0006</v>
      </c>
    </row>
    <row r="54" customFormat="1" ht="14.25" spans="2:14">
      <c r="B54" s="3" t="s">
        <v>51</v>
      </c>
      <c r="C54" s="3" t="s">
        <v>52</v>
      </c>
      <c r="D54" s="10" t="s">
        <v>4</v>
      </c>
      <c r="E54" s="13" t="s">
        <v>53</v>
      </c>
      <c r="F54" s="13" t="s">
        <v>54</v>
      </c>
      <c r="G54" s="13" t="s">
        <v>55</v>
      </c>
      <c r="H54" s="13" t="s">
        <v>56</v>
      </c>
      <c r="I54" s="13" t="s">
        <v>57</v>
      </c>
      <c r="J54" s="13" t="s">
        <v>58</v>
      </c>
      <c r="K54" s="13" t="s">
        <v>59</v>
      </c>
      <c r="L54" s="13" t="s">
        <v>60</v>
      </c>
      <c r="N54" s="18"/>
    </row>
    <row r="55" customFormat="1" ht="14.25" spans="2:12">
      <c r="B55" s="7" t="s">
        <v>121</v>
      </c>
      <c r="C55" s="7" t="s">
        <v>34</v>
      </c>
      <c r="D55" s="7">
        <v>3</v>
      </c>
      <c r="E55" s="23">
        <v>12</v>
      </c>
      <c r="F55" t="s">
        <v>125</v>
      </c>
      <c r="G55">
        <f>0.7*0.7+0.7*0.3*0.7*2</f>
        <v>0.784</v>
      </c>
      <c r="H55">
        <f>G55</f>
        <v>0.784</v>
      </c>
      <c r="I55">
        <f>$E$5*E55</f>
        <v>240</v>
      </c>
      <c r="J55">
        <f>I55</f>
        <v>240</v>
      </c>
      <c r="K55">
        <f>$F$5*H55</f>
        <v>3.136e-6</v>
      </c>
      <c r="L55">
        <f>J55*K55</f>
        <v>0.00075264</v>
      </c>
    </row>
    <row r="56" customFormat="1" ht="14.25" spans="2:12">
      <c r="B56" s="24"/>
      <c r="C56" s="24"/>
      <c r="D56" s="7"/>
      <c r="E56" s="25">
        <v>18</v>
      </c>
      <c r="F56" t="s">
        <v>126</v>
      </c>
      <c r="G56">
        <f>0.3*0.3+0.7*0.3*0.3*2</f>
        <v>0.216</v>
      </c>
      <c r="H56">
        <f>G56</f>
        <v>0.216</v>
      </c>
      <c r="I56">
        <f>$E$5*E56</f>
        <v>360</v>
      </c>
      <c r="J56">
        <f>I56</f>
        <v>360</v>
      </c>
      <c r="K56">
        <f>$F$5*H56</f>
        <v>8.64e-7</v>
      </c>
      <c r="L56">
        <f>J56*K56</f>
        <v>0.00031104</v>
      </c>
    </row>
    <row r="57" s="4" customFormat="1" ht="14.25" spans="2:12">
      <c r="B57" s="26"/>
      <c r="C57" s="26"/>
      <c r="D57" s="27"/>
      <c r="E57" s="28"/>
      <c r="F57" s="4" t="s">
        <v>42</v>
      </c>
      <c r="H57" s="4">
        <f>SUM(H55:H56)</f>
        <v>1</v>
      </c>
      <c r="K57" s="4">
        <f>SUM(K55:K56)</f>
        <v>4e-6</v>
      </c>
      <c r="L57" s="4">
        <f>SUM(L55:L56)</f>
        <v>0.00106368</v>
      </c>
    </row>
    <row r="58" customFormat="1" ht="14.25" spans="2:14">
      <c r="B58" s="3" t="s">
        <v>51</v>
      </c>
      <c r="C58" s="3" t="s">
        <v>52</v>
      </c>
      <c r="D58" s="10" t="s">
        <v>4</v>
      </c>
      <c r="E58" s="13" t="s">
        <v>53</v>
      </c>
      <c r="F58" s="13" t="s">
        <v>54</v>
      </c>
      <c r="G58" s="13" t="s">
        <v>55</v>
      </c>
      <c r="H58" s="13" t="s">
        <v>56</v>
      </c>
      <c r="I58" s="13" t="s">
        <v>57</v>
      </c>
      <c r="J58" s="13" t="s">
        <v>58</v>
      </c>
      <c r="K58" s="13" t="s">
        <v>59</v>
      </c>
      <c r="L58" s="13" t="s">
        <v>60</v>
      </c>
      <c r="N58" s="18"/>
    </row>
    <row r="59" customFormat="1" ht="14.25" spans="2:14">
      <c r="B59" s="3" t="s">
        <v>26</v>
      </c>
      <c r="C59" s="3" t="s">
        <v>27</v>
      </c>
      <c r="D59" s="10">
        <v>3</v>
      </c>
      <c r="E59" s="18">
        <v>1</v>
      </c>
      <c r="F59" s="18" t="s">
        <v>61</v>
      </c>
      <c r="G59" s="18">
        <v>1</v>
      </c>
      <c r="H59" s="18">
        <v>1</v>
      </c>
      <c r="I59">
        <f>$E$6*E59</f>
        <v>10</v>
      </c>
      <c r="J59" s="32">
        <f>I59+3*G49+1.5*G49</f>
        <v>23.0908819375</v>
      </c>
      <c r="K59" s="14">
        <f>$F$6*H59</f>
        <v>0.0005</v>
      </c>
      <c r="L59" s="33">
        <f>J59*K59</f>
        <v>0.01154544096875</v>
      </c>
      <c r="N59" s="18"/>
    </row>
    <row r="60" s="4" customFormat="1" spans="6:12">
      <c r="F60" s="4" t="s">
        <v>42</v>
      </c>
      <c r="G60" s="4">
        <f>G59</f>
        <v>1</v>
      </c>
      <c r="H60" s="4">
        <f>H59</f>
        <v>1</v>
      </c>
      <c r="K60" s="4">
        <f>K59</f>
        <v>0.0005</v>
      </c>
      <c r="L60" s="4">
        <f>L59</f>
        <v>0.01154544096875</v>
      </c>
    </row>
    <row r="61" customFormat="1" ht="14.25" spans="2:14">
      <c r="B61" s="3" t="s">
        <v>51</v>
      </c>
      <c r="C61" s="3" t="s">
        <v>52</v>
      </c>
      <c r="D61" s="10" t="s">
        <v>4</v>
      </c>
      <c r="E61" s="13" t="s">
        <v>53</v>
      </c>
      <c r="F61" s="13" t="s">
        <v>54</v>
      </c>
      <c r="G61" s="13" t="s">
        <v>55</v>
      </c>
      <c r="H61" s="13" t="s">
        <v>56</v>
      </c>
      <c r="I61" s="13" t="s">
        <v>57</v>
      </c>
      <c r="J61" s="13" t="s">
        <v>58</v>
      </c>
      <c r="K61" s="13" t="s">
        <v>59</v>
      </c>
      <c r="L61" s="13" t="s">
        <v>60</v>
      </c>
      <c r="M61" t="s">
        <v>71</v>
      </c>
      <c r="N61" s="18"/>
    </row>
    <row r="62" customFormat="1" ht="14.25" spans="2:13">
      <c r="B62" s="7" t="s">
        <v>28</v>
      </c>
      <c r="C62" s="7" t="s">
        <v>27</v>
      </c>
      <c r="D62" s="7">
        <v>3</v>
      </c>
      <c r="E62">
        <v>1</v>
      </c>
      <c r="F62" s="29" t="s">
        <v>127</v>
      </c>
      <c r="G62">
        <f>(1-($K$7+$L$7))*(1-($M$7+$N$7))*(1-($O$7+$P$7))</f>
        <v>0.729</v>
      </c>
      <c r="H62">
        <f t="shared" ref="H62:H64" si="6">G62</f>
        <v>0.729</v>
      </c>
      <c r="I62">
        <f t="shared" ref="I62:I67" si="7">$E$7*E62</f>
        <v>20</v>
      </c>
      <c r="J62">
        <f>I62</f>
        <v>20</v>
      </c>
      <c r="K62">
        <f>$F$7*H62</f>
        <v>0.0003645</v>
      </c>
      <c r="L62">
        <f>J62*K62</f>
        <v>0.00729</v>
      </c>
      <c r="M62">
        <f>E62*H62</f>
        <v>0.729</v>
      </c>
    </row>
    <row r="63" customFormat="1" spans="5:13">
      <c r="E63">
        <v>2</v>
      </c>
      <c r="F63" s="29" t="s">
        <v>128</v>
      </c>
      <c r="G63">
        <f>$L$7*(1-($M$7+$N$7))*(1-($O$7+$P$7))+(1-($K$7+$L$7))*$N$7*(1-($O$7+$P$7))+(1-($K$7+$L$7))*(1-($M$7+$N$7))*$P$7</f>
        <v>0.1701</v>
      </c>
      <c r="H63">
        <f t="shared" si="6"/>
        <v>0.1701</v>
      </c>
      <c r="I63">
        <f t="shared" si="7"/>
        <v>40</v>
      </c>
      <c r="J63">
        <f>I63</f>
        <v>40</v>
      </c>
      <c r="K63">
        <f t="shared" ref="K63:K68" si="8">$F$7*H63</f>
        <v>8.505e-5</v>
      </c>
      <c r="L63">
        <f t="shared" ref="L63:L68" si="9">J63*K63</f>
        <v>0.003402</v>
      </c>
      <c r="M63">
        <f t="shared" ref="M63:M68" si="10">E63*H63</f>
        <v>0.3402</v>
      </c>
    </row>
    <row r="64" customFormat="1" spans="5:13">
      <c r="E64">
        <v>3</v>
      </c>
      <c r="F64" s="29" t="s">
        <v>129</v>
      </c>
      <c r="G64">
        <f>$K$7*(1-($M$7+$N$7))*(1-($O$7+$P$7))+(1-($K$7+$L$7))*$M$7*(1-($O$7+$P$7))+(1-($K$7+$L$7))*(1-($M$7+$N$7))*$O$7</f>
        <v>0.0729</v>
      </c>
      <c r="H64">
        <f t="shared" si="6"/>
        <v>0.0729</v>
      </c>
      <c r="I64">
        <f t="shared" si="7"/>
        <v>60</v>
      </c>
      <c r="J64">
        <f>I64</f>
        <v>60</v>
      </c>
      <c r="K64">
        <f t="shared" si="8"/>
        <v>3.645e-5</v>
      </c>
      <c r="L64">
        <f t="shared" si="9"/>
        <v>0.002187</v>
      </c>
      <c r="M64">
        <f t="shared" si="10"/>
        <v>0.2187</v>
      </c>
    </row>
    <row r="65" customFormat="1" spans="5:13">
      <c r="E65">
        <v>4</v>
      </c>
      <c r="F65" s="29" t="s">
        <v>130</v>
      </c>
      <c r="G65">
        <f>$L$7*$N$7*(1-($O$7+$P$7))+$L$7*(1-($M$7+$N$7))*$P$7+(1-($K$7+$L$7))*$N$7*$P$7</f>
        <v>0.01323</v>
      </c>
      <c r="H65">
        <f>G65+$L$7*$N$7*$P$7</f>
        <v>0.013573</v>
      </c>
      <c r="I65">
        <f t="shared" si="7"/>
        <v>80</v>
      </c>
      <c r="J65">
        <f>I65</f>
        <v>80</v>
      </c>
      <c r="K65">
        <f t="shared" si="8"/>
        <v>6.7865e-6</v>
      </c>
      <c r="L65">
        <f t="shared" si="9"/>
        <v>0.00054292</v>
      </c>
      <c r="M65">
        <f t="shared" si="10"/>
        <v>0.054292</v>
      </c>
    </row>
    <row r="66" customFormat="1" spans="5:13">
      <c r="E66">
        <v>6</v>
      </c>
      <c r="F66" s="14" t="s">
        <v>131</v>
      </c>
      <c r="G66">
        <f>$K$7*$N$7*(1-($O$7+$P$7))+$L$7*$M$7*(1-($O$7+$P$7))+$K$7*(1-($M$7+$N$7))*$P$7+$L$7*(1-($M$7+$N$7))*$O$7+(1-($K$7+$L$7))*$N$7*$O$7+(1-($K$7+$L$7))*$M$7*$P$7</f>
        <v>0.01134</v>
      </c>
      <c r="H66">
        <f>G66+($G$68-$K$7*$M$7*$O$7-$L$7*$N$7*$P$7)</f>
        <v>0.01197</v>
      </c>
      <c r="I66">
        <f t="shared" si="7"/>
        <v>120</v>
      </c>
      <c r="J66">
        <f t="shared" ref="J66:J76" si="11">I66</f>
        <v>120</v>
      </c>
      <c r="K66">
        <f t="shared" si="8"/>
        <v>5.985e-6</v>
      </c>
      <c r="L66">
        <f t="shared" si="9"/>
        <v>0.0007182</v>
      </c>
      <c r="M66">
        <f t="shared" si="10"/>
        <v>0.07182</v>
      </c>
    </row>
    <row r="67" customFormat="1" spans="5:13">
      <c r="E67">
        <v>9</v>
      </c>
      <c r="F67" s="14" t="s">
        <v>132</v>
      </c>
      <c r="G67">
        <f>$K$7*$M$7*(1-($O$7+$P$7))+(1-($K$7+$L$7))*$M$7*$O$7+$K$7*(1-($M$7+$N$7))*$O$7</f>
        <v>0.00243</v>
      </c>
      <c r="H67">
        <f>G67+$K$7*$M$7*$O$7</f>
        <v>0.002457</v>
      </c>
      <c r="I67">
        <f t="shared" si="7"/>
        <v>180</v>
      </c>
      <c r="J67">
        <f t="shared" si="11"/>
        <v>180</v>
      </c>
      <c r="K67">
        <f t="shared" si="8"/>
        <v>1.2285e-6</v>
      </c>
      <c r="L67">
        <f t="shared" si="9"/>
        <v>0.00022113</v>
      </c>
      <c r="M67">
        <f t="shared" si="10"/>
        <v>0.022113</v>
      </c>
    </row>
    <row r="68" customFormat="1" spans="5:13">
      <c r="E68">
        <v>0</v>
      </c>
      <c r="F68" s="34" t="s">
        <v>133</v>
      </c>
      <c r="G68">
        <f>($K$7+$L$7)*($M$7+$N$7)*($O$7+$P$7)</f>
        <v>0.001</v>
      </c>
      <c r="H68">
        <v>0</v>
      </c>
      <c r="I68">
        <v>0</v>
      </c>
      <c r="J68">
        <v>0</v>
      </c>
      <c r="K68">
        <f t="shared" si="8"/>
        <v>0</v>
      </c>
      <c r="L68">
        <f t="shared" si="9"/>
        <v>0</v>
      </c>
      <c r="M68">
        <f t="shared" si="10"/>
        <v>0</v>
      </c>
    </row>
    <row r="69" s="4" customFormat="1" spans="6:13">
      <c r="F69" s="4" t="s">
        <v>42</v>
      </c>
      <c r="G69" s="4">
        <f t="shared" ref="G69:M69" si="12">SUM(G62:G68)</f>
        <v>1</v>
      </c>
      <c r="H69" s="4">
        <f t="shared" si="12"/>
        <v>1</v>
      </c>
      <c r="K69" s="4">
        <f t="shared" si="12"/>
        <v>0.0005</v>
      </c>
      <c r="L69" s="4">
        <f t="shared" si="12"/>
        <v>0.01436125</v>
      </c>
      <c r="M69" s="4">
        <f t="shared" si="12"/>
        <v>1.436125</v>
      </c>
    </row>
    <row r="70" customFormat="1" ht="14.25" spans="2:14">
      <c r="B70" s="3" t="s">
        <v>51</v>
      </c>
      <c r="C70" s="3" t="s">
        <v>52</v>
      </c>
      <c r="D70" s="10" t="s">
        <v>4</v>
      </c>
      <c r="E70" s="13" t="s">
        <v>53</v>
      </c>
      <c r="F70" s="13" t="s">
        <v>54</v>
      </c>
      <c r="G70" s="13" t="s">
        <v>55</v>
      </c>
      <c r="H70" s="13" t="s">
        <v>56</v>
      </c>
      <c r="I70" s="13" t="s">
        <v>57</v>
      </c>
      <c r="J70" s="13" t="s">
        <v>58</v>
      </c>
      <c r="K70" s="13" t="s">
        <v>59</v>
      </c>
      <c r="L70" s="13" t="s">
        <v>60</v>
      </c>
      <c r="M70" t="s">
        <v>71</v>
      </c>
      <c r="N70" s="18"/>
    </row>
    <row r="71" customFormat="1" ht="14.25" spans="2:13">
      <c r="B71" s="7" t="s">
        <v>122</v>
      </c>
      <c r="C71" s="7" t="s">
        <v>27</v>
      </c>
      <c r="D71" s="7">
        <v>3</v>
      </c>
      <c r="E71">
        <v>1</v>
      </c>
      <c r="F71" s="29" t="s">
        <v>134</v>
      </c>
      <c r="G71">
        <f>(1-($K$7+$L$7))*(1-($M$7+$N$7))*(1-($O$7+$P$7))</f>
        <v>0.729</v>
      </c>
      <c r="H71">
        <f t="shared" ref="H71:H73" si="13">G71</f>
        <v>0.729</v>
      </c>
      <c r="I71">
        <f>$E$8*E71</f>
        <v>15</v>
      </c>
      <c r="J71">
        <f t="shared" si="11"/>
        <v>15</v>
      </c>
      <c r="K71">
        <f>$F$8*H71</f>
        <v>0.000729</v>
      </c>
      <c r="L71">
        <f>J71*K71</f>
        <v>0.010935</v>
      </c>
      <c r="M71">
        <f t="shared" ref="M71:M77" si="14">E71*H71</f>
        <v>0.729</v>
      </c>
    </row>
    <row r="72" customFormat="1" spans="5:13">
      <c r="E72">
        <v>2</v>
      </c>
      <c r="F72" s="29" t="s">
        <v>135</v>
      </c>
      <c r="G72">
        <f>$L$7*(1-($M$7+$N$7))*(1-($O$7+$P$7))+(1-($K$7+$L$7))*$N$7*(1-($O$7+$P$7))+(1-($K$7+$L$7))*(1-($M$7+$N$7))*$P$7</f>
        <v>0.1701</v>
      </c>
      <c r="H72">
        <f t="shared" si="13"/>
        <v>0.1701</v>
      </c>
      <c r="I72">
        <f t="shared" ref="I72:I77" si="15">$E$8*E72</f>
        <v>30</v>
      </c>
      <c r="J72">
        <f t="shared" si="11"/>
        <v>30</v>
      </c>
      <c r="K72">
        <f t="shared" ref="K72:K77" si="16">$F$8*H72</f>
        <v>0.0001701</v>
      </c>
      <c r="L72">
        <f t="shared" ref="L72:L77" si="17">J72*K72</f>
        <v>0.005103</v>
      </c>
      <c r="M72">
        <f t="shared" si="14"/>
        <v>0.3402</v>
      </c>
    </row>
    <row r="73" customFormat="1" spans="5:13">
      <c r="E73">
        <v>3</v>
      </c>
      <c r="F73" s="29" t="s">
        <v>136</v>
      </c>
      <c r="G73">
        <f>$K$7*(1-($M$7+$N$7))*(1-($O$7+$P$7))+(1-($K$7+$L$7))*$M$7*(1-($O$7+$P$7))+(1-($K$7+$L$7))*(1-($M$7+$N$7))*$O$7</f>
        <v>0.0729</v>
      </c>
      <c r="H73">
        <f t="shared" si="13"/>
        <v>0.0729</v>
      </c>
      <c r="I73">
        <f t="shared" si="15"/>
        <v>45</v>
      </c>
      <c r="J73">
        <f t="shared" si="11"/>
        <v>45</v>
      </c>
      <c r="K73">
        <f t="shared" si="16"/>
        <v>7.29e-5</v>
      </c>
      <c r="L73">
        <f t="shared" si="17"/>
        <v>0.0032805</v>
      </c>
      <c r="M73">
        <f t="shared" si="14"/>
        <v>0.2187</v>
      </c>
    </row>
    <row r="74" customFormat="1" spans="5:13">
      <c r="E74">
        <v>4</v>
      </c>
      <c r="F74" s="29" t="s">
        <v>137</v>
      </c>
      <c r="G74">
        <f>$L$7*$N$7*(1-($O$7+$P$7))+$L$7*(1-($M$7+$N$7))*$P$7+(1-($K$7+$L$7))*$N$7*$P$7</f>
        <v>0.01323</v>
      </c>
      <c r="H74">
        <f>G74+$L$7*$N$7*$P$7</f>
        <v>0.013573</v>
      </c>
      <c r="I74">
        <f t="shared" si="15"/>
        <v>60</v>
      </c>
      <c r="J74">
        <f t="shared" si="11"/>
        <v>60</v>
      </c>
      <c r="K74">
        <f t="shared" si="16"/>
        <v>1.3573e-5</v>
      </c>
      <c r="L74">
        <f t="shared" si="17"/>
        <v>0.00081438</v>
      </c>
      <c r="M74">
        <f t="shared" si="14"/>
        <v>0.054292</v>
      </c>
    </row>
    <row r="75" customFormat="1" spans="5:13">
      <c r="E75">
        <v>6</v>
      </c>
      <c r="F75" s="14" t="s">
        <v>138</v>
      </c>
      <c r="G75">
        <f>$K$7*$N$7*(1-($O$7+$P$7))+$L$7*$M$7*(1-($O$7+$P$7))+$K$7*(1-($M$7+$N$7))*$P$7+$L$7*(1-($M$7+$N$7))*$O$7+(1-($K$7+$L$7))*$N$7*$O$7+(1-($K$7+$L$7))*$M$7*$P$7</f>
        <v>0.01134</v>
      </c>
      <c r="H75">
        <f>G75+($G$68-$K$7*$M$7*$O$7-$L$7*$N$7*$P$7)</f>
        <v>0.01197</v>
      </c>
      <c r="I75">
        <f t="shared" si="15"/>
        <v>90</v>
      </c>
      <c r="J75">
        <f t="shared" si="11"/>
        <v>90</v>
      </c>
      <c r="K75">
        <f t="shared" si="16"/>
        <v>1.197e-5</v>
      </c>
      <c r="L75">
        <f t="shared" si="17"/>
        <v>0.0010773</v>
      </c>
      <c r="M75">
        <f t="shared" si="14"/>
        <v>0.07182</v>
      </c>
    </row>
    <row r="76" customFormat="1" spans="5:13">
      <c r="E76">
        <v>9</v>
      </c>
      <c r="F76" s="14" t="s">
        <v>139</v>
      </c>
      <c r="G76">
        <f>$K$7*$M$7*(1-($O$7+$P$7))+(1-($K$7+$L$7))*$M$7*$O$7+$K$7*(1-($M$7+$N$7))*$O$7</f>
        <v>0.00243</v>
      </c>
      <c r="H76">
        <f>G76+$K$7*$M$7*$O$7</f>
        <v>0.002457</v>
      </c>
      <c r="I76">
        <f t="shared" si="15"/>
        <v>135</v>
      </c>
      <c r="J76">
        <f t="shared" si="11"/>
        <v>135</v>
      </c>
      <c r="K76">
        <f t="shared" si="16"/>
        <v>2.457e-6</v>
      </c>
      <c r="L76">
        <f t="shared" si="17"/>
        <v>0.000331695</v>
      </c>
      <c r="M76">
        <f t="shared" si="14"/>
        <v>0.022113</v>
      </c>
    </row>
    <row r="77" customFormat="1" spans="5:13">
      <c r="E77">
        <v>0</v>
      </c>
      <c r="F77" s="34" t="s">
        <v>133</v>
      </c>
      <c r="G77">
        <f>($K$7+$L$7)*($M$7+$N$7)*($O$7+$P$7)</f>
        <v>0.001</v>
      </c>
      <c r="H77">
        <v>0</v>
      </c>
      <c r="I77">
        <f t="shared" si="15"/>
        <v>0</v>
      </c>
      <c r="J77">
        <v>0</v>
      </c>
      <c r="K77">
        <f t="shared" si="16"/>
        <v>0</v>
      </c>
      <c r="L77">
        <f t="shared" si="17"/>
        <v>0</v>
      </c>
      <c r="M77">
        <f t="shared" si="14"/>
        <v>0</v>
      </c>
    </row>
    <row r="78" s="4" customFormat="1" spans="6:13">
      <c r="F78" s="4" t="s">
        <v>42</v>
      </c>
      <c r="G78" s="4">
        <f t="shared" ref="G78:M78" si="18">SUM(G71:G77)</f>
        <v>1</v>
      </c>
      <c r="H78" s="4">
        <f t="shared" si="18"/>
        <v>1</v>
      </c>
      <c r="K78" s="4">
        <f t="shared" si="18"/>
        <v>0.001</v>
      </c>
      <c r="L78" s="4">
        <f t="shared" si="18"/>
        <v>0.021541875</v>
      </c>
      <c r="M78" s="4">
        <f t="shared" si="18"/>
        <v>1.436125</v>
      </c>
    </row>
    <row r="79" customFormat="1" ht="14.25" spans="2:14">
      <c r="B79" s="3" t="s">
        <v>51</v>
      </c>
      <c r="C79" s="3" t="s">
        <v>52</v>
      </c>
      <c r="D79" s="10" t="s">
        <v>4</v>
      </c>
      <c r="E79" s="13" t="s">
        <v>53</v>
      </c>
      <c r="F79" s="13" t="s">
        <v>54</v>
      </c>
      <c r="G79" s="13" t="s">
        <v>55</v>
      </c>
      <c r="H79" s="13" t="s">
        <v>56</v>
      </c>
      <c r="I79" s="13" t="s">
        <v>57</v>
      </c>
      <c r="J79" s="13" t="s">
        <v>58</v>
      </c>
      <c r="K79" s="13" t="s">
        <v>59</v>
      </c>
      <c r="L79" s="13" t="s">
        <v>60</v>
      </c>
      <c r="M79" t="s">
        <v>71</v>
      </c>
      <c r="N79" s="18"/>
    </row>
    <row r="80" customFormat="1" ht="14.25" spans="2:13">
      <c r="B80" s="7" t="s">
        <v>29</v>
      </c>
      <c r="C80" s="7" t="s">
        <v>27</v>
      </c>
      <c r="D80" s="7">
        <v>3</v>
      </c>
      <c r="E80">
        <v>1</v>
      </c>
      <c r="F80" s="29" t="s">
        <v>140</v>
      </c>
      <c r="G80">
        <f>(1-($K$7+$L$7))*(1-($M$7+$N$7))*(1-($O$7+$P$7))</f>
        <v>0.729</v>
      </c>
      <c r="H80">
        <f t="shared" ref="H80:H82" si="19">G80</f>
        <v>0.729</v>
      </c>
      <c r="I80">
        <f>$E$9*E80</f>
        <v>10</v>
      </c>
      <c r="J80">
        <f t="shared" ref="J80:J85" si="20">I80</f>
        <v>10</v>
      </c>
      <c r="K80">
        <f>$F$9*H80</f>
        <v>0.001458</v>
      </c>
      <c r="L80">
        <f t="shared" ref="L80:L86" si="21">J80*K80</f>
        <v>0.01458</v>
      </c>
      <c r="M80">
        <f t="shared" ref="M80:M86" si="22">E80*H80</f>
        <v>0.729</v>
      </c>
    </row>
    <row r="81" customFormat="1" spans="5:13">
      <c r="E81">
        <v>2</v>
      </c>
      <c r="F81" s="29" t="s">
        <v>141</v>
      </c>
      <c r="G81">
        <f>$L$7*(1-($M$7+$N$7))*(1-($O$7+$P$7))+(1-($K$7+$L$7))*$N$7*(1-($O$7+$P$7))+(1-($K$7+$L$7))*(1-($M$7+$N$7))*$P$7</f>
        <v>0.1701</v>
      </c>
      <c r="H81">
        <f t="shared" si="19"/>
        <v>0.1701</v>
      </c>
      <c r="I81">
        <f t="shared" ref="I81:I86" si="23">$E$9*E81</f>
        <v>20</v>
      </c>
      <c r="J81">
        <f t="shared" si="20"/>
        <v>20</v>
      </c>
      <c r="K81">
        <f t="shared" ref="K81:K86" si="24">$F$9*H81</f>
        <v>0.0003402</v>
      </c>
      <c r="L81">
        <f t="shared" si="21"/>
        <v>0.006804</v>
      </c>
      <c r="M81">
        <f t="shared" si="22"/>
        <v>0.3402</v>
      </c>
    </row>
    <row r="82" customFormat="1" spans="5:13">
      <c r="E82">
        <v>3</v>
      </c>
      <c r="F82" s="29" t="s">
        <v>142</v>
      </c>
      <c r="G82">
        <f>$K$7*(1-($M$7+$N$7))*(1-($O$7+$P$7))+(1-($K$7+$L$7))*$M$7*(1-($O$7+$P$7))+(1-($K$7+$L$7))*(1-($M$7+$N$7))*$O$7</f>
        <v>0.0729</v>
      </c>
      <c r="H82">
        <f t="shared" si="19"/>
        <v>0.0729</v>
      </c>
      <c r="I82">
        <f t="shared" si="23"/>
        <v>30</v>
      </c>
      <c r="J82">
        <f t="shared" si="20"/>
        <v>30</v>
      </c>
      <c r="K82">
        <f t="shared" si="24"/>
        <v>0.0001458</v>
      </c>
      <c r="L82">
        <f t="shared" si="21"/>
        <v>0.004374</v>
      </c>
      <c r="M82">
        <f t="shared" si="22"/>
        <v>0.2187</v>
      </c>
    </row>
    <row r="83" customFormat="1" spans="5:13">
      <c r="E83">
        <v>4</v>
      </c>
      <c r="F83" s="29" t="s">
        <v>143</v>
      </c>
      <c r="G83">
        <f>$L$7*$N$7*(1-($O$7+$P$7))+$L$7*(1-($M$7+$N$7))*$P$7+(1-($K$7+$L$7))*$N$7*$P$7</f>
        <v>0.01323</v>
      </c>
      <c r="H83">
        <f>G83+$L$7*$N$7*$P$7</f>
        <v>0.013573</v>
      </c>
      <c r="I83">
        <f t="shared" si="23"/>
        <v>40</v>
      </c>
      <c r="J83">
        <f t="shared" si="20"/>
        <v>40</v>
      </c>
      <c r="K83">
        <f t="shared" si="24"/>
        <v>2.7146e-5</v>
      </c>
      <c r="L83">
        <f t="shared" si="21"/>
        <v>0.00108584</v>
      </c>
      <c r="M83">
        <f t="shared" si="22"/>
        <v>0.054292</v>
      </c>
    </row>
    <row r="84" customFormat="1" spans="5:13">
      <c r="E84">
        <v>6</v>
      </c>
      <c r="F84" s="14" t="s">
        <v>144</v>
      </c>
      <c r="G84">
        <f>$K$7*$N$7*(1-($O$7+$P$7))+$L$7*$M$7*(1-($O$7+$P$7))+$K$7*(1-($M$7+$N$7))*$P$7+$L$7*(1-($M$7+$N$7))*$O$7+(1-($K$7+$L$7))*$N$7*$O$7+(1-($K$7+$L$7))*$M$7*$P$7</f>
        <v>0.01134</v>
      </c>
      <c r="H84">
        <f>G84+($G$68-$K$7*$M$7*$O$7-$L$7*$N$7*$P$7)</f>
        <v>0.01197</v>
      </c>
      <c r="I84">
        <f t="shared" si="23"/>
        <v>60</v>
      </c>
      <c r="J84">
        <f t="shared" si="20"/>
        <v>60</v>
      </c>
      <c r="K84">
        <f t="shared" si="24"/>
        <v>2.394e-5</v>
      </c>
      <c r="L84">
        <f t="shared" si="21"/>
        <v>0.0014364</v>
      </c>
      <c r="M84">
        <f t="shared" si="22"/>
        <v>0.07182</v>
      </c>
    </row>
    <row r="85" customFormat="1" spans="5:13">
      <c r="E85">
        <v>9</v>
      </c>
      <c r="F85" s="14" t="s">
        <v>145</v>
      </c>
      <c r="G85">
        <f>$K$7*$M$7*(1-($O$7+$P$7))+(1-($K$7+$L$7))*$M$7*$O$7+$K$7*(1-($M$7+$N$7))*$O$7</f>
        <v>0.00243</v>
      </c>
      <c r="H85">
        <f>G85+$K$7*$M$7*$O$7</f>
        <v>0.002457</v>
      </c>
      <c r="I85">
        <f t="shared" si="23"/>
        <v>90</v>
      </c>
      <c r="J85">
        <f t="shared" si="20"/>
        <v>90</v>
      </c>
      <c r="K85">
        <f t="shared" si="24"/>
        <v>4.914e-6</v>
      </c>
      <c r="L85">
        <f t="shared" si="21"/>
        <v>0.00044226</v>
      </c>
      <c r="M85">
        <f t="shared" si="22"/>
        <v>0.022113</v>
      </c>
    </row>
    <row r="86" customFormat="1" spans="5:13">
      <c r="E86">
        <v>0</v>
      </c>
      <c r="F86" s="34" t="s">
        <v>133</v>
      </c>
      <c r="G86">
        <f>($K$7+$L$7)*($M$7+$N$7)*($O$7+$P$7)</f>
        <v>0.001</v>
      </c>
      <c r="H86">
        <v>0</v>
      </c>
      <c r="I86">
        <f t="shared" si="23"/>
        <v>0</v>
      </c>
      <c r="J86">
        <v>0</v>
      </c>
      <c r="K86">
        <f t="shared" si="24"/>
        <v>0</v>
      </c>
      <c r="L86">
        <f t="shared" si="21"/>
        <v>0</v>
      </c>
      <c r="M86">
        <f t="shared" si="22"/>
        <v>0</v>
      </c>
    </row>
    <row r="87" s="4" customFormat="1" spans="6:13">
      <c r="F87" s="4" t="s">
        <v>42</v>
      </c>
      <c r="G87" s="4">
        <f t="shared" ref="G87:M87" si="25">SUM(G80:G86)</f>
        <v>1</v>
      </c>
      <c r="H87" s="4">
        <f t="shared" si="25"/>
        <v>1</v>
      </c>
      <c r="K87" s="4">
        <f t="shared" si="25"/>
        <v>0.002</v>
      </c>
      <c r="L87" s="4">
        <f t="shared" si="25"/>
        <v>0.0287225</v>
      </c>
      <c r="M87" s="4">
        <f t="shared" si="25"/>
        <v>1.436125</v>
      </c>
    </row>
    <row r="88" customFormat="1" ht="14.25" spans="2:14">
      <c r="B88" s="3" t="s">
        <v>51</v>
      </c>
      <c r="C88" s="3" t="s">
        <v>52</v>
      </c>
      <c r="D88" s="10" t="s">
        <v>4</v>
      </c>
      <c r="E88" s="13" t="s">
        <v>53</v>
      </c>
      <c r="F88" s="13" t="s">
        <v>54</v>
      </c>
      <c r="G88" s="13" t="s">
        <v>55</v>
      </c>
      <c r="H88" s="13" t="s">
        <v>56</v>
      </c>
      <c r="I88" s="13" t="s">
        <v>57</v>
      </c>
      <c r="J88" s="13" t="s">
        <v>58</v>
      </c>
      <c r="K88" s="13" t="s">
        <v>59</v>
      </c>
      <c r="L88" s="13" t="s">
        <v>60</v>
      </c>
      <c r="M88" t="s">
        <v>71</v>
      </c>
      <c r="N88" s="18"/>
    </row>
    <row r="89" customFormat="1" ht="14.25" spans="2:13">
      <c r="B89" s="7" t="s">
        <v>30</v>
      </c>
      <c r="C89" s="7" t="s">
        <v>27</v>
      </c>
      <c r="D89" s="7">
        <v>3</v>
      </c>
      <c r="E89">
        <v>1</v>
      </c>
      <c r="F89" s="29" t="s">
        <v>146</v>
      </c>
      <c r="G89">
        <f>(1-($K$7+$L$7))*(1-($M$7+$N$7))*(1-($O$7+$P$7))</f>
        <v>0.729</v>
      </c>
      <c r="H89">
        <f t="shared" ref="H89:H91" si="26">G89</f>
        <v>0.729</v>
      </c>
      <c r="I89">
        <f>$E$10*E89</f>
        <v>7</v>
      </c>
      <c r="J89">
        <f t="shared" ref="J89:J94" si="27">I89</f>
        <v>7</v>
      </c>
      <c r="K89">
        <f>$F$10*H89</f>
        <v>0.008019</v>
      </c>
      <c r="L89">
        <f t="shared" ref="L89:L95" si="28">J89*K89</f>
        <v>0.056133</v>
      </c>
      <c r="M89">
        <f t="shared" ref="M89:M95" si="29">E89*H89</f>
        <v>0.729</v>
      </c>
    </row>
    <row r="90" customFormat="1" spans="5:13">
      <c r="E90">
        <v>2</v>
      </c>
      <c r="F90" s="29" t="s">
        <v>147</v>
      </c>
      <c r="G90">
        <f>$L$7*(1-($M$7+$N$7))*(1-($O$7+$P$7))+(1-($K$7+$L$7))*$N$7*(1-($O$7+$P$7))+(1-($K$7+$L$7))*(1-($M$7+$N$7))*$P$7</f>
        <v>0.1701</v>
      </c>
      <c r="H90">
        <f t="shared" si="26"/>
        <v>0.1701</v>
      </c>
      <c r="I90">
        <f t="shared" ref="I90:I95" si="30">$E$10*E90</f>
        <v>14</v>
      </c>
      <c r="J90">
        <f t="shared" si="27"/>
        <v>14</v>
      </c>
      <c r="K90">
        <f t="shared" ref="K90:K95" si="31">$F$10*H90</f>
        <v>0.0018711</v>
      </c>
      <c r="L90">
        <f t="shared" si="28"/>
        <v>0.0261954</v>
      </c>
      <c r="M90">
        <f t="shared" si="29"/>
        <v>0.3402</v>
      </c>
    </row>
    <row r="91" customFormat="1" spans="5:13">
      <c r="E91">
        <v>3</v>
      </c>
      <c r="F91" s="29" t="s">
        <v>148</v>
      </c>
      <c r="G91">
        <f>$K$7*(1-($M$7+$N$7))*(1-($O$7+$P$7))+(1-($K$7+$L$7))*$M$7*(1-($O$7+$P$7))+(1-($K$7+$L$7))*(1-($M$7+$N$7))*$O$7</f>
        <v>0.0729</v>
      </c>
      <c r="H91">
        <f t="shared" si="26"/>
        <v>0.0729</v>
      </c>
      <c r="I91">
        <f t="shared" si="30"/>
        <v>21</v>
      </c>
      <c r="J91">
        <f t="shared" si="27"/>
        <v>21</v>
      </c>
      <c r="K91">
        <f t="shared" si="31"/>
        <v>0.0008019</v>
      </c>
      <c r="L91">
        <f t="shared" si="28"/>
        <v>0.0168399</v>
      </c>
      <c r="M91">
        <f t="shared" si="29"/>
        <v>0.2187</v>
      </c>
    </row>
    <row r="92" customFormat="1" spans="5:13">
      <c r="E92">
        <v>4</v>
      </c>
      <c r="F92" s="29" t="s">
        <v>149</v>
      </c>
      <c r="G92">
        <f>$L$7*$N$7*(1-($O$7+$P$7))+$L$7*(1-($M$7+$N$7))*$P$7+(1-($K$7+$L$7))*$N$7*$P$7</f>
        <v>0.01323</v>
      </c>
      <c r="H92">
        <f>G92+$L$7*$N$7*$P$7</f>
        <v>0.013573</v>
      </c>
      <c r="I92">
        <f t="shared" si="30"/>
        <v>28</v>
      </c>
      <c r="J92">
        <f t="shared" si="27"/>
        <v>28</v>
      </c>
      <c r="K92">
        <f t="shared" si="31"/>
        <v>0.000149303</v>
      </c>
      <c r="L92">
        <f t="shared" si="28"/>
        <v>0.004180484</v>
      </c>
      <c r="M92">
        <f t="shared" si="29"/>
        <v>0.054292</v>
      </c>
    </row>
    <row r="93" customFormat="1" spans="5:13">
      <c r="E93">
        <v>6</v>
      </c>
      <c r="F93" s="14" t="s">
        <v>150</v>
      </c>
      <c r="G93">
        <f>$K$7*$N$7*(1-($O$7+$P$7))+$L$7*$M$7*(1-($O$7+$P$7))+$K$7*(1-($M$7+$N$7))*$P$7+$L$7*(1-($M$7+$N$7))*$O$7+(1-($K$7+$L$7))*$N$7*$O$7+(1-($K$7+$L$7))*$M$7*$P$7</f>
        <v>0.01134</v>
      </c>
      <c r="H93">
        <f>G93+($G$68-$K$7*$M$7*$O$7-$L$7*$N$7*$P$7)</f>
        <v>0.01197</v>
      </c>
      <c r="I93">
        <f t="shared" si="30"/>
        <v>42</v>
      </c>
      <c r="J93">
        <f t="shared" si="27"/>
        <v>42</v>
      </c>
      <c r="K93">
        <f t="shared" si="31"/>
        <v>0.00013167</v>
      </c>
      <c r="L93">
        <f t="shared" si="28"/>
        <v>0.00553014</v>
      </c>
      <c r="M93">
        <f t="shared" si="29"/>
        <v>0.07182</v>
      </c>
    </row>
    <row r="94" customFormat="1" spans="5:13">
      <c r="E94">
        <v>9</v>
      </c>
      <c r="F94" s="14" t="s">
        <v>151</v>
      </c>
      <c r="G94">
        <f>$K$7*$M$7*(1-($O$7+$P$7))+(1-($K$7+$L$7))*$M$7*$O$7+$K$7*(1-($M$7+$N$7))*$O$7</f>
        <v>0.00243</v>
      </c>
      <c r="H94">
        <f>G94+$K$7*$M$7*$O$7</f>
        <v>0.002457</v>
      </c>
      <c r="I94">
        <f t="shared" si="30"/>
        <v>63</v>
      </c>
      <c r="J94">
        <f t="shared" si="27"/>
        <v>63</v>
      </c>
      <c r="K94">
        <f t="shared" si="31"/>
        <v>2.7027e-5</v>
      </c>
      <c r="L94">
        <f t="shared" si="28"/>
        <v>0.001702701</v>
      </c>
      <c r="M94">
        <f t="shared" si="29"/>
        <v>0.022113</v>
      </c>
    </row>
    <row r="95" customFormat="1" spans="5:13">
      <c r="E95">
        <v>0</v>
      </c>
      <c r="F95" s="34" t="s">
        <v>133</v>
      </c>
      <c r="G95">
        <f>($K$7+$L$7)*($M$7+$N$7)*($O$7+$P$7)</f>
        <v>0.001</v>
      </c>
      <c r="H95">
        <v>0</v>
      </c>
      <c r="I95">
        <f t="shared" si="30"/>
        <v>0</v>
      </c>
      <c r="J95">
        <v>0</v>
      </c>
      <c r="K95">
        <f t="shared" si="31"/>
        <v>0</v>
      </c>
      <c r="L95">
        <f t="shared" si="28"/>
        <v>0</v>
      </c>
      <c r="M95">
        <f t="shared" si="29"/>
        <v>0</v>
      </c>
    </row>
    <row r="96" s="4" customFormat="1" spans="6:13">
      <c r="F96" s="4" t="s">
        <v>42</v>
      </c>
      <c r="G96" s="4">
        <f t="shared" ref="G96:M96" si="32">SUM(G89:G95)</f>
        <v>1</v>
      </c>
      <c r="H96" s="4">
        <f t="shared" si="32"/>
        <v>1</v>
      </c>
      <c r="K96" s="4">
        <f t="shared" si="32"/>
        <v>0.011</v>
      </c>
      <c r="L96" s="4">
        <f t="shared" si="32"/>
        <v>0.110581625</v>
      </c>
      <c r="M96" s="4">
        <f t="shared" si="32"/>
        <v>1.436125</v>
      </c>
    </row>
    <row r="97" customFormat="1" ht="14.25" spans="2:14">
      <c r="B97" s="3" t="s">
        <v>51</v>
      </c>
      <c r="C97" s="3" t="s">
        <v>52</v>
      </c>
      <c r="D97" s="10" t="s">
        <v>4</v>
      </c>
      <c r="E97" s="13" t="s">
        <v>53</v>
      </c>
      <c r="F97" s="13" t="s">
        <v>54</v>
      </c>
      <c r="G97" s="13" t="s">
        <v>55</v>
      </c>
      <c r="H97" s="13" t="s">
        <v>56</v>
      </c>
      <c r="I97" s="13" t="s">
        <v>57</v>
      </c>
      <c r="J97" s="13" t="s">
        <v>58</v>
      </c>
      <c r="K97" s="13" t="s">
        <v>59</v>
      </c>
      <c r="L97" s="13" t="s">
        <v>60</v>
      </c>
      <c r="M97" t="s">
        <v>71</v>
      </c>
      <c r="N97" s="18"/>
    </row>
    <row r="98" customFormat="1" ht="14.25" spans="2:13">
      <c r="B98" s="7" t="s">
        <v>31</v>
      </c>
      <c r="C98" s="7" t="s">
        <v>27</v>
      </c>
      <c r="D98" s="7">
        <v>3</v>
      </c>
      <c r="E98">
        <v>1</v>
      </c>
      <c r="F98" s="29" t="s">
        <v>152</v>
      </c>
      <c r="G98">
        <f>(1-($K$7+$L$7))*(1-($M$7+$N$7))*(1-($O$7+$P$7))</f>
        <v>0.729</v>
      </c>
      <c r="H98">
        <f t="shared" ref="H98:H100" si="33">G98</f>
        <v>0.729</v>
      </c>
      <c r="I98">
        <f>$E$11*E98</f>
        <v>5</v>
      </c>
      <c r="J98">
        <f t="shared" ref="J98:J103" si="34">I98</f>
        <v>5</v>
      </c>
      <c r="K98">
        <f>$F$11*H98</f>
        <v>0.008019</v>
      </c>
      <c r="L98">
        <f t="shared" ref="L98:L104" si="35">J98*K98</f>
        <v>0.040095</v>
      </c>
      <c r="M98">
        <f t="shared" ref="M98:M104" si="36">E98*H98</f>
        <v>0.729</v>
      </c>
    </row>
    <row r="99" customFormat="1" spans="5:13">
      <c r="E99">
        <v>2</v>
      </c>
      <c r="F99" s="29" t="s">
        <v>153</v>
      </c>
      <c r="G99">
        <f>$L$7*(1-($M$7+$N$7))*(1-($O$7+$P$7))+(1-($K$7+$L$7))*$N$7*(1-($O$7+$P$7))+(1-($K$7+$L$7))*(1-($M$7+$N$7))*$P$7</f>
        <v>0.1701</v>
      </c>
      <c r="H99">
        <f t="shared" si="33"/>
        <v>0.1701</v>
      </c>
      <c r="I99">
        <f t="shared" ref="I99:I104" si="37">$E$11*E99</f>
        <v>10</v>
      </c>
      <c r="J99">
        <f t="shared" si="34"/>
        <v>10</v>
      </c>
      <c r="K99">
        <f t="shared" ref="K99:K104" si="38">$F$11*H99</f>
        <v>0.0018711</v>
      </c>
      <c r="L99">
        <f t="shared" si="35"/>
        <v>0.018711</v>
      </c>
      <c r="M99">
        <f t="shared" si="36"/>
        <v>0.3402</v>
      </c>
    </row>
    <row r="100" customFormat="1" spans="5:13">
      <c r="E100">
        <v>3</v>
      </c>
      <c r="F100" s="29" t="s">
        <v>154</v>
      </c>
      <c r="G100">
        <f>$K$7*(1-($M$7+$N$7))*(1-($O$7+$P$7))+(1-($K$7+$L$7))*$M$7*(1-($O$7+$P$7))+(1-($K$7+$L$7))*(1-($M$7+$N$7))*$O$7</f>
        <v>0.0729</v>
      </c>
      <c r="H100">
        <f t="shared" si="33"/>
        <v>0.0729</v>
      </c>
      <c r="I100">
        <f t="shared" si="37"/>
        <v>15</v>
      </c>
      <c r="J100">
        <f t="shared" si="34"/>
        <v>15</v>
      </c>
      <c r="K100">
        <f t="shared" si="38"/>
        <v>0.0008019</v>
      </c>
      <c r="L100">
        <f t="shared" si="35"/>
        <v>0.0120285</v>
      </c>
      <c r="M100">
        <f t="shared" si="36"/>
        <v>0.2187</v>
      </c>
    </row>
    <row r="101" customFormat="1" spans="5:13">
      <c r="E101">
        <v>4</v>
      </c>
      <c r="F101" s="29" t="s">
        <v>155</v>
      </c>
      <c r="G101">
        <f>$L$7*$N$7*(1-($O$7+$P$7))+$L$7*(1-($M$7+$N$7))*$P$7+(1-($K$7+$L$7))*$N$7*$P$7</f>
        <v>0.01323</v>
      </c>
      <c r="H101">
        <f>G101+$L$7*$N$7*$P$7</f>
        <v>0.013573</v>
      </c>
      <c r="I101">
        <f t="shared" si="37"/>
        <v>20</v>
      </c>
      <c r="J101">
        <f t="shared" si="34"/>
        <v>20</v>
      </c>
      <c r="K101">
        <f t="shared" si="38"/>
        <v>0.000149303</v>
      </c>
      <c r="L101">
        <f t="shared" si="35"/>
        <v>0.00298606</v>
      </c>
      <c r="M101">
        <f t="shared" si="36"/>
        <v>0.054292</v>
      </c>
    </row>
    <row r="102" customFormat="1" spans="5:13">
      <c r="E102">
        <v>6</v>
      </c>
      <c r="F102" s="14" t="s">
        <v>156</v>
      </c>
      <c r="G102">
        <f>$K$7*$N$7*(1-($O$7+$P$7))+$L$7*$M$7*(1-($O$7+$P$7))+$K$7*(1-($M$7+$N$7))*$P$7+$L$7*(1-($M$7+$N$7))*$O$7+(1-($K$7+$L$7))*$N$7*$O$7+(1-($K$7+$L$7))*$M$7*$P$7</f>
        <v>0.01134</v>
      </c>
      <c r="H102">
        <f>G102+($G$68-$K$7*$M$7*$O$7-$L$7*$N$7*$P$7)</f>
        <v>0.01197</v>
      </c>
      <c r="I102">
        <f t="shared" si="37"/>
        <v>30</v>
      </c>
      <c r="J102">
        <f t="shared" si="34"/>
        <v>30</v>
      </c>
      <c r="K102">
        <f t="shared" si="38"/>
        <v>0.00013167</v>
      </c>
      <c r="L102">
        <f t="shared" si="35"/>
        <v>0.0039501</v>
      </c>
      <c r="M102">
        <f t="shared" si="36"/>
        <v>0.07182</v>
      </c>
    </row>
    <row r="103" customFormat="1" spans="5:13">
      <c r="E103">
        <v>9</v>
      </c>
      <c r="F103" s="14" t="s">
        <v>157</v>
      </c>
      <c r="G103">
        <f>$K$7*$M$7*(1-($O$7+$P$7))+(1-($K$7+$L$7))*$M$7*$O$7+$K$7*(1-($M$7+$N$7))*$O$7</f>
        <v>0.00243</v>
      </c>
      <c r="H103">
        <f>G103+$K$7*$M$7*$O$7</f>
        <v>0.002457</v>
      </c>
      <c r="I103">
        <f t="shared" si="37"/>
        <v>45</v>
      </c>
      <c r="J103">
        <f t="shared" si="34"/>
        <v>45</v>
      </c>
      <c r="K103">
        <f t="shared" si="38"/>
        <v>2.7027e-5</v>
      </c>
      <c r="L103">
        <f t="shared" si="35"/>
        <v>0.001216215</v>
      </c>
      <c r="M103">
        <f t="shared" si="36"/>
        <v>0.022113</v>
      </c>
    </row>
    <row r="104" customFormat="1" spans="5:13">
      <c r="E104">
        <v>0</v>
      </c>
      <c r="F104" s="34" t="s">
        <v>133</v>
      </c>
      <c r="G104">
        <f>($K$7+$L$7)*($M$7+$N$7)*($O$7+$P$7)</f>
        <v>0.001</v>
      </c>
      <c r="H104">
        <v>0</v>
      </c>
      <c r="I104">
        <f t="shared" si="37"/>
        <v>0</v>
      </c>
      <c r="J104">
        <v>0</v>
      </c>
      <c r="K104">
        <f t="shared" si="38"/>
        <v>0</v>
      </c>
      <c r="L104">
        <f t="shared" si="35"/>
        <v>0</v>
      </c>
      <c r="M104">
        <f t="shared" si="36"/>
        <v>0</v>
      </c>
    </row>
    <row r="105" s="4" customFormat="1" spans="6:13">
      <c r="F105" s="4" t="s">
        <v>42</v>
      </c>
      <c r="G105" s="4">
        <f t="shared" ref="G105:M105" si="39">SUM(G98:G104)</f>
        <v>1</v>
      </c>
      <c r="H105" s="4">
        <f t="shared" si="39"/>
        <v>1</v>
      </c>
      <c r="K105" s="4">
        <f t="shared" si="39"/>
        <v>0.011</v>
      </c>
      <c r="L105" s="4">
        <f t="shared" si="39"/>
        <v>0.078986875</v>
      </c>
      <c r="M105" s="4">
        <f t="shared" si="39"/>
        <v>1.436125</v>
      </c>
    </row>
    <row r="106" customFormat="1" ht="14.25" spans="2:14">
      <c r="B106" s="3" t="s">
        <v>51</v>
      </c>
      <c r="C106" s="3" t="s">
        <v>52</v>
      </c>
      <c r="D106" s="10" t="s">
        <v>4</v>
      </c>
      <c r="E106" s="13" t="s">
        <v>53</v>
      </c>
      <c r="F106" s="13" t="s">
        <v>54</v>
      </c>
      <c r="G106" s="13" t="s">
        <v>55</v>
      </c>
      <c r="H106" s="13" t="s">
        <v>56</v>
      </c>
      <c r="I106" s="13" t="s">
        <v>57</v>
      </c>
      <c r="J106" s="13" t="s">
        <v>58</v>
      </c>
      <c r="K106" s="13" t="s">
        <v>59</v>
      </c>
      <c r="L106" s="13" t="s">
        <v>60</v>
      </c>
      <c r="M106" t="s">
        <v>71</v>
      </c>
      <c r="N106" s="18"/>
    </row>
    <row r="107" customFormat="1" ht="14.25" spans="2:13">
      <c r="B107" s="7" t="s">
        <v>32</v>
      </c>
      <c r="C107" s="7" t="s">
        <v>27</v>
      </c>
      <c r="D107" s="7">
        <v>3</v>
      </c>
      <c r="E107">
        <v>1</v>
      </c>
      <c r="F107" s="29" t="s">
        <v>158</v>
      </c>
      <c r="G107">
        <f>(1-($K$7+$L$7))*(1-($M$7+$N$7))*(1-($O$7+$P$7))</f>
        <v>0.729</v>
      </c>
      <c r="H107">
        <f t="shared" ref="H107:H109" si="40">G107</f>
        <v>0.729</v>
      </c>
      <c r="I107">
        <f>$E$12*E107</f>
        <v>3</v>
      </c>
      <c r="J107">
        <f t="shared" ref="J107:J112" si="41">I107</f>
        <v>3</v>
      </c>
      <c r="K107">
        <f>$F$12*H107</f>
        <v>0.008748</v>
      </c>
      <c r="L107">
        <f t="shared" ref="L107:L113" si="42">J107*K107</f>
        <v>0.026244</v>
      </c>
      <c r="M107">
        <f t="shared" ref="M107:M113" si="43">E107*H107</f>
        <v>0.729</v>
      </c>
    </row>
    <row r="108" customFormat="1" spans="5:13">
      <c r="E108">
        <v>2</v>
      </c>
      <c r="F108" s="29" t="s">
        <v>159</v>
      </c>
      <c r="G108">
        <f>$L$7*(1-($M$7+$N$7))*(1-($O$7+$P$7))+(1-($K$7+$L$7))*$N$7*(1-($O$7+$P$7))+(1-($K$7+$L$7))*(1-($M$7+$N$7))*$P$7</f>
        <v>0.1701</v>
      </c>
      <c r="H108">
        <f t="shared" si="40"/>
        <v>0.1701</v>
      </c>
      <c r="I108">
        <f t="shared" ref="I108:I113" si="44">$E$12*E108</f>
        <v>6</v>
      </c>
      <c r="J108">
        <f t="shared" si="41"/>
        <v>6</v>
      </c>
      <c r="K108">
        <f t="shared" ref="K108:K113" si="45">$F$12*H108</f>
        <v>0.0020412</v>
      </c>
      <c r="L108">
        <f t="shared" si="42"/>
        <v>0.0122472</v>
      </c>
      <c r="M108">
        <f t="shared" si="43"/>
        <v>0.3402</v>
      </c>
    </row>
    <row r="109" customFormat="1" spans="5:13">
      <c r="E109">
        <v>3</v>
      </c>
      <c r="F109" s="29" t="s">
        <v>160</v>
      </c>
      <c r="G109">
        <f>$K$7*(1-($M$7+$N$7))*(1-($O$7+$P$7))+(1-($K$7+$L$7))*$M$7*(1-($O$7+$P$7))+(1-($K$7+$L$7))*(1-($M$7+$N$7))*$O$7</f>
        <v>0.0729</v>
      </c>
      <c r="H109">
        <f t="shared" si="40"/>
        <v>0.0729</v>
      </c>
      <c r="I109">
        <f t="shared" si="44"/>
        <v>9</v>
      </c>
      <c r="J109">
        <f t="shared" si="41"/>
        <v>9</v>
      </c>
      <c r="K109">
        <f t="shared" si="45"/>
        <v>0.0008748</v>
      </c>
      <c r="L109">
        <f t="shared" si="42"/>
        <v>0.0078732</v>
      </c>
      <c r="M109">
        <f t="shared" si="43"/>
        <v>0.2187</v>
      </c>
    </row>
    <row r="110" customFormat="1" spans="5:13">
      <c r="E110">
        <v>4</v>
      </c>
      <c r="F110" s="29" t="s">
        <v>161</v>
      </c>
      <c r="G110">
        <f>$L$7*$N$7*(1-($O$7+$P$7))+$L$7*(1-($M$7+$N$7))*$P$7+(1-($K$7+$L$7))*$N$7*$P$7</f>
        <v>0.01323</v>
      </c>
      <c r="H110">
        <f>G110+$L$7*$N$7*$P$7</f>
        <v>0.013573</v>
      </c>
      <c r="I110">
        <f t="shared" si="44"/>
        <v>12</v>
      </c>
      <c r="J110">
        <f t="shared" si="41"/>
        <v>12</v>
      </c>
      <c r="K110">
        <f t="shared" si="45"/>
        <v>0.000162876</v>
      </c>
      <c r="L110">
        <f t="shared" si="42"/>
        <v>0.001954512</v>
      </c>
      <c r="M110">
        <f t="shared" si="43"/>
        <v>0.054292</v>
      </c>
    </row>
    <row r="111" customFormat="1" spans="5:13">
      <c r="E111">
        <v>6</v>
      </c>
      <c r="F111" s="14" t="s">
        <v>162</v>
      </c>
      <c r="G111">
        <f>$K$7*$N$7*(1-($O$7+$P$7))+$L$7*$M$7*(1-($O$7+$P$7))+$K$7*(1-($M$7+$N$7))*$P$7+$L$7*(1-($M$7+$N$7))*$O$7+(1-($K$7+$L$7))*$N$7*$O$7+(1-($K$7+$L$7))*$M$7*$P$7</f>
        <v>0.01134</v>
      </c>
      <c r="H111">
        <f>G111+($G$68-$K$7*$M$7*$O$7-$L$7*$N$7*$P$7)</f>
        <v>0.01197</v>
      </c>
      <c r="I111">
        <f t="shared" si="44"/>
        <v>18</v>
      </c>
      <c r="J111">
        <f t="shared" si="41"/>
        <v>18</v>
      </c>
      <c r="K111">
        <f t="shared" si="45"/>
        <v>0.00014364</v>
      </c>
      <c r="L111">
        <f t="shared" si="42"/>
        <v>0.00258552</v>
      </c>
      <c r="M111">
        <f t="shared" si="43"/>
        <v>0.07182</v>
      </c>
    </row>
    <row r="112" customFormat="1" spans="5:13">
      <c r="E112">
        <v>9</v>
      </c>
      <c r="F112" s="14" t="s">
        <v>163</v>
      </c>
      <c r="G112">
        <f>$K$7*$M$7*(1-($O$7+$P$7))+(1-($K$7+$L$7))*$M$7*$O$7+$K$7*(1-($M$7+$N$7))*$O$7</f>
        <v>0.00243</v>
      </c>
      <c r="H112">
        <f>G112+$K$7*$M$7*$O$7</f>
        <v>0.002457</v>
      </c>
      <c r="I112">
        <f t="shared" si="44"/>
        <v>27</v>
      </c>
      <c r="J112">
        <f t="shared" si="41"/>
        <v>27</v>
      </c>
      <c r="K112">
        <f t="shared" si="45"/>
        <v>2.9484e-5</v>
      </c>
      <c r="L112">
        <f t="shared" si="42"/>
        <v>0.000796068</v>
      </c>
      <c r="M112">
        <f t="shared" si="43"/>
        <v>0.022113</v>
      </c>
    </row>
    <row r="113" customFormat="1" spans="5:13">
      <c r="E113">
        <v>0</v>
      </c>
      <c r="F113" s="34" t="s">
        <v>133</v>
      </c>
      <c r="G113">
        <f>($K$7+$L$7)*($M$7+$N$7)*($O$7+$P$7)</f>
        <v>0.001</v>
      </c>
      <c r="H113">
        <v>0</v>
      </c>
      <c r="I113">
        <f t="shared" si="44"/>
        <v>0</v>
      </c>
      <c r="J113">
        <v>0</v>
      </c>
      <c r="K113">
        <f t="shared" si="45"/>
        <v>0</v>
      </c>
      <c r="L113">
        <f t="shared" si="42"/>
        <v>0</v>
      </c>
      <c r="M113">
        <f t="shared" si="43"/>
        <v>0</v>
      </c>
    </row>
    <row r="114" s="4" customFormat="1" spans="6:13">
      <c r="F114" s="4" t="s">
        <v>42</v>
      </c>
      <c r="G114" s="4">
        <f t="shared" ref="G114:M114" si="46">SUM(G107:G113)</f>
        <v>1</v>
      </c>
      <c r="H114" s="4">
        <f t="shared" si="46"/>
        <v>1</v>
      </c>
      <c r="K114" s="4">
        <f t="shared" si="46"/>
        <v>0.012</v>
      </c>
      <c r="L114" s="4">
        <f t="shared" si="46"/>
        <v>0.0517005</v>
      </c>
      <c r="M114" s="4">
        <f t="shared" si="46"/>
        <v>1.436125</v>
      </c>
    </row>
    <row r="115" customFormat="1" spans="2:13">
      <c r="B115" t="s">
        <v>164</v>
      </c>
      <c r="C115" t="s">
        <v>34</v>
      </c>
      <c r="D115">
        <v>3</v>
      </c>
      <c r="E115" t="s">
        <v>53</v>
      </c>
      <c r="F115" t="s">
        <v>54</v>
      </c>
      <c r="G115" t="s">
        <v>55</v>
      </c>
      <c r="H115" t="s">
        <v>56</v>
      </c>
      <c r="I115" t="s">
        <v>57</v>
      </c>
      <c r="J115" t="s">
        <v>58</v>
      </c>
      <c r="K115" t="s">
        <v>59</v>
      </c>
      <c r="L115" t="s">
        <v>60</v>
      </c>
      <c r="M115" t="s">
        <v>71</v>
      </c>
    </row>
    <row r="116" customFormat="1" spans="5:13">
      <c r="E116">
        <v>1</v>
      </c>
      <c r="F116" t="s">
        <v>165</v>
      </c>
      <c r="G116">
        <f>G121*D121+G126*D126*3</f>
        <v>0.779625</v>
      </c>
      <c r="H116">
        <f>G116</f>
        <v>0.779625</v>
      </c>
      <c r="I116">
        <f>$E$13*E116</f>
        <v>2</v>
      </c>
      <c r="J116">
        <f>I116</f>
        <v>2</v>
      </c>
      <c r="K116">
        <f>$F$13*H116</f>
        <v>0.0155925</v>
      </c>
      <c r="L116">
        <f>J116*K116</f>
        <v>0.031185</v>
      </c>
      <c r="M116">
        <f>E116*H116</f>
        <v>0.779625</v>
      </c>
    </row>
    <row r="117" customFormat="1" spans="5:13">
      <c r="E117">
        <v>2</v>
      </c>
      <c r="F117" t="s">
        <v>166</v>
      </c>
      <c r="G117">
        <f>G122*D121+G127*D126*3</f>
        <v>0.1542625</v>
      </c>
      <c r="H117">
        <f>G117</f>
        <v>0.1542625</v>
      </c>
      <c r="I117">
        <f>$E$13*E117</f>
        <v>4</v>
      </c>
      <c r="J117">
        <f>I117</f>
        <v>4</v>
      </c>
      <c r="K117">
        <f>$F$13*H117</f>
        <v>0.00308525</v>
      </c>
      <c r="L117">
        <f>J117*K117</f>
        <v>0.012341</v>
      </c>
      <c r="M117">
        <f>E117*H117</f>
        <v>0.308525</v>
      </c>
    </row>
    <row r="118" customFormat="1" spans="5:13">
      <c r="E118">
        <v>3</v>
      </c>
      <c r="F118" t="s">
        <v>167</v>
      </c>
      <c r="G118">
        <f>G123*D121+G128*D126*3</f>
        <v>0.0661125</v>
      </c>
      <c r="H118">
        <f>G118</f>
        <v>0.0661125</v>
      </c>
      <c r="I118">
        <f>$E$13*E118</f>
        <v>6</v>
      </c>
      <c r="J118">
        <f>I118</f>
        <v>6</v>
      </c>
      <c r="K118">
        <f>$F$13*H118</f>
        <v>0.00132225</v>
      </c>
      <c r="L118">
        <f>J118*K118</f>
        <v>0.0079335</v>
      </c>
      <c r="M118">
        <f>E118*H118</f>
        <v>0.1983375</v>
      </c>
    </row>
    <row r="119" s="4" customFormat="1" spans="5:13">
      <c r="E119" s="4" t="s">
        <v>42</v>
      </c>
      <c r="G119" s="4">
        <f>SUM(G116:G118)</f>
        <v>1</v>
      </c>
      <c r="K119" s="4">
        <f t="shared" ref="K119:M119" si="47">SUM(K116:K118)</f>
        <v>0.02</v>
      </c>
      <c r="L119" s="4">
        <f t="shared" si="47"/>
        <v>0.0514595</v>
      </c>
      <c r="M119" s="4">
        <f t="shared" si="47"/>
        <v>1.2864875</v>
      </c>
    </row>
    <row r="120" customFormat="1" ht="14.25" spans="3:13">
      <c r="C120" s="35" t="s">
        <v>96</v>
      </c>
      <c r="D120" s="36" t="s">
        <v>97</v>
      </c>
      <c r="E120" s="37" t="s">
        <v>53</v>
      </c>
      <c r="F120" s="37" t="s">
        <v>54</v>
      </c>
      <c r="G120" s="37" t="s">
        <v>55</v>
      </c>
      <c r="H120" s="36" t="s">
        <v>56</v>
      </c>
      <c r="I120" s="36" t="s">
        <v>57</v>
      </c>
      <c r="J120" s="36" t="s">
        <v>58</v>
      </c>
      <c r="K120" s="36" t="s">
        <v>59</v>
      </c>
      <c r="L120" s="36" t="s">
        <v>60</v>
      </c>
      <c r="M120" s="43" t="s">
        <v>71</v>
      </c>
    </row>
    <row r="121" customFormat="1" ht="14.25" spans="3:13">
      <c r="C121" s="38" t="s">
        <v>98</v>
      </c>
      <c r="D121" s="39">
        <f>3/8</f>
        <v>0.375</v>
      </c>
      <c r="E121" s="40">
        <v>1</v>
      </c>
      <c r="F121" s="41" t="s">
        <v>165</v>
      </c>
      <c r="G121" s="39">
        <f>0.9*0.9*0.9</f>
        <v>0.729</v>
      </c>
      <c r="H121" s="39"/>
      <c r="I121" s="39"/>
      <c r="J121" s="39"/>
      <c r="K121" s="39"/>
      <c r="L121" s="39"/>
      <c r="M121" s="44"/>
    </row>
    <row r="122" customFormat="1" ht="14.25" spans="3:13">
      <c r="C122" s="38"/>
      <c r="D122" s="39"/>
      <c r="E122" s="40">
        <v>2</v>
      </c>
      <c r="F122" s="41" t="s">
        <v>166</v>
      </c>
      <c r="G122" s="39">
        <f>(1-0.729)*0.7</f>
        <v>0.1897</v>
      </c>
      <c r="H122" s="39"/>
      <c r="I122" s="39"/>
      <c r="J122" s="39"/>
      <c r="K122" s="39"/>
      <c r="L122" s="39"/>
      <c r="M122" s="44"/>
    </row>
    <row r="123" customFormat="1" ht="14.25" spans="3:13">
      <c r="C123" s="38"/>
      <c r="D123" s="39"/>
      <c r="E123" s="39">
        <v>3</v>
      </c>
      <c r="F123" s="39" t="s">
        <v>167</v>
      </c>
      <c r="G123" s="39">
        <f>(1-0.729)*0.3</f>
        <v>0.0813</v>
      </c>
      <c r="H123" s="39"/>
      <c r="I123" s="39"/>
      <c r="J123" s="39"/>
      <c r="K123" s="39"/>
      <c r="L123" s="39"/>
      <c r="M123" s="44"/>
    </row>
    <row r="124" customFormat="1" ht="14.25" spans="3:13">
      <c r="C124" s="38"/>
      <c r="D124" s="39"/>
      <c r="E124" s="42" t="s">
        <v>42</v>
      </c>
      <c r="F124" s="42"/>
      <c r="G124" s="39">
        <f>SUM(G121:G123)</f>
        <v>1</v>
      </c>
      <c r="H124" s="39"/>
      <c r="I124" s="42"/>
      <c r="J124" s="42"/>
      <c r="K124" s="42"/>
      <c r="L124" s="42"/>
      <c r="M124" s="45"/>
    </row>
    <row r="125" customFormat="1" ht="14.25" spans="3:13">
      <c r="C125" s="38"/>
      <c r="D125" s="39"/>
      <c r="E125" s="42" t="s">
        <v>53</v>
      </c>
      <c r="F125" s="42" t="s">
        <v>54</v>
      </c>
      <c r="G125" s="42" t="s">
        <v>55</v>
      </c>
      <c r="H125" s="39" t="s">
        <v>56</v>
      </c>
      <c r="I125" s="39" t="s">
        <v>57</v>
      </c>
      <c r="J125" s="39" t="s">
        <v>58</v>
      </c>
      <c r="K125" s="39" t="s">
        <v>59</v>
      </c>
      <c r="L125" s="39" t="s">
        <v>60</v>
      </c>
      <c r="M125" s="44" t="s">
        <v>71</v>
      </c>
    </row>
    <row r="126" customFormat="1" ht="14.25" spans="3:13">
      <c r="C126" s="38" t="s">
        <v>103</v>
      </c>
      <c r="D126" s="39">
        <f>5/24</f>
        <v>0.208333333333333</v>
      </c>
      <c r="E126" s="40">
        <v>1</v>
      </c>
      <c r="F126" s="41" t="s">
        <v>165</v>
      </c>
      <c r="G126" s="39">
        <v>0.81</v>
      </c>
      <c r="H126" s="39"/>
      <c r="I126" s="39"/>
      <c r="J126" s="39"/>
      <c r="K126" s="39"/>
      <c r="L126" s="39"/>
      <c r="M126" s="44"/>
    </row>
    <row r="127" customFormat="1" ht="14.25" spans="3:13">
      <c r="C127" s="38"/>
      <c r="D127" s="39"/>
      <c r="E127" s="40">
        <v>2</v>
      </c>
      <c r="F127" s="41" t="s">
        <v>168</v>
      </c>
      <c r="G127" s="39">
        <f>0.19*7/10</f>
        <v>0.133</v>
      </c>
      <c r="H127" s="39"/>
      <c r="I127" s="39"/>
      <c r="J127" s="39"/>
      <c r="K127" s="39"/>
      <c r="L127" s="39"/>
      <c r="M127" s="44"/>
    </row>
    <row r="128" customFormat="1" ht="14.25" spans="3:13">
      <c r="C128" s="38"/>
      <c r="D128" s="39"/>
      <c r="E128" s="39">
        <v>3</v>
      </c>
      <c r="F128" s="39" t="s">
        <v>169</v>
      </c>
      <c r="G128" s="39">
        <f>0.19*3/10</f>
        <v>0.057</v>
      </c>
      <c r="H128" s="39"/>
      <c r="I128" s="39"/>
      <c r="J128" s="39"/>
      <c r="K128" s="39"/>
      <c r="L128" s="39"/>
      <c r="M128" s="44"/>
    </row>
    <row r="129" customFormat="1" ht="14.25" spans="3:13">
      <c r="C129" s="38"/>
      <c r="D129" s="39"/>
      <c r="E129" s="42" t="s">
        <v>42</v>
      </c>
      <c r="F129" s="42"/>
      <c r="G129" s="42">
        <f>SUM(G126:G128)</f>
        <v>1</v>
      </c>
      <c r="H129" s="39"/>
      <c r="I129" s="42"/>
      <c r="J129" s="42"/>
      <c r="K129" s="42"/>
      <c r="L129" s="42"/>
      <c r="M129" s="45"/>
    </row>
    <row r="130" customFormat="1" ht="14.25" spans="3:13">
      <c r="C130" s="38" t="s">
        <v>105</v>
      </c>
      <c r="D130" s="39">
        <f>5/24</f>
        <v>0.208333333333333</v>
      </c>
      <c r="E130" s="42" t="s">
        <v>53</v>
      </c>
      <c r="F130" s="42" t="s">
        <v>54</v>
      </c>
      <c r="G130" s="42" t="s">
        <v>55</v>
      </c>
      <c r="H130" s="39" t="s">
        <v>56</v>
      </c>
      <c r="I130" s="39" t="s">
        <v>57</v>
      </c>
      <c r="J130" s="39" t="s">
        <v>58</v>
      </c>
      <c r="K130" s="39" t="s">
        <v>59</v>
      </c>
      <c r="L130" s="39" t="s">
        <v>60</v>
      </c>
      <c r="M130" s="44" t="s">
        <v>71</v>
      </c>
    </row>
    <row r="131" customFormat="1" ht="14.25" spans="3:13">
      <c r="C131" s="38"/>
      <c r="D131" s="39"/>
      <c r="E131" s="40">
        <v>1</v>
      </c>
      <c r="F131" s="41" t="s">
        <v>165</v>
      </c>
      <c r="G131" s="39">
        <v>0.81</v>
      </c>
      <c r="H131" s="39"/>
      <c r="I131" s="39"/>
      <c r="J131" s="39"/>
      <c r="K131" s="39"/>
      <c r="L131" s="39"/>
      <c r="M131" s="44"/>
    </row>
    <row r="132" customFormat="1" ht="14.25" spans="3:13">
      <c r="C132" s="46"/>
      <c r="D132" s="39"/>
      <c r="E132" s="39">
        <v>2</v>
      </c>
      <c r="F132" s="39" t="s">
        <v>170</v>
      </c>
      <c r="G132" s="39">
        <f>0.19*7/10</f>
        <v>0.133</v>
      </c>
      <c r="H132" s="39"/>
      <c r="I132" s="39"/>
      <c r="J132" s="39"/>
      <c r="K132" s="39"/>
      <c r="L132" s="39"/>
      <c r="M132" s="44"/>
    </row>
    <row r="133" customFormat="1" ht="14.25" spans="3:13">
      <c r="C133" s="46"/>
      <c r="D133" s="39"/>
      <c r="E133" s="39">
        <v>3</v>
      </c>
      <c r="F133" s="39" t="s">
        <v>101</v>
      </c>
      <c r="G133" s="39">
        <f>0.19*3/10</f>
        <v>0.057</v>
      </c>
      <c r="H133" s="39"/>
      <c r="I133" s="39"/>
      <c r="J133" s="39"/>
      <c r="K133" s="39"/>
      <c r="L133" s="39"/>
      <c r="M133" s="44"/>
    </row>
    <row r="134" customFormat="1" ht="14.25" spans="3:13">
      <c r="C134" s="46"/>
      <c r="D134" s="39"/>
      <c r="E134" s="39" t="s">
        <v>42</v>
      </c>
      <c r="F134" s="39"/>
      <c r="G134" s="39">
        <f>SUM(G131:G133)</f>
        <v>1</v>
      </c>
      <c r="H134" s="39"/>
      <c r="I134" s="39"/>
      <c r="J134" s="39"/>
      <c r="K134" s="39"/>
      <c r="L134" s="39"/>
      <c r="M134" s="44"/>
    </row>
    <row r="135" customFormat="1" ht="14.25" spans="3:13">
      <c r="C135" s="38" t="s">
        <v>107</v>
      </c>
      <c r="D135" s="39">
        <f>5/24</f>
        <v>0.208333333333333</v>
      </c>
      <c r="E135" s="42" t="s">
        <v>53</v>
      </c>
      <c r="F135" s="42" t="s">
        <v>54</v>
      </c>
      <c r="G135" s="42" t="s">
        <v>55</v>
      </c>
      <c r="H135" s="39" t="s">
        <v>56</v>
      </c>
      <c r="I135" s="39" t="s">
        <v>57</v>
      </c>
      <c r="J135" s="39" t="s">
        <v>58</v>
      </c>
      <c r="K135" s="39" t="s">
        <v>59</v>
      </c>
      <c r="L135" s="39" t="s">
        <v>60</v>
      </c>
      <c r="M135" s="44" t="s">
        <v>71</v>
      </c>
    </row>
    <row r="136" customFormat="1" ht="14.25" spans="3:13">
      <c r="C136" s="46"/>
      <c r="D136" s="39"/>
      <c r="E136" s="40">
        <v>1</v>
      </c>
      <c r="F136" s="41" t="s">
        <v>165</v>
      </c>
      <c r="G136" s="39">
        <v>0.81</v>
      </c>
      <c r="H136" s="39"/>
      <c r="I136" s="39"/>
      <c r="J136" s="39"/>
      <c r="K136" s="39"/>
      <c r="L136" s="39"/>
      <c r="M136" s="44"/>
    </row>
    <row r="137" customFormat="1" ht="14.25" spans="3:13">
      <c r="C137" s="46"/>
      <c r="D137" s="39"/>
      <c r="E137" s="40">
        <v>2</v>
      </c>
      <c r="F137" s="41" t="s">
        <v>171</v>
      </c>
      <c r="G137" s="39">
        <f>0.19*7/10</f>
        <v>0.133</v>
      </c>
      <c r="H137" s="39"/>
      <c r="I137" s="39"/>
      <c r="J137" s="39"/>
      <c r="K137" s="39"/>
      <c r="L137" s="39"/>
      <c r="M137" s="44"/>
    </row>
    <row r="138" customFormat="1" ht="14.25" spans="3:13">
      <c r="C138" s="46"/>
      <c r="D138" s="39"/>
      <c r="E138" s="39">
        <v>3</v>
      </c>
      <c r="F138" s="39" t="s">
        <v>172</v>
      </c>
      <c r="G138" s="39">
        <f>0.19*3/10</f>
        <v>0.057</v>
      </c>
      <c r="H138" s="39"/>
      <c r="I138" s="39"/>
      <c r="J138" s="39"/>
      <c r="K138" s="39"/>
      <c r="L138" s="39"/>
      <c r="M138" s="44"/>
    </row>
    <row r="139" customFormat="1" ht="14.25" spans="3:13">
      <c r="C139" s="47"/>
      <c r="D139" s="48"/>
      <c r="E139" s="48" t="s">
        <v>42</v>
      </c>
      <c r="F139" s="48"/>
      <c r="G139" s="48">
        <f>SUM(G136:G138)</f>
        <v>1</v>
      </c>
      <c r="H139" s="48"/>
      <c r="I139" s="48"/>
      <c r="J139" s="48"/>
      <c r="K139" s="48"/>
      <c r="L139" s="48"/>
      <c r="M139" s="52"/>
    </row>
    <row r="140" customFormat="1" ht="14.25" spans="2:13">
      <c r="B140" s="10" t="s">
        <v>35</v>
      </c>
      <c r="C140" t="s">
        <v>34</v>
      </c>
      <c r="D140">
        <v>3</v>
      </c>
      <c r="E140" t="s">
        <v>53</v>
      </c>
      <c r="F140" t="s">
        <v>54</v>
      </c>
      <c r="G140" t="s">
        <v>55</v>
      </c>
      <c r="H140" t="s">
        <v>56</v>
      </c>
      <c r="I140" t="s">
        <v>57</v>
      </c>
      <c r="J140" t="s">
        <v>58</v>
      </c>
      <c r="K140" t="s">
        <v>59</v>
      </c>
      <c r="L140" t="s">
        <v>60</v>
      </c>
      <c r="M140" t="s">
        <v>71</v>
      </c>
    </row>
    <row r="141" customFormat="1" spans="5:13">
      <c r="E141">
        <v>1</v>
      </c>
      <c r="F141" t="s">
        <v>165</v>
      </c>
      <c r="G141">
        <f>G146*D146+G151*D151*3</f>
        <v>0.779625</v>
      </c>
      <c r="H141">
        <f t="shared" ref="H141:H143" si="48">G141</f>
        <v>0.779625</v>
      </c>
      <c r="I141">
        <f>$E$14*E141</f>
        <v>1</v>
      </c>
      <c r="J141">
        <f t="shared" ref="J141:J143" si="49">I141</f>
        <v>1</v>
      </c>
      <c r="K141">
        <f>$F$14*H141</f>
        <v>0.031185</v>
      </c>
      <c r="L141">
        <f t="shared" ref="L141:L143" si="50">J141*K141</f>
        <v>0.031185</v>
      </c>
      <c r="M141">
        <f t="shared" ref="M141:M143" si="51">E141*H141</f>
        <v>0.779625</v>
      </c>
    </row>
    <row r="142" customFormat="1" spans="5:13">
      <c r="E142">
        <v>2</v>
      </c>
      <c r="F142" t="s">
        <v>166</v>
      </c>
      <c r="G142">
        <f>G147*D146+G152*D151*3</f>
        <v>0.1542625</v>
      </c>
      <c r="H142">
        <f t="shared" si="48"/>
        <v>0.1542625</v>
      </c>
      <c r="I142">
        <f>$E$14*E142</f>
        <v>2</v>
      </c>
      <c r="J142">
        <f t="shared" si="49"/>
        <v>2</v>
      </c>
      <c r="K142">
        <f>$F$14*H142</f>
        <v>0.0061705</v>
      </c>
      <c r="L142">
        <f t="shared" si="50"/>
        <v>0.012341</v>
      </c>
      <c r="M142">
        <f t="shared" si="51"/>
        <v>0.308525</v>
      </c>
    </row>
    <row r="143" customFormat="1" spans="5:13">
      <c r="E143">
        <v>3</v>
      </c>
      <c r="F143" t="s">
        <v>167</v>
      </c>
      <c r="G143">
        <f>G148*D146+G153*D151*3</f>
        <v>0.0661125</v>
      </c>
      <c r="H143">
        <f t="shared" si="48"/>
        <v>0.0661125</v>
      </c>
      <c r="I143">
        <f>$E$14*E143</f>
        <v>3</v>
      </c>
      <c r="J143">
        <f t="shared" si="49"/>
        <v>3</v>
      </c>
      <c r="K143">
        <f>$F$14*H143</f>
        <v>0.0026445</v>
      </c>
      <c r="L143">
        <f t="shared" si="50"/>
        <v>0.0079335</v>
      </c>
      <c r="M143">
        <f t="shared" si="51"/>
        <v>0.1983375</v>
      </c>
    </row>
    <row r="144" s="4" customFormat="1" spans="5:13">
      <c r="E144" s="4" t="s">
        <v>42</v>
      </c>
      <c r="G144" s="4">
        <f t="shared" ref="G144:M144" si="52">SUM(G141:G143)</f>
        <v>1</v>
      </c>
      <c r="K144" s="4">
        <f t="shared" si="52"/>
        <v>0.04</v>
      </c>
      <c r="L144" s="4">
        <f t="shared" si="52"/>
        <v>0.0514595</v>
      </c>
      <c r="M144" s="4">
        <f t="shared" si="52"/>
        <v>1.2864875</v>
      </c>
    </row>
    <row r="145" customFormat="1" ht="14.25" spans="3:13">
      <c r="C145" s="35" t="s">
        <v>96</v>
      </c>
      <c r="D145" s="36" t="s">
        <v>97</v>
      </c>
      <c r="E145" s="37" t="s">
        <v>53</v>
      </c>
      <c r="F145" s="37" t="s">
        <v>54</v>
      </c>
      <c r="G145" s="37" t="s">
        <v>55</v>
      </c>
      <c r="H145" s="36" t="s">
        <v>56</v>
      </c>
      <c r="I145" s="36" t="s">
        <v>57</v>
      </c>
      <c r="J145" s="36" t="s">
        <v>58</v>
      </c>
      <c r="K145" s="36" t="s">
        <v>59</v>
      </c>
      <c r="L145" s="36" t="s">
        <v>60</v>
      </c>
      <c r="M145" s="43" t="s">
        <v>71</v>
      </c>
    </row>
    <row r="146" customFormat="1" ht="14.25" spans="3:13">
      <c r="C146" s="38" t="s">
        <v>98</v>
      </c>
      <c r="D146" s="39">
        <f>3/8</f>
        <v>0.375</v>
      </c>
      <c r="E146" s="40">
        <v>1</v>
      </c>
      <c r="F146" s="41" t="s">
        <v>165</v>
      </c>
      <c r="G146" s="39">
        <f>0.9*0.9*0.9</f>
        <v>0.729</v>
      </c>
      <c r="H146" s="39"/>
      <c r="I146" s="39"/>
      <c r="J146" s="39"/>
      <c r="K146" s="39"/>
      <c r="L146" s="39"/>
      <c r="M146" s="44"/>
    </row>
    <row r="147" customFormat="1" ht="14.25" spans="3:13">
      <c r="C147" s="38"/>
      <c r="D147" s="39"/>
      <c r="E147" s="40">
        <v>2</v>
      </c>
      <c r="F147" s="41" t="s">
        <v>166</v>
      </c>
      <c r="G147" s="39">
        <f>(1-0.729)*0.7</f>
        <v>0.1897</v>
      </c>
      <c r="H147" s="39"/>
      <c r="I147" s="39"/>
      <c r="J147" s="39"/>
      <c r="K147" s="39"/>
      <c r="L147" s="39"/>
      <c r="M147" s="44"/>
    </row>
    <row r="148" customFormat="1" ht="14.25" spans="3:13">
      <c r="C148" s="38"/>
      <c r="D148" s="39"/>
      <c r="E148" s="39">
        <v>3</v>
      </c>
      <c r="F148" s="39" t="s">
        <v>167</v>
      </c>
      <c r="G148" s="39">
        <f>(1-0.729)*0.3</f>
        <v>0.0813</v>
      </c>
      <c r="H148" s="39"/>
      <c r="I148" s="39"/>
      <c r="J148" s="39"/>
      <c r="K148" s="39"/>
      <c r="L148" s="39"/>
      <c r="M148" s="44"/>
    </row>
    <row r="149" customFormat="1" ht="14.25" spans="3:13">
      <c r="C149" s="38"/>
      <c r="D149" s="39"/>
      <c r="E149" s="42" t="s">
        <v>42</v>
      </c>
      <c r="F149" s="42"/>
      <c r="G149" s="39">
        <f>SUM(G146:G148)</f>
        <v>1</v>
      </c>
      <c r="H149" s="39"/>
      <c r="I149" s="42"/>
      <c r="J149" s="42"/>
      <c r="K149" s="42"/>
      <c r="L149" s="42"/>
      <c r="M149" s="45"/>
    </row>
    <row r="150" customFormat="1" ht="14.25" spans="3:13">
      <c r="C150" s="38"/>
      <c r="D150" s="39"/>
      <c r="E150" s="42" t="s">
        <v>53</v>
      </c>
      <c r="F150" s="42" t="s">
        <v>54</v>
      </c>
      <c r="G150" s="42" t="s">
        <v>55</v>
      </c>
      <c r="H150" s="39" t="s">
        <v>56</v>
      </c>
      <c r="I150" s="39" t="s">
        <v>57</v>
      </c>
      <c r="J150" s="39" t="s">
        <v>58</v>
      </c>
      <c r="K150" s="39" t="s">
        <v>59</v>
      </c>
      <c r="L150" s="39" t="s">
        <v>60</v>
      </c>
      <c r="M150" s="44" t="s">
        <v>71</v>
      </c>
    </row>
    <row r="151" customFormat="1" ht="14.25" spans="3:13">
      <c r="C151" s="38" t="s">
        <v>103</v>
      </c>
      <c r="D151" s="39">
        <f>5/24</f>
        <v>0.208333333333333</v>
      </c>
      <c r="E151" s="40">
        <v>1</v>
      </c>
      <c r="F151" s="41" t="s">
        <v>165</v>
      </c>
      <c r="G151" s="39">
        <v>0.81</v>
      </c>
      <c r="H151" s="39"/>
      <c r="I151" s="39"/>
      <c r="J151" s="39"/>
      <c r="K151" s="39"/>
      <c r="L151" s="39"/>
      <c r="M151" s="44"/>
    </row>
    <row r="152" customFormat="1" ht="14.25" spans="3:13">
      <c r="C152" s="38"/>
      <c r="D152" s="39"/>
      <c r="E152" s="40">
        <v>2</v>
      </c>
      <c r="F152" s="41" t="s">
        <v>168</v>
      </c>
      <c r="G152" s="39">
        <f>0.19*7/10</f>
        <v>0.133</v>
      </c>
      <c r="H152" s="39"/>
      <c r="I152" s="39"/>
      <c r="J152" s="39"/>
      <c r="K152" s="39"/>
      <c r="L152" s="39"/>
      <c r="M152" s="44"/>
    </row>
    <row r="153" customFormat="1" ht="14.25" spans="3:13">
      <c r="C153" s="38"/>
      <c r="D153" s="39"/>
      <c r="E153" s="39">
        <v>3</v>
      </c>
      <c r="F153" s="39" t="s">
        <v>169</v>
      </c>
      <c r="G153" s="39">
        <f>0.19*3/10</f>
        <v>0.057</v>
      </c>
      <c r="H153" s="39"/>
      <c r="I153" s="39"/>
      <c r="J153" s="39"/>
      <c r="K153" s="39"/>
      <c r="L153" s="39"/>
      <c r="M153" s="44"/>
    </row>
    <row r="154" customFormat="1" ht="14.25" spans="3:13">
      <c r="C154" s="38"/>
      <c r="D154" s="39"/>
      <c r="E154" s="42" t="s">
        <v>42</v>
      </c>
      <c r="F154" s="42"/>
      <c r="G154" s="42">
        <f>SUM(G151:G153)</f>
        <v>1</v>
      </c>
      <c r="H154" s="39"/>
      <c r="I154" s="42"/>
      <c r="J154" s="42"/>
      <c r="K154" s="42"/>
      <c r="L154" s="42"/>
      <c r="M154" s="45"/>
    </row>
    <row r="155" customFormat="1" ht="14.25" spans="3:13">
      <c r="C155" s="38" t="s">
        <v>105</v>
      </c>
      <c r="D155" s="39">
        <f>5/24</f>
        <v>0.208333333333333</v>
      </c>
      <c r="E155" s="42" t="s">
        <v>53</v>
      </c>
      <c r="F155" s="42" t="s">
        <v>54</v>
      </c>
      <c r="G155" s="42" t="s">
        <v>55</v>
      </c>
      <c r="H155" s="39" t="s">
        <v>56</v>
      </c>
      <c r="I155" s="39" t="s">
        <v>57</v>
      </c>
      <c r="J155" s="39" t="s">
        <v>58</v>
      </c>
      <c r="K155" s="39" t="s">
        <v>59</v>
      </c>
      <c r="L155" s="39" t="s">
        <v>60</v>
      </c>
      <c r="M155" s="44" t="s">
        <v>71</v>
      </c>
    </row>
    <row r="156" customFormat="1" ht="14.25" spans="3:13">
      <c r="C156" s="38"/>
      <c r="D156" s="39"/>
      <c r="E156" s="40">
        <v>1</v>
      </c>
      <c r="F156" s="41" t="s">
        <v>165</v>
      </c>
      <c r="G156" s="39">
        <v>0.81</v>
      </c>
      <c r="H156" s="39"/>
      <c r="I156" s="39"/>
      <c r="J156" s="39"/>
      <c r="K156" s="39"/>
      <c r="L156" s="39"/>
      <c r="M156" s="44"/>
    </row>
    <row r="157" customFormat="1" ht="14.25" spans="3:13">
      <c r="C157" s="46"/>
      <c r="D157" s="39"/>
      <c r="E157" s="39">
        <v>2</v>
      </c>
      <c r="F157" s="39" t="s">
        <v>170</v>
      </c>
      <c r="G157" s="39">
        <f>0.19*7/10</f>
        <v>0.133</v>
      </c>
      <c r="H157" s="39"/>
      <c r="I157" s="39"/>
      <c r="J157" s="39"/>
      <c r="K157" s="39"/>
      <c r="L157" s="39"/>
      <c r="M157" s="44"/>
    </row>
    <row r="158" customFormat="1" ht="14.25" spans="3:13">
      <c r="C158" s="46"/>
      <c r="D158" s="39"/>
      <c r="E158" s="39">
        <v>3</v>
      </c>
      <c r="F158" s="39" t="s">
        <v>101</v>
      </c>
      <c r="G158" s="39">
        <f>0.19*3/10</f>
        <v>0.057</v>
      </c>
      <c r="H158" s="39"/>
      <c r="I158" s="39"/>
      <c r="J158" s="39"/>
      <c r="K158" s="39"/>
      <c r="L158" s="39"/>
      <c r="M158" s="44"/>
    </row>
    <row r="159" customFormat="1" ht="14.25" spans="3:13">
      <c r="C159" s="46"/>
      <c r="D159" s="39"/>
      <c r="E159" s="39" t="s">
        <v>42</v>
      </c>
      <c r="F159" s="39"/>
      <c r="G159" s="39">
        <f>SUM(G156:G158)</f>
        <v>1</v>
      </c>
      <c r="H159" s="39"/>
      <c r="I159" s="39"/>
      <c r="J159" s="39"/>
      <c r="K159" s="39"/>
      <c r="L159" s="39"/>
      <c r="M159" s="44"/>
    </row>
    <row r="160" customFormat="1" ht="14.25" spans="3:13">
      <c r="C160" s="38" t="s">
        <v>107</v>
      </c>
      <c r="D160" s="39">
        <f>5/24</f>
        <v>0.208333333333333</v>
      </c>
      <c r="E160" s="42" t="s">
        <v>53</v>
      </c>
      <c r="F160" s="42" t="s">
        <v>54</v>
      </c>
      <c r="G160" s="42" t="s">
        <v>55</v>
      </c>
      <c r="H160" s="39" t="s">
        <v>56</v>
      </c>
      <c r="I160" s="39" t="s">
        <v>57</v>
      </c>
      <c r="J160" s="39" t="s">
        <v>58</v>
      </c>
      <c r="K160" s="39" t="s">
        <v>59</v>
      </c>
      <c r="L160" s="39" t="s">
        <v>60</v>
      </c>
      <c r="M160" s="44" t="s">
        <v>71</v>
      </c>
    </row>
    <row r="161" customFormat="1" ht="14.25" spans="3:13">
      <c r="C161" s="46"/>
      <c r="D161" s="39"/>
      <c r="E161" s="40">
        <v>1</v>
      </c>
      <c r="F161" s="41" t="s">
        <v>165</v>
      </c>
      <c r="G161" s="39">
        <v>0.81</v>
      </c>
      <c r="H161" s="39"/>
      <c r="I161" s="39"/>
      <c r="J161" s="39"/>
      <c r="K161" s="39"/>
      <c r="L161" s="39"/>
      <c r="M161" s="44"/>
    </row>
    <row r="162" customFormat="1" ht="14.25" spans="3:13">
      <c r="C162" s="46"/>
      <c r="D162" s="39"/>
      <c r="E162" s="40">
        <v>2</v>
      </c>
      <c r="F162" s="41" t="s">
        <v>171</v>
      </c>
      <c r="G162" s="39">
        <f>0.19*7/10</f>
        <v>0.133</v>
      </c>
      <c r="H162" s="39"/>
      <c r="I162" s="39"/>
      <c r="J162" s="39"/>
      <c r="K162" s="39"/>
      <c r="L162" s="39"/>
      <c r="M162" s="44"/>
    </row>
    <row r="163" customFormat="1" ht="14.25" spans="3:13">
      <c r="C163" s="46"/>
      <c r="D163" s="39"/>
      <c r="E163" s="39">
        <v>3</v>
      </c>
      <c r="F163" s="39" t="s">
        <v>172</v>
      </c>
      <c r="G163" s="39">
        <f>0.19*3/10</f>
        <v>0.057</v>
      </c>
      <c r="H163" s="39"/>
      <c r="I163" s="39"/>
      <c r="J163" s="39"/>
      <c r="K163" s="39"/>
      <c r="L163" s="39"/>
      <c r="M163" s="44"/>
    </row>
    <row r="164" customFormat="1" ht="14.25" spans="3:13">
      <c r="C164" s="47"/>
      <c r="D164" s="48"/>
      <c r="E164" s="48" t="s">
        <v>42</v>
      </c>
      <c r="F164" s="48"/>
      <c r="G164" s="48">
        <f>SUM(G161:G163)</f>
        <v>1</v>
      </c>
      <c r="H164" s="48"/>
      <c r="I164" s="48"/>
      <c r="J164" s="48"/>
      <c r="K164" s="48"/>
      <c r="L164" s="48"/>
      <c r="M164" s="52"/>
    </row>
    <row r="165" customFormat="1" ht="14.25" spans="2:14">
      <c r="B165" s="3" t="s">
        <v>51</v>
      </c>
      <c r="C165" s="3" t="s">
        <v>52</v>
      </c>
      <c r="D165" s="10" t="s">
        <v>4</v>
      </c>
      <c r="E165" s="13" t="s">
        <v>53</v>
      </c>
      <c r="F165" s="13" t="s">
        <v>54</v>
      </c>
      <c r="G165" s="13" t="s">
        <v>55</v>
      </c>
      <c r="H165" s="13" t="s">
        <v>56</v>
      </c>
      <c r="I165" s="13" t="s">
        <v>57</v>
      </c>
      <c r="J165" s="13" t="s">
        <v>58</v>
      </c>
      <c r="K165" s="13" t="s">
        <v>59</v>
      </c>
      <c r="L165" s="13" t="s">
        <v>60</v>
      </c>
      <c r="N165" s="18"/>
    </row>
    <row r="166" customFormat="1" ht="14.25" spans="2:12">
      <c r="B166" s="7" t="s">
        <v>26</v>
      </c>
      <c r="C166" s="7" t="s">
        <v>34</v>
      </c>
      <c r="D166" s="49">
        <v>2</v>
      </c>
      <c r="E166" s="49">
        <v>1</v>
      </c>
      <c r="G166">
        <v>1</v>
      </c>
      <c r="H166">
        <v>1</v>
      </c>
      <c r="I166">
        <f>$E$14*E166</f>
        <v>1</v>
      </c>
      <c r="J166">
        <f>I166+G49*2+G49*1.5</f>
        <v>11.1817970625</v>
      </c>
      <c r="K166">
        <f>$F$15*H166</f>
        <v>0.02</v>
      </c>
      <c r="L166">
        <f>J166*K166</f>
        <v>0.22363594125</v>
      </c>
    </row>
    <row r="167" customFormat="1" ht="14.25" spans="2:12">
      <c r="B167" s="7" t="s">
        <v>26</v>
      </c>
      <c r="C167" s="7" t="s">
        <v>34</v>
      </c>
      <c r="D167" s="7">
        <v>1</v>
      </c>
      <c r="E167" s="7">
        <v>1</v>
      </c>
      <c r="G167">
        <v>1</v>
      </c>
      <c r="H167">
        <v>1</v>
      </c>
      <c r="I167">
        <f>$E$15*E167</f>
        <v>1</v>
      </c>
      <c r="J167">
        <f>I167+G49*1+G49*1.5</f>
        <v>8.2727121875</v>
      </c>
      <c r="K167">
        <f>$F$16*H167</f>
        <v>0.02</v>
      </c>
      <c r="L167">
        <f>J167*K167</f>
        <v>0.16545424375</v>
      </c>
    </row>
    <row r="168" customFormat="1" ht="22.5" spans="1:12">
      <c r="A168" s="50" t="s">
        <v>109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customFormat="1" ht="14.25" spans="2:12">
      <c r="B169" t="s">
        <v>51</v>
      </c>
      <c r="C169" t="s">
        <v>110</v>
      </c>
      <c r="D169" s="51" t="s">
        <v>111</v>
      </c>
      <c r="E169" s="13" t="s">
        <v>39</v>
      </c>
      <c r="F169" s="13"/>
      <c r="G169" s="13"/>
      <c r="H169" s="13"/>
      <c r="I169" s="13"/>
      <c r="J169" s="13"/>
      <c r="K169" s="13"/>
      <c r="L169" s="13"/>
    </row>
    <row r="170" customFormat="1" ht="14.25" spans="2:5">
      <c r="B170" s="10" t="s">
        <v>119</v>
      </c>
      <c r="C170">
        <f>J52</f>
        <v>500</v>
      </c>
      <c r="D170">
        <f>K52</f>
        <v>1e-6</v>
      </c>
      <c r="E170">
        <f>(C170-$D$32)^2*D170</f>
        <v>0.249189045784581</v>
      </c>
    </row>
    <row r="171" customFormat="1" ht="14.25" spans="2:5">
      <c r="B171" s="10" t="s">
        <v>120</v>
      </c>
      <c r="C171">
        <f>J53</f>
        <v>300</v>
      </c>
      <c r="D171">
        <f>K53</f>
        <v>2e-6</v>
      </c>
      <c r="E171">
        <f t="shared" ref="E171:E202" si="53">(C171-$D$32)^2*D171</f>
        <v>0.179027381913937</v>
      </c>
    </row>
    <row r="172" customFormat="1" ht="14.25" spans="2:5">
      <c r="B172" s="10" t="s">
        <v>121</v>
      </c>
      <c r="C172">
        <f>J55</f>
        <v>240</v>
      </c>
      <c r="D172">
        <f>K55</f>
        <v>3.136e-6</v>
      </c>
      <c r="E172">
        <f t="shared" si="53"/>
        <v>0.179413961019235</v>
      </c>
    </row>
    <row r="173" customFormat="1" ht="14.25" spans="2:5">
      <c r="B173" s="10"/>
      <c r="C173">
        <f>J56</f>
        <v>360</v>
      </c>
      <c r="D173">
        <f>K56</f>
        <v>8.64e-7</v>
      </c>
      <c r="E173">
        <f t="shared" si="53"/>
        <v>0.111470080958138</v>
      </c>
    </row>
    <row r="174" customFormat="1" ht="14.25" spans="2:5">
      <c r="B174" s="10" t="s">
        <v>26</v>
      </c>
      <c r="C174">
        <f>J59</f>
        <v>23.0908819375</v>
      </c>
      <c r="D174">
        <f>K59</f>
        <v>0.0005</v>
      </c>
      <c r="E174">
        <f t="shared" si="53"/>
        <v>0.248182913732692</v>
      </c>
    </row>
    <row r="175" customFormat="1" ht="14.25" spans="2:5">
      <c r="B175" s="7" t="s">
        <v>28</v>
      </c>
      <c r="C175">
        <f>J62</f>
        <v>20</v>
      </c>
      <c r="D175">
        <f>K62</f>
        <v>0.0003645</v>
      </c>
      <c r="E175">
        <f t="shared" si="53"/>
        <v>0.134206785284347</v>
      </c>
    </row>
    <row r="176" customFormat="1" spans="3:5">
      <c r="C176">
        <f t="shared" ref="C176:C186" si="54">J63</f>
        <v>40</v>
      </c>
      <c r="D176">
        <f t="shared" ref="D176:D186" si="55">K63</f>
        <v>8.505e-5</v>
      </c>
      <c r="E176">
        <f t="shared" si="53"/>
        <v>0.130613809375192</v>
      </c>
    </row>
    <row r="177" customFormat="1" spans="3:5">
      <c r="C177">
        <f t="shared" si="54"/>
        <v>60</v>
      </c>
      <c r="D177">
        <f t="shared" si="55"/>
        <v>3.645e-5</v>
      </c>
      <c r="E177">
        <f t="shared" si="53"/>
        <v>0.12769401522173</v>
      </c>
    </row>
    <row r="178" customFormat="1" spans="3:5">
      <c r="C178">
        <f t="shared" si="54"/>
        <v>80</v>
      </c>
      <c r="D178">
        <f t="shared" si="55"/>
        <v>6.7865e-6</v>
      </c>
      <c r="E178">
        <f t="shared" si="53"/>
        <v>0.042556788588115</v>
      </c>
    </row>
    <row r="179" customFormat="1" spans="3:5">
      <c r="C179">
        <f t="shared" si="54"/>
        <v>120</v>
      </c>
      <c r="D179">
        <f t="shared" si="55"/>
        <v>5.985e-6</v>
      </c>
      <c r="E179">
        <f t="shared" si="53"/>
        <v>0.0850221415985215</v>
      </c>
    </row>
    <row r="180" customFormat="1" spans="3:5">
      <c r="C180">
        <f t="shared" si="54"/>
        <v>180</v>
      </c>
      <c r="D180">
        <f t="shared" si="55"/>
        <v>1.2285e-6</v>
      </c>
      <c r="E180">
        <f t="shared" si="53"/>
        <v>0.0394452652972026</v>
      </c>
    </row>
    <row r="181" customFormat="1" ht="14.25" spans="2:5">
      <c r="B181" s="7" t="s">
        <v>122</v>
      </c>
      <c r="C181">
        <f t="shared" ref="C181:C186" si="56">J71</f>
        <v>15</v>
      </c>
      <c r="D181">
        <f t="shared" ref="D181:D186" si="57">K71</f>
        <v>0.000729</v>
      </c>
      <c r="E181">
        <f t="shared" si="53"/>
        <v>0.146755228835456</v>
      </c>
    </row>
    <row r="182" customFormat="1" spans="3:5">
      <c r="C182">
        <f t="shared" si="56"/>
        <v>30</v>
      </c>
      <c r="D182">
        <f t="shared" si="57"/>
        <v>0.0001701</v>
      </c>
      <c r="E182">
        <f t="shared" si="53"/>
        <v>0.14491872594154</v>
      </c>
    </row>
    <row r="183" customFormat="1" spans="3:5">
      <c r="C183">
        <f t="shared" si="56"/>
        <v>45</v>
      </c>
      <c r="D183">
        <f t="shared" si="57"/>
        <v>7.29e-5</v>
      </c>
      <c r="E183">
        <f t="shared" si="53"/>
        <v>0.142345527923488</v>
      </c>
    </row>
    <row r="184" customFormat="1" spans="3:5">
      <c r="C184">
        <f t="shared" si="56"/>
        <v>60</v>
      </c>
      <c r="D184">
        <f t="shared" si="57"/>
        <v>1.3573e-5</v>
      </c>
      <c r="E184">
        <f t="shared" si="53"/>
        <v>0.0475498180687116</v>
      </c>
    </row>
    <row r="185" customFormat="1" spans="3:5">
      <c r="C185">
        <f t="shared" si="56"/>
        <v>90</v>
      </c>
      <c r="D185">
        <f t="shared" si="57"/>
        <v>1.197e-5</v>
      </c>
      <c r="E185">
        <f t="shared" si="53"/>
        <v>0.0952161836040648</v>
      </c>
    </row>
    <row r="186" customFormat="1" spans="3:5">
      <c r="C186">
        <f t="shared" si="56"/>
        <v>135</v>
      </c>
      <c r="D186">
        <f t="shared" si="57"/>
        <v>2.457e-6</v>
      </c>
      <c r="E186">
        <f t="shared" si="53"/>
        <v>0.0442420275618303</v>
      </c>
    </row>
    <row r="187" customFormat="1" ht="14.25" spans="2:5">
      <c r="B187" s="7" t="s">
        <v>29</v>
      </c>
      <c r="C187">
        <f t="shared" ref="C187:C192" si="58">J80</f>
        <v>10</v>
      </c>
      <c r="D187">
        <f t="shared" ref="D187:D192" si="59">K80</f>
        <v>0.001458</v>
      </c>
      <c r="E187">
        <f t="shared" si="53"/>
        <v>0.123093774204437</v>
      </c>
    </row>
    <row r="188" customFormat="1" spans="3:5">
      <c r="C188">
        <f t="shared" si="58"/>
        <v>20</v>
      </c>
      <c r="D188">
        <f t="shared" si="59"/>
        <v>0.0003402</v>
      </c>
      <c r="E188">
        <f t="shared" si="53"/>
        <v>0.125259666265391</v>
      </c>
    </row>
    <row r="189" customFormat="1" spans="3:5">
      <c r="C189">
        <f t="shared" si="58"/>
        <v>30</v>
      </c>
      <c r="D189">
        <f t="shared" si="59"/>
        <v>0.0001458</v>
      </c>
      <c r="E189">
        <f t="shared" si="53"/>
        <v>0.124216050807034</v>
      </c>
    </row>
    <row r="190" customFormat="1" spans="3:5">
      <c r="C190">
        <f t="shared" si="58"/>
        <v>40</v>
      </c>
      <c r="D190">
        <f t="shared" si="59"/>
        <v>2.7146e-5</v>
      </c>
      <c r="E190">
        <f t="shared" si="53"/>
        <v>0.0416889179223864</v>
      </c>
    </row>
    <row r="191" customFormat="1" spans="3:5">
      <c r="C191">
        <f t="shared" si="58"/>
        <v>60</v>
      </c>
      <c r="D191">
        <f t="shared" si="59"/>
        <v>2.394e-5</v>
      </c>
      <c r="E191">
        <f t="shared" si="53"/>
        <v>0.0838681680221732</v>
      </c>
    </row>
    <row r="192" customFormat="1" spans="3:5">
      <c r="C192">
        <f t="shared" si="58"/>
        <v>90</v>
      </c>
      <c r="D192">
        <f t="shared" si="59"/>
        <v>4.914e-6</v>
      </c>
      <c r="E192">
        <f t="shared" si="53"/>
        <v>0.0390887490585108</v>
      </c>
    </row>
    <row r="193" customFormat="1" ht="14.25" spans="2:5">
      <c r="B193" s="7" t="s">
        <v>30</v>
      </c>
      <c r="C193">
        <f t="shared" ref="C193:C198" si="60">J89</f>
        <v>7</v>
      </c>
      <c r="D193">
        <f t="shared" ref="D193:D198" si="61">K89</f>
        <v>0.008019</v>
      </c>
      <c r="E193">
        <f t="shared" si="53"/>
        <v>0.307096702685032</v>
      </c>
    </row>
    <row r="194" customFormat="1" spans="3:5">
      <c r="C194">
        <f t="shared" si="60"/>
        <v>14</v>
      </c>
      <c r="D194">
        <f t="shared" si="61"/>
        <v>0.0018711</v>
      </c>
      <c r="E194">
        <f t="shared" si="53"/>
        <v>0.325447071921275</v>
      </c>
    </row>
    <row r="195" customFormat="1" spans="3:5">
      <c r="C195">
        <f t="shared" si="60"/>
        <v>21</v>
      </c>
      <c r="D195">
        <f t="shared" si="61"/>
        <v>0.0008019</v>
      </c>
      <c r="E195">
        <f t="shared" si="53"/>
        <v>0.326831162806876</v>
      </c>
    </row>
    <row r="196" customFormat="1" spans="3:5">
      <c r="C196">
        <f t="shared" si="60"/>
        <v>28</v>
      </c>
      <c r="D196">
        <f t="shared" si="61"/>
        <v>0.000149303</v>
      </c>
      <c r="E196">
        <f t="shared" si="53"/>
        <v>0.110366030463503</v>
      </c>
    </row>
    <row r="197" customFormat="1" spans="3:5">
      <c r="C197">
        <f t="shared" si="60"/>
        <v>42</v>
      </c>
      <c r="D197">
        <f t="shared" si="61"/>
        <v>0.00013167</v>
      </c>
      <c r="E197">
        <f t="shared" si="53"/>
        <v>0.223375946808296</v>
      </c>
    </row>
    <row r="198" customFormat="1" spans="3:5">
      <c r="C198">
        <f t="shared" si="60"/>
        <v>63</v>
      </c>
      <c r="D198">
        <f t="shared" si="61"/>
        <v>2.7027e-5</v>
      </c>
      <c r="E198">
        <f t="shared" si="53"/>
        <v>0.104524097806815</v>
      </c>
    </row>
    <row r="199" customFormat="1" ht="14.25" spans="2:5">
      <c r="B199" s="7" t="s">
        <v>31</v>
      </c>
      <c r="C199">
        <f t="shared" ref="C199:C204" si="62">J98</f>
        <v>5</v>
      </c>
      <c r="D199">
        <f t="shared" ref="D199:D204" si="63">K98</f>
        <v>0.008019</v>
      </c>
      <c r="E199">
        <f t="shared" si="53"/>
        <v>0.140673999058786</v>
      </c>
    </row>
    <row r="200" customFormat="1" spans="3:5">
      <c r="C200">
        <f t="shared" si="62"/>
        <v>10</v>
      </c>
      <c r="D200">
        <f t="shared" si="63"/>
        <v>0.0018711</v>
      </c>
      <c r="E200">
        <f t="shared" si="53"/>
        <v>0.15797034356236</v>
      </c>
    </row>
    <row r="201" customFormat="1" spans="3:5">
      <c r="C201">
        <f t="shared" si="62"/>
        <v>15</v>
      </c>
      <c r="D201">
        <f t="shared" si="63"/>
        <v>0.0008019</v>
      </c>
      <c r="E201">
        <f t="shared" si="53"/>
        <v>0.161430751719002</v>
      </c>
    </row>
    <row r="202" customFormat="1" spans="3:5">
      <c r="C202">
        <f t="shared" si="62"/>
        <v>20</v>
      </c>
      <c r="D202">
        <f t="shared" si="63"/>
        <v>0.000149303</v>
      </c>
      <c r="E202">
        <f t="shared" si="53"/>
        <v>0.0549724983904221</v>
      </c>
    </row>
    <row r="203" customFormat="1" spans="3:5">
      <c r="C203">
        <f t="shared" si="62"/>
        <v>30</v>
      </c>
      <c r="D203">
        <f t="shared" si="63"/>
        <v>0.00013167</v>
      </c>
      <c r="E203">
        <f t="shared" ref="E203:E219" si="64">(C203-$D$32)^2*D203</f>
        <v>0.112177828599192</v>
      </c>
    </row>
    <row r="204" customFormat="1" spans="3:5">
      <c r="C204">
        <f t="shared" si="62"/>
        <v>45</v>
      </c>
      <c r="D204">
        <f t="shared" si="63"/>
        <v>2.7027e-5</v>
      </c>
      <c r="E204">
        <f t="shared" si="64"/>
        <v>0.0527732864634858</v>
      </c>
    </row>
    <row r="205" customFormat="1" spans="2:5">
      <c r="B205" t="s">
        <v>32</v>
      </c>
      <c r="C205">
        <f t="shared" ref="C205:C210" si="65">J107</f>
        <v>3</v>
      </c>
      <c r="D205">
        <f t="shared" ref="D205:D210" si="66">K107</f>
        <v>0.008748</v>
      </c>
      <c r="E205">
        <f t="shared" si="64"/>
        <v>0.0418945041082251</v>
      </c>
    </row>
    <row r="206" customFormat="1" spans="3:5">
      <c r="C206">
        <f t="shared" si="65"/>
        <v>6</v>
      </c>
      <c r="D206">
        <f t="shared" si="66"/>
        <v>0.0020412</v>
      </c>
      <c r="E206">
        <f t="shared" si="64"/>
        <v>0.0549477984037587</v>
      </c>
    </row>
    <row r="207" customFormat="1" spans="3:5">
      <c r="C207">
        <f t="shared" si="65"/>
        <v>9</v>
      </c>
      <c r="D207">
        <f t="shared" si="66"/>
        <v>0.0008748</v>
      </c>
      <c r="E207">
        <f t="shared" si="64"/>
        <v>0.058655062506685</v>
      </c>
    </row>
    <row r="208" customFormat="1" spans="3:5">
      <c r="C208">
        <f t="shared" si="65"/>
        <v>12</v>
      </c>
      <c r="D208">
        <f t="shared" si="66"/>
        <v>0.000162876</v>
      </c>
      <c r="E208">
        <f t="shared" si="64"/>
        <v>0.0203888185280083</v>
      </c>
    </row>
    <row r="209" customFormat="1" spans="3:5">
      <c r="C209">
        <f t="shared" si="65"/>
        <v>18</v>
      </c>
      <c r="D209">
        <f t="shared" si="66"/>
        <v>0.00014364</v>
      </c>
      <c r="E209">
        <f t="shared" si="64"/>
        <v>0.0424370949710045</v>
      </c>
    </row>
    <row r="210" customFormat="1" spans="3:5">
      <c r="C210">
        <f t="shared" si="65"/>
        <v>27</v>
      </c>
      <c r="D210">
        <f t="shared" si="66"/>
        <v>2.9484e-5</v>
      </c>
      <c r="E210">
        <f t="shared" si="64"/>
        <v>0.020221059403807</v>
      </c>
    </row>
    <row r="211" customFormat="1" spans="2:5">
      <c r="B211" t="s">
        <v>164</v>
      </c>
      <c r="C211">
        <f>J116</f>
        <v>2</v>
      </c>
      <c r="D211">
        <f>K116</f>
        <v>0.0155925</v>
      </c>
      <c r="E211">
        <f t="shared" si="64"/>
        <v>0.0220207237044209</v>
      </c>
    </row>
    <row r="212" customFormat="1" spans="3:5">
      <c r="C212">
        <f>J117</f>
        <v>4</v>
      </c>
      <c r="D212">
        <f>K117</f>
        <v>0.00308525</v>
      </c>
      <c r="E212">
        <f t="shared" si="64"/>
        <v>0.0313640717875896</v>
      </c>
    </row>
    <row r="213" customFormat="1" spans="3:5">
      <c r="C213">
        <f>J118</f>
        <v>6</v>
      </c>
      <c r="D213">
        <f>K118</f>
        <v>0.00132225</v>
      </c>
      <c r="E213">
        <f t="shared" si="64"/>
        <v>0.0355941242599304</v>
      </c>
    </row>
    <row r="214" customFormat="1" spans="2:5">
      <c r="B214" t="s">
        <v>35</v>
      </c>
      <c r="C214">
        <f>J141</f>
        <v>1</v>
      </c>
      <c r="D214">
        <f>K141</f>
        <v>0.031185</v>
      </c>
      <c r="E214">
        <f t="shared" si="64"/>
        <v>0.0011067459133627</v>
      </c>
    </row>
    <row r="215" customFormat="1" spans="3:5">
      <c r="C215">
        <f>J142</f>
        <v>2</v>
      </c>
      <c r="D215">
        <f>K142</f>
        <v>0.0061705</v>
      </c>
      <c r="E215">
        <f t="shared" si="64"/>
        <v>0.00871437393734995</v>
      </c>
    </row>
    <row r="216" customFormat="1" spans="3:5">
      <c r="C216">
        <f>J143</f>
        <v>3</v>
      </c>
      <c r="D216">
        <f>K143</f>
        <v>0.0026445</v>
      </c>
      <c r="E216">
        <f t="shared" si="64"/>
        <v>0.012664610895542</v>
      </c>
    </row>
    <row r="217" customFormat="1" spans="2:5">
      <c r="B217" t="s">
        <v>48</v>
      </c>
      <c r="C217">
        <f>J166</f>
        <v>11.1817970625</v>
      </c>
      <c r="D217">
        <f>K166</f>
        <v>0.02</v>
      </c>
      <c r="E217">
        <f t="shared" si="64"/>
        <v>2.15081437843725</v>
      </c>
    </row>
    <row r="218" customFormat="1" spans="2:5">
      <c r="B218" t="s">
        <v>47</v>
      </c>
      <c r="C218">
        <f>J167</f>
        <v>8.2727121875</v>
      </c>
      <c r="D218">
        <f>K167</f>
        <v>0.02</v>
      </c>
      <c r="E218">
        <f t="shared" si="64"/>
        <v>1.11336004231622</v>
      </c>
    </row>
    <row r="219" customFormat="1" spans="2:5">
      <c r="B219" t="s">
        <v>112</v>
      </c>
      <c r="C219">
        <v>0</v>
      </c>
      <c r="D219">
        <f>1-C32</f>
        <v>0.861993</v>
      </c>
      <c r="E219">
        <f t="shared" si="64"/>
        <v>0.567808192846072</v>
      </c>
    </row>
    <row r="220" customFormat="1" spans="2:5">
      <c r="B220" t="s">
        <v>42</v>
      </c>
      <c r="D220">
        <f>SUM(D170:D219)</f>
        <v>1</v>
      </c>
      <c r="E220">
        <f>SUM(E170:E219)</f>
        <v>8.94469634929299</v>
      </c>
    </row>
  </sheetData>
  <dataValidations count="1">
    <dataValidation type="list" allowBlank="1" showInputMessage="1" showErrorMessage="1" sqref="C2 C55 C56 C57 C62 C71 C80 C89 C98 C107 C132 C133 C134 C139 C157 C158 C159 C164 C166 C167 C168 C3:C16 C52:C53 C136:C138 C161:C163">
      <formula1>"PayoutType,Ordered,All,Any"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0"/>
  <sheetViews>
    <sheetView tabSelected="1" workbookViewId="0">
      <selection activeCell="F11" sqref="F11"/>
    </sheetView>
  </sheetViews>
  <sheetFormatPr defaultColWidth="9" defaultRowHeight="13.5"/>
  <cols>
    <col min="2" max="2" width="38.25" customWidth="1"/>
    <col min="3" max="3" width="20.375" customWidth="1"/>
    <col min="4" max="4" width="12.625" customWidth="1"/>
    <col min="5" max="5" width="12.625"/>
    <col min="6" max="6" width="36.75" customWidth="1"/>
    <col min="7" max="7" width="20.375" customWidth="1"/>
    <col min="8" max="8" width="13.75" customWidth="1"/>
    <col min="10" max="10" width="11.5" customWidth="1"/>
    <col min="11" max="12" width="16" customWidth="1"/>
    <col min="13" max="14" width="17.125" customWidth="1"/>
    <col min="15" max="16" width="16" customWidth="1"/>
  </cols>
  <sheetData>
    <row r="1" customFormat="1" ht="25.5" spans="1:1">
      <c r="A1" s="6" t="s">
        <v>0</v>
      </c>
    </row>
    <row r="2" s="1" customFormat="1" ht="14.25" spans="1:1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7" t="s">
        <v>9</v>
      </c>
      <c r="J2" s="7" t="s">
        <v>10</v>
      </c>
      <c r="K2" s="7" t="s">
        <v>113</v>
      </c>
      <c r="L2" s="7" t="s">
        <v>114</v>
      </c>
      <c r="M2" s="7" t="s">
        <v>115</v>
      </c>
      <c r="N2" s="7" t="s">
        <v>116</v>
      </c>
      <c r="O2" s="7" t="s">
        <v>117</v>
      </c>
      <c r="P2" s="7" t="s">
        <v>118</v>
      </c>
    </row>
    <row r="3" s="1" customFormat="1" ht="14.25" spans="1:16">
      <c r="A3" s="10">
        <v>1</v>
      </c>
      <c r="B3" s="10" t="s">
        <v>119</v>
      </c>
      <c r="C3" s="10" t="s">
        <v>23</v>
      </c>
      <c r="D3" s="10">
        <v>3</v>
      </c>
      <c r="E3" s="10">
        <v>500</v>
      </c>
      <c r="F3" s="11">
        <v>1e-6</v>
      </c>
      <c r="G3" s="11">
        <v>0</v>
      </c>
      <c r="H3" s="9">
        <v>1</v>
      </c>
      <c r="I3" s="7">
        <v>1</v>
      </c>
      <c r="J3" s="7" t="b">
        <v>1</v>
      </c>
      <c r="K3" s="7">
        <v>1</v>
      </c>
      <c r="L3" s="7">
        <v>0</v>
      </c>
      <c r="M3" s="7">
        <v>1</v>
      </c>
      <c r="N3" s="7">
        <v>0</v>
      </c>
      <c r="O3" s="7">
        <v>1</v>
      </c>
      <c r="P3" s="7">
        <v>0</v>
      </c>
    </row>
    <row r="4" s="1" customFormat="1" ht="14.25" spans="1:16">
      <c r="A4" s="10">
        <v>2</v>
      </c>
      <c r="B4" s="10" t="s">
        <v>120</v>
      </c>
      <c r="C4" s="10" t="s">
        <v>23</v>
      </c>
      <c r="D4" s="10">
        <v>3</v>
      </c>
      <c r="E4" s="10">
        <v>300</v>
      </c>
      <c r="F4" s="11">
        <v>2e-6</v>
      </c>
      <c r="G4" s="11">
        <v>0</v>
      </c>
      <c r="H4" s="9">
        <v>1</v>
      </c>
      <c r="I4" s="7">
        <v>1</v>
      </c>
      <c r="J4" s="7" t="b">
        <v>1</v>
      </c>
      <c r="K4" s="7">
        <v>0</v>
      </c>
      <c r="L4" s="7">
        <v>1</v>
      </c>
      <c r="M4" s="7">
        <v>0</v>
      </c>
      <c r="N4" s="7">
        <v>1</v>
      </c>
      <c r="O4" s="7">
        <v>0</v>
      </c>
      <c r="P4" s="7">
        <v>1</v>
      </c>
    </row>
    <row r="5" s="1" customFormat="1" ht="14.25" spans="1:16">
      <c r="A5" s="10">
        <v>3</v>
      </c>
      <c r="B5" s="10" t="s">
        <v>121</v>
      </c>
      <c r="C5" s="10" t="s">
        <v>34</v>
      </c>
      <c r="D5" s="10">
        <v>3</v>
      </c>
      <c r="E5" s="10">
        <v>20</v>
      </c>
      <c r="F5" s="11">
        <v>4e-6</v>
      </c>
      <c r="G5" s="11">
        <v>0</v>
      </c>
      <c r="H5" s="9">
        <v>1</v>
      </c>
      <c r="I5" s="7">
        <v>1</v>
      </c>
      <c r="J5" s="7" t="b">
        <v>0</v>
      </c>
      <c r="K5" s="30">
        <v>0.3</v>
      </c>
      <c r="L5" s="30">
        <v>0.7</v>
      </c>
      <c r="M5" s="30">
        <v>0.3</v>
      </c>
      <c r="N5" s="30">
        <v>0.7</v>
      </c>
      <c r="O5" s="30">
        <v>0.3</v>
      </c>
      <c r="P5" s="30">
        <v>0.7</v>
      </c>
    </row>
    <row r="6" s="1" customFormat="1" ht="14.25" spans="1:16">
      <c r="A6" s="10">
        <v>4</v>
      </c>
      <c r="B6" s="10" t="s">
        <v>26</v>
      </c>
      <c r="C6" s="10" t="s">
        <v>27</v>
      </c>
      <c r="D6" s="10">
        <v>3</v>
      </c>
      <c r="E6" s="10">
        <v>10</v>
      </c>
      <c r="F6" s="11">
        <v>0.002</v>
      </c>
      <c r="G6" s="11">
        <v>0</v>
      </c>
      <c r="H6" s="9">
        <v>1</v>
      </c>
      <c r="I6" s="7">
        <v>1</v>
      </c>
      <c r="J6" s="7" t="b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="1" customFormat="1" ht="14.25" spans="1:16">
      <c r="A7" s="10">
        <v>5</v>
      </c>
      <c r="B7" s="10" t="s">
        <v>28</v>
      </c>
      <c r="C7" s="10" t="s">
        <v>27</v>
      </c>
      <c r="D7" s="10">
        <v>3</v>
      </c>
      <c r="E7" s="10">
        <v>20</v>
      </c>
      <c r="F7" s="11">
        <v>0.004</v>
      </c>
      <c r="G7" s="11">
        <v>0.01</v>
      </c>
      <c r="H7" s="9">
        <v>1</v>
      </c>
      <c r="I7" s="7">
        <v>1</v>
      </c>
      <c r="J7" s="7" t="b">
        <v>0</v>
      </c>
      <c r="K7" s="30">
        <v>0.03</v>
      </c>
      <c r="L7" s="30">
        <v>0.07</v>
      </c>
      <c r="M7" s="30">
        <v>0.03</v>
      </c>
      <c r="N7" s="30">
        <v>0.07</v>
      </c>
      <c r="O7" s="30">
        <v>0.03</v>
      </c>
      <c r="P7" s="30">
        <v>0.07</v>
      </c>
    </row>
    <row r="8" s="1" customFormat="1" ht="14.25" spans="1:16">
      <c r="A8" s="10">
        <v>6</v>
      </c>
      <c r="B8" s="10" t="s">
        <v>122</v>
      </c>
      <c r="C8" s="10" t="s">
        <v>27</v>
      </c>
      <c r="D8" s="10">
        <v>3</v>
      </c>
      <c r="E8" s="10">
        <v>15</v>
      </c>
      <c r="F8" s="11">
        <v>0.008</v>
      </c>
      <c r="G8" s="11">
        <v>0.01</v>
      </c>
      <c r="H8" s="9">
        <v>1</v>
      </c>
      <c r="I8" s="7">
        <v>1</v>
      </c>
      <c r="J8" s="7" t="b">
        <v>0</v>
      </c>
      <c r="K8" s="30">
        <v>0.03</v>
      </c>
      <c r="L8" s="30">
        <v>0.07</v>
      </c>
      <c r="M8" s="30">
        <v>0.03</v>
      </c>
      <c r="N8" s="30">
        <v>0.07</v>
      </c>
      <c r="O8" s="30">
        <v>0.03</v>
      </c>
      <c r="P8" s="30">
        <v>0.07</v>
      </c>
    </row>
    <row r="9" s="1" customFormat="1" ht="14.25" spans="1:16">
      <c r="A9" s="10">
        <v>7</v>
      </c>
      <c r="B9" s="10" t="s">
        <v>29</v>
      </c>
      <c r="C9" s="10" t="s">
        <v>27</v>
      </c>
      <c r="D9" s="10">
        <v>3</v>
      </c>
      <c r="E9" s="10">
        <v>10</v>
      </c>
      <c r="F9" s="11">
        <v>0.012</v>
      </c>
      <c r="G9" s="11">
        <v>0.02</v>
      </c>
      <c r="H9" s="9">
        <v>1</v>
      </c>
      <c r="I9" s="7">
        <v>1</v>
      </c>
      <c r="J9" s="7" t="b">
        <v>0</v>
      </c>
      <c r="K9" s="30">
        <v>0.03</v>
      </c>
      <c r="L9" s="30">
        <v>0.07</v>
      </c>
      <c r="M9" s="30">
        <v>0.03</v>
      </c>
      <c r="N9" s="30">
        <v>0.07</v>
      </c>
      <c r="O9" s="30">
        <v>0.03</v>
      </c>
      <c r="P9" s="30">
        <v>0.07</v>
      </c>
    </row>
    <row r="10" s="1" customFormat="1" ht="14.25" spans="1:16">
      <c r="A10" s="10">
        <v>8</v>
      </c>
      <c r="B10" s="10" t="s">
        <v>30</v>
      </c>
      <c r="C10" s="10" t="s">
        <v>27</v>
      </c>
      <c r="D10" s="10">
        <v>3</v>
      </c>
      <c r="E10" s="10">
        <v>7</v>
      </c>
      <c r="F10" s="53">
        <v>0.02</v>
      </c>
      <c r="G10" s="11">
        <v>0.08</v>
      </c>
      <c r="H10" s="9">
        <v>1</v>
      </c>
      <c r="I10" s="7">
        <v>1</v>
      </c>
      <c r="J10" s="7" t="b">
        <v>0</v>
      </c>
      <c r="K10" s="30">
        <v>0.03</v>
      </c>
      <c r="L10" s="30">
        <v>0.07</v>
      </c>
      <c r="M10" s="30">
        <v>0.03</v>
      </c>
      <c r="N10" s="30">
        <v>0.07</v>
      </c>
      <c r="O10" s="30">
        <v>0.03</v>
      </c>
      <c r="P10" s="30">
        <v>0.07</v>
      </c>
    </row>
    <row r="11" s="1" customFormat="1" ht="14.25" spans="1:16">
      <c r="A11" s="10">
        <v>9</v>
      </c>
      <c r="B11" s="10" t="s">
        <v>31</v>
      </c>
      <c r="C11" s="10" t="s">
        <v>27</v>
      </c>
      <c r="D11" s="10">
        <v>3</v>
      </c>
      <c r="E11" s="10">
        <v>5</v>
      </c>
      <c r="F11" s="53">
        <v>0.025</v>
      </c>
      <c r="G11" s="11">
        <v>0.08</v>
      </c>
      <c r="H11" s="9">
        <v>1</v>
      </c>
      <c r="I11" s="7">
        <v>1</v>
      </c>
      <c r="J11" s="7" t="b">
        <v>0</v>
      </c>
      <c r="K11" s="30">
        <v>0.03</v>
      </c>
      <c r="L11" s="30">
        <v>0.07</v>
      </c>
      <c r="M11" s="30">
        <v>0.03</v>
      </c>
      <c r="N11" s="30">
        <v>0.07</v>
      </c>
      <c r="O11" s="30">
        <v>0.03</v>
      </c>
      <c r="P11" s="30">
        <v>0.07</v>
      </c>
    </row>
    <row r="12" s="1" customFormat="1" ht="14.25" spans="1:16">
      <c r="A12" s="10">
        <v>10</v>
      </c>
      <c r="B12" s="10" t="s">
        <v>32</v>
      </c>
      <c r="C12" s="10" t="s">
        <v>27</v>
      </c>
      <c r="D12" s="10">
        <v>3</v>
      </c>
      <c r="E12" s="10">
        <v>3</v>
      </c>
      <c r="F12" s="53">
        <v>0.025</v>
      </c>
      <c r="G12" s="11">
        <v>0.1</v>
      </c>
      <c r="H12" s="9">
        <v>1</v>
      </c>
      <c r="I12" s="7">
        <v>1</v>
      </c>
      <c r="J12" s="7" t="b">
        <v>0</v>
      </c>
      <c r="K12" s="30">
        <v>0.03</v>
      </c>
      <c r="L12" s="30">
        <v>0.07</v>
      </c>
      <c r="M12" s="30">
        <v>0.03</v>
      </c>
      <c r="N12" s="30">
        <v>0.07</v>
      </c>
      <c r="O12" s="30">
        <v>0.03</v>
      </c>
      <c r="P12" s="30">
        <v>0.07</v>
      </c>
    </row>
    <row r="13" s="1" customFormat="1" ht="14.25" spans="1:16">
      <c r="A13" s="10">
        <v>11</v>
      </c>
      <c r="B13" s="10" t="s">
        <v>123</v>
      </c>
      <c r="C13" s="10" t="s">
        <v>34</v>
      </c>
      <c r="D13" s="10">
        <v>3</v>
      </c>
      <c r="E13" s="10">
        <v>2</v>
      </c>
      <c r="F13" s="53">
        <v>0.015</v>
      </c>
      <c r="G13" s="11">
        <v>0.1</v>
      </c>
      <c r="H13" s="9">
        <v>1</v>
      </c>
      <c r="I13" s="7">
        <v>1</v>
      </c>
      <c r="J13" s="7" t="b">
        <v>0</v>
      </c>
      <c r="K13" s="30">
        <v>0.03</v>
      </c>
      <c r="L13" s="30">
        <v>0.07</v>
      </c>
      <c r="M13" s="30">
        <v>0.03</v>
      </c>
      <c r="N13" s="30">
        <v>0.07</v>
      </c>
      <c r="O13" s="30">
        <v>0.03</v>
      </c>
      <c r="P13" s="30">
        <v>0.07</v>
      </c>
    </row>
    <row r="14" s="1" customFormat="1" ht="14.25" spans="1:16">
      <c r="A14" s="10">
        <v>12</v>
      </c>
      <c r="B14" s="10" t="s">
        <v>35</v>
      </c>
      <c r="C14" s="10" t="s">
        <v>34</v>
      </c>
      <c r="D14" s="12">
        <v>3</v>
      </c>
      <c r="E14" s="12">
        <v>1</v>
      </c>
      <c r="F14" s="53">
        <v>0.015</v>
      </c>
      <c r="G14" s="11">
        <v>0.1</v>
      </c>
      <c r="H14" s="9">
        <v>1</v>
      </c>
      <c r="I14" s="7">
        <v>1</v>
      </c>
      <c r="J14" s="7" t="b">
        <v>0</v>
      </c>
      <c r="K14" s="30">
        <v>0.03</v>
      </c>
      <c r="L14" s="30">
        <v>0.07</v>
      </c>
      <c r="M14" s="30">
        <v>0.03</v>
      </c>
      <c r="N14" s="30">
        <v>0.07</v>
      </c>
      <c r="O14" s="30">
        <v>0.03</v>
      </c>
      <c r="P14" s="30">
        <v>0.07</v>
      </c>
    </row>
    <row r="15" s="1" customFormat="1" ht="14.25" spans="1:16">
      <c r="A15" s="10">
        <v>13</v>
      </c>
      <c r="B15" s="10" t="s">
        <v>26</v>
      </c>
      <c r="C15" s="10" t="s">
        <v>34</v>
      </c>
      <c r="D15" s="12">
        <v>2</v>
      </c>
      <c r="E15" s="12">
        <v>1</v>
      </c>
      <c r="F15" s="54">
        <v>0.03</v>
      </c>
      <c r="G15" s="11">
        <v>0.2</v>
      </c>
      <c r="H15" s="9">
        <v>1</v>
      </c>
      <c r="I15" s="7">
        <v>1</v>
      </c>
      <c r="J15" s="7" t="b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</row>
    <row r="16" s="2" customFormat="1" ht="14.25" spans="1:16">
      <c r="A16" s="10">
        <v>14</v>
      </c>
      <c r="B16" s="10" t="s">
        <v>26</v>
      </c>
      <c r="C16" s="10" t="s">
        <v>34</v>
      </c>
      <c r="D16" s="10">
        <v>1</v>
      </c>
      <c r="E16" s="10">
        <v>1</v>
      </c>
      <c r="F16" s="53">
        <v>0.04</v>
      </c>
      <c r="G16" s="11">
        <v>0.3</v>
      </c>
      <c r="H16" s="9">
        <v>1</v>
      </c>
      <c r="I16" s="7">
        <v>1</v>
      </c>
      <c r="J16" s="7" t="b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</row>
    <row r="17" s="3" customFormat="1" ht="25.5" spans="1:16">
      <c r="A17" s="6" t="s">
        <v>36</v>
      </c>
      <c r="C17" s="13" t="s">
        <v>37</v>
      </c>
      <c r="D17" s="13" t="s">
        <v>38</v>
      </c>
      <c r="E17" s="13"/>
      <c r="F17" s="13"/>
      <c r="G17" s="13" t="s">
        <v>39</v>
      </c>
      <c r="H17" s="13" t="s">
        <v>40</v>
      </c>
      <c r="P17" s="31"/>
    </row>
    <row r="18" customFormat="1" ht="14.25" spans="1:16">
      <c r="A18" s="10">
        <v>1</v>
      </c>
      <c r="B18" s="10" t="s">
        <v>119</v>
      </c>
      <c r="C18">
        <f t="shared" ref="C18:C31" si="0">F3</f>
        <v>1e-6</v>
      </c>
      <c r="D18" s="14">
        <f>L52</f>
        <v>0.0005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customFormat="1" ht="14.25" spans="1:4">
      <c r="A19" s="10">
        <v>2</v>
      </c>
      <c r="B19" s="10" t="s">
        <v>120</v>
      </c>
      <c r="C19">
        <f t="shared" si="0"/>
        <v>2e-6</v>
      </c>
      <c r="D19" s="14">
        <f>L53</f>
        <v>0.0006</v>
      </c>
    </row>
    <row r="20" customFormat="1" ht="14.25" spans="1:4">
      <c r="A20" s="10">
        <v>3</v>
      </c>
      <c r="B20" s="10" t="s">
        <v>121</v>
      </c>
      <c r="C20">
        <f t="shared" si="0"/>
        <v>4e-6</v>
      </c>
      <c r="D20" s="14">
        <f>L57</f>
        <v>0.00106368</v>
      </c>
    </row>
    <row r="21" customFormat="1" ht="14.25" spans="1:4">
      <c r="A21" s="10">
        <v>4</v>
      </c>
      <c r="B21" s="10" t="s">
        <v>26</v>
      </c>
      <c r="C21">
        <f t="shared" si="0"/>
        <v>0.002</v>
      </c>
      <c r="D21">
        <f>L60</f>
        <v>0.0513679925</v>
      </c>
    </row>
    <row r="22" customFormat="1" ht="14.25" spans="1:4">
      <c r="A22" s="10">
        <v>5</v>
      </c>
      <c r="B22" s="10" t="s">
        <v>28</v>
      </c>
      <c r="C22">
        <f t="shared" si="0"/>
        <v>0.004</v>
      </c>
      <c r="D22">
        <f>L69</f>
        <v>0.11489</v>
      </c>
    </row>
    <row r="23" customFormat="1" ht="14.25" spans="1:4">
      <c r="A23" s="10">
        <v>6</v>
      </c>
      <c r="B23" s="10" t="s">
        <v>122</v>
      </c>
      <c r="C23">
        <f t="shared" si="0"/>
        <v>0.008</v>
      </c>
      <c r="D23">
        <f>L78</f>
        <v>0.172335</v>
      </c>
    </row>
    <row r="24" customFormat="1" ht="14.25" spans="1:4">
      <c r="A24" s="10">
        <v>7</v>
      </c>
      <c r="B24" s="10" t="s">
        <v>29</v>
      </c>
      <c r="C24">
        <f t="shared" si="0"/>
        <v>0.012</v>
      </c>
      <c r="D24">
        <f>L87</f>
        <v>0.172335</v>
      </c>
    </row>
    <row r="25" customFormat="1" ht="14.25" spans="1:4">
      <c r="A25" s="10">
        <v>8</v>
      </c>
      <c r="B25" s="10" t="s">
        <v>30</v>
      </c>
      <c r="C25">
        <f t="shared" si="0"/>
        <v>0.02</v>
      </c>
      <c r="D25">
        <f>L96</f>
        <v>0.2010575</v>
      </c>
    </row>
    <row r="26" customFormat="1" ht="14.25" spans="1:4">
      <c r="A26" s="10">
        <v>9</v>
      </c>
      <c r="B26" s="10" t="s">
        <v>31</v>
      </c>
      <c r="C26">
        <f t="shared" si="0"/>
        <v>0.025</v>
      </c>
      <c r="D26">
        <f>L105</f>
        <v>0.179515625</v>
      </c>
    </row>
    <row r="27" customFormat="1" ht="14.25" spans="1:4">
      <c r="A27" s="10">
        <v>10</v>
      </c>
      <c r="B27" s="10" t="s">
        <v>32</v>
      </c>
      <c r="C27">
        <f t="shared" si="0"/>
        <v>0.025</v>
      </c>
      <c r="D27">
        <f>L114</f>
        <v>0.107709375</v>
      </c>
    </row>
    <row r="28" customFormat="1" ht="14.25" spans="1:4">
      <c r="A28" s="10">
        <v>11</v>
      </c>
      <c r="B28" s="10" t="s">
        <v>123</v>
      </c>
      <c r="C28">
        <f t="shared" si="0"/>
        <v>0.015</v>
      </c>
      <c r="D28">
        <f>L119</f>
        <v>0.038594625</v>
      </c>
    </row>
    <row r="29" customFormat="1" ht="14.25" spans="1:4">
      <c r="A29" s="10">
        <v>12</v>
      </c>
      <c r="B29" s="10" t="s">
        <v>35</v>
      </c>
      <c r="C29">
        <f t="shared" si="0"/>
        <v>0.015</v>
      </c>
      <c r="D29">
        <f>L144</f>
        <v>0.0192973125</v>
      </c>
    </row>
    <row r="30" customFormat="1" ht="14.25" spans="1:4">
      <c r="A30" s="10">
        <v>13</v>
      </c>
      <c r="B30" s="10" t="s">
        <v>26</v>
      </c>
      <c r="C30">
        <f t="shared" si="0"/>
        <v>0.03</v>
      </c>
      <c r="D30">
        <f>L166</f>
        <v>0.3959599125</v>
      </c>
    </row>
    <row r="31" customFormat="1" ht="14.25" spans="1:4">
      <c r="A31" s="10">
        <v>14</v>
      </c>
      <c r="B31" s="10" t="s">
        <v>26</v>
      </c>
      <c r="C31">
        <f t="shared" si="0"/>
        <v>0.04</v>
      </c>
      <c r="D31">
        <f>L167</f>
        <v>0.38853325</v>
      </c>
    </row>
    <row r="32" s="4" customFormat="1" spans="2:8">
      <c r="B32" s="4" t="s">
        <v>42</v>
      </c>
      <c r="C32" s="15">
        <f>SUM(C18:C31)</f>
        <v>0.196007</v>
      </c>
      <c r="D32" s="15">
        <f>SUM(D18:D31)</f>
        <v>1.8437592725</v>
      </c>
      <c r="G32" s="4">
        <f>E220</f>
        <v>26.5200156867663</v>
      </c>
      <c r="H32" s="4">
        <f>SQRT(G32)</f>
        <v>5.14975879889207</v>
      </c>
    </row>
    <row r="33" s="3" customFormat="1" ht="25.5" spans="1:1">
      <c r="A33" s="16" t="s">
        <v>43</v>
      </c>
    </row>
    <row r="34" s="3" customFormat="1" ht="14.25" spans="1:16">
      <c r="A34" s="7" t="s">
        <v>1</v>
      </c>
      <c r="B34" s="7" t="s">
        <v>44</v>
      </c>
      <c r="C34" s="8" t="s">
        <v>7</v>
      </c>
      <c r="D34" s="17" t="s">
        <v>5</v>
      </c>
      <c r="E34" s="18" t="s">
        <v>45</v>
      </c>
      <c r="F34" s="18" t="s">
        <v>46</v>
      </c>
      <c r="G34" s="18"/>
      <c r="H34" s="18"/>
      <c r="I34" s="18"/>
      <c r="J34" s="18"/>
      <c r="K34" s="18"/>
      <c r="L34" s="18"/>
      <c r="N34" s="18"/>
      <c r="O34" s="18"/>
      <c r="P34" s="18"/>
    </row>
    <row r="35" s="3" customFormat="1" ht="14.25" spans="1:16">
      <c r="A35" s="10">
        <v>1</v>
      </c>
      <c r="B35" s="10" t="s">
        <v>119</v>
      </c>
      <c r="C35" s="11">
        <f t="shared" ref="C35:C48" si="1">G3</f>
        <v>0</v>
      </c>
      <c r="D35" s="19">
        <f t="shared" ref="D35:D47" si="2">E3</f>
        <v>500</v>
      </c>
      <c r="E35" s="18">
        <v>1</v>
      </c>
      <c r="F35" s="18">
        <f t="shared" ref="F35:F48" si="3">C35*D35*E35</f>
        <v>0</v>
      </c>
      <c r="G35" s="18"/>
      <c r="H35" s="18"/>
      <c r="I35" s="18"/>
      <c r="J35" s="18"/>
      <c r="K35" s="18"/>
      <c r="L35" s="18"/>
      <c r="N35" s="18"/>
      <c r="O35" s="18"/>
      <c r="P35" s="18"/>
    </row>
    <row r="36" s="3" customFormat="1" ht="14.25" spans="1:16">
      <c r="A36" s="10">
        <v>2</v>
      </c>
      <c r="B36" s="10" t="s">
        <v>120</v>
      </c>
      <c r="C36" s="11">
        <f t="shared" si="1"/>
        <v>0</v>
      </c>
      <c r="D36" s="19">
        <f t="shared" si="2"/>
        <v>300</v>
      </c>
      <c r="E36" s="18">
        <v>1</v>
      </c>
      <c r="F36" s="18">
        <f t="shared" si="3"/>
        <v>0</v>
      </c>
      <c r="G36" s="18"/>
      <c r="H36" s="18"/>
      <c r="I36" s="18"/>
      <c r="J36" s="18"/>
      <c r="K36" s="18"/>
      <c r="L36" s="18"/>
      <c r="N36" s="18"/>
      <c r="O36" s="18"/>
      <c r="P36" s="18"/>
    </row>
    <row r="37" s="3" customFormat="1" ht="14.25" spans="1:16">
      <c r="A37" s="10">
        <v>3</v>
      </c>
      <c r="B37" s="10" t="s">
        <v>121</v>
      </c>
      <c r="C37" s="11">
        <f t="shared" si="1"/>
        <v>0</v>
      </c>
      <c r="D37" s="19">
        <f t="shared" si="2"/>
        <v>20</v>
      </c>
      <c r="E37" s="18">
        <v>1</v>
      </c>
      <c r="F37" s="18">
        <f t="shared" si="3"/>
        <v>0</v>
      </c>
      <c r="G37" s="18"/>
      <c r="H37" s="18"/>
      <c r="I37" s="18"/>
      <c r="J37" s="18"/>
      <c r="K37" s="18"/>
      <c r="L37" s="18"/>
      <c r="N37" s="18"/>
      <c r="O37" s="18"/>
      <c r="P37" s="18"/>
    </row>
    <row r="38" s="3" customFormat="1" ht="14.25" spans="1:16">
      <c r="A38" s="10">
        <v>4</v>
      </c>
      <c r="B38" s="10" t="s">
        <v>26</v>
      </c>
      <c r="C38" s="11">
        <f t="shared" si="1"/>
        <v>0</v>
      </c>
      <c r="D38" s="19">
        <f t="shared" si="2"/>
        <v>10</v>
      </c>
      <c r="E38" s="18">
        <v>1</v>
      </c>
      <c r="F38" s="18">
        <f t="shared" si="3"/>
        <v>0</v>
      </c>
      <c r="G38" s="18"/>
      <c r="H38" s="18"/>
      <c r="I38" s="18"/>
      <c r="J38" s="18"/>
      <c r="K38" s="18"/>
      <c r="L38" s="18"/>
      <c r="N38" s="18"/>
      <c r="O38" s="18"/>
      <c r="P38" s="18"/>
    </row>
    <row r="39" s="3" customFormat="1" ht="14.25" spans="1:16">
      <c r="A39" s="10">
        <v>5</v>
      </c>
      <c r="B39" s="10" t="s">
        <v>28</v>
      </c>
      <c r="C39" s="11">
        <f t="shared" si="1"/>
        <v>0.01</v>
      </c>
      <c r="D39" s="19">
        <f t="shared" si="2"/>
        <v>20</v>
      </c>
      <c r="E39" s="18">
        <f t="shared" ref="E39:E44" si="4">$M$69</f>
        <v>1.436125</v>
      </c>
      <c r="F39" s="18">
        <f t="shared" si="3"/>
        <v>0.287225</v>
      </c>
      <c r="G39" s="18"/>
      <c r="H39" s="18"/>
      <c r="I39" s="18"/>
      <c r="J39" s="18"/>
      <c r="K39" s="18"/>
      <c r="L39" s="18"/>
      <c r="N39" s="18"/>
      <c r="O39" s="18"/>
      <c r="P39" s="18"/>
    </row>
    <row r="40" s="3" customFormat="1" ht="14.25" spans="1:16">
      <c r="A40" s="10">
        <v>6</v>
      </c>
      <c r="B40" s="10" t="s">
        <v>122</v>
      </c>
      <c r="C40" s="11">
        <f t="shared" si="1"/>
        <v>0.01</v>
      </c>
      <c r="D40" s="19">
        <f t="shared" si="2"/>
        <v>15</v>
      </c>
      <c r="E40" s="18">
        <f t="shared" si="4"/>
        <v>1.436125</v>
      </c>
      <c r="F40" s="18">
        <f t="shared" si="3"/>
        <v>0.21541875</v>
      </c>
      <c r="G40" s="18"/>
      <c r="H40" s="18"/>
      <c r="I40" s="18"/>
      <c r="J40" s="18"/>
      <c r="K40" s="18"/>
      <c r="L40" s="18"/>
      <c r="N40" s="18"/>
      <c r="O40" s="18"/>
      <c r="P40" s="18"/>
    </row>
    <row r="41" s="3" customFormat="1" ht="14.25" spans="1:16">
      <c r="A41" s="10">
        <v>7</v>
      </c>
      <c r="B41" s="10" t="s">
        <v>29</v>
      </c>
      <c r="C41" s="11">
        <f t="shared" si="1"/>
        <v>0.02</v>
      </c>
      <c r="D41" s="19">
        <f t="shared" si="2"/>
        <v>10</v>
      </c>
      <c r="E41" s="18">
        <f t="shared" si="4"/>
        <v>1.436125</v>
      </c>
      <c r="F41" s="18">
        <f t="shared" si="3"/>
        <v>0.287225</v>
      </c>
      <c r="G41" s="18"/>
      <c r="H41" s="18"/>
      <c r="I41" s="18"/>
      <c r="J41" s="18"/>
      <c r="K41" s="18"/>
      <c r="L41" s="18"/>
      <c r="N41" s="18"/>
      <c r="O41" s="18"/>
      <c r="P41" s="18"/>
    </row>
    <row r="42" s="3" customFormat="1" ht="14.25" spans="1:16">
      <c r="A42" s="10">
        <v>8</v>
      </c>
      <c r="B42" s="10" t="s">
        <v>30</v>
      </c>
      <c r="C42" s="11">
        <f t="shared" si="1"/>
        <v>0.08</v>
      </c>
      <c r="D42" s="19">
        <f t="shared" si="2"/>
        <v>7</v>
      </c>
      <c r="E42" s="18">
        <f t="shared" si="4"/>
        <v>1.436125</v>
      </c>
      <c r="F42" s="18">
        <f t="shared" si="3"/>
        <v>0.80423</v>
      </c>
      <c r="G42" s="18"/>
      <c r="H42" s="18"/>
      <c r="I42" s="18"/>
      <c r="J42" s="18"/>
      <c r="K42" s="18"/>
      <c r="L42" s="18"/>
      <c r="N42" s="18"/>
      <c r="O42" s="18"/>
      <c r="P42" s="18"/>
    </row>
    <row r="43" s="3" customFormat="1" ht="14.25" spans="1:16">
      <c r="A43" s="10">
        <v>9</v>
      </c>
      <c r="B43" s="10" t="s">
        <v>31</v>
      </c>
      <c r="C43" s="11">
        <f t="shared" si="1"/>
        <v>0.08</v>
      </c>
      <c r="D43" s="19">
        <f t="shared" si="2"/>
        <v>5</v>
      </c>
      <c r="E43" s="18">
        <f t="shared" si="4"/>
        <v>1.436125</v>
      </c>
      <c r="F43" s="18">
        <f t="shared" si="3"/>
        <v>0.57445</v>
      </c>
      <c r="G43" s="18"/>
      <c r="H43" s="18"/>
      <c r="I43" s="18"/>
      <c r="J43" s="18"/>
      <c r="K43" s="18"/>
      <c r="L43" s="18"/>
      <c r="N43" s="18"/>
      <c r="O43" s="18"/>
      <c r="P43" s="18"/>
    </row>
    <row r="44" s="3" customFormat="1" ht="14.25" spans="1:16">
      <c r="A44" s="10">
        <v>10</v>
      </c>
      <c r="B44" s="10" t="s">
        <v>32</v>
      </c>
      <c r="C44" s="11">
        <f t="shared" si="1"/>
        <v>0.1</v>
      </c>
      <c r="D44" s="19">
        <f t="shared" si="2"/>
        <v>3</v>
      </c>
      <c r="E44" s="18">
        <f t="shared" si="4"/>
        <v>1.436125</v>
      </c>
      <c r="F44" s="18">
        <f t="shared" si="3"/>
        <v>0.4308375</v>
      </c>
      <c r="G44" s="18"/>
      <c r="H44" s="18"/>
      <c r="I44" s="18"/>
      <c r="J44" s="18"/>
      <c r="K44" s="18"/>
      <c r="L44" s="18"/>
      <c r="N44" s="18"/>
      <c r="O44" s="18"/>
      <c r="P44" s="18"/>
    </row>
    <row r="45" s="3" customFormat="1" ht="14.25" spans="1:16">
      <c r="A45" s="10">
        <v>11</v>
      </c>
      <c r="B45" s="10" t="s">
        <v>123</v>
      </c>
      <c r="C45" s="11">
        <f t="shared" si="1"/>
        <v>0.1</v>
      </c>
      <c r="D45" s="19">
        <f t="shared" si="2"/>
        <v>2</v>
      </c>
      <c r="E45" s="18">
        <f>$M$119</f>
        <v>1.2864875</v>
      </c>
      <c r="F45" s="18">
        <f t="shared" si="3"/>
        <v>0.2572975</v>
      </c>
      <c r="G45" s="18"/>
      <c r="H45" s="18"/>
      <c r="I45" s="18"/>
      <c r="J45" s="18"/>
      <c r="K45" s="18"/>
      <c r="L45" s="18"/>
      <c r="N45" s="18"/>
      <c r="O45" s="18"/>
      <c r="P45" s="18"/>
    </row>
    <row r="46" s="3" customFormat="1" ht="14.25" spans="1:16">
      <c r="A46" s="10">
        <v>12</v>
      </c>
      <c r="B46" s="10" t="s">
        <v>35</v>
      </c>
      <c r="C46" s="11">
        <f t="shared" si="1"/>
        <v>0.1</v>
      </c>
      <c r="D46" s="19">
        <f t="shared" si="2"/>
        <v>1</v>
      </c>
      <c r="E46" s="18">
        <f>$M$119</f>
        <v>1.2864875</v>
      </c>
      <c r="F46" s="18">
        <f t="shared" si="3"/>
        <v>0.12864875</v>
      </c>
      <c r="G46" s="18"/>
      <c r="H46" s="18"/>
      <c r="I46" s="18"/>
      <c r="J46" s="18"/>
      <c r="K46" s="18"/>
      <c r="L46" s="18"/>
      <c r="N46" s="18"/>
      <c r="O46" s="18"/>
      <c r="P46" s="18"/>
    </row>
    <row r="47" s="3" customFormat="1" ht="14.25" spans="1:16">
      <c r="A47" s="10">
        <v>13</v>
      </c>
      <c r="B47" s="10" t="s">
        <v>47</v>
      </c>
      <c r="C47" s="11">
        <f t="shared" si="1"/>
        <v>0.2</v>
      </c>
      <c r="D47" s="19">
        <f t="shared" si="2"/>
        <v>1</v>
      </c>
      <c r="E47" s="18">
        <v>1</v>
      </c>
      <c r="F47" s="18">
        <f t="shared" si="3"/>
        <v>0.2</v>
      </c>
      <c r="G47" s="18"/>
      <c r="H47" s="18"/>
      <c r="I47" s="18"/>
      <c r="J47" s="18"/>
      <c r="K47" s="18"/>
      <c r="L47" s="18"/>
      <c r="N47" s="18"/>
      <c r="O47" s="18"/>
      <c r="P47" s="18"/>
    </row>
    <row r="48" s="3" customFormat="1" ht="14.25" spans="1:16">
      <c r="A48" s="10">
        <v>14</v>
      </c>
      <c r="B48" s="10" t="s">
        <v>48</v>
      </c>
      <c r="C48" s="11">
        <f t="shared" si="1"/>
        <v>0.3</v>
      </c>
      <c r="D48" s="19">
        <v>1</v>
      </c>
      <c r="E48" s="18">
        <v>1</v>
      </c>
      <c r="F48" s="18">
        <f t="shared" si="3"/>
        <v>0.3</v>
      </c>
      <c r="G48" s="18"/>
      <c r="H48" s="18"/>
      <c r="I48" s="18"/>
      <c r="J48" s="18"/>
      <c r="K48" s="18"/>
      <c r="L48" s="18"/>
      <c r="N48" s="18"/>
      <c r="O48" s="18"/>
      <c r="P48" s="18"/>
    </row>
    <row r="49" s="5" customFormat="1" ht="14.25" spans="2:16">
      <c r="B49" s="5" t="s">
        <v>49</v>
      </c>
      <c r="C49" s="5">
        <f>SUM(C35:C48)</f>
        <v>1</v>
      </c>
      <c r="D49" s="20"/>
      <c r="E49" s="21"/>
      <c r="F49" s="22">
        <f>SUM(F35:F48)</f>
        <v>3.4853325</v>
      </c>
      <c r="G49" s="21"/>
      <c r="H49" s="21"/>
      <c r="I49" s="21"/>
      <c r="J49" s="21"/>
      <c r="K49" s="21"/>
      <c r="L49" s="21"/>
      <c r="N49" s="21"/>
      <c r="O49" s="21"/>
      <c r="P49" s="21"/>
    </row>
    <row r="50" s="5" customFormat="1" ht="14.25" spans="2:16">
      <c r="B50" s="5" t="s">
        <v>50</v>
      </c>
      <c r="D50" s="20"/>
      <c r="E50" s="21"/>
      <c r="F50" s="21">
        <f>1+(C38+C47+C48)/(1-(C38+C47+C48))</f>
        <v>2</v>
      </c>
      <c r="G50" s="21"/>
      <c r="H50" s="21"/>
      <c r="I50" s="21"/>
      <c r="J50" s="21"/>
      <c r="K50" s="21"/>
      <c r="L50" s="21"/>
      <c r="N50" s="21"/>
      <c r="O50" s="21"/>
      <c r="P50" s="21"/>
    </row>
    <row r="51" s="3" customFormat="1" ht="14.25" spans="2:16">
      <c r="B51" s="3" t="s">
        <v>51</v>
      </c>
      <c r="C51" s="3" t="s">
        <v>52</v>
      </c>
      <c r="D51" s="10" t="s">
        <v>4</v>
      </c>
      <c r="E51" s="13" t="s">
        <v>53</v>
      </c>
      <c r="F51" s="13" t="s">
        <v>54</v>
      </c>
      <c r="G51" s="13" t="s">
        <v>55</v>
      </c>
      <c r="H51" s="13" t="s">
        <v>56</v>
      </c>
      <c r="I51" s="13" t="s">
        <v>57</v>
      </c>
      <c r="J51" s="13" t="s">
        <v>58</v>
      </c>
      <c r="K51" s="13" t="s">
        <v>59</v>
      </c>
      <c r="L51" s="13" t="s">
        <v>60</v>
      </c>
      <c r="N51" s="13"/>
      <c r="O51" s="13"/>
      <c r="P51" s="13"/>
    </row>
    <row r="52" customFormat="1" ht="14.25" spans="2:12">
      <c r="B52" s="7" t="s">
        <v>119</v>
      </c>
      <c r="C52" s="7" t="s">
        <v>23</v>
      </c>
      <c r="D52" s="7">
        <v>3</v>
      </c>
      <c r="E52" s="7">
        <v>1</v>
      </c>
      <c r="G52">
        <v>1</v>
      </c>
      <c r="H52">
        <v>1</v>
      </c>
      <c r="I52">
        <f>$E$3*E52</f>
        <v>500</v>
      </c>
      <c r="J52">
        <f t="shared" ref="J52:J56" si="5">I52</f>
        <v>500</v>
      </c>
      <c r="K52">
        <f>F3*H52</f>
        <v>1e-6</v>
      </c>
      <c r="L52">
        <f t="shared" ref="L52:L56" si="6">J52*K52</f>
        <v>0.0005</v>
      </c>
    </row>
    <row r="53" customFormat="1" ht="14.25" spans="2:12">
      <c r="B53" s="7" t="s">
        <v>120</v>
      </c>
      <c r="C53" s="7" t="s">
        <v>23</v>
      </c>
      <c r="D53" s="7">
        <v>3</v>
      </c>
      <c r="E53" s="7">
        <v>1</v>
      </c>
      <c r="G53">
        <v>1</v>
      </c>
      <c r="H53">
        <v>1</v>
      </c>
      <c r="I53">
        <f>$E$4*E53</f>
        <v>300</v>
      </c>
      <c r="J53">
        <f t="shared" si="5"/>
        <v>300</v>
      </c>
      <c r="K53">
        <f>F4*H53</f>
        <v>2e-6</v>
      </c>
      <c r="L53">
        <f t="shared" si="6"/>
        <v>0.0006</v>
      </c>
    </row>
    <row r="54" customFormat="1" ht="14.25" spans="2:14">
      <c r="B54" s="3" t="s">
        <v>51</v>
      </c>
      <c r="C54" s="3" t="s">
        <v>52</v>
      </c>
      <c r="D54" s="10" t="s">
        <v>4</v>
      </c>
      <c r="E54" s="13" t="s">
        <v>53</v>
      </c>
      <c r="F54" s="13" t="s">
        <v>54</v>
      </c>
      <c r="G54" s="13" t="s">
        <v>55</v>
      </c>
      <c r="H54" s="13" t="s">
        <v>56</v>
      </c>
      <c r="I54" s="13" t="s">
        <v>57</v>
      </c>
      <c r="J54" s="13" t="s">
        <v>58</v>
      </c>
      <c r="K54" s="13" t="s">
        <v>59</v>
      </c>
      <c r="L54" s="13" t="s">
        <v>60</v>
      </c>
      <c r="N54" s="18"/>
    </row>
    <row r="55" customFormat="1" ht="14.25" spans="2:12">
      <c r="B55" s="7" t="s">
        <v>121</v>
      </c>
      <c r="C55" s="7" t="s">
        <v>34</v>
      </c>
      <c r="D55" s="7">
        <v>3</v>
      </c>
      <c r="E55" s="23">
        <v>12</v>
      </c>
      <c r="F55" t="s">
        <v>125</v>
      </c>
      <c r="G55">
        <f>0.7*0.7+0.7*0.3*0.7*2</f>
        <v>0.784</v>
      </c>
      <c r="H55">
        <f>G55</f>
        <v>0.784</v>
      </c>
      <c r="I55">
        <f>$E$5*E55</f>
        <v>240</v>
      </c>
      <c r="J55">
        <f t="shared" si="5"/>
        <v>240</v>
      </c>
      <c r="K55">
        <f>$F$5*H55</f>
        <v>3.136e-6</v>
      </c>
      <c r="L55">
        <f t="shared" si="6"/>
        <v>0.00075264</v>
      </c>
    </row>
    <row r="56" customFormat="1" ht="14.25" spans="2:12">
      <c r="B56" s="24"/>
      <c r="C56" s="24"/>
      <c r="D56" s="7"/>
      <c r="E56" s="25">
        <v>18</v>
      </c>
      <c r="F56" t="s">
        <v>126</v>
      </c>
      <c r="G56">
        <f>0.3*0.3+0.7*0.3*0.3*2</f>
        <v>0.216</v>
      </c>
      <c r="H56">
        <f>G56</f>
        <v>0.216</v>
      </c>
      <c r="I56">
        <f>$E$5*E56</f>
        <v>360</v>
      </c>
      <c r="J56">
        <f t="shared" si="5"/>
        <v>360</v>
      </c>
      <c r="K56">
        <f>$F$5*H56</f>
        <v>8.64e-7</v>
      </c>
      <c r="L56">
        <f t="shared" si="6"/>
        <v>0.00031104</v>
      </c>
    </row>
    <row r="57" s="4" customFormat="1" ht="14.25" spans="2:12">
      <c r="B57" s="26"/>
      <c r="C57" s="26"/>
      <c r="D57" s="27"/>
      <c r="E57" s="28"/>
      <c r="F57" s="4" t="s">
        <v>42</v>
      </c>
      <c r="H57" s="4">
        <f t="shared" ref="H57:L57" si="7">SUM(H55:H56)</f>
        <v>1</v>
      </c>
      <c r="K57" s="4">
        <f t="shared" si="7"/>
        <v>4e-6</v>
      </c>
      <c r="L57" s="4">
        <f t="shared" si="7"/>
        <v>0.00106368</v>
      </c>
    </row>
    <row r="58" customFormat="1" ht="14.25" spans="2:14">
      <c r="B58" s="3" t="s">
        <v>51</v>
      </c>
      <c r="C58" s="3" t="s">
        <v>52</v>
      </c>
      <c r="D58" s="10" t="s">
        <v>4</v>
      </c>
      <c r="E58" s="13" t="s">
        <v>53</v>
      </c>
      <c r="F58" s="13" t="s">
        <v>54</v>
      </c>
      <c r="G58" s="13" t="s">
        <v>55</v>
      </c>
      <c r="H58" s="13" t="s">
        <v>56</v>
      </c>
      <c r="I58" s="13" t="s">
        <v>57</v>
      </c>
      <c r="J58" s="13" t="s">
        <v>58</v>
      </c>
      <c r="K58" s="13" t="s">
        <v>59</v>
      </c>
      <c r="L58" s="13" t="s">
        <v>60</v>
      </c>
      <c r="N58" s="18"/>
    </row>
    <row r="59" customFormat="1" ht="14.25" spans="2:14">
      <c r="B59" s="3" t="s">
        <v>26</v>
      </c>
      <c r="C59" s="3" t="s">
        <v>27</v>
      </c>
      <c r="D59" s="10">
        <v>3</v>
      </c>
      <c r="E59" s="18">
        <v>1</v>
      </c>
      <c r="F59" s="18" t="s">
        <v>61</v>
      </c>
      <c r="G59" s="18">
        <v>1</v>
      </c>
      <c r="H59" s="18">
        <v>1</v>
      </c>
      <c r="I59">
        <f>$E$6*E59</f>
        <v>10</v>
      </c>
      <c r="J59" s="32">
        <f>I59+3*F49+1.5*F49</f>
        <v>25.68399625</v>
      </c>
      <c r="K59" s="14">
        <f>$F$6*H59</f>
        <v>0.002</v>
      </c>
      <c r="L59" s="33">
        <f t="shared" ref="L59:L68" si="8">J59*K59</f>
        <v>0.0513679925</v>
      </c>
      <c r="N59" s="18"/>
    </row>
    <row r="60" s="4" customFormat="1" spans="6:12">
      <c r="F60" s="4" t="s">
        <v>42</v>
      </c>
      <c r="G60" s="4">
        <f t="shared" ref="G60:L60" si="9">G59</f>
        <v>1</v>
      </c>
      <c r="H60" s="4">
        <f t="shared" si="9"/>
        <v>1</v>
      </c>
      <c r="K60" s="4">
        <f t="shared" si="9"/>
        <v>0.002</v>
      </c>
      <c r="L60" s="4">
        <f t="shared" si="9"/>
        <v>0.0513679925</v>
      </c>
    </row>
    <row r="61" customFormat="1" ht="14.25" spans="2:14">
      <c r="B61" s="3" t="s">
        <v>51</v>
      </c>
      <c r="C61" s="3" t="s">
        <v>52</v>
      </c>
      <c r="D61" s="10" t="s">
        <v>4</v>
      </c>
      <c r="E61" s="13" t="s">
        <v>53</v>
      </c>
      <c r="F61" s="13" t="s">
        <v>54</v>
      </c>
      <c r="G61" s="13" t="s">
        <v>55</v>
      </c>
      <c r="H61" s="13" t="s">
        <v>56</v>
      </c>
      <c r="I61" s="13" t="s">
        <v>57</v>
      </c>
      <c r="J61" s="13" t="s">
        <v>58</v>
      </c>
      <c r="K61" s="13" t="s">
        <v>59</v>
      </c>
      <c r="L61" s="13" t="s">
        <v>60</v>
      </c>
      <c r="M61" t="s">
        <v>71</v>
      </c>
      <c r="N61" s="18"/>
    </row>
    <row r="62" customFormat="1" ht="14.25" spans="2:13">
      <c r="B62" s="7" t="s">
        <v>28</v>
      </c>
      <c r="C62" s="7" t="s">
        <v>27</v>
      </c>
      <c r="D62" s="7">
        <v>3</v>
      </c>
      <c r="E62">
        <v>1</v>
      </c>
      <c r="F62" s="29" t="s">
        <v>127</v>
      </c>
      <c r="G62">
        <f>(1-($K$7+$L$7))*(1-($M$7+$N$7))*(1-($O$7+$P$7))</f>
        <v>0.729</v>
      </c>
      <c r="H62">
        <f t="shared" ref="H62:H64" si="10">G62</f>
        <v>0.729</v>
      </c>
      <c r="I62">
        <f t="shared" ref="I62:I67" si="11">$E$7*E62</f>
        <v>20</v>
      </c>
      <c r="J62">
        <f t="shared" ref="J62:J67" si="12">I62</f>
        <v>20</v>
      </c>
      <c r="K62">
        <f t="shared" ref="K62:K68" si="13">$F$7*H62</f>
        <v>0.002916</v>
      </c>
      <c r="L62">
        <f t="shared" si="8"/>
        <v>0.05832</v>
      </c>
      <c r="M62">
        <f t="shared" ref="M62:M68" si="14">E62*H62</f>
        <v>0.729</v>
      </c>
    </row>
    <row r="63" customFormat="1" spans="5:13">
      <c r="E63">
        <v>2</v>
      </c>
      <c r="F63" s="29" t="s">
        <v>128</v>
      </c>
      <c r="G63">
        <f>$L$7*(1-($M$7+$N$7))*(1-($O$7+$P$7))+(1-($K$7+$L$7))*$N$7*(1-($O$7+$P$7))+(1-($K$7+$L$7))*(1-($M$7+$N$7))*$P$7</f>
        <v>0.1701</v>
      </c>
      <c r="H63">
        <f t="shared" si="10"/>
        <v>0.1701</v>
      </c>
      <c r="I63">
        <f t="shared" si="11"/>
        <v>40</v>
      </c>
      <c r="J63">
        <f t="shared" si="12"/>
        <v>40</v>
      </c>
      <c r="K63">
        <f t="shared" si="13"/>
        <v>0.0006804</v>
      </c>
      <c r="L63">
        <f t="shared" si="8"/>
        <v>0.027216</v>
      </c>
      <c r="M63">
        <f t="shared" si="14"/>
        <v>0.3402</v>
      </c>
    </row>
    <row r="64" customFormat="1" spans="5:13">
      <c r="E64">
        <v>3</v>
      </c>
      <c r="F64" s="29" t="s">
        <v>129</v>
      </c>
      <c r="G64">
        <f>$K$7*(1-($M$7+$N$7))*(1-($O$7+$P$7))+(1-($K$7+$L$7))*$M$7*(1-($O$7+$P$7))+(1-($K$7+$L$7))*(1-($M$7+$N$7))*$O$7</f>
        <v>0.0729</v>
      </c>
      <c r="H64">
        <f t="shared" si="10"/>
        <v>0.0729</v>
      </c>
      <c r="I64">
        <f t="shared" si="11"/>
        <v>60</v>
      </c>
      <c r="J64">
        <f t="shared" si="12"/>
        <v>60</v>
      </c>
      <c r="K64">
        <f t="shared" si="13"/>
        <v>0.0002916</v>
      </c>
      <c r="L64">
        <f t="shared" si="8"/>
        <v>0.017496</v>
      </c>
      <c r="M64">
        <f t="shared" si="14"/>
        <v>0.2187</v>
      </c>
    </row>
    <row r="65" customFormat="1" spans="5:13">
      <c r="E65">
        <v>4</v>
      </c>
      <c r="F65" s="29" t="s">
        <v>130</v>
      </c>
      <c r="G65">
        <f>$L$7*$N$7*(1-($O$7+$P$7))+$L$7*(1-($M$7+$N$7))*$P$7+(1-($K$7+$L$7))*$N$7*$P$7</f>
        <v>0.01323</v>
      </c>
      <c r="H65">
        <f>G65+$L$7*$N$7*$P$7</f>
        <v>0.013573</v>
      </c>
      <c r="I65">
        <f t="shared" si="11"/>
        <v>80</v>
      </c>
      <c r="J65">
        <f t="shared" si="12"/>
        <v>80</v>
      </c>
      <c r="K65">
        <f t="shared" si="13"/>
        <v>5.4292e-5</v>
      </c>
      <c r="L65">
        <f t="shared" si="8"/>
        <v>0.00434336</v>
      </c>
      <c r="M65">
        <f t="shared" si="14"/>
        <v>0.054292</v>
      </c>
    </row>
    <row r="66" customFormat="1" spans="5:13">
      <c r="E66">
        <v>6</v>
      </c>
      <c r="F66" s="14" t="s">
        <v>131</v>
      </c>
      <c r="G66">
        <f>$K$7*$N$7*(1-($O$7+$P$7))+$L$7*$M$7*(1-($O$7+$P$7))+$K$7*(1-($M$7+$N$7))*$P$7+$L$7*(1-($M$7+$N$7))*$O$7+(1-($K$7+$L$7))*$N$7*$O$7+(1-($K$7+$L$7))*$M$7*$P$7</f>
        <v>0.01134</v>
      </c>
      <c r="H66">
        <f>G66+($G$68-$K$7*$M$7*$O$7-$L$7*$N$7*$P$7)</f>
        <v>0.01197</v>
      </c>
      <c r="I66">
        <f t="shared" si="11"/>
        <v>120</v>
      </c>
      <c r="J66">
        <f t="shared" si="12"/>
        <v>120</v>
      </c>
      <c r="K66">
        <f t="shared" si="13"/>
        <v>4.788e-5</v>
      </c>
      <c r="L66">
        <f t="shared" si="8"/>
        <v>0.0057456</v>
      </c>
      <c r="M66">
        <f t="shared" si="14"/>
        <v>0.07182</v>
      </c>
    </row>
    <row r="67" customFormat="1" spans="5:13">
      <c r="E67">
        <v>9</v>
      </c>
      <c r="F67" s="14" t="s">
        <v>132</v>
      </c>
      <c r="G67">
        <f>$K$7*$M$7*(1-($O$7+$P$7))+(1-($K$7+$L$7))*$M$7*$O$7+$K$7*(1-($M$7+$N$7))*$O$7</f>
        <v>0.00243</v>
      </c>
      <c r="H67">
        <f>G67+$K$7*$M$7*$O$7</f>
        <v>0.002457</v>
      </c>
      <c r="I67">
        <f t="shared" si="11"/>
        <v>180</v>
      </c>
      <c r="J67">
        <f t="shared" si="12"/>
        <v>180</v>
      </c>
      <c r="K67">
        <f t="shared" si="13"/>
        <v>9.828e-6</v>
      </c>
      <c r="L67">
        <f t="shared" si="8"/>
        <v>0.00176904</v>
      </c>
      <c r="M67">
        <f t="shared" si="14"/>
        <v>0.022113</v>
      </c>
    </row>
    <row r="68" customFormat="1" spans="5:13">
      <c r="E68">
        <v>0</v>
      </c>
      <c r="F68" s="34" t="s">
        <v>133</v>
      </c>
      <c r="G68">
        <f>($K$7+$L$7)*($M$7+$N$7)*($O$7+$P$7)</f>
        <v>0.001</v>
      </c>
      <c r="H68">
        <v>0</v>
      </c>
      <c r="I68">
        <v>0</v>
      </c>
      <c r="J68">
        <v>0</v>
      </c>
      <c r="K68">
        <f t="shared" si="13"/>
        <v>0</v>
      </c>
      <c r="L68">
        <f t="shared" si="8"/>
        <v>0</v>
      </c>
      <c r="M68">
        <f t="shared" si="14"/>
        <v>0</v>
      </c>
    </row>
    <row r="69" s="4" customFormat="1" spans="6:13">
      <c r="F69" s="4" t="s">
        <v>42</v>
      </c>
      <c r="G69" s="4">
        <f t="shared" ref="G69:M69" si="15">SUM(G62:G68)</f>
        <v>1</v>
      </c>
      <c r="H69" s="4">
        <f t="shared" si="15"/>
        <v>1</v>
      </c>
      <c r="K69" s="4">
        <f t="shared" si="15"/>
        <v>0.004</v>
      </c>
      <c r="L69" s="4">
        <f t="shared" si="15"/>
        <v>0.11489</v>
      </c>
      <c r="M69" s="4">
        <f t="shared" si="15"/>
        <v>1.436125</v>
      </c>
    </row>
    <row r="70" customFormat="1" ht="14.25" spans="2:14">
      <c r="B70" s="3" t="s">
        <v>51</v>
      </c>
      <c r="C70" s="3" t="s">
        <v>52</v>
      </c>
      <c r="D70" s="10" t="s">
        <v>4</v>
      </c>
      <c r="E70" s="13" t="s">
        <v>53</v>
      </c>
      <c r="F70" s="13" t="s">
        <v>54</v>
      </c>
      <c r="G70" s="13" t="s">
        <v>55</v>
      </c>
      <c r="H70" s="13" t="s">
        <v>56</v>
      </c>
      <c r="I70" s="13" t="s">
        <v>57</v>
      </c>
      <c r="J70" s="13" t="s">
        <v>58</v>
      </c>
      <c r="K70" s="13" t="s">
        <v>59</v>
      </c>
      <c r="L70" s="13" t="s">
        <v>60</v>
      </c>
      <c r="M70" t="s">
        <v>71</v>
      </c>
      <c r="N70" s="18"/>
    </row>
    <row r="71" customFormat="1" ht="14.25" spans="2:13">
      <c r="B71" s="7" t="s">
        <v>122</v>
      </c>
      <c r="C71" s="7" t="s">
        <v>27</v>
      </c>
      <c r="D71" s="7">
        <v>3</v>
      </c>
      <c r="E71">
        <v>1</v>
      </c>
      <c r="F71" s="29" t="s">
        <v>134</v>
      </c>
      <c r="G71">
        <f>(1-($K$7+$L$7))*(1-($M$7+$N$7))*(1-($O$7+$P$7))</f>
        <v>0.729</v>
      </c>
      <c r="H71">
        <f t="shared" ref="H71:H73" si="16">G71</f>
        <v>0.729</v>
      </c>
      <c r="I71">
        <f t="shared" ref="I71:I77" si="17">$E$8*E71</f>
        <v>15</v>
      </c>
      <c r="J71">
        <f t="shared" ref="J71:J76" si="18">I71</f>
        <v>15</v>
      </c>
      <c r="K71">
        <f t="shared" ref="K71:K77" si="19">$F$8*H71</f>
        <v>0.005832</v>
      </c>
      <c r="L71">
        <f t="shared" ref="L71:L77" si="20">J71*K71</f>
        <v>0.08748</v>
      </c>
      <c r="M71">
        <f t="shared" ref="M71:M77" si="21">E71*H71</f>
        <v>0.729</v>
      </c>
    </row>
    <row r="72" customFormat="1" spans="5:13">
      <c r="E72">
        <v>2</v>
      </c>
      <c r="F72" s="29" t="s">
        <v>135</v>
      </c>
      <c r="G72">
        <f>$L$7*(1-($M$7+$N$7))*(1-($O$7+$P$7))+(1-($K$7+$L$7))*$N$7*(1-($O$7+$P$7))+(1-($K$7+$L$7))*(1-($M$7+$N$7))*$P$7</f>
        <v>0.1701</v>
      </c>
      <c r="H72">
        <f t="shared" si="16"/>
        <v>0.1701</v>
      </c>
      <c r="I72">
        <f t="shared" si="17"/>
        <v>30</v>
      </c>
      <c r="J72">
        <f t="shared" si="18"/>
        <v>30</v>
      </c>
      <c r="K72">
        <f t="shared" si="19"/>
        <v>0.0013608</v>
      </c>
      <c r="L72">
        <f t="shared" si="20"/>
        <v>0.040824</v>
      </c>
      <c r="M72">
        <f t="shared" si="21"/>
        <v>0.3402</v>
      </c>
    </row>
    <row r="73" customFormat="1" spans="5:13">
      <c r="E73">
        <v>3</v>
      </c>
      <c r="F73" s="29" t="s">
        <v>136</v>
      </c>
      <c r="G73">
        <f>$K$7*(1-($M$7+$N$7))*(1-($O$7+$P$7))+(1-($K$7+$L$7))*$M$7*(1-($O$7+$P$7))+(1-($K$7+$L$7))*(1-($M$7+$N$7))*$O$7</f>
        <v>0.0729</v>
      </c>
      <c r="H73">
        <f t="shared" si="16"/>
        <v>0.0729</v>
      </c>
      <c r="I73">
        <f t="shared" si="17"/>
        <v>45</v>
      </c>
      <c r="J73">
        <f t="shared" si="18"/>
        <v>45</v>
      </c>
      <c r="K73">
        <f t="shared" si="19"/>
        <v>0.0005832</v>
      </c>
      <c r="L73">
        <f t="shared" si="20"/>
        <v>0.026244</v>
      </c>
      <c r="M73">
        <f t="shared" si="21"/>
        <v>0.2187</v>
      </c>
    </row>
    <row r="74" customFormat="1" spans="5:13">
      <c r="E74">
        <v>4</v>
      </c>
      <c r="F74" s="29" t="s">
        <v>137</v>
      </c>
      <c r="G74">
        <f>$L$7*$N$7*(1-($O$7+$P$7))+$L$7*(1-($M$7+$N$7))*$P$7+(1-($K$7+$L$7))*$N$7*$P$7</f>
        <v>0.01323</v>
      </c>
      <c r="H74">
        <f>G74+$L$7*$N$7*$P$7</f>
        <v>0.013573</v>
      </c>
      <c r="I74">
        <f t="shared" si="17"/>
        <v>60</v>
      </c>
      <c r="J74">
        <f t="shared" si="18"/>
        <v>60</v>
      </c>
      <c r="K74">
        <f t="shared" si="19"/>
        <v>0.000108584</v>
      </c>
      <c r="L74">
        <f t="shared" si="20"/>
        <v>0.00651504</v>
      </c>
      <c r="M74">
        <f t="shared" si="21"/>
        <v>0.054292</v>
      </c>
    </row>
    <row r="75" customFormat="1" spans="5:13">
      <c r="E75">
        <v>6</v>
      </c>
      <c r="F75" s="14" t="s">
        <v>138</v>
      </c>
      <c r="G75">
        <f>$K$7*$N$7*(1-($O$7+$P$7))+$L$7*$M$7*(1-($O$7+$P$7))+$K$7*(1-($M$7+$N$7))*$P$7+$L$7*(1-($M$7+$N$7))*$O$7+(1-($K$7+$L$7))*$N$7*$O$7+(1-($K$7+$L$7))*$M$7*$P$7</f>
        <v>0.01134</v>
      </c>
      <c r="H75">
        <f>G75+($G$68-$K$7*$M$7*$O$7-$L$7*$N$7*$P$7)</f>
        <v>0.01197</v>
      </c>
      <c r="I75">
        <f t="shared" si="17"/>
        <v>90</v>
      </c>
      <c r="J75">
        <f t="shared" si="18"/>
        <v>90</v>
      </c>
      <c r="K75">
        <f t="shared" si="19"/>
        <v>9.576e-5</v>
      </c>
      <c r="L75">
        <f t="shared" si="20"/>
        <v>0.0086184</v>
      </c>
      <c r="M75">
        <f t="shared" si="21"/>
        <v>0.07182</v>
      </c>
    </row>
    <row r="76" customFormat="1" spans="5:13">
      <c r="E76">
        <v>9</v>
      </c>
      <c r="F76" s="14" t="s">
        <v>139</v>
      </c>
      <c r="G76">
        <f>$K$7*$M$7*(1-($O$7+$P$7))+(1-($K$7+$L$7))*$M$7*$O$7+$K$7*(1-($M$7+$N$7))*$O$7</f>
        <v>0.00243</v>
      </c>
      <c r="H76">
        <f>G76+$K$7*$M$7*$O$7</f>
        <v>0.002457</v>
      </c>
      <c r="I76">
        <f t="shared" si="17"/>
        <v>135</v>
      </c>
      <c r="J76">
        <f t="shared" si="18"/>
        <v>135</v>
      </c>
      <c r="K76">
        <f t="shared" si="19"/>
        <v>1.9656e-5</v>
      </c>
      <c r="L76">
        <f t="shared" si="20"/>
        <v>0.00265356</v>
      </c>
      <c r="M76">
        <f t="shared" si="21"/>
        <v>0.022113</v>
      </c>
    </row>
    <row r="77" customFormat="1" spans="5:13">
      <c r="E77">
        <v>0</v>
      </c>
      <c r="F77" s="34" t="s">
        <v>133</v>
      </c>
      <c r="G77">
        <f>($K$7+$L$7)*($M$7+$N$7)*($O$7+$P$7)</f>
        <v>0.001</v>
      </c>
      <c r="H77">
        <v>0</v>
      </c>
      <c r="I77">
        <f t="shared" si="17"/>
        <v>0</v>
      </c>
      <c r="J77">
        <v>0</v>
      </c>
      <c r="K77">
        <f t="shared" si="19"/>
        <v>0</v>
      </c>
      <c r="L77">
        <f t="shared" si="20"/>
        <v>0</v>
      </c>
      <c r="M77">
        <f t="shared" si="21"/>
        <v>0</v>
      </c>
    </row>
    <row r="78" s="4" customFormat="1" spans="6:13">
      <c r="F78" s="4" t="s">
        <v>42</v>
      </c>
      <c r="G78" s="4">
        <f t="shared" ref="G78:M78" si="22">SUM(G71:G77)</f>
        <v>1</v>
      </c>
      <c r="H78" s="4">
        <f t="shared" si="22"/>
        <v>1</v>
      </c>
      <c r="K78" s="4">
        <f t="shared" si="22"/>
        <v>0.008</v>
      </c>
      <c r="L78" s="4">
        <f t="shared" si="22"/>
        <v>0.172335</v>
      </c>
      <c r="M78" s="4">
        <f t="shared" si="22"/>
        <v>1.436125</v>
      </c>
    </row>
    <row r="79" customFormat="1" ht="14.25" spans="2:14">
      <c r="B79" s="3" t="s">
        <v>51</v>
      </c>
      <c r="C79" s="3" t="s">
        <v>52</v>
      </c>
      <c r="D79" s="10" t="s">
        <v>4</v>
      </c>
      <c r="E79" s="13" t="s">
        <v>53</v>
      </c>
      <c r="F79" s="13" t="s">
        <v>54</v>
      </c>
      <c r="G79" s="13" t="s">
        <v>55</v>
      </c>
      <c r="H79" s="13" t="s">
        <v>56</v>
      </c>
      <c r="I79" s="13" t="s">
        <v>57</v>
      </c>
      <c r="J79" s="13" t="s">
        <v>58</v>
      </c>
      <c r="K79" s="13" t="s">
        <v>59</v>
      </c>
      <c r="L79" s="13" t="s">
        <v>60</v>
      </c>
      <c r="M79" t="s">
        <v>71</v>
      </c>
      <c r="N79" s="18"/>
    </row>
    <row r="80" customFormat="1" ht="14.25" spans="2:13">
      <c r="B80" s="7" t="s">
        <v>29</v>
      </c>
      <c r="C80" s="7" t="s">
        <v>27</v>
      </c>
      <c r="D80" s="7">
        <v>3</v>
      </c>
      <c r="E80">
        <v>1</v>
      </c>
      <c r="F80" s="29" t="s">
        <v>140</v>
      </c>
      <c r="G80">
        <f>(1-($K$7+$L$7))*(1-($M$7+$N$7))*(1-($O$7+$P$7))</f>
        <v>0.729</v>
      </c>
      <c r="H80">
        <f t="shared" ref="H80:H82" si="23">G80</f>
        <v>0.729</v>
      </c>
      <c r="I80">
        <f t="shared" ref="I80:I86" si="24">$E$9*E80</f>
        <v>10</v>
      </c>
      <c r="J80">
        <f t="shared" ref="J80:J85" si="25">I80</f>
        <v>10</v>
      </c>
      <c r="K80">
        <f t="shared" ref="K80:K86" si="26">$F$9*H80</f>
        <v>0.008748</v>
      </c>
      <c r="L80">
        <f t="shared" ref="L80:L86" si="27">J80*K80</f>
        <v>0.08748</v>
      </c>
      <c r="M80">
        <f t="shared" ref="M80:M86" si="28">E80*H80</f>
        <v>0.729</v>
      </c>
    </row>
    <row r="81" customFormat="1" spans="5:13">
      <c r="E81">
        <v>2</v>
      </c>
      <c r="F81" s="29" t="s">
        <v>141</v>
      </c>
      <c r="G81">
        <f>$L$7*(1-($M$7+$N$7))*(1-($O$7+$P$7))+(1-($K$7+$L$7))*$N$7*(1-($O$7+$P$7))+(1-($K$7+$L$7))*(1-($M$7+$N$7))*$P$7</f>
        <v>0.1701</v>
      </c>
      <c r="H81">
        <f t="shared" si="23"/>
        <v>0.1701</v>
      </c>
      <c r="I81">
        <f t="shared" si="24"/>
        <v>20</v>
      </c>
      <c r="J81">
        <f t="shared" si="25"/>
        <v>20</v>
      </c>
      <c r="K81">
        <f t="shared" si="26"/>
        <v>0.0020412</v>
      </c>
      <c r="L81">
        <f t="shared" si="27"/>
        <v>0.040824</v>
      </c>
      <c r="M81">
        <f t="shared" si="28"/>
        <v>0.3402</v>
      </c>
    </row>
    <row r="82" customFormat="1" spans="5:13">
      <c r="E82">
        <v>3</v>
      </c>
      <c r="F82" s="29" t="s">
        <v>142</v>
      </c>
      <c r="G82">
        <f>$K$7*(1-($M$7+$N$7))*(1-($O$7+$P$7))+(1-($K$7+$L$7))*$M$7*(1-($O$7+$P$7))+(1-($K$7+$L$7))*(1-($M$7+$N$7))*$O$7</f>
        <v>0.0729</v>
      </c>
      <c r="H82">
        <f t="shared" si="23"/>
        <v>0.0729</v>
      </c>
      <c r="I82">
        <f t="shared" si="24"/>
        <v>30</v>
      </c>
      <c r="J82">
        <f t="shared" si="25"/>
        <v>30</v>
      </c>
      <c r="K82">
        <f t="shared" si="26"/>
        <v>0.0008748</v>
      </c>
      <c r="L82">
        <f t="shared" si="27"/>
        <v>0.026244</v>
      </c>
      <c r="M82">
        <f t="shared" si="28"/>
        <v>0.2187</v>
      </c>
    </row>
    <row r="83" customFormat="1" spans="5:13">
      <c r="E83">
        <v>4</v>
      </c>
      <c r="F83" s="29" t="s">
        <v>143</v>
      </c>
      <c r="G83">
        <f>$L$7*$N$7*(1-($O$7+$P$7))+$L$7*(1-($M$7+$N$7))*$P$7+(1-($K$7+$L$7))*$N$7*$P$7</f>
        <v>0.01323</v>
      </c>
      <c r="H83">
        <f>G83+$L$7*$N$7*$P$7</f>
        <v>0.013573</v>
      </c>
      <c r="I83">
        <f t="shared" si="24"/>
        <v>40</v>
      </c>
      <c r="J83">
        <f t="shared" si="25"/>
        <v>40</v>
      </c>
      <c r="K83">
        <f t="shared" si="26"/>
        <v>0.000162876</v>
      </c>
      <c r="L83">
        <f t="shared" si="27"/>
        <v>0.00651504</v>
      </c>
      <c r="M83">
        <f t="shared" si="28"/>
        <v>0.054292</v>
      </c>
    </row>
    <row r="84" customFormat="1" spans="5:13">
      <c r="E84">
        <v>6</v>
      </c>
      <c r="F84" s="14" t="s">
        <v>144</v>
      </c>
      <c r="G84">
        <f>$K$7*$N$7*(1-($O$7+$P$7))+$L$7*$M$7*(1-($O$7+$P$7))+$K$7*(1-($M$7+$N$7))*$P$7+$L$7*(1-($M$7+$N$7))*$O$7+(1-($K$7+$L$7))*$N$7*$O$7+(1-($K$7+$L$7))*$M$7*$P$7</f>
        <v>0.01134</v>
      </c>
      <c r="H84">
        <f>G84+($G$68-$K$7*$M$7*$O$7-$L$7*$N$7*$P$7)</f>
        <v>0.01197</v>
      </c>
      <c r="I84">
        <f t="shared" si="24"/>
        <v>60</v>
      </c>
      <c r="J84">
        <f t="shared" si="25"/>
        <v>60</v>
      </c>
      <c r="K84">
        <f t="shared" si="26"/>
        <v>0.00014364</v>
      </c>
      <c r="L84">
        <f t="shared" si="27"/>
        <v>0.0086184</v>
      </c>
      <c r="M84">
        <f t="shared" si="28"/>
        <v>0.07182</v>
      </c>
    </row>
    <row r="85" customFormat="1" spans="5:13">
      <c r="E85">
        <v>9</v>
      </c>
      <c r="F85" s="14" t="s">
        <v>145</v>
      </c>
      <c r="G85">
        <f>$K$7*$M$7*(1-($O$7+$P$7))+(1-($K$7+$L$7))*$M$7*$O$7+$K$7*(1-($M$7+$N$7))*$O$7</f>
        <v>0.00243</v>
      </c>
      <c r="H85">
        <f>G85+$K$7*$M$7*$O$7</f>
        <v>0.002457</v>
      </c>
      <c r="I85">
        <f t="shared" si="24"/>
        <v>90</v>
      </c>
      <c r="J85">
        <f t="shared" si="25"/>
        <v>90</v>
      </c>
      <c r="K85">
        <f t="shared" si="26"/>
        <v>2.9484e-5</v>
      </c>
      <c r="L85">
        <f t="shared" si="27"/>
        <v>0.00265356</v>
      </c>
      <c r="M85">
        <f t="shared" si="28"/>
        <v>0.022113</v>
      </c>
    </row>
    <row r="86" customFormat="1" spans="5:13">
      <c r="E86">
        <v>0</v>
      </c>
      <c r="F86" s="34" t="s">
        <v>133</v>
      </c>
      <c r="G86">
        <f>($K$7+$L$7)*($M$7+$N$7)*($O$7+$P$7)</f>
        <v>0.001</v>
      </c>
      <c r="H86">
        <v>0</v>
      </c>
      <c r="I86">
        <f t="shared" si="24"/>
        <v>0</v>
      </c>
      <c r="J86">
        <v>0</v>
      </c>
      <c r="K86">
        <f t="shared" si="26"/>
        <v>0</v>
      </c>
      <c r="L86">
        <f t="shared" si="27"/>
        <v>0</v>
      </c>
      <c r="M86">
        <f t="shared" si="28"/>
        <v>0</v>
      </c>
    </row>
    <row r="87" s="4" customFormat="1" spans="6:13">
      <c r="F87" s="4" t="s">
        <v>42</v>
      </c>
      <c r="G87" s="4">
        <f t="shared" ref="G87:M87" si="29">SUM(G80:G86)</f>
        <v>1</v>
      </c>
      <c r="H87" s="4">
        <f t="shared" si="29"/>
        <v>1</v>
      </c>
      <c r="K87" s="4">
        <f t="shared" si="29"/>
        <v>0.012</v>
      </c>
      <c r="L87" s="4">
        <f t="shared" si="29"/>
        <v>0.172335</v>
      </c>
      <c r="M87" s="4">
        <f t="shared" si="29"/>
        <v>1.436125</v>
      </c>
    </row>
    <row r="88" customFormat="1" ht="14.25" spans="2:14">
      <c r="B88" s="3" t="s">
        <v>51</v>
      </c>
      <c r="C88" s="3" t="s">
        <v>52</v>
      </c>
      <c r="D88" s="10" t="s">
        <v>4</v>
      </c>
      <c r="E88" s="13" t="s">
        <v>53</v>
      </c>
      <c r="F88" s="13" t="s">
        <v>54</v>
      </c>
      <c r="G88" s="13" t="s">
        <v>55</v>
      </c>
      <c r="H88" s="13" t="s">
        <v>56</v>
      </c>
      <c r="I88" s="13" t="s">
        <v>57</v>
      </c>
      <c r="J88" s="13" t="s">
        <v>58</v>
      </c>
      <c r="K88" s="13" t="s">
        <v>59</v>
      </c>
      <c r="L88" s="13" t="s">
        <v>60</v>
      </c>
      <c r="M88" t="s">
        <v>71</v>
      </c>
      <c r="N88" s="18"/>
    </row>
    <row r="89" customFormat="1" ht="14.25" spans="2:13">
      <c r="B89" s="7" t="s">
        <v>30</v>
      </c>
      <c r="C89" s="7" t="s">
        <v>27</v>
      </c>
      <c r="D89" s="7">
        <v>3</v>
      </c>
      <c r="E89">
        <v>1</v>
      </c>
      <c r="F89" s="29" t="s">
        <v>146</v>
      </c>
      <c r="G89">
        <f>(1-($K$7+$L$7))*(1-($M$7+$N$7))*(1-($O$7+$P$7))</f>
        <v>0.729</v>
      </c>
      <c r="H89">
        <f t="shared" ref="H89:H91" si="30">G89</f>
        <v>0.729</v>
      </c>
      <c r="I89">
        <f t="shared" ref="I89:I95" si="31">$E$10*E89</f>
        <v>7</v>
      </c>
      <c r="J89">
        <f t="shared" ref="J89:J94" si="32">I89</f>
        <v>7</v>
      </c>
      <c r="K89">
        <f t="shared" ref="K89:K95" si="33">$F$10*H89</f>
        <v>0.01458</v>
      </c>
      <c r="L89">
        <f t="shared" ref="L89:L95" si="34">J89*K89</f>
        <v>0.10206</v>
      </c>
      <c r="M89">
        <f t="shared" ref="M89:M95" si="35">E89*H89</f>
        <v>0.729</v>
      </c>
    </row>
    <row r="90" customFormat="1" spans="5:13">
      <c r="E90">
        <v>2</v>
      </c>
      <c r="F90" s="29" t="s">
        <v>147</v>
      </c>
      <c r="G90">
        <f>$L$7*(1-($M$7+$N$7))*(1-($O$7+$P$7))+(1-($K$7+$L$7))*$N$7*(1-($O$7+$P$7))+(1-($K$7+$L$7))*(1-($M$7+$N$7))*$P$7</f>
        <v>0.1701</v>
      </c>
      <c r="H90">
        <f t="shared" si="30"/>
        <v>0.1701</v>
      </c>
      <c r="I90">
        <f t="shared" si="31"/>
        <v>14</v>
      </c>
      <c r="J90">
        <f t="shared" si="32"/>
        <v>14</v>
      </c>
      <c r="K90">
        <f t="shared" si="33"/>
        <v>0.003402</v>
      </c>
      <c r="L90">
        <f t="shared" si="34"/>
        <v>0.047628</v>
      </c>
      <c r="M90">
        <f t="shared" si="35"/>
        <v>0.3402</v>
      </c>
    </row>
    <row r="91" customFormat="1" spans="5:13">
      <c r="E91">
        <v>3</v>
      </c>
      <c r="F91" s="29" t="s">
        <v>148</v>
      </c>
      <c r="G91">
        <f>$K$7*(1-($M$7+$N$7))*(1-($O$7+$P$7))+(1-($K$7+$L$7))*$M$7*(1-($O$7+$P$7))+(1-($K$7+$L$7))*(1-($M$7+$N$7))*$O$7</f>
        <v>0.0729</v>
      </c>
      <c r="H91">
        <f t="shared" si="30"/>
        <v>0.0729</v>
      </c>
      <c r="I91">
        <f t="shared" si="31"/>
        <v>21</v>
      </c>
      <c r="J91">
        <f t="shared" si="32"/>
        <v>21</v>
      </c>
      <c r="K91">
        <f t="shared" si="33"/>
        <v>0.001458</v>
      </c>
      <c r="L91">
        <f t="shared" si="34"/>
        <v>0.030618</v>
      </c>
      <c r="M91">
        <f t="shared" si="35"/>
        <v>0.2187</v>
      </c>
    </row>
    <row r="92" customFormat="1" spans="5:13">
      <c r="E92">
        <v>4</v>
      </c>
      <c r="F92" s="29" t="s">
        <v>149</v>
      </c>
      <c r="G92">
        <f>$L$7*$N$7*(1-($O$7+$P$7))+$L$7*(1-($M$7+$N$7))*$P$7+(1-($K$7+$L$7))*$N$7*$P$7</f>
        <v>0.01323</v>
      </c>
      <c r="H92">
        <f>G92+$L$7*$N$7*$P$7</f>
        <v>0.013573</v>
      </c>
      <c r="I92">
        <f t="shared" si="31"/>
        <v>28</v>
      </c>
      <c r="J92">
        <f t="shared" si="32"/>
        <v>28</v>
      </c>
      <c r="K92">
        <f t="shared" si="33"/>
        <v>0.00027146</v>
      </c>
      <c r="L92">
        <f t="shared" si="34"/>
        <v>0.00760088</v>
      </c>
      <c r="M92">
        <f t="shared" si="35"/>
        <v>0.054292</v>
      </c>
    </row>
    <row r="93" customFormat="1" spans="5:13">
      <c r="E93">
        <v>6</v>
      </c>
      <c r="F93" s="14" t="s">
        <v>150</v>
      </c>
      <c r="G93">
        <f>$K$7*$N$7*(1-($O$7+$P$7))+$L$7*$M$7*(1-($O$7+$P$7))+$K$7*(1-($M$7+$N$7))*$P$7+$L$7*(1-($M$7+$N$7))*$O$7+(1-($K$7+$L$7))*$N$7*$O$7+(1-($K$7+$L$7))*$M$7*$P$7</f>
        <v>0.01134</v>
      </c>
      <c r="H93">
        <f>G93+($G$68-$K$7*$M$7*$O$7-$L$7*$N$7*$P$7)</f>
        <v>0.01197</v>
      </c>
      <c r="I93">
        <f t="shared" si="31"/>
        <v>42</v>
      </c>
      <c r="J93">
        <f t="shared" si="32"/>
        <v>42</v>
      </c>
      <c r="K93">
        <f t="shared" si="33"/>
        <v>0.0002394</v>
      </c>
      <c r="L93">
        <f t="shared" si="34"/>
        <v>0.0100548</v>
      </c>
      <c r="M93">
        <f t="shared" si="35"/>
        <v>0.07182</v>
      </c>
    </row>
    <row r="94" customFormat="1" spans="5:13">
      <c r="E94">
        <v>9</v>
      </c>
      <c r="F94" s="14" t="s">
        <v>151</v>
      </c>
      <c r="G94">
        <f>$K$7*$M$7*(1-($O$7+$P$7))+(1-($K$7+$L$7))*$M$7*$O$7+$K$7*(1-($M$7+$N$7))*$O$7</f>
        <v>0.00243</v>
      </c>
      <c r="H94">
        <f>G94+$K$7*$M$7*$O$7</f>
        <v>0.002457</v>
      </c>
      <c r="I94">
        <f t="shared" si="31"/>
        <v>63</v>
      </c>
      <c r="J94">
        <f t="shared" si="32"/>
        <v>63</v>
      </c>
      <c r="K94">
        <f t="shared" si="33"/>
        <v>4.914e-5</v>
      </c>
      <c r="L94">
        <f t="shared" si="34"/>
        <v>0.00309582</v>
      </c>
      <c r="M94">
        <f t="shared" si="35"/>
        <v>0.022113</v>
      </c>
    </row>
    <row r="95" customFormat="1" spans="5:13">
      <c r="E95">
        <v>0</v>
      </c>
      <c r="F95" s="34" t="s">
        <v>133</v>
      </c>
      <c r="G95">
        <f>($K$7+$L$7)*($M$7+$N$7)*($O$7+$P$7)</f>
        <v>0.001</v>
      </c>
      <c r="H95">
        <v>0</v>
      </c>
      <c r="I95">
        <f t="shared" si="31"/>
        <v>0</v>
      </c>
      <c r="J95">
        <v>0</v>
      </c>
      <c r="K95">
        <f t="shared" si="33"/>
        <v>0</v>
      </c>
      <c r="L95">
        <f t="shared" si="34"/>
        <v>0</v>
      </c>
      <c r="M95">
        <f t="shared" si="35"/>
        <v>0</v>
      </c>
    </row>
    <row r="96" s="4" customFormat="1" spans="6:13">
      <c r="F96" s="4" t="s">
        <v>42</v>
      </c>
      <c r="G96" s="4">
        <f t="shared" ref="G96:M96" si="36">SUM(G89:G95)</f>
        <v>1</v>
      </c>
      <c r="H96" s="4">
        <f t="shared" si="36"/>
        <v>1</v>
      </c>
      <c r="K96" s="4">
        <f t="shared" si="36"/>
        <v>0.02</v>
      </c>
      <c r="L96" s="4">
        <f t="shared" si="36"/>
        <v>0.2010575</v>
      </c>
      <c r="M96" s="4">
        <f t="shared" si="36"/>
        <v>1.436125</v>
      </c>
    </row>
    <row r="97" customFormat="1" ht="14.25" spans="2:14">
      <c r="B97" s="3" t="s">
        <v>51</v>
      </c>
      <c r="C97" s="3" t="s">
        <v>52</v>
      </c>
      <c r="D97" s="10" t="s">
        <v>4</v>
      </c>
      <c r="E97" s="13" t="s">
        <v>53</v>
      </c>
      <c r="F97" s="13" t="s">
        <v>54</v>
      </c>
      <c r="G97" s="13" t="s">
        <v>55</v>
      </c>
      <c r="H97" s="13" t="s">
        <v>56</v>
      </c>
      <c r="I97" s="13" t="s">
        <v>57</v>
      </c>
      <c r="J97" s="13" t="s">
        <v>58</v>
      </c>
      <c r="K97" s="13" t="s">
        <v>59</v>
      </c>
      <c r="L97" s="13" t="s">
        <v>60</v>
      </c>
      <c r="M97" t="s">
        <v>71</v>
      </c>
      <c r="N97" s="18"/>
    </row>
    <row r="98" customFormat="1" ht="14.25" spans="2:13">
      <c r="B98" s="7" t="s">
        <v>31</v>
      </c>
      <c r="C98" s="7" t="s">
        <v>27</v>
      </c>
      <c r="D98" s="7">
        <v>3</v>
      </c>
      <c r="E98">
        <v>1</v>
      </c>
      <c r="F98" s="29" t="s">
        <v>152</v>
      </c>
      <c r="G98">
        <f>(1-($K$7+$L$7))*(1-($M$7+$N$7))*(1-($O$7+$P$7))</f>
        <v>0.729</v>
      </c>
      <c r="H98">
        <f t="shared" ref="H98:H100" si="37">G98</f>
        <v>0.729</v>
      </c>
      <c r="I98">
        <f t="shared" ref="I98:I104" si="38">$E$11*E98</f>
        <v>5</v>
      </c>
      <c r="J98">
        <f t="shared" ref="J98:J103" si="39">I98</f>
        <v>5</v>
      </c>
      <c r="K98">
        <f t="shared" ref="K98:K104" si="40">$F$11*H98</f>
        <v>0.018225</v>
      </c>
      <c r="L98">
        <f t="shared" ref="L98:L104" si="41">J98*K98</f>
        <v>0.091125</v>
      </c>
      <c r="M98">
        <f t="shared" ref="M98:M104" si="42">E98*H98</f>
        <v>0.729</v>
      </c>
    </row>
    <row r="99" customFormat="1" spans="5:13">
      <c r="E99">
        <v>2</v>
      </c>
      <c r="F99" s="29" t="s">
        <v>153</v>
      </c>
      <c r="G99">
        <f>$L$7*(1-($M$7+$N$7))*(1-($O$7+$P$7))+(1-($K$7+$L$7))*$N$7*(1-($O$7+$P$7))+(1-($K$7+$L$7))*(1-($M$7+$N$7))*$P$7</f>
        <v>0.1701</v>
      </c>
      <c r="H99">
        <f t="shared" si="37"/>
        <v>0.1701</v>
      </c>
      <c r="I99">
        <f t="shared" si="38"/>
        <v>10</v>
      </c>
      <c r="J99">
        <f t="shared" si="39"/>
        <v>10</v>
      </c>
      <c r="K99">
        <f t="shared" si="40"/>
        <v>0.0042525</v>
      </c>
      <c r="L99">
        <f t="shared" si="41"/>
        <v>0.042525</v>
      </c>
      <c r="M99">
        <f t="shared" si="42"/>
        <v>0.3402</v>
      </c>
    </row>
    <row r="100" customFormat="1" spans="5:13">
      <c r="E100">
        <v>3</v>
      </c>
      <c r="F100" s="29" t="s">
        <v>154</v>
      </c>
      <c r="G100">
        <f>$K$7*(1-($M$7+$N$7))*(1-($O$7+$P$7))+(1-($K$7+$L$7))*$M$7*(1-($O$7+$P$7))+(1-($K$7+$L$7))*(1-($M$7+$N$7))*$O$7</f>
        <v>0.0729</v>
      </c>
      <c r="H100">
        <f t="shared" si="37"/>
        <v>0.0729</v>
      </c>
      <c r="I100">
        <f t="shared" si="38"/>
        <v>15</v>
      </c>
      <c r="J100">
        <f t="shared" si="39"/>
        <v>15</v>
      </c>
      <c r="K100">
        <f t="shared" si="40"/>
        <v>0.0018225</v>
      </c>
      <c r="L100">
        <f t="shared" si="41"/>
        <v>0.0273375</v>
      </c>
      <c r="M100">
        <f t="shared" si="42"/>
        <v>0.2187</v>
      </c>
    </row>
    <row r="101" customFormat="1" spans="5:13">
      <c r="E101">
        <v>4</v>
      </c>
      <c r="F101" s="29" t="s">
        <v>155</v>
      </c>
      <c r="G101">
        <f>$L$7*$N$7*(1-($O$7+$P$7))+$L$7*(1-($M$7+$N$7))*$P$7+(1-($K$7+$L$7))*$N$7*$P$7</f>
        <v>0.01323</v>
      </c>
      <c r="H101">
        <f>G101+$L$7*$N$7*$P$7</f>
        <v>0.013573</v>
      </c>
      <c r="I101">
        <f t="shared" si="38"/>
        <v>20</v>
      </c>
      <c r="J101">
        <f t="shared" si="39"/>
        <v>20</v>
      </c>
      <c r="K101">
        <f t="shared" si="40"/>
        <v>0.000339325</v>
      </c>
      <c r="L101">
        <f t="shared" si="41"/>
        <v>0.0067865</v>
      </c>
      <c r="M101">
        <f t="shared" si="42"/>
        <v>0.054292</v>
      </c>
    </row>
    <row r="102" customFormat="1" spans="5:13">
      <c r="E102">
        <v>6</v>
      </c>
      <c r="F102" s="14" t="s">
        <v>156</v>
      </c>
      <c r="G102">
        <f>$K$7*$N$7*(1-($O$7+$P$7))+$L$7*$M$7*(1-($O$7+$P$7))+$K$7*(1-($M$7+$N$7))*$P$7+$L$7*(1-($M$7+$N$7))*$O$7+(1-($K$7+$L$7))*$N$7*$O$7+(1-($K$7+$L$7))*$M$7*$P$7</f>
        <v>0.01134</v>
      </c>
      <c r="H102">
        <f>G102+($G$68-$K$7*$M$7*$O$7-$L$7*$N$7*$P$7)</f>
        <v>0.01197</v>
      </c>
      <c r="I102">
        <f t="shared" si="38"/>
        <v>30</v>
      </c>
      <c r="J102">
        <f t="shared" si="39"/>
        <v>30</v>
      </c>
      <c r="K102">
        <f t="shared" si="40"/>
        <v>0.00029925</v>
      </c>
      <c r="L102">
        <f t="shared" si="41"/>
        <v>0.0089775</v>
      </c>
      <c r="M102">
        <f t="shared" si="42"/>
        <v>0.07182</v>
      </c>
    </row>
    <row r="103" customFormat="1" spans="5:13">
      <c r="E103">
        <v>9</v>
      </c>
      <c r="F103" s="14" t="s">
        <v>157</v>
      </c>
      <c r="G103">
        <f>$K$7*$M$7*(1-($O$7+$P$7))+(1-($K$7+$L$7))*$M$7*$O$7+$K$7*(1-($M$7+$N$7))*$O$7</f>
        <v>0.00243</v>
      </c>
      <c r="H103">
        <f>G103+$K$7*$M$7*$O$7</f>
        <v>0.002457</v>
      </c>
      <c r="I103">
        <f t="shared" si="38"/>
        <v>45</v>
      </c>
      <c r="J103">
        <f t="shared" si="39"/>
        <v>45</v>
      </c>
      <c r="K103">
        <f t="shared" si="40"/>
        <v>6.1425e-5</v>
      </c>
      <c r="L103">
        <f t="shared" si="41"/>
        <v>0.002764125</v>
      </c>
      <c r="M103">
        <f t="shared" si="42"/>
        <v>0.022113</v>
      </c>
    </row>
    <row r="104" customFormat="1" spans="5:13">
      <c r="E104">
        <v>0</v>
      </c>
      <c r="F104" s="34" t="s">
        <v>133</v>
      </c>
      <c r="G104">
        <f>($K$7+$L$7)*($M$7+$N$7)*($O$7+$P$7)</f>
        <v>0.001</v>
      </c>
      <c r="H104">
        <v>0</v>
      </c>
      <c r="I104">
        <f t="shared" si="38"/>
        <v>0</v>
      </c>
      <c r="J104">
        <v>0</v>
      </c>
      <c r="K104">
        <f t="shared" si="40"/>
        <v>0</v>
      </c>
      <c r="L104">
        <f t="shared" si="41"/>
        <v>0</v>
      </c>
      <c r="M104">
        <f t="shared" si="42"/>
        <v>0</v>
      </c>
    </row>
    <row r="105" s="4" customFormat="1" spans="6:13">
      <c r="F105" s="4" t="s">
        <v>42</v>
      </c>
      <c r="G105" s="4">
        <f t="shared" ref="G105:M105" si="43">SUM(G98:G104)</f>
        <v>1</v>
      </c>
      <c r="H105" s="4">
        <f t="shared" si="43"/>
        <v>1</v>
      </c>
      <c r="K105" s="4">
        <f t="shared" si="43"/>
        <v>0.025</v>
      </c>
      <c r="L105" s="4">
        <f t="shared" si="43"/>
        <v>0.179515625</v>
      </c>
      <c r="M105" s="4">
        <f t="shared" si="43"/>
        <v>1.436125</v>
      </c>
    </row>
    <row r="106" customFormat="1" ht="14.25" spans="2:14">
      <c r="B106" s="3" t="s">
        <v>51</v>
      </c>
      <c r="C106" s="3" t="s">
        <v>52</v>
      </c>
      <c r="D106" s="10" t="s">
        <v>4</v>
      </c>
      <c r="E106" s="13" t="s">
        <v>53</v>
      </c>
      <c r="F106" s="13" t="s">
        <v>54</v>
      </c>
      <c r="G106" s="13" t="s">
        <v>55</v>
      </c>
      <c r="H106" s="13" t="s">
        <v>56</v>
      </c>
      <c r="I106" s="13" t="s">
        <v>57</v>
      </c>
      <c r="J106" s="13" t="s">
        <v>58</v>
      </c>
      <c r="K106" s="13" t="s">
        <v>59</v>
      </c>
      <c r="L106" s="13" t="s">
        <v>60</v>
      </c>
      <c r="M106" t="s">
        <v>71</v>
      </c>
      <c r="N106" s="18"/>
    </row>
    <row r="107" customFormat="1" ht="14.25" spans="2:13">
      <c r="B107" s="7" t="s">
        <v>32</v>
      </c>
      <c r="C107" s="7" t="s">
        <v>27</v>
      </c>
      <c r="D107" s="7">
        <v>3</v>
      </c>
      <c r="E107">
        <v>1</v>
      </c>
      <c r="F107" s="29" t="s">
        <v>158</v>
      </c>
      <c r="G107">
        <f>(1-($K$7+$L$7))*(1-($M$7+$N$7))*(1-($O$7+$P$7))</f>
        <v>0.729</v>
      </c>
      <c r="H107">
        <f t="shared" ref="H107:H109" si="44">G107</f>
        <v>0.729</v>
      </c>
      <c r="I107">
        <f t="shared" ref="I107:I113" si="45">$E$12*E107</f>
        <v>3</v>
      </c>
      <c r="J107">
        <f t="shared" ref="J107:J112" si="46">I107</f>
        <v>3</v>
      </c>
      <c r="K107">
        <f t="shared" ref="K107:K113" si="47">$F$12*H107</f>
        <v>0.018225</v>
      </c>
      <c r="L107">
        <f t="shared" ref="L107:L113" si="48">J107*K107</f>
        <v>0.054675</v>
      </c>
      <c r="M107">
        <f t="shared" ref="M107:M113" si="49">E107*H107</f>
        <v>0.729</v>
      </c>
    </row>
    <row r="108" customFormat="1" spans="5:13">
      <c r="E108">
        <v>2</v>
      </c>
      <c r="F108" s="29" t="s">
        <v>159</v>
      </c>
      <c r="G108">
        <f>$L$7*(1-($M$7+$N$7))*(1-($O$7+$P$7))+(1-($K$7+$L$7))*$N$7*(1-($O$7+$P$7))+(1-($K$7+$L$7))*(1-($M$7+$N$7))*$P$7</f>
        <v>0.1701</v>
      </c>
      <c r="H108">
        <f t="shared" si="44"/>
        <v>0.1701</v>
      </c>
      <c r="I108">
        <f t="shared" si="45"/>
        <v>6</v>
      </c>
      <c r="J108">
        <f t="shared" si="46"/>
        <v>6</v>
      </c>
      <c r="K108">
        <f t="shared" si="47"/>
        <v>0.0042525</v>
      </c>
      <c r="L108">
        <f t="shared" si="48"/>
        <v>0.025515</v>
      </c>
      <c r="M108">
        <f t="shared" si="49"/>
        <v>0.3402</v>
      </c>
    </row>
    <row r="109" customFormat="1" spans="5:13">
      <c r="E109">
        <v>3</v>
      </c>
      <c r="F109" s="29" t="s">
        <v>160</v>
      </c>
      <c r="G109">
        <f>$K$7*(1-($M$7+$N$7))*(1-($O$7+$P$7))+(1-($K$7+$L$7))*$M$7*(1-($O$7+$P$7))+(1-($K$7+$L$7))*(1-($M$7+$N$7))*$O$7</f>
        <v>0.0729</v>
      </c>
      <c r="H109">
        <f t="shared" si="44"/>
        <v>0.0729</v>
      </c>
      <c r="I109">
        <f t="shared" si="45"/>
        <v>9</v>
      </c>
      <c r="J109">
        <f t="shared" si="46"/>
        <v>9</v>
      </c>
      <c r="K109">
        <f t="shared" si="47"/>
        <v>0.0018225</v>
      </c>
      <c r="L109">
        <f t="shared" si="48"/>
        <v>0.0164025</v>
      </c>
      <c r="M109">
        <f t="shared" si="49"/>
        <v>0.2187</v>
      </c>
    </row>
    <row r="110" customFormat="1" spans="5:13">
      <c r="E110">
        <v>4</v>
      </c>
      <c r="F110" s="29" t="s">
        <v>161</v>
      </c>
      <c r="G110">
        <f>$L$7*$N$7*(1-($O$7+$P$7))+$L$7*(1-($M$7+$N$7))*$P$7+(1-($K$7+$L$7))*$N$7*$P$7</f>
        <v>0.01323</v>
      </c>
      <c r="H110">
        <f>G110+$L$7*$N$7*$P$7</f>
        <v>0.013573</v>
      </c>
      <c r="I110">
        <f t="shared" si="45"/>
        <v>12</v>
      </c>
      <c r="J110">
        <f t="shared" si="46"/>
        <v>12</v>
      </c>
      <c r="K110">
        <f t="shared" si="47"/>
        <v>0.000339325</v>
      </c>
      <c r="L110">
        <f t="shared" si="48"/>
        <v>0.0040719</v>
      </c>
      <c r="M110">
        <f t="shared" si="49"/>
        <v>0.054292</v>
      </c>
    </row>
    <row r="111" customFormat="1" spans="5:13">
      <c r="E111">
        <v>6</v>
      </c>
      <c r="F111" s="14" t="s">
        <v>162</v>
      </c>
      <c r="G111">
        <f>$K$7*$N$7*(1-($O$7+$P$7))+$L$7*$M$7*(1-($O$7+$P$7))+$K$7*(1-($M$7+$N$7))*$P$7+$L$7*(1-($M$7+$N$7))*$O$7+(1-($K$7+$L$7))*$N$7*$O$7+(1-($K$7+$L$7))*$M$7*$P$7</f>
        <v>0.01134</v>
      </c>
      <c r="H111">
        <f>G111+($G$68-$K$7*$M$7*$O$7-$L$7*$N$7*$P$7)</f>
        <v>0.01197</v>
      </c>
      <c r="I111">
        <f t="shared" si="45"/>
        <v>18</v>
      </c>
      <c r="J111">
        <f t="shared" si="46"/>
        <v>18</v>
      </c>
      <c r="K111">
        <f t="shared" si="47"/>
        <v>0.00029925</v>
      </c>
      <c r="L111">
        <f t="shared" si="48"/>
        <v>0.0053865</v>
      </c>
      <c r="M111">
        <f t="shared" si="49"/>
        <v>0.07182</v>
      </c>
    </row>
    <row r="112" customFormat="1" spans="5:13">
      <c r="E112">
        <v>9</v>
      </c>
      <c r="F112" s="14" t="s">
        <v>163</v>
      </c>
      <c r="G112">
        <f>$K$7*$M$7*(1-($O$7+$P$7))+(1-($K$7+$L$7))*$M$7*$O$7+$K$7*(1-($M$7+$N$7))*$O$7</f>
        <v>0.00243</v>
      </c>
      <c r="H112">
        <f>G112+$K$7*$M$7*$O$7</f>
        <v>0.002457</v>
      </c>
      <c r="I112">
        <f t="shared" si="45"/>
        <v>27</v>
      </c>
      <c r="J112">
        <f t="shared" si="46"/>
        <v>27</v>
      </c>
      <c r="K112">
        <f t="shared" si="47"/>
        <v>6.1425e-5</v>
      </c>
      <c r="L112">
        <f t="shared" si="48"/>
        <v>0.001658475</v>
      </c>
      <c r="M112">
        <f t="shared" si="49"/>
        <v>0.022113</v>
      </c>
    </row>
    <row r="113" customFormat="1" spans="5:13">
      <c r="E113">
        <v>0</v>
      </c>
      <c r="F113" s="34" t="s">
        <v>133</v>
      </c>
      <c r="G113">
        <f>($K$7+$L$7)*($M$7+$N$7)*($O$7+$P$7)</f>
        <v>0.001</v>
      </c>
      <c r="H113">
        <v>0</v>
      </c>
      <c r="I113">
        <f t="shared" si="45"/>
        <v>0</v>
      </c>
      <c r="J113">
        <v>0</v>
      </c>
      <c r="K113">
        <f t="shared" si="47"/>
        <v>0</v>
      </c>
      <c r="L113">
        <f t="shared" si="48"/>
        <v>0</v>
      </c>
      <c r="M113">
        <f t="shared" si="49"/>
        <v>0</v>
      </c>
    </row>
    <row r="114" s="4" customFormat="1" spans="6:13">
      <c r="F114" s="4" t="s">
        <v>42</v>
      </c>
      <c r="G114" s="4">
        <f t="shared" ref="G114:M114" si="50">SUM(G107:G113)</f>
        <v>1</v>
      </c>
      <c r="H114" s="4">
        <f t="shared" si="50"/>
        <v>1</v>
      </c>
      <c r="K114" s="4">
        <f t="shared" si="50"/>
        <v>0.025</v>
      </c>
      <c r="L114" s="4">
        <f t="shared" si="50"/>
        <v>0.107709375</v>
      </c>
      <c r="M114" s="4">
        <f t="shared" si="50"/>
        <v>1.436125</v>
      </c>
    </row>
    <row r="115" customFormat="1" spans="2:13">
      <c r="B115" t="s">
        <v>164</v>
      </c>
      <c r="C115" t="s">
        <v>34</v>
      </c>
      <c r="D115">
        <v>3</v>
      </c>
      <c r="E115" t="s">
        <v>53</v>
      </c>
      <c r="F115" t="s">
        <v>54</v>
      </c>
      <c r="G115" t="s">
        <v>55</v>
      </c>
      <c r="H115" t="s">
        <v>56</v>
      </c>
      <c r="I115" t="s">
        <v>57</v>
      </c>
      <c r="J115" t="s">
        <v>58</v>
      </c>
      <c r="K115" t="s">
        <v>59</v>
      </c>
      <c r="L115" t="s">
        <v>60</v>
      </c>
      <c r="M115" t="s">
        <v>71</v>
      </c>
    </row>
    <row r="116" customFormat="1" spans="5:13">
      <c r="E116">
        <v>1</v>
      </c>
      <c r="F116" t="s">
        <v>165</v>
      </c>
      <c r="G116">
        <f>G121*D121+G126*D126*3</f>
        <v>0.779625</v>
      </c>
      <c r="H116">
        <f t="shared" ref="H116:H118" si="51">G116</f>
        <v>0.779625</v>
      </c>
      <c r="I116">
        <f t="shared" ref="I116:I118" si="52">$E$13*E116</f>
        <v>2</v>
      </c>
      <c r="J116">
        <f t="shared" ref="J116:J118" si="53">I116</f>
        <v>2</v>
      </c>
      <c r="K116">
        <f t="shared" ref="K116:K118" si="54">$F$13*H116</f>
        <v>0.011694375</v>
      </c>
      <c r="L116">
        <f t="shared" ref="L116:L118" si="55">J116*K116</f>
        <v>0.02338875</v>
      </c>
      <c r="M116">
        <f t="shared" ref="M116:M118" si="56">E116*H116</f>
        <v>0.779625</v>
      </c>
    </row>
    <row r="117" customFormat="1" spans="5:13">
      <c r="E117">
        <v>2</v>
      </c>
      <c r="F117" t="s">
        <v>166</v>
      </c>
      <c r="G117">
        <f>G122*D121+G127*D126*3</f>
        <v>0.1542625</v>
      </c>
      <c r="H117">
        <f t="shared" si="51"/>
        <v>0.1542625</v>
      </c>
      <c r="I117">
        <f t="shared" si="52"/>
        <v>4</v>
      </c>
      <c r="J117">
        <f t="shared" si="53"/>
        <v>4</v>
      </c>
      <c r="K117">
        <f t="shared" si="54"/>
        <v>0.0023139375</v>
      </c>
      <c r="L117">
        <f t="shared" si="55"/>
        <v>0.00925575</v>
      </c>
      <c r="M117">
        <f t="shared" si="56"/>
        <v>0.308525</v>
      </c>
    </row>
    <row r="118" customFormat="1" spans="5:13">
      <c r="E118">
        <v>3</v>
      </c>
      <c r="F118" t="s">
        <v>167</v>
      </c>
      <c r="G118">
        <f>G123*D121+G128*D126*3</f>
        <v>0.0661125</v>
      </c>
      <c r="H118">
        <f t="shared" si="51"/>
        <v>0.0661125</v>
      </c>
      <c r="I118">
        <f t="shared" si="52"/>
        <v>6</v>
      </c>
      <c r="J118">
        <f t="shared" si="53"/>
        <v>6</v>
      </c>
      <c r="K118">
        <f t="shared" si="54"/>
        <v>0.0009916875</v>
      </c>
      <c r="L118">
        <f t="shared" si="55"/>
        <v>0.005950125</v>
      </c>
      <c r="M118">
        <f t="shared" si="56"/>
        <v>0.1983375</v>
      </c>
    </row>
    <row r="119" s="4" customFormat="1" spans="5:13">
      <c r="E119" s="4" t="s">
        <v>42</v>
      </c>
      <c r="G119" s="4">
        <f t="shared" ref="G119:M119" si="57">SUM(G116:G118)</f>
        <v>1</v>
      </c>
      <c r="K119" s="4">
        <f t="shared" si="57"/>
        <v>0.015</v>
      </c>
      <c r="L119" s="4">
        <f t="shared" si="57"/>
        <v>0.038594625</v>
      </c>
      <c r="M119" s="4">
        <f t="shared" si="57"/>
        <v>1.2864875</v>
      </c>
    </row>
    <row r="120" customFormat="1" ht="14.25" spans="3:13">
      <c r="C120" s="35" t="s">
        <v>96</v>
      </c>
      <c r="D120" s="36" t="s">
        <v>97</v>
      </c>
      <c r="E120" s="37" t="s">
        <v>53</v>
      </c>
      <c r="F120" s="37" t="s">
        <v>54</v>
      </c>
      <c r="G120" s="37" t="s">
        <v>55</v>
      </c>
      <c r="H120" s="36" t="s">
        <v>56</v>
      </c>
      <c r="I120" s="36" t="s">
        <v>57</v>
      </c>
      <c r="J120" s="36" t="s">
        <v>58</v>
      </c>
      <c r="K120" s="36" t="s">
        <v>59</v>
      </c>
      <c r="L120" s="36" t="s">
        <v>60</v>
      </c>
      <c r="M120" s="43" t="s">
        <v>71</v>
      </c>
    </row>
    <row r="121" customFormat="1" ht="14.25" spans="3:13">
      <c r="C121" s="38" t="s">
        <v>98</v>
      </c>
      <c r="D121" s="39">
        <f>3/8</f>
        <v>0.375</v>
      </c>
      <c r="E121" s="40">
        <v>1</v>
      </c>
      <c r="F121" s="41" t="s">
        <v>165</v>
      </c>
      <c r="G121" s="39">
        <f>0.9*0.9*0.9</f>
        <v>0.729</v>
      </c>
      <c r="H121" s="39"/>
      <c r="I121" s="39"/>
      <c r="J121" s="39"/>
      <c r="K121" s="39"/>
      <c r="L121" s="39"/>
      <c r="M121" s="44"/>
    </row>
    <row r="122" customFormat="1" ht="14.25" spans="3:13">
      <c r="C122" s="38"/>
      <c r="D122" s="39"/>
      <c r="E122" s="40">
        <v>2</v>
      </c>
      <c r="F122" s="41" t="s">
        <v>166</v>
      </c>
      <c r="G122" s="39">
        <f>(1-0.729)*0.7</f>
        <v>0.1897</v>
      </c>
      <c r="H122" s="39"/>
      <c r="I122" s="39"/>
      <c r="J122" s="39"/>
      <c r="K122" s="39"/>
      <c r="L122" s="39"/>
      <c r="M122" s="44"/>
    </row>
    <row r="123" customFormat="1" ht="14.25" spans="3:13">
      <c r="C123" s="38"/>
      <c r="D123" s="39"/>
      <c r="E123" s="39">
        <v>3</v>
      </c>
      <c r="F123" s="39" t="s">
        <v>167</v>
      </c>
      <c r="G123" s="39">
        <f>(1-0.729)*0.3</f>
        <v>0.0813</v>
      </c>
      <c r="H123" s="39"/>
      <c r="I123" s="39"/>
      <c r="J123" s="39"/>
      <c r="K123" s="39"/>
      <c r="L123" s="39"/>
      <c r="M123" s="44"/>
    </row>
    <row r="124" customFormat="1" ht="14.25" spans="3:13">
      <c r="C124" s="38"/>
      <c r="D124" s="39"/>
      <c r="E124" s="42" t="s">
        <v>42</v>
      </c>
      <c r="F124" s="42"/>
      <c r="G124" s="39">
        <f>SUM(G121:G123)</f>
        <v>1</v>
      </c>
      <c r="H124" s="39"/>
      <c r="I124" s="42"/>
      <c r="J124" s="42"/>
      <c r="K124" s="42"/>
      <c r="L124" s="42"/>
      <c r="M124" s="45"/>
    </row>
    <row r="125" customFormat="1" ht="14.25" spans="3:13">
      <c r="C125" s="38"/>
      <c r="D125" s="39"/>
      <c r="E125" s="42" t="s">
        <v>53</v>
      </c>
      <c r="F125" s="42" t="s">
        <v>54</v>
      </c>
      <c r="G125" s="42" t="s">
        <v>55</v>
      </c>
      <c r="H125" s="39" t="s">
        <v>56</v>
      </c>
      <c r="I125" s="39" t="s">
        <v>57</v>
      </c>
      <c r="J125" s="39" t="s">
        <v>58</v>
      </c>
      <c r="K125" s="39" t="s">
        <v>59</v>
      </c>
      <c r="L125" s="39" t="s">
        <v>60</v>
      </c>
      <c r="M125" s="44" t="s">
        <v>71</v>
      </c>
    </row>
    <row r="126" customFormat="1" ht="14.25" spans="3:13">
      <c r="C126" s="38" t="s">
        <v>103</v>
      </c>
      <c r="D126" s="39">
        <f>5/24</f>
        <v>0.208333333333333</v>
      </c>
      <c r="E126" s="40">
        <v>1</v>
      </c>
      <c r="F126" s="41" t="s">
        <v>165</v>
      </c>
      <c r="G126" s="39">
        <v>0.81</v>
      </c>
      <c r="H126" s="39"/>
      <c r="I126" s="39"/>
      <c r="J126" s="39"/>
      <c r="K126" s="39"/>
      <c r="L126" s="39"/>
      <c r="M126" s="44"/>
    </row>
    <row r="127" customFormat="1" ht="14.25" spans="3:13">
      <c r="C127" s="38"/>
      <c r="D127" s="39"/>
      <c r="E127" s="40">
        <v>2</v>
      </c>
      <c r="F127" s="41" t="s">
        <v>168</v>
      </c>
      <c r="G127" s="39">
        <f>0.19*7/10</f>
        <v>0.133</v>
      </c>
      <c r="H127" s="39"/>
      <c r="I127" s="39"/>
      <c r="J127" s="39"/>
      <c r="K127" s="39"/>
      <c r="L127" s="39"/>
      <c r="M127" s="44"/>
    </row>
    <row r="128" customFormat="1" ht="14.25" spans="3:13">
      <c r="C128" s="38"/>
      <c r="D128" s="39"/>
      <c r="E128" s="39">
        <v>3</v>
      </c>
      <c r="F128" s="39" t="s">
        <v>169</v>
      </c>
      <c r="G128" s="39">
        <f>0.19*3/10</f>
        <v>0.057</v>
      </c>
      <c r="H128" s="39"/>
      <c r="I128" s="39"/>
      <c r="J128" s="39"/>
      <c r="K128" s="39"/>
      <c r="L128" s="39"/>
      <c r="M128" s="44"/>
    </row>
    <row r="129" customFormat="1" ht="14.25" spans="3:13">
      <c r="C129" s="38"/>
      <c r="D129" s="39"/>
      <c r="E129" s="42" t="s">
        <v>42</v>
      </c>
      <c r="F129" s="42"/>
      <c r="G129" s="42">
        <f>SUM(G126:G128)</f>
        <v>1</v>
      </c>
      <c r="H129" s="39"/>
      <c r="I129" s="42"/>
      <c r="J129" s="42"/>
      <c r="K129" s="42"/>
      <c r="L129" s="42"/>
      <c r="M129" s="45"/>
    </row>
    <row r="130" customFormat="1" ht="14.25" spans="3:13">
      <c r="C130" s="38" t="s">
        <v>105</v>
      </c>
      <c r="D130" s="39">
        <f>5/24</f>
        <v>0.208333333333333</v>
      </c>
      <c r="E130" s="42" t="s">
        <v>53</v>
      </c>
      <c r="F130" s="42" t="s">
        <v>54</v>
      </c>
      <c r="G130" s="42" t="s">
        <v>55</v>
      </c>
      <c r="H130" s="39" t="s">
        <v>56</v>
      </c>
      <c r="I130" s="39" t="s">
        <v>57</v>
      </c>
      <c r="J130" s="39" t="s">
        <v>58</v>
      </c>
      <c r="K130" s="39" t="s">
        <v>59</v>
      </c>
      <c r="L130" s="39" t="s">
        <v>60</v>
      </c>
      <c r="M130" s="44" t="s">
        <v>71</v>
      </c>
    </row>
    <row r="131" customFormat="1" ht="14.25" spans="3:13">
      <c r="C131" s="38"/>
      <c r="D131" s="39"/>
      <c r="E131" s="40">
        <v>1</v>
      </c>
      <c r="F131" s="41" t="s">
        <v>165</v>
      </c>
      <c r="G131" s="39">
        <v>0.81</v>
      </c>
      <c r="H131" s="39"/>
      <c r="I131" s="39"/>
      <c r="J131" s="39"/>
      <c r="K131" s="39"/>
      <c r="L131" s="39"/>
      <c r="M131" s="44"/>
    </row>
    <row r="132" customFormat="1" ht="14.25" spans="3:13">
      <c r="C132" s="46"/>
      <c r="D132" s="39"/>
      <c r="E132" s="39">
        <v>2</v>
      </c>
      <c r="F132" s="39" t="s">
        <v>170</v>
      </c>
      <c r="G132" s="39">
        <f>0.19*7/10</f>
        <v>0.133</v>
      </c>
      <c r="H132" s="39"/>
      <c r="I132" s="39"/>
      <c r="J132" s="39"/>
      <c r="K132" s="39"/>
      <c r="L132" s="39"/>
      <c r="M132" s="44"/>
    </row>
    <row r="133" customFormat="1" ht="14.25" spans="3:13">
      <c r="C133" s="46"/>
      <c r="D133" s="39"/>
      <c r="E133" s="39">
        <v>3</v>
      </c>
      <c r="F133" s="39" t="s">
        <v>101</v>
      </c>
      <c r="G133" s="39">
        <f>0.19*3/10</f>
        <v>0.057</v>
      </c>
      <c r="H133" s="39"/>
      <c r="I133" s="39"/>
      <c r="J133" s="39"/>
      <c r="K133" s="39"/>
      <c r="L133" s="39"/>
      <c r="M133" s="44"/>
    </row>
    <row r="134" customFormat="1" ht="14.25" spans="3:13">
      <c r="C134" s="46"/>
      <c r="D134" s="39"/>
      <c r="E134" s="39" t="s">
        <v>42</v>
      </c>
      <c r="F134" s="39"/>
      <c r="G134" s="39">
        <f>SUM(G131:G133)</f>
        <v>1</v>
      </c>
      <c r="H134" s="39"/>
      <c r="I134" s="39"/>
      <c r="J134" s="39"/>
      <c r="K134" s="39"/>
      <c r="L134" s="39"/>
      <c r="M134" s="44"/>
    </row>
    <row r="135" customFormat="1" ht="14.25" spans="3:13">
      <c r="C135" s="38" t="s">
        <v>107</v>
      </c>
      <c r="D135" s="39">
        <f>5/24</f>
        <v>0.208333333333333</v>
      </c>
      <c r="E135" s="42" t="s">
        <v>53</v>
      </c>
      <c r="F135" s="42" t="s">
        <v>54</v>
      </c>
      <c r="G135" s="42" t="s">
        <v>55</v>
      </c>
      <c r="H135" s="39" t="s">
        <v>56</v>
      </c>
      <c r="I135" s="39" t="s">
        <v>57</v>
      </c>
      <c r="J135" s="39" t="s">
        <v>58</v>
      </c>
      <c r="K135" s="39" t="s">
        <v>59</v>
      </c>
      <c r="L135" s="39" t="s">
        <v>60</v>
      </c>
      <c r="M135" s="44" t="s">
        <v>71</v>
      </c>
    </row>
    <row r="136" customFormat="1" ht="14.25" spans="3:13">
      <c r="C136" s="46"/>
      <c r="D136" s="39"/>
      <c r="E136" s="40">
        <v>1</v>
      </c>
      <c r="F136" s="41" t="s">
        <v>165</v>
      </c>
      <c r="G136" s="39">
        <v>0.81</v>
      </c>
      <c r="H136" s="39"/>
      <c r="I136" s="39"/>
      <c r="J136" s="39"/>
      <c r="K136" s="39"/>
      <c r="L136" s="39"/>
      <c r="M136" s="44"/>
    </row>
    <row r="137" customFormat="1" ht="14.25" spans="3:13">
      <c r="C137" s="46"/>
      <c r="D137" s="39"/>
      <c r="E137" s="40">
        <v>2</v>
      </c>
      <c r="F137" s="41" t="s">
        <v>171</v>
      </c>
      <c r="G137" s="39">
        <f>0.19*7/10</f>
        <v>0.133</v>
      </c>
      <c r="H137" s="39"/>
      <c r="I137" s="39"/>
      <c r="J137" s="39"/>
      <c r="K137" s="39"/>
      <c r="L137" s="39"/>
      <c r="M137" s="44"/>
    </row>
    <row r="138" customFormat="1" ht="14.25" spans="3:13">
      <c r="C138" s="46"/>
      <c r="D138" s="39"/>
      <c r="E138" s="39">
        <v>3</v>
      </c>
      <c r="F138" s="39" t="s">
        <v>172</v>
      </c>
      <c r="G138" s="39">
        <f>0.19*3/10</f>
        <v>0.057</v>
      </c>
      <c r="H138" s="39"/>
      <c r="I138" s="39"/>
      <c r="J138" s="39"/>
      <c r="K138" s="39"/>
      <c r="L138" s="39"/>
      <c r="M138" s="44"/>
    </row>
    <row r="139" customFormat="1" ht="14.25" spans="3:13">
      <c r="C139" s="47"/>
      <c r="D139" s="48"/>
      <c r="E139" s="48" t="s">
        <v>42</v>
      </c>
      <c r="F139" s="48"/>
      <c r="G139" s="48">
        <f>SUM(G136:G138)</f>
        <v>1</v>
      </c>
      <c r="H139" s="48"/>
      <c r="I139" s="48"/>
      <c r="J139" s="48"/>
      <c r="K139" s="48"/>
      <c r="L139" s="48"/>
      <c r="M139" s="52"/>
    </row>
    <row r="140" customFormat="1" ht="14.25" spans="2:13">
      <c r="B140" s="10" t="s">
        <v>35</v>
      </c>
      <c r="C140" t="s">
        <v>34</v>
      </c>
      <c r="D140">
        <v>3</v>
      </c>
      <c r="E140" t="s">
        <v>53</v>
      </c>
      <c r="F140" t="s">
        <v>54</v>
      </c>
      <c r="G140" t="s">
        <v>55</v>
      </c>
      <c r="H140" t="s">
        <v>56</v>
      </c>
      <c r="I140" t="s">
        <v>57</v>
      </c>
      <c r="J140" t="s">
        <v>58</v>
      </c>
      <c r="K140" t="s">
        <v>59</v>
      </c>
      <c r="L140" t="s">
        <v>60</v>
      </c>
      <c r="M140" t="s">
        <v>71</v>
      </c>
    </row>
    <row r="141" customFormat="1" spans="5:13">
      <c r="E141">
        <v>1</v>
      </c>
      <c r="F141" t="s">
        <v>165</v>
      </c>
      <c r="G141">
        <f>G146*D146+G151*D151*3</f>
        <v>0.779625</v>
      </c>
      <c r="H141">
        <f t="shared" ref="H141:H143" si="58">G141</f>
        <v>0.779625</v>
      </c>
      <c r="I141">
        <f t="shared" ref="I141:I143" si="59">$E$14*E141</f>
        <v>1</v>
      </c>
      <c r="J141">
        <f t="shared" ref="J141:J143" si="60">I141</f>
        <v>1</v>
      </c>
      <c r="K141">
        <f t="shared" ref="K141:K143" si="61">$F$14*H141</f>
        <v>0.011694375</v>
      </c>
      <c r="L141">
        <f t="shared" ref="L141:L143" si="62">J141*K141</f>
        <v>0.011694375</v>
      </c>
      <c r="M141">
        <f t="shared" ref="M141:M143" si="63">E141*H141</f>
        <v>0.779625</v>
      </c>
    </row>
    <row r="142" customFormat="1" spans="5:13">
      <c r="E142">
        <v>2</v>
      </c>
      <c r="F142" t="s">
        <v>166</v>
      </c>
      <c r="G142">
        <f>G147*D146+G152*D151*3</f>
        <v>0.1542625</v>
      </c>
      <c r="H142">
        <f t="shared" si="58"/>
        <v>0.1542625</v>
      </c>
      <c r="I142">
        <f t="shared" si="59"/>
        <v>2</v>
      </c>
      <c r="J142">
        <f t="shared" si="60"/>
        <v>2</v>
      </c>
      <c r="K142">
        <f t="shared" si="61"/>
        <v>0.0023139375</v>
      </c>
      <c r="L142">
        <f t="shared" si="62"/>
        <v>0.004627875</v>
      </c>
      <c r="M142">
        <f t="shared" si="63"/>
        <v>0.308525</v>
      </c>
    </row>
    <row r="143" customFormat="1" spans="5:13">
      <c r="E143">
        <v>3</v>
      </c>
      <c r="F143" t="s">
        <v>167</v>
      </c>
      <c r="G143">
        <f>G148*D146+G153*D151*3</f>
        <v>0.0661125</v>
      </c>
      <c r="H143">
        <f t="shared" si="58"/>
        <v>0.0661125</v>
      </c>
      <c r="I143">
        <f t="shared" si="59"/>
        <v>3</v>
      </c>
      <c r="J143">
        <f t="shared" si="60"/>
        <v>3</v>
      </c>
      <c r="K143">
        <f t="shared" si="61"/>
        <v>0.0009916875</v>
      </c>
      <c r="L143">
        <f t="shared" si="62"/>
        <v>0.0029750625</v>
      </c>
      <c r="M143">
        <f t="shared" si="63"/>
        <v>0.1983375</v>
      </c>
    </row>
    <row r="144" s="4" customFormat="1" spans="5:13">
      <c r="E144" s="4" t="s">
        <v>42</v>
      </c>
      <c r="G144" s="4">
        <f t="shared" ref="G144:M144" si="64">SUM(G141:G143)</f>
        <v>1</v>
      </c>
      <c r="K144" s="4">
        <f t="shared" si="64"/>
        <v>0.015</v>
      </c>
      <c r="L144" s="4">
        <f t="shared" si="64"/>
        <v>0.0192973125</v>
      </c>
      <c r="M144" s="4">
        <f t="shared" si="64"/>
        <v>1.2864875</v>
      </c>
    </row>
    <row r="145" customFormat="1" ht="14.25" spans="3:13">
      <c r="C145" s="35" t="s">
        <v>96</v>
      </c>
      <c r="D145" s="36" t="s">
        <v>97</v>
      </c>
      <c r="E145" s="37" t="s">
        <v>53</v>
      </c>
      <c r="F145" s="37" t="s">
        <v>54</v>
      </c>
      <c r="G145" s="37" t="s">
        <v>55</v>
      </c>
      <c r="H145" s="36" t="s">
        <v>56</v>
      </c>
      <c r="I145" s="36" t="s">
        <v>57</v>
      </c>
      <c r="J145" s="36" t="s">
        <v>58</v>
      </c>
      <c r="K145" s="36" t="s">
        <v>59</v>
      </c>
      <c r="L145" s="36" t="s">
        <v>60</v>
      </c>
      <c r="M145" s="43" t="s">
        <v>71</v>
      </c>
    </row>
    <row r="146" customFormat="1" ht="14.25" spans="3:13">
      <c r="C146" s="38" t="s">
        <v>98</v>
      </c>
      <c r="D146" s="39">
        <f>3/8</f>
        <v>0.375</v>
      </c>
      <c r="E146" s="40">
        <v>1</v>
      </c>
      <c r="F146" s="41" t="s">
        <v>165</v>
      </c>
      <c r="G146" s="39">
        <f>0.9*0.9*0.9</f>
        <v>0.729</v>
      </c>
      <c r="H146" s="39"/>
      <c r="I146" s="39"/>
      <c r="J146" s="39"/>
      <c r="K146" s="39"/>
      <c r="L146" s="39"/>
      <c r="M146" s="44"/>
    </row>
    <row r="147" customFormat="1" ht="14.25" spans="3:13">
      <c r="C147" s="38"/>
      <c r="D147" s="39"/>
      <c r="E147" s="40">
        <v>2</v>
      </c>
      <c r="F147" s="41" t="s">
        <v>166</v>
      </c>
      <c r="G147" s="39">
        <f>(1-0.729)*0.7</f>
        <v>0.1897</v>
      </c>
      <c r="H147" s="39"/>
      <c r="I147" s="39"/>
      <c r="J147" s="39"/>
      <c r="K147" s="39"/>
      <c r="L147" s="39"/>
      <c r="M147" s="44"/>
    </row>
    <row r="148" customFormat="1" ht="14.25" spans="3:13">
      <c r="C148" s="38"/>
      <c r="D148" s="39"/>
      <c r="E148" s="39">
        <v>3</v>
      </c>
      <c r="F148" s="39" t="s">
        <v>167</v>
      </c>
      <c r="G148" s="39">
        <f>(1-0.729)*0.3</f>
        <v>0.0813</v>
      </c>
      <c r="H148" s="39"/>
      <c r="I148" s="39"/>
      <c r="J148" s="39"/>
      <c r="K148" s="39"/>
      <c r="L148" s="39"/>
      <c r="M148" s="44"/>
    </row>
    <row r="149" customFormat="1" ht="14.25" spans="3:13">
      <c r="C149" s="38"/>
      <c r="D149" s="39"/>
      <c r="E149" s="42" t="s">
        <v>42</v>
      </c>
      <c r="F149" s="42"/>
      <c r="G149" s="39">
        <f>SUM(G146:G148)</f>
        <v>1</v>
      </c>
      <c r="H149" s="39"/>
      <c r="I149" s="42"/>
      <c r="J149" s="42"/>
      <c r="K149" s="42"/>
      <c r="L149" s="42"/>
      <c r="M149" s="45"/>
    </row>
    <row r="150" customFormat="1" ht="14.25" spans="3:13">
      <c r="C150" s="38"/>
      <c r="D150" s="39"/>
      <c r="E150" s="42" t="s">
        <v>53</v>
      </c>
      <c r="F150" s="42" t="s">
        <v>54</v>
      </c>
      <c r="G150" s="42" t="s">
        <v>55</v>
      </c>
      <c r="H150" s="39" t="s">
        <v>56</v>
      </c>
      <c r="I150" s="39" t="s">
        <v>57</v>
      </c>
      <c r="J150" s="39" t="s">
        <v>58</v>
      </c>
      <c r="K150" s="39" t="s">
        <v>59</v>
      </c>
      <c r="L150" s="39" t="s">
        <v>60</v>
      </c>
      <c r="M150" s="44" t="s">
        <v>71</v>
      </c>
    </row>
    <row r="151" customFormat="1" ht="14.25" spans="3:13">
      <c r="C151" s="38" t="s">
        <v>103</v>
      </c>
      <c r="D151" s="39">
        <f>5/24</f>
        <v>0.208333333333333</v>
      </c>
      <c r="E151" s="40">
        <v>1</v>
      </c>
      <c r="F151" s="41" t="s">
        <v>165</v>
      </c>
      <c r="G151" s="39">
        <v>0.81</v>
      </c>
      <c r="H151" s="39"/>
      <c r="I151" s="39"/>
      <c r="J151" s="39"/>
      <c r="K151" s="39"/>
      <c r="L151" s="39"/>
      <c r="M151" s="44"/>
    </row>
    <row r="152" customFormat="1" ht="14.25" spans="3:13">
      <c r="C152" s="38"/>
      <c r="D152" s="39"/>
      <c r="E152" s="40">
        <v>2</v>
      </c>
      <c r="F152" s="41" t="s">
        <v>168</v>
      </c>
      <c r="G152" s="39">
        <f>0.19*7/10</f>
        <v>0.133</v>
      </c>
      <c r="H152" s="39"/>
      <c r="I152" s="39"/>
      <c r="J152" s="39"/>
      <c r="K152" s="39"/>
      <c r="L152" s="39"/>
      <c r="M152" s="44"/>
    </row>
    <row r="153" customFormat="1" ht="14.25" spans="3:13">
      <c r="C153" s="38"/>
      <c r="D153" s="39"/>
      <c r="E153" s="39">
        <v>3</v>
      </c>
      <c r="F153" s="39" t="s">
        <v>169</v>
      </c>
      <c r="G153" s="39">
        <f>0.19*3/10</f>
        <v>0.057</v>
      </c>
      <c r="H153" s="39"/>
      <c r="I153" s="39"/>
      <c r="J153" s="39"/>
      <c r="K153" s="39"/>
      <c r="L153" s="39"/>
      <c r="M153" s="44"/>
    </row>
    <row r="154" customFormat="1" ht="14.25" spans="3:13">
      <c r="C154" s="38"/>
      <c r="D154" s="39"/>
      <c r="E154" s="42" t="s">
        <v>42</v>
      </c>
      <c r="F154" s="42"/>
      <c r="G154" s="42">
        <f>SUM(G151:G153)</f>
        <v>1</v>
      </c>
      <c r="H154" s="39"/>
      <c r="I154" s="42"/>
      <c r="J154" s="42"/>
      <c r="K154" s="42"/>
      <c r="L154" s="42"/>
      <c r="M154" s="45"/>
    </row>
    <row r="155" customFormat="1" ht="14.25" spans="3:13">
      <c r="C155" s="38" t="s">
        <v>105</v>
      </c>
      <c r="D155" s="39">
        <f>5/24</f>
        <v>0.208333333333333</v>
      </c>
      <c r="E155" s="42" t="s">
        <v>53</v>
      </c>
      <c r="F155" s="42" t="s">
        <v>54</v>
      </c>
      <c r="G155" s="42" t="s">
        <v>55</v>
      </c>
      <c r="H155" s="39" t="s">
        <v>56</v>
      </c>
      <c r="I155" s="39" t="s">
        <v>57</v>
      </c>
      <c r="J155" s="39" t="s">
        <v>58</v>
      </c>
      <c r="K155" s="39" t="s">
        <v>59</v>
      </c>
      <c r="L155" s="39" t="s">
        <v>60</v>
      </c>
      <c r="M155" s="44" t="s">
        <v>71</v>
      </c>
    </row>
    <row r="156" customFormat="1" ht="14.25" spans="3:13">
      <c r="C156" s="38"/>
      <c r="D156" s="39"/>
      <c r="E156" s="40">
        <v>1</v>
      </c>
      <c r="F156" s="41" t="s">
        <v>165</v>
      </c>
      <c r="G156" s="39">
        <v>0.81</v>
      </c>
      <c r="H156" s="39"/>
      <c r="I156" s="39"/>
      <c r="J156" s="39"/>
      <c r="K156" s="39"/>
      <c r="L156" s="39"/>
      <c r="M156" s="44"/>
    </row>
    <row r="157" customFormat="1" ht="14.25" spans="3:13">
      <c r="C157" s="46"/>
      <c r="D157" s="39"/>
      <c r="E157" s="39">
        <v>2</v>
      </c>
      <c r="F157" s="39" t="s">
        <v>170</v>
      </c>
      <c r="G157" s="39">
        <f>0.19*7/10</f>
        <v>0.133</v>
      </c>
      <c r="H157" s="39"/>
      <c r="I157" s="39"/>
      <c r="J157" s="39"/>
      <c r="K157" s="39"/>
      <c r="L157" s="39"/>
      <c r="M157" s="44"/>
    </row>
    <row r="158" customFormat="1" ht="14.25" spans="3:13">
      <c r="C158" s="46"/>
      <c r="D158" s="39"/>
      <c r="E158" s="39">
        <v>3</v>
      </c>
      <c r="F158" s="39" t="s">
        <v>101</v>
      </c>
      <c r="G158" s="39">
        <f>0.19*3/10</f>
        <v>0.057</v>
      </c>
      <c r="H158" s="39"/>
      <c r="I158" s="39"/>
      <c r="J158" s="39"/>
      <c r="K158" s="39"/>
      <c r="L158" s="39"/>
      <c r="M158" s="44"/>
    </row>
    <row r="159" customFormat="1" ht="14.25" spans="3:13">
      <c r="C159" s="46"/>
      <c r="D159" s="39"/>
      <c r="E159" s="39" t="s">
        <v>42</v>
      </c>
      <c r="F159" s="39"/>
      <c r="G159" s="39">
        <f>SUM(G156:G158)</f>
        <v>1</v>
      </c>
      <c r="H159" s="39"/>
      <c r="I159" s="39"/>
      <c r="J159" s="39"/>
      <c r="K159" s="39"/>
      <c r="L159" s="39"/>
      <c r="M159" s="44"/>
    </row>
    <row r="160" customFormat="1" ht="14.25" spans="3:13">
      <c r="C160" s="38" t="s">
        <v>107</v>
      </c>
      <c r="D160" s="39">
        <f>5/24</f>
        <v>0.208333333333333</v>
      </c>
      <c r="E160" s="42" t="s">
        <v>53</v>
      </c>
      <c r="F160" s="42" t="s">
        <v>54</v>
      </c>
      <c r="G160" s="42" t="s">
        <v>55</v>
      </c>
      <c r="H160" s="39" t="s">
        <v>56</v>
      </c>
      <c r="I160" s="39" t="s">
        <v>57</v>
      </c>
      <c r="J160" s="39" t="s">
        <v>58</v>
      </c>
      <c r="K160" s="39" t="s">
        <v>59</v>
      </c>
      <c r="L160" s="39" t="s">
        <v>60</v>
      </c>
      <c r="M160" s="44" t="s">
        <v>71</v>
      </c>
    </row>
    <row r="161" customFormat="1" ht="14.25" spans="3:13">
      <c r="C161" s="46"/>
      <c r="D161" s="39"/>
      <c r="E161" s="40">
        <v>1</v>
      </c>
      <c r="F161" s="41" t="s">
        <v>165</v>
      </c>
      <c r="G161" s="39">
        <v>0.81</v>
      </c>
      <c r="H161" s="39"/>
      <c r="I161" s="39"/>
      <c r="J161" s="39"/>
      <c r="K161" s="39"/>
      <c r="L161" s="39"/>
      <c r="M161" s="44"/>
    </row>
    <row r="162" customFormat="1" ht="14.25" spans="3:13">
      <c r="C162" s="46"/>
      <c r="D162" s="39"/>
      <c r="E162" s="40">
        <v>2</v>
      </c>
      <c r="F162" s="41" t="s">
        <v>171</v>
      </c>
      <c r="G162" s="39">
        <f>0.19*7/10</f>
        <v>0.133</v>
      </c>
      <c r="H162" s="39"/>
      <c r="I162" s="39"/>
      <c r="J162" s="39"/>
      <c r="K162" s="39"/>
      <c r="L162" s="39"/>
      <c r="M162" s="44"/>
    </row>
    <row r="163" customFormat="1" ht="14.25" spans="3:13">
      <c r="C163" s="46"/>
      <c r="D163" s="39"/>
      <c r="E163" s="39">
        <v>3</v>
      </c>
      <c r="F163" s="39" t="s">
        <v>172</v>
      </c>
      <c r="G163" s="39">
        <f>0.19*3/10</f>
        <v>0.057</v>
      </c>
      <c r="H163" s="39"/>
      <c r="I163" s="39"/>
      <c r="J163" s="39"/>
      <c r="K163" s="39"/>
      <c r="L163" s="39"/>
      <c r="M163" s="44"/>
    </row>
    <row r="164" customFormat="1" ht="14.25" spans="3:13">
      <c r="C164" s="47"/>
      <c r="D164" s="48"/>
      <c r="E164" s="48" t="s">
        <v>42</v>
      </c>
      <c r="F164" s="48"/>
      <c r="G164" s="48">
        <f>SUM(G161:G163)</f>
        <v>1</v>
      </c>
      <c r="H164" s="48"/>
      <c r="I164" s="48"/>
      <c r="J164" s="48"/>
      <c r="K164" s="48"/>
      <c r="L164" s="48"/>
      <c r="M164" s="52"/>
    </row>
    <row r="165" customFormat="1" ht="14.25" spans="2:14">
      <c r="B165" s="3" t="s">
        <v>51</v>
      </c>
      <c r="C165" s="3" t="s">
        <v>52</v>
      </c>
      <c r="D165" s="10" t="s">
        <v>4</v>
      </c>
      <c r="E165" s="13" t="s">
        <v>53</v>
      </c>
      <c r="F165" s="13" t="s">
        <v>54</v>
      </c>
      <c r="G165" s="13" t="s">
        <v>55</v>
      </c>
      <c r="H165" s="13" t="s">
        <v>56</v>
      </c>
      <c r="I165" s="13" t="s">
        <v>57</v>
      </c>
      <c r="J165" s="13" t="s">
        <v>58</v>
      </c>
      <c r="K165" s="13" t="s">
        <v>59</v>
      </c>
      <c r="L165" s="13" t="s">
        <v>60</v>
      </c>
      <c r="N165" s="18"/>
    </row>
    <row r="166" customFormat="1" ht="14.25" spans="2:12">
      <c r="B166" s="7" t="s">
        <v>26</v>
      </c>
      <c r="C166" s="7" t="s">
        <v>34</v>
      </c>
      <c r="D166" s="49">
        <v>2</v>
      </c>
      <c r="E166" s="49">
        <v>1</v>
      </c>
      <c r="G166">
        <v>1</v>
      </c>
      <c r="H166">
        <v>1</v>
      </c>
      <c r="I166">
        <f>$E$14*E166</f>
        <v>1</v>
      </c>
      <c r="J166">
        <f>I166+F49*2+F49*1.5</f>
        <v>13.19866375</v>
      </c>
      <c r="K166">
        <f>$F$15*H166</f>
        <v>0.03</v>
      </c>
      <c r="L166">
        <f>J166*K166</f>
        <v>0.3959599125</v>
      </c>
    </row>
    <row r="167" customFormat="1" ht="14.25" spans="2:12">
      <c r="B167" s="7" t="s">
        <v>26</v>
      </c>
      <c r="C167" s="7" t="s">
        <v>34</v>
      </c>
      <c r="D167" s="7">
        <v>1</v>
      </c>
      <c r="E167" s="7">
        <v>1</v>
      </c>
      <c r="G167">
        <v>1</v>
      </c>
      <c r="H167">
        <v>1</v>
      </c>
      <c r="I167">
        <f>$E$15*E167</f>
        <v>1</v>
      </c>
      <c r="J167">
        <f>I167+F49*1+F49*1.5</f>
        <v>9.71333125</v>
      </c>
      <c r="K167">
        <f>$F$16*H167</f>
        <v>0.04</v>
      </c>
      <c r="L167">
        <f>J167*K167</f>
        <v>0.38853325</v>
      </c>
    </row>
    <row r="168" customFormat="1" ht="22.5" spans="1:12">
      <c r="A168" s="50" t="s">
        <v>109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customFormat="1" ht="14.25" spans="2:12">
      <c r="B169" t="s">
        <v>51</v>
      </c>
      <c r="C169" t="s">
        <v>110</v>
      </c>
      <c r="D169" s="51" t="s">
        <v>111</v>
      </c>
      <c r="E169" s="13" t="s">
        <v>39</v>
      </c>
      <c r="F169" s="13"/>
      <c r="G169" s="13"/>
      <c r="H169" s="13"/>
      <c r="I169" s="13"/>
      <c r="J169" s="13"/>
      <c r="K169" s="13"/>
      <c r="L169" s="13"/>
    </row>
    <row r="170" customFormat="1" ht="14.25" spans="2:5">
      <c r="B170" s="10" t="s">
        <v>119</v>
      </c>
      <c r="C170">
        <f>J52</f>
        <v>500</v>
      </c>
      <c r="D170">
        <f>K52</f>
        <v>1e-6</v>
      </c>
      <c r="E170">
        <f t="shared" ref="E170:E219" si="65">(C170-$D$32)^2*D170</f>
        <v>0.248159640175755</v>
      </c>
    </row>
    <row r="171" customFormat="1" ht="14.25" spans="2:5">
      <c r="B171" s="10" t="s">
        <v>120</v>
      </c>
      <c r="C171">
        <f>J53</f>
        <v>300</v>
      </c>
      <c r="D171">
        <f>K53</f>
        <v>2e-6</v>
      </c>
      <c r="E171">
        <f t="shared" si="65"/>
        <v>0.17779428776951</v>
      </c>
    </row>
    <row r="172" customFormat="1" ht="14.25" spans="2:5">
      <c r="B172" s="10" t="s">
        <v>121</v>
      </c>
      <c r="C172">
        <f>J55</f>
        <v>240</v>
      </c>
      <c r="D172">
        <f>K55</f>
        <v>3.136e-6</v>
      </c>
      <c r="E172">
        <f t="shared" si="65"/>
        <v>0.177868886712019</v>
      </c>
    </row>
    <row r="173" customFormat="1" ht="14.25" spans="2:5">
      <c r="B173" s="10"/>
      <c r="C173">
        <f>J56</f>
        <v>360</v>
      </c>
      <c r="D173">
        <f>K56</f>
        <v>8.64e-7</v>
      </c>
      <c r="E173">
        <f t="shared" si="65"/>
        <v>0.110830371355055</v>
      </c>
    </row>
    <row r="174" customFormat="1" ht="14.25" spans="2:5">
      <c r="B174" s="10" t="s">
        <v>26</v>
      </c>
      <c r="C174">
        <f>J59</f>
        <v>25.68399625</v>
      </c>
      <c r="D174">
        <f>K59</f>
        <v>0.002</v>
      </c>
      <c r="E174">
        <f t="shared" si="65"/>
        <v>1.13671379828672</v>
      </c>
    </row>
    <row r="175" customFormat="1" ht="14.25" spans="2:5">
      <c r="B175" s="7" t="s">
        <v>28</v>
      </c>
      <c r="C175">
        <f t="shared" ref="C175:C180" si="66">J62</f>
        <v>20</v>
      </c>
      <c r="D175">
        <f t="shared" ref="D175:D180" si="67">K62</f>
        <v>0.002916</v>
      </c>
      <c r="E175">
        <f t="shared" si="65"/>
        <v>0.961256709566975</v>
      </c>
    </row>
    <row r="176" customFormat="1" spans="3:5">
      <c r="C176">
        <f t="shared" si="66"/>
        <v>40</v>
      </c>
      <c r="D176">
        <f t="shared" si="67"/>
        <v>0.0006804</v>
      </c>
      <c r="E176">
        <f t="shared" si="65"/>
        <v>0.990593479871934</v>
      </c>
    </row>
    <row r="177" customFormat="1" spans="3:5">
      <c r="C177">
        <f t="shared" si="66"/>
        <v>60</v>
      </c>
      <c r="D177">
        <f t="shared" si="67"/>
        <v>0.0002916</v>
      </c>
      <c r="E177">
        <f t="shared" si="65"/>
        <v>0.986234454647817</v>
      </c>
    </row>
    <row r="178" customFormat="1" spans="3:5">
      <c r="C178">
        <f t="shared" si="66"/>
        <v>80</v>
      </c>
      <c r="D178">
        <f t="shared" si="67"/>
        <v>5.4292e-5</v>
      </c>
      <c r="E178">
        <f t="shared" si="65"/>
        <v>0.331637142297045</v>
      </c>
    </row>
    <row r="179" customFormat="1" spans="3:5">
      <c r="C179">
        <f t="shared" si="66"/>
        <v>120</v>
      </c>
      <c r="D179">
        <f t="shared" si="67"/>
        <v>4.788e-5</v>
      </c>
      <c r="E179">
        <f t="shared" si="65"/>
        <v>0.668447759030294</v>
      </c>
    </row>
    <row r="180" customFormat="1" spans="3:5">
      <c r="C180">
        <f t="shared" si="66"/>
        <v>180</v>
      </c>
      <c r="D180">
        <f t="shared" si="67"/>
        <v>9.828e-6</v>
      </c>
      <c r="E180">
        <f t="shared" si="65"/>
        <v>0.311937241970603</v>
      </c>
    </row>
    <row r="181" customFormat="1" ht="14.25" spans="2:5">
      <c r="B181" s="7" t="s">
        <v>122</v>
      </c>
      <c r="C181">
        <f t="shared" ref="C181:C186" si="68">J71</f>
        <v>15</v>
      </c>
      <c r="D181">
        <f t="shared" ref="D181:D186" si="69">K71</f>
        <v>0.005832</v>
      </c>
      <c r="E181">
        <f t="shared" si="65"/>
        <v>1.00944145990615</v>
      </c>
    </row>
    <row r="182" customFormat="1" spans="3:5">
      <c r="C182">
        <f t="shared" si="68"/>
        <v>30</v>
      </c>
      <c r="D182">
        <f t="shared" si="69"/>
        <v>0.0013608</v>
      </c>
      <c r="E182">
        <f t="shared" si="65"/>
        <v>1.07880671210423</v>
      </c>
    </row>
    <row r="183" customFormat="1" spans="3:5">
      <c r="C183">
        <f t="shared" si="68"/>
        <v>45</v>
      </c>
      <c r="D183">
        <f t="shared" si="69"/>
        <v>0.0005832</v>
      </c>
      <c r="E183">
        <f t="shared" si="65"/>
        <v>1.08618732152729</v>
      </c>
    </row>
    <row r="184" customFormat="1" spans="3:5">
      <c r="C184">
        <f t="shared" si="68"/>
        <v>60</v>
      </c>
      <c r="D184">
        <f t="shared" si="69"/>
        <v>0.000108584</v>
      </c>
      <c r="E184">
        <f t="shared" si="65"/>
        <v>0.367247194867896</v>
      </c>
    </row>
    <row r="185" customFormat="1" spans="3:5">
      <c r="C185">
        <f t="shared" si="68"/>
        <v>90</v>
      </c>
      <c r="D185">
        <f t="shared" si="69"/>
        <v>9.576e-5</v>
      </c>
      <c r="E185">
        <f t="shared" si="65"/>
        <v>0.744201021336664</v>
      </c>
    </row>
    <row r="186" customFormat="1" spans="3:5">
      <c r="C186">
        <f t="shared" si="68"/>
        <v>135</v>
      </c>
      <c r="D186">
        <f t="shared" si="69"/>
        <v>1.9656e-5</v>
      </c>
      <c r="E186">
        <f t="shared" si="65"/>
        <v>0.348512367844629</v>
      </c>
    </row>
    <row r="187" customFormat="1" ht="14.25" spans="2:5">
      <c r="B187" s="7" t="s">
        <v>29</v>
      </c>
      <c r="C187">
        <f t="shared" ref="C187:C192" si="70">J80</f>
        <v>10</v>
      </c>
      <c r="D187">
        <f t="shared" ref="D187:D192" si="71">K80</f>
        <v>0.008748</v>
      </c>
      <c r="E187">
        <f t="shared" si="65"/>
        <v>0.581954251017525</v>
      </c>
    </row>
    <row r="188" customFormat="1" spans="3:5">
      <c r="C188">
        <f t="shared" si="70"/>
        <v>20</v>
      </c>
      <c r="D188">
        <f t="shared" si="71"/>
        <v>0.0020412</v>
      </c>
      <c r="E188">
        <f t="shared" si="65"/>
        <v>0.672879696696882</v>
      </c>
    </row>
    <row r="189" customFormat="1" spans="3:5">
      <c r="C189">
        <f t="shared" si="70"/>
        <v>30</v>
      </c>
      <c r="D189">
        <f t="shared" si="71"/>
        <v>0.0008748</v>
      </c>
      <c r="E189">
        <f t="shared" si="65"/>
        <v>0.693518600638433</v>
      </c>
    </row>
    <row r="190" customFormat="1" spans="3:5">
      <c r="C190">
        <f t="shared" si="70"/>
        <v>40</v>
      </c>
      <c r="D190">
        <f t="shared" si="71"/>
        <v>0.000162876</v>
      </c>
      <c r="E190">
        <f t="shared" si="65"/>
        <v>0.237130957712553</v>
      </c>
    </row>
    <row r="191" customFormat="1" spans="3:5">
      <c r="C191">
        <f t="shared" si="70"/>
        <v>60</v>
      </c>
      <c r="D191">
        <f t="shared" si="71"/>
        <v>0.00014364</v>
      </c>
      <c r="E191">
        <f t="shared" si="65"/>
        <v>0.48581178691911</v>
      </c>
    </row>
    <row r="192" customFormat="1" spans="3:5">
      <c r="C192">
        <f t="shared" si="70"/>
        <v>90</v>
      </c>
      <c r="D192">
        <f t="shared" si="71"/>
        <v>2.9484e-5</v>
      </c>
      <c r="E192">
        <f t="shared" si="65"/>
        <v>0.229135577622078</v>
      </c>
    </row>
    <row r="193" customFormat="1" ht="14.25" spans="2:5">
      <c r="B193" s="7" t="s">
        <v>30</v>
      </c>
      <c r="C193">
        <f t="shared" ref="C193:C198" si="72">J89</f>
        <v>7</v>
      </c>
      <c r="D193">
        <f t="shared" ref="D193:D198" si="73">K89</f>
        <v>0.01458</v>
      </c>
      <c r="E193">
        <f t="shared" si="65"/>
        <v>0.387635812854175</v>
      </c>
    </row>
    <row r="194" customFormat="1" spans="3:5">
      <c r="C194">
        <f t="shared" si="72"/>
        <v>14</v>
      </c>
      <c r="D194">
        <f t="shared" si="73"/>
        <v>0.003402</v>
      </c>
      <c r="E194">
        <f t="shared" si="65"/>
        <v>0.502727789702011</v>
      </c>
    </row>
    <row r="195" customFormat="1" spans="3:5">
      <c r="C195">
        <f t="shared" si="72"/>
        <v>21</v>
      </c>
      <c r="D195">
        <f t="shared" si="73"/>
        <v>0.001458</v>
      </c>
      <c r="E195">
        <f t="shared" si="65"/>
        <v>0.535029952744878</v>
      </c>
    </row>
    <row r="196" customFormat="1" spans="3:5">
      <c r="C196">
        <f t="shared" si="72"/>
        <v>28</v>
      </c>
      <c r="D196">
        <f t="shared" si="73"/>
        <v>0.00027146</v>
      </c>
      <c r="E196">
        <f t="shared" si="65"/>
        <v>0.185719068264964</v>
      </c>
    </row>
    <row r="197" customFormat="1" spans="3:5">
      <c r="C197">
        <f t="shared" si="72"/>
        <v>42</v>
      </c>
      <c r="D197">
        <f t="shared" si="73"/>
        <v>0.0002394</v>
      </c>
      <c r="E197">
        <f t="shared" si="65"/>
        <v>0.386038166445964</v>
      </c>
    </row>
    <row r="198" customFormat="1" spans="3:5">
      <c r="C198">
        <f t="shared" si="72"/>
        <v>63</v>
      </c>
      <c r="D198">
        <f t="shared" si="73"/>
        <v>4.914e-5</v>
      </c>
      <c r="E198">
        <f t="shared" si="65"/>
        <v>0.183787815225265</v>
      </c>
    </row>
    <row r="199" customFormat="1" ht="14.25" spans="2:5">
      <c r="B199" s="7" t="s">
        <v>31</v>
      </c>
      <c r="C199">
        <f t="shared" ref="C199:C204" si="74">J98</f>
        <v>5</v>
      </c>
      <c r="D199">
        <f t="shared" ref="D199:D204" si="75">K98</f>
        <v>0.018225</v>
      </c>
      <c r="E199">
        <f t="shared" si="65"/>
        <v>0.181554817032969</v>
      </c>
    </row>
    <row r="200" customFormat="1" spans="3:5">
      <c r="C200">
        <f t="shared" si="74"/>
        <v>10</v>
      </c>
      <c r="D200">
        <f t="shared" si="75"/>
        <v>0.0042525</v>
      </c>
      <c r="E200">
        <f t="shared" si="65"/>
        <v>0.282894427577964</v>
      </c>
    </row>
    <row r="201" customFormat="1" spans="3:5">
      <c r="C201">
        <f t="shared" si="74"/>
        <v>15</v>
      </c>
      <c r="D201">
        <f t="shared" si="75"/>
        <v>0.0018225</v>
      </c>
      <c r="E201">
        <f t="shared" si="65"/>
        <v>0.315450456220672</v>
      </c>
    </row>
    <row r="202" customFormat="1" spans="3:5">
      <c r="C202">
        <f t="shared" si="74"/>
        <v>20</v>
      </c>
      <c r="D202">
        <f t="shared" si="75"/>
        <v>0.000339325</v>
      </c>
      <c r="E202">
        <f t="shared" si="65"/>
        <v>0.111858173173462</v>
      </c>
    </row>
    <row r="203" customFormat="1" spans="3:5">
      <c r="C203">
        <f t="shared" si="74"/>
        <v>30</v>
      </c>
      <c r="D203">
        <f t="shared" si="75"/>
        <v>0.00029925</v>
      </c>
      <c r="E203">
        <f t="shared" si="65"/>
        <v>0.23723758715255</v>
      </c>
    </row>
    <row r="204" customFormat="1" spans="3:5">
      <c r="C204">
        <f t="shared" si="74"/>
        <v>45</v>
      </c>
      <c r="D204">
        <f t="shared" si="75"/>
        <v>6.1425e-5</v>
      </c>
      <c r="E204">
        <f t="shared" si="65"/>
        <v>0.114401673910861</v>
      </c>
    </row>
    <row r="205" customFormat="1" spans="2:5">
      <c r="B205" t="s">
        <v>32</v>
      </c>
      <c r="C205">
        <f t="shared" ref="C205:C210" si="76">J107</f>
        <v>3</v>
      </c>
      <c r="D205">
        <f t="shared" ref="D205:D210" si="77">K107</f>
        <v>0.018225</v>
      </c>
      <c r="E205">
        <f t="shared" si="65"/>
        <v>0.0243648679982193</v>
      </c>
    </row>
    <row r="206" customFormat="1" spans="3:5">
      <c r="C206">
        <f t="shared" si="76"/>
        <v>6</v>
      </c>
      <c r="D206">
        <f t="shared" si="77"/>
        <v>0.0042525</v>
      </c>
      <c r="E206">
        <f t="shared" si="65"/>
        <v>0.0734591180284137</v>
      </c>
    </row>
    <row r="207" customFormat="1" spans="3:5">
      <c r="C207">
        <f t="shared" si="76"/>
        <v>9</v>
      </c>
      <c r="D207">
        <f t="shared" si="77"/>
        <v>0.0018225</v>
      </c>
      <c r="E207">
        <f t="shared" si="65"/>
        <v>0.0933334715102469</v>
      </c>
    </row>
    <row r="208" customFormat="1" spans="3:5">
      <c r="C208">
        <f t="shared" si="76"/>
        <v>12</v>
      </c>
      <c r="D208">
        <f t="shared" si="77"/>
        <v>0.000339325</v>
      </c>
      <c r="E208">
        <f t="shared" si="65"/>
        <v>0.0350011110157185</v>
      </c>
    </row>
    <row r="209" customFormat="1" spans="3:5">
      <c r="C209">
        <f t="shared" si="76"/>
        <v>18</v>
      </c>
      <c r="D209">
        <f t="shared" si="77"/>
        <v>0.00029925</v>
      </c>
      <c r="E209">
        <f t="shared" si="65"/>
        <v>0.0781114662476452</v>
      </c>
    </row>
    <row r="210" customFormat="1" spans="3:5">
      <c r="C210">
        <f t="shared" si="76"/>
        <v>27</v>
      </c>
      <c r="D210">
        <f t="shared" si="77"/>
        <v>6.1425e-5</v>
      </c>
      <c r="E210">
        <f t="shared" si="65"/>
        <v>0.0388719787901402</v>
      </c>
    </row>
    <row r="211" customFormat="1" spans="2:5">
      <c r="B211" t="s">
        <v>164</v>
      </c>
      <c r="C211">
        <f t="shared" ref="C211:C213" si="78">J116</f>
        <v>2</v>
      </c>
      <c r="D211">
        <f t="shared" ref="D211:D213" si="79">K116</f>
        <v>0.011694375</v>
      </c>
      <c r="E211">
        <f t="shared" si="65"/>
        <v>0.000285473316875102</v>
      </c>
    </row>
    <row r="212" customFormat="1" spans="3:5">
      <c r="C212">
        <f t="shared" si="78"/>
        <v>4</v>
      </c>
      <c r="D212">
        <f t="shared" si="79"/>
        <v>0.0023139375</v>
      </c>
      <c r="E212">
        <f t="shared" si="65"/>
        <v>0.0107583610235077</v>
      </c>
    </row>
    <row r="213" customFormat="1" spans="3:5">
      <c r="C213">
        <f t="shared" si="78"/>
        <v>6</v>
      </c>
      <c r="D213">
        <f t="shared" si="79"/>
        <v>0.0009916875</v>
      </c>
      <c r="E213">
        <f t="shared" si="65"/>
        <v>0.0171307440587425</v>
      </c>
    </row>
    <row r="214" customFormat="1" spans="2:5">
      <c r="B214" t="s">
        <v>35</v>
      </c>
      <c r="C214">
        <f t="shared" ref="C214:C216" si="80">J141</f>
        <v>1</v>
      </c>
      <c r="D214">
        <f t="shared" ref="D214:D216" si="81">K141</f>
        <v>0.011694375</v>
      </c>
      <c r="E214">
        <f t="shared" si="65"/>
        <v>0.00832557300155948</v>
      </c>
    </row>
    <row r="215" customFormat="1" spans="3:5">
      <c r="C215">
        <f t="shared" si="80"/>
        <v>2</v>
      </c>
      <c r="D215">
        <f t="shared" si="81"/>
        <v>0.0023139375</v>
      </c>
      <c r="E215">
        <f t="shared" si="65"/>
        <v>5.64859099495854e-5</v>
      </c>
    </row>
    <row r="216" customFormat="1" spans="3:5">
      <c r="C216">
        <f t="shared" si="80"/>
        <v>3</v>
      </c>
      <c r="D216">
        <f t="shared" si="81"/>
        <v>0.0009916875</v>
      </c>
      <c r="E216">
        <f t="shared" si="65"/>
        <v>0.00132577970002656</v>
      </c>
    </row>
    <row r="217" customFormat="1" spans="2:5">
      <c r="B217" t="s">
        <v>48</v>
      </c>
      <c r="C217">
        <f>J166</f>
        <v>13.19866375</v>
      </c>
      <c r="D217">
        <f>K166</f>
        <v>0.03</v>
      </c>
      <c r="E217">
        <f t="shared" si="65"/>
        <v>3.86801567079449</v>
      </c>
    </row>
    <row r="218" customFormat="1" spans="2:5">
      <c r="B218" t="s">
        <v>47</v>
      </c>
      <c r="C218">
        <f>J167</f>
        <v>9.71333125</v>
      </c>
      <c r="D218">
        <f>K167</f>
        <v>0.04</v>
      </c>
      <c r="E218">
        <f t="shared" si="65"/>
        <v>2.47720652436213</v>
      </c>
    </row>
    <row r="219" customFormat="1" spans="2:5">
      <c r="B219" t="s">
        <v>112</v>
      </c>
      <c r="C219">
        <v>0</v>
      </c>
      <c r="D219">
        <f>1-C32</f>
        <v>0.803993</v>
      </c>
      <c r="E219">
        <f t="shared" si="65"/>
        <v>2.73313260082572</v>
      </c>
    </row>
    <row r="220" customFormat="1" spans="2:5">
      <c r="B220" t="s">
        <v>42</v>
      </c>
      <c r="D220">
        <f>SUM(D170:D219)</f>
        <v>1</v>
      </c>
      <c r="E220">
        <f>SUM(E170:E219)</f>
        <v>26.5200156867663</v>
      </c>
    </row>
  </sheetData>
  <dataValidations count="1">
    <dataValidation type="list" allowBlank="1" showInputMessage="1" showErrorMessage="1" sqref="C2 C55 C56 C57 C62 C71 C80 C89 C98 C107 C132 C133 C134 C139 C157 C158 C159 C164 C166 C167 C168 C3:C16 C52:C53 C136:C138 C161:C163">
      <formula1>"PayoutType,Ordered,All,Any"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20"/>
  <sheetViews>
    <sheetView topLeftCell="A3" workbookViewId="0">
      <selection activeCell="F3" sqref="F3"/>
    </sheetView>
  </sheetViews>
  <sheetFormatPr defaultColWidth="9" defaultRowHeight="13.5"/>
  <cols>
    <col min="2" max="2" width="38.25" customWidth="1"/>
    <col min="3" max="3" width="20.375" customWidth="1"/>
    <col min="4" max="4" width="12.625" customWidth="1"/>
    <col min="5" max="5" width="12.625"/>
    <col min="6" max="6" width="36.75" customWidth="1"/>
    <col min="7" max="7" width="20.375" customWidth="1"/>
    <col min="8" max="8" width="13.75" customWidth="1"/>
    <col min="10" max="10" width="11.5" customWidth="1"/>
    <col min="11" max="12" width="16" customWidth="1"/>
    <col min="13" max="14" width="17.125" customWidth="1"/>
    <col min="15" max="16" width="16" customWidth="1"/>
  </cols>
  <sheetData>
    <row r="1" customFormat="1" ht="25.5" spans="1:1">
      <c r="A1" s="6" t="s">
        <v>0</v>
      </c>
    </row>
    <row r="2" s="1" customFormat="1" ht="14.25" spans="1:16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 t="s">
        <v>8</v>
      </c>
      <c r="I2" s="7" t="s">
        <v>9</v>
      </c>
      <c r="J2" s="7" t="s">
        <v>10</v>
      </c>
      <c r="K2" s="7" t="s">
        <v>113</v>
      </c>
      <c r="L2" s="7" t="s">
        <v>114</v>
      </c>
      <c r="M2" s="7" t="s">
        <v>115</v>
      </c>
      <c r="N2" s="7" t="s">
        <v>116</v>
      </c>
      <c r="O2" s="7" t="s">
        <v>117</v>
      </c>
      <c r="P2" s="7" t="s">
        <v>118</v>
      </c>
    </row>
    <row r="3" s="1" customFormat="1" ht="14.25" spans="1:16">
      <c r="A3" s="10">
        <v>1</v>
      </c>
      <c r="B3" s="10" t="s">
        <v>119</v>
      </c>
      <c r="C3" s="10" t="s">
        <v>23</v>
      </c>
      <c r="D3" s="10">
        <v>3</v>
      </c>
      <c r="E3" s="10">
        <v>500</v>
      </c>
      <c r="F3" s="11">
        <v>0</v>
      </c>
      <c r="G3" s="11">
        <v>0</v>
      </c>
      <c r="H3" s="9">
        <v>1</v>
      </c>
      <c r="I3" s="7">
        <v>1</v>
      </c>
      <c r="J3" s="7" t="b">
        <v>1</v>
      </c>
      <c r="K3" s="7">
        <v>1</v>
      </c>
      <c r="L3" s="7">
        <v>0</v>
      </c>
      <c r="M3" s="7">
        <v>1</v>
      </c>
      <c r="N3" s="7">
        <v>0</v>
      </c>
      <c r="O3" s="7">
        <v>1</v>
      </c>
      <c r="P3" s="7">
        <v>0</v>
      </c>
    </row>
    <row r="4" s="1" customFormat="1" ht="14.25" spans="1:16">
      <c r="A4" s="10">
        <v>2</v>
      </c>
      <c r="B4" s="10" t="s">
        <v>120</v>
      </c>
      <c r="C4" s="10" t="s">
        <v>23</v>
      </c>
      <c r="D4" s="10">
        <v>3</v>
      </c>
      <c r="E4" s="10">
        <v>300</v>
      </c>
      <c r="F4" s="11">
        <v>0</v>
      </c>
      <c r="G4" s="11">
        <v>0</v>
      </c>
      <c r="H4" s="9">
        <v>1</v>
      </c>
      <c r="I4" s="7">
        <v>1</v>
      </c>
      <c r="J4" s="7" t="b">
        <v>1</v>
      </c>
      <c r="K4" s="7">
        <v>0</v>
      </c>
      <c r="L4" s="7">
        <v>1</v>
      </c>
      <c r="M4" s="7">
        <v>0</v>
      </c>
      <c r="N4" s="7">
        <v>1</v>
      </c>
      <c r="O4" s="7">
        <v>0</v>
      </c>
      <c r="P4" s="7">
        <v>1</v>
      </c>
    </row>
    <row r="5" s="1" customFormat="1" ht="14.25" spans="1:16">
      <c r="A5" s="10">
        <v>3</v>
      </c>
      <c r="B5" s="10" t="s">
        <v>121</v>
      </c>
      <c r="C5" s="10" t="s">
        <v>34</v>
      </c>
      <c r="D5" s="10">
        <v>3</v>
      </c>
      <c r="E5" s="10">
        <v>20</v>
      </c>
      <c r="F5" s="11">
        <v>0</v>
      </c>
      <c r="G5" s="11">
        <v>0</v>
      </c>
      <c r="H5" s="9">
        <v>1</v>
      </c>
      <c r="I5" s="7">
        <v>1</v>
      </c>
      <c r="J5" s="7" t="b">
        <v>0</v>
      </c>
      <c r="K5" s="30">
        <v>0.3</v>
      </c>
      <c r="L5" s="30">
        <v>0.7</v>
      </c>
      <c r="M5" s="30">
        <v>0.3</v>
      </c>
      <c r="N5" s="30">
        <v>0.7</v>
      </c>
      <c r="O5" s="30">
        <v>0.3</v>
      </c>
      <c r="P5" s="30">
        <v>0.7</v>
      </c>
    </row>
    <row r="6" s="1" customFormat="1" ht="14.25" spans="1:16">
      <c r="A6" s="10">
        <v>4</v>
      </c>
      <c r="B6" s="10" t="s">
        <v>26</v>
      </c>
      <c r="C6" s="10" t="s">
        <v>27</v>
      </c>
      <c r="D6" s="10">
        <v>3</v>
      </c>
      <c r="E6" s="10">
        <v>10</v>
      </c>
      <c r="F6" s="11">
        <v>0</v>
      </c>
      <c r="G6" s="11">
        <v>0</v>
      </c>
      <c r="H6" s="9">
        <v>1</v>
      </c>
      <c r="I6" s="7">
        <v>1</v>
      </c>
      <c r="J6" s="7" t="b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="1" customFormat="1" ht="14.25" spans="1:16">
      <c r="A7" s="10">
        <v>5</v>
      </c>
      <c r="B7" s="10" t="s">
        <v>28</v>
      </c>
      <c r="C7" s="10" t="s">
        <v>27</v>
      </c>
      <c r="D7" s="10">
        <v>3</v>
      </c>
      <c r="E7" s="10">
        <v>20</v>
      </c>
      <c r="F7" s="11">
        <v>0</v>
      </c>
      <c r="G7" s="11">
        <v>0.01</v>
      </c>
      <c r="H7" s="9">
        <v>1</v>
      </c>
      <c r="I7" s="7">
        <v>1</v>
      </c>
      <c r="J7" s="7" t="b">
        <v>0</v>
      </c>
      <c r="K7" s="30">
        <v>0.03</v>
      </c>
      <c r="L7" s="30">
        <v>0.07</v>
      </c>
      <c r="M7" s="30">
        <v>0.03</v>
      </c>
      <c r="N7" s="30">
        <v>0.07</v>
      </c>
      <c r="O7" s="30">
        <v>0.03</v>
      </c>
      <c r="P7" s="30">
        <v>0.07</v>
      </c>
    </row>
    <row r="8" s="1" customFormat="1" ht="14.25" spans="1:16">
      <c r="A8" s="10">
        <v>6</v>
      </c>
      <c r="B8" s="10" t="s">
        <v>122</v>
      </c>
      <c r="C8" s="10" t="s">
        <v>27</v>
      </c>
      <c r="D8" s="10">
        <v>3</v>
      </c>
      <c r="E8" s="10">
        <v>15</v>
      </c>
      <c r="F8" s="11">
        <v>0</v>
      </c>
      <c r="G8" s="11">
        <v>0.01</v>
      </c>
      <c r="H8" s="9">
        <v>1</v>
      </c>
      <c r="I8" s="7">
        <v>1</v>
      </c>
      <c r="J8" s="7" t="b">
        <v>0</v>
      </c>
      <c r="K8" s="30">
        <v>0.03</v>
      </c>
      <c r="L8" s="30">
        <v>0.07</v>
      </c>
      <c r="M8" s="30">
        <v>0.03</v>
      </c>
      <c r="N8" s="30">
        <v>0.07</v>
      </c>
      <c r="O8" s="30">
        <v>0.03</v>
      </c>
      <c r="P8" s="30">
        <v>0.07</v>
      </c>
    </row>
    <row r="9" s="1" customFormat="1" ht="14.25" spans="1:16">
      <c r="A9" s="10">
        <v>7</v>
      </c>
      <c r="B9" s="10" t="s">
        <v>29</v>
      </c>
      <c r="C9" s="10" t="s">
        <v>27</v>
      </c>
      <c r="D9" s="10">
        <v>3</v>
      </c>
      <c r="E9" s="10">
        <v>10</v>
      </c>
      <c r="F9" s="11">
        <v>0</v>
      </c>
      <c r="G9" s="11">
        <v>0.01</v>
      </c>
      <c r="H9" s="9">
        <v>1</v>
      </c>
      <c r="I9" s="7">
        <v>1</v>
      </c>
      <c r="J9" s="7" t="b">
        <v>0</v>
      </c>
      <c r="K9" s="30">
        <v>0.03</v>
      </c>
      <c r="L9" s="30">
        <v>0.07</v>
      </c>
      <c r="M9" s="30">
        <v>0.03</v>
      </c>
      <c r="N9" s="30">
        <v>0.07</v>
      </c>
      <c r="O9" s="30">
        <v>0.03</v>
      </c>
      <c r="P9" s="30">
        <v>0.07</v>
      </c>
    </row>
    <row r="10" s="1" customFormat="1" ht="14.25" spans="1:16">
      <c r="A10" s="10">
        <v>8</v>
      </c>
      <c r="B10" s="10" t="s">
        <v>30</v>
      </c>
      <c r="C10" s="10" t="s">
        <v>27</v>
      </c>
      <c r="D10" s="10">
        <v>3</v>
      </c>
      <c r="E10" s="10">
        <v>7</v>
      </c>
      <c r="F10" s="11">
        <v>0</v>
      </c>
      <c r="G10" s="11">
        <v>0.055</v>
      </c>
      <c r="H10" s="9">
        <v>1</v>
      </c>
      <c r="I10" s="7">
        <v>1</v>
      </c>
      <c r="J10" s="7" t="b">
        <v>0</v>
      </c>
      <c r="K10" s="30">
        <v>0.03</v>
      </c>
      <c r="L10" s="30">
        <v>0.07</v>
      </c>
      <c r="M10" s="30">
        <v>0.03</v>
      </c>
      <c r="N10" s="30">
        <v>0.07</v>
      </c>
      <c r="O10" s="30">
        <v>0.03</v>
      </c>
      <c r="P10" s="30">
        <v>0.07</v>
      </c>
    </row>
    <row r="11" s="1" customFormat="1" ht="14.25" spans="1:16">
      <c r="A11" s="10">
        <v>9</v>
      </c>
      <c r="B11" s="10" t="s">
        <v>31</v>
      </c>
      <c r="C11" s="10" t="s">
        <v>27</v>
      </c>
      <c r="D11" s="10">
        <v>3</v>
      </c>
      <c r="E11" s="10">
        <v>5</v>
      </c>
      <c r="F11" s="11">
        <v>0</v>
      </c>
      <c r="G11" s="11">
        <v>0.055</v>
      </c>
      <c r="H11" s="9">
        <v>1</v>
      </c>
      <c r="I11" s="7">
        <v>1</v>
      </c>
      <c r="J11" s="7" t="b">
        <v>0</v>
      </c>
      <c r="K11" s="30">
        <v>0.03</v>
      </c>
      <c r="L11" s="30">
        <v>0.07</v>
      </c>
      <c r="M11" s="30">
        <v>0.03</v>
      </c>
      <c r="N11" s="30">
        <v>0.07</v>
      </c>
      <c r="O11" s="30">
        <v>0.03</v>
      </c>
      <c r="P11" s="30">
        <v>0.07</v>
      </c>
    </row>
    <row r="12" s="1" customFormat="1" ht="14.25" spans="1:16">
      <c r="A12" s="10">
        <v>10</v>
      </c>
      <c r="B12" s="10" t="s">
        <v>32</v>
      </c>
      <c r="C12" s="10" t="s">
        <v>27</v>
      </c>
      <c r="D12" s="10">
        <v>3</v>
      </c>
      <c r="E12" s="10">
        <v>3</v>
      </c>
      <c r="F12" s="11">
        <v>0</v>
      </c>
      <c r="G12" s="11">
        <v>0.12</v>
      </c>
      <c r="H12" s="9">
        <v>1</v>
      </c>
      <c r="I12" s="7">
        <v>1</v>
      </c>
      <c r="J12" s="7" t="b">
        <v>0</v>
      </c>
      <c r="K12" s="30">
        <v>0.03</v>
      </c>
      <c r="L12" s="30">
        <v>0.07</v>
      </c>
      <c r="M12" s="30">
        <v>0.03</v>
      </c>
      <c r="N12" s="30">
        <v>0.07</v>
      </c>
      <c r="O12" s="30">
        <v>0.03</v>
      </c>
      <c r="P12" s="30">
        <v>0.07</v>
      </c>
    </row>
    <row r="13" s="1" customFormat="1" ht="14.25" spans="1:16">
      <c r="A13" s="10">
        <v>11</v>
      </c>
      <c r="B13" s="10" t="s">
        <v>123</v>
      </c>
      <c r="C13" s="10" t="s">
        <v>34</v>
      </c>
      <c r="D13" s="10">
        <v>3</v>
      </c>
      <c r="E13" s="10">
        <v>2</v>
      </c>
      <c r="F13" s="11">
        <v>0</v>
      </c>
      <c r="G13" s="11">
        <v>0.12</v>
      </c>
      <c r="H13" s="9">
        <v>1</v>
      </c>
      <c r="I13" s="7">
        <v>1</v>
      </c>
      <c r="J13" s="7" t="b">
        <v>0</v>
      </c>
      <c r="K13" s="30">
        <v>0.03</v>
      </c>
      <c r="L13" s="30">
        <v>0.07</v>
      </c>
      <c r="M13" s="30">
        <v>0.03</v>
      </c>
      <c r="N13" s="30">
        <v>0.07</v>
      </c>
      <c r="O13" s="30">
        <v>0.03</v>
      </c>
      <c r="P13" s="30">
        <v>0.07</v>
      </c>
    </row>
    <row r="14" s="1" customFormat="1" ht="14.25" spans="1:16">
      <c r="A14" s="10">
        <v>12</v>
      </c>
      <c r="B14" s="10" t="s">
        <v>35</v>
      </c>
      <c r="C14" s="10" t="s">
        <v>34</v>
      </c>
      <c r="D14" s="12">
        <v>3</v>
      </c>
      <c r="E14" s="12">
        <v>1</v>
      </c>
      <c r="F14" s="11">
        <v>0</v>
      </c>
      <c r="G14" s="11">
        <v>0.12</v>
      </c>
      <c r="H14" s="9">
        <v>1</v>
      </c>
      <c r="I14" s="7">
        <v>1</v>
      </c>
      <c r="J14" s="7" t="b">
        <v>0</v>
      </c>
      <c r="K14" s="30">
        <v>0.03</v>
      </c>
      <c r="L14" s="30">
        <v>0.07</v>
      </c>
      <c r="M14" s="30">
        <v>0.03</v>
      </c>
      <c r="N14" s="30">
        <v>0.07</v>
      </c>
      <c r="O14" s="30">
        <v>0.03</v>
      </c>
      <c r="P14" s="30">
        <v>0.07</v>
      </c>
    </row>
    <row r="15" s="1" customFormat="1" ht="14.25" spans="1:16">
      <c r="A15" s="10">
        <v>13</v>
      </c>
      <c r="B15" s="10" t="s">
        <v>26</v>
      </c>
      <c r="C15" s="10" t="s">
        <v>34</v>
      </c>
      <c r="D15" s="12">
        <v>2</v>
      </c>
      <c r="E15" s="12">
        <v>1</v>
      </c>
      <c r="F15" s="10">
        <v>0.02</v>
      </c>
      <c r="G15" s="11">
        <v>0.2</v>
      </c>
      <c r="H15" s="9">
        <v>1</v>
      </c>
      <c r="I15" s="7">
        <v>1</v>
      </c>
      <c r="J15" s="7" t="b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</row>
    <row r="16" s="2" customFormat="1" ht="14.25" spans="1:16">
      <c r="A16" s="10">
        <v>14</v>
      </c>
      <c r="B16" s="10" t="s">
        <v>26</v>
      </c>
      <c r="C16" s="10" t="s">
        <v>34</v>
      </c>
      <c r="D16" s="10">
        <v>1</v>
      </c>
      <c r="E16" s="10">
        <v>1</v>
      </c>
      <c r="F16" s="11">
        <v>0.03</v>
      </c>
      <c r="G16" s="11">
        <v>0.3</v>
      </c>
      <c r="H16" s="9">
        <v>1</v>
      </c>
      <c r="I16" s="7">
        <v>1</v>
      </c>
      <c r="J16" s="7" t="b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</row>
    <row r="17" s="3" customFormat="1" ht="25.5" spans="1:16">
      <c r="A17" s="6" t="s">
        <v>36</v>
      </c>
      <c r="C17" s="13" t="s">
        <v>37</v>
      </c>
      <c r="D17" s="13" t="s">
        <v>38</v>
      </c>
      <c r="E17" s="13" t="s">
        <v>173</v>
      </c>
      <c r="F17" s="13"/>
      <c r="G17" s="13" t="s">
        <v>39</v>
      </c>
      <c r="H17" s="13" t="s">
        <v>40</v>
      </c>
      <c r="P17" s="31"/>
    </row>
    <row r="18" customFormat="1" ht="14.25" spans="1:16">
      <c r="A18" s="10">
        <v>1</v>
      </c>
      <c r="B18" s="10" t="s">
        <v>119</v>
      </c>
      <c r="C18">
        <f t="shared" ref="C18:C31" si="0">F3</f>
        <v>0</v>
      </c>
      <c r="D18" s="14">
        <f>L52</f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customFormat="1" ht="14.25" spans="1:4">
      <c r="A19" s="10">
        <v>2</v>
      </c>
      <c r="B19" s="10" t="s">
        <v>120</v>
      </c>
      <c r="C19">
        <f t="shared" si="0"/>
        <v>0</v>
      </c>
      <c r="D19" s="14">
        <f>L53</f>
        <v>0</v>
      </c>
    </row>
    <row r="20" customFormat="1" ht="14.25" spans="1:4">
      <c r="A20" s="10">
        <v>3</v>
      </c>
      <c r="B20" s="10" t="s">
        <v>121</v>
      </c>
      <c r="C20">
        <f t="shared" si="0"/>
        <v>0</v>
      </c>
      <c r="D20" s="14">
        <f>L57</f>
        <v>0</v>
      </c>
    </row>
    <row r="21" customFormat="1" ht="14.25" spans="1:4">
      <c r="A21" s="10">
        <v>4</v>
      </c>
      <c r="B21" s="10" t="s">
        <v>26</v>
      </c>
      <c r="C21">
        <f t="shared" si="0"/>
        <v>0</v>
      </c>
      <c r="D21">
        <f>L60</f>
        <v>0</v>
      </c>
    </row>
    <row r="22" customFormat="1" ht="14.25" spans="1:4">
      <c r="A22" s="10">
        <v>5</v>
      </c>
      <c r="B22" s="10" t="s">
        <v>28</v>
      </c>
      <c r="C22">
        <f t="shared" si="0"/>
        <v>0</v>
      </c>
      <c r="D22">
        <f>L69</f>
        <v>0</v>
      </c>
    </row>
    <row r="23" customFormat="1" ht="14.25" spans="1:4">
      <c r="A23" s="10">
        <v>6</v>
      </c>
      <c r="B23" s="10" t="s">
        <v>122</v>
      </c>
      <c r="C23">
        <f t="shared" si="0"/>
        <v>0</v>
      </c>
      <c r="D23">
        <f>L78</f>
        <v>0</v>
      </c>
    </row>
    <row r="24" customFormat="1" ht="14.25" spans="1:4">
      <c r="A24" s="10">
        <v>7</v>
      </c>
      <c r="B24" s="10" t="s">
        <v>29</v>
      </c>
      <c r="C24">
        <f t="shared" si="0"/>
        <v>0</v>
      </c>
      <c r="D24">
        <f>L87</f>
        <v>0</v>
      </c>
    </row>
    <row r="25" customFormat="1" ht="14.25" spans="1:4">
      <c r="A25" s="10">
        <v>8</v>
      </c>
      <c r="B25" s="10" t="s">
        <v>30</v>
      </c>
      <c r="C25">
        <f t="shared" si="0"/>
        <v>0</v>
      </c>
      <c r="D25">
        <f>L96</f>
        <v>0</v>
      </c>
    </row>
    <row r="26" customFormat="1" ht="14.25" spans="1:4">
      <c r="A26" s="10">
        <v>9</v>
      </c>
      <c r="B26" s="10" t="s">
        <v>31</v>
      </c>
      <c r="C26">
        <f t="shared" si="0"/>
        <v>0</v>
      </c>
      <c r="D26">
        <f>L105</f>
        <v>0</v>
      </c>
    </row>
    <row r="27" customFormat="1" ht="14.25" spans="1:4">
      <c r="A27" s="10">
        <v>10</v>
      </c>
      <c r="B27" s="10" t="s">
        <v>32</v>
      </c>
      <c r="C27">
        <f t="shared" si="0"/>
        <v>0</v>
      </c>
      <c r="D27">
        <f>L114</f>
        <v>0</v>
      </c>
    </row>
    <row r="28" customFormat="1" ht="14.25" spans="1:4">
      <c r="A28" s="10">
        <v>11</v>
      </c>
      <c r="B28" s="10" t="s">
        <v>123</v>
      </c>
      <c r="C28">
        <f t="shared" si="0"/>
        <v>0</v>
      </c>
      <c r="D28">
        <f>L119</f>
        <v>0</v>
      </c>
    </row>
    <row r="29" customFormat="1" ht="14.25" spans="1:4">
      <c r="A29" s="10">
        <v>12</v>
      </c>
      <c r="B29" s="10" t="s">
        <v>35</v>
      </c>
      <c r="C29">
        <f t="shared" si="0"/>
        <v>0</v>
      </c>
      <c r="D29">
        <f>L144</f>
        <v>0</v>
      </c>
    </row>
    <row r="30" customFormat="1" ht="14.25" spans="1:5">
      <c r="A30" s="10">
        <v>13</v>
      </c>
      <c r="B30" s="10" t="s">
        <v>26</v>
      </c>
      <c r="C30">
        <f t="shared" si="0"/>
        <v>0.02</v>
      </c>
      <c r="D30">
        <f>L166</f>
        <v>0.197551312</v>
      </c>
      <c r="E30">
        <v>0.232</v>
      </c>
    </row>
    <row r="31" customFormat="1" ht="14.25" spans="1:5">
      <c r="A31" s="10">
        <v>14</v>
      </c>
      <c r="B31" s="10" t="s">
        <v>26</v>
      </c>
      <c r="C31">
        <f t="shared" si="0"/>
        <v>0.03</v>
      </c>
      <c r="D31">
        <f>L167</f>
        <v>0.2130997905</v>
      </c>
      <c r="E31">
        <v>0.242</v>
      </c>
    </row>
    <row r="32" s="4" customFormat="1" spans="2:8">
      <c r="B32" s="4" t="s">
        <v>42</v>
      </c>
      <c r="C32" s="15">
        <f>SUM(C18:C31)</f>
        <v>0.05</v>
      </c>
      <c r="D32" s="15">
        <f>SUM(D18:D31)</f>
        <v>0.4106511025</v>
      </c>
      <c r="G32" s="4">
        <f>E220</f>
        <v>3.29640907269973</v>
      </c>
      <c r="H32" s="4">
        <f>SQRT(G32)</f>
        <v>1.81560157322573</v>
      </c>
    </row>
    <row r="33" s="3" customFormat="1" ht="25.5" spans="1:1">
      <c r="A33" s="16" t="s">
        <v>43</v>
      </c>
    </row>
    <row r="34" s="3" customFormat="1" ht="14.25" spans="1:16">
      <c r="A34" s="7" t="s">
        <v>1</v>
      </c>
      <c r="B34" s="7" t="s">
        <v>44</v>
      </c>
      <c r="C34" s="8" t="s">
        <v>7</v>
      </c>
      <c r="D34" s="17" t="s">
        <v>5</v>
      </c>
      <c r="E34" s="18" t="s">
        <v>45</v>
      </c>
      <c r="F34" s="18" t="s">
        <v>46</v>
      </c>
      <c r="G34" s="18"/>
      <c r="H34" s="18"/>
      <c r="I34" s="18"/>
      <c r="J34" s="18"/>
      <c r="K34" s="18"/>
      <c r="L34" s="18"/>
      <c r="N34" s="18"/>
      <c r="O34" s="18"/>
      <c r="P34" s="18"/>
    </row>
    <row r="35" s="3" customFormat="1" ht="14.25" spans="1:16">
      <c r="A35" s="10">
        <v>1</v>
      </c>
      <c r="B35" s="10" t="s">
        <v>119</v>
      </c>
      <c r="C35" s="11">
        <f>G3</f>
        <v>0</v>
      </c>
      <c r="D35" s="19">
        <f t="shared" ref="D35:D47" si="1">E3</f>
        <v>500</v>
      </c>
      <c r="E35" s="18">
        <v>1</v>
      </c>
      <c r="F35" s="18">
        <f t="shared" ref="F35:F48" si="2">C35*D35*E35</f>
        <v>0</v>
      </c>
      <c r="G35" s="18"/>
      <c r="H35" s="18"/>
      <c r="I35" s="18"/>
      <c r="J35" s="18"/>
      <c r="K35" s="18"/>
      <c r="L35" s="18"/>
      <c r="N35" s="18"/>
      <c r="O35" s="18"/>
      <c r="P35" s="18"/>
    </row>
    <row r="36" s="3" customFormat="1" ht="14.25" spans="1:16">
      <c r="A36" s="10">
        <v>2</v>
      </c>
      <c r="B36" s="10" t="s">
        <v>120</v>
      </c>
      <c r="C36" s="11">
        <f t="shared" ref="C35:C48" si="3">G4</f>
        <v>0</v>
      </c>
      <c r="D36" s="19">
        <f t="shared" si="1"/>
        <v>300</v>
      </c>
      <c r="E36" s="18">
        <v>1</v>
      </c>
      <c r="F36" s="18">
        <f t="shared" si="2"/>
        <v>0</v>
      </c>
      <c r="G36" s="18"/>
      <c r="H36" s="18"/>
      <c r="I36" s="18"/>
      <c r="J36" s="18"/>
      <c r="K36" s="18"/>
      <c r="L36" s="18"/>
      <c r="N36" s="18"/>
      <c r="O36" s="18"/>
      <c r="P36" s="18"/>
    </row>
    <row r="37" s="3" customFormat="1" ht="14.25" spans="1:16">
      <c r="A37" s="10">
        <v>3</v>
      </c>
      <c r="B37" s="10" t="s">
        <v>121</v>
      </c>
      <c r="C37" s="11">
        <f t="shared" si="3"/>
        <v>0</v>
      </c>
      <c r="D37" s="19">
        <f t="shared" si="1"/>
        <v>20</v>
      </c>
      <c r="E37" s="18">
        <v>1</v>
      </c>
      <c r="F37" s="18">
        <f t="shared" si="2"/>
        <v>0</v>
      </c>
      <c r="G37" s="18"/>
      <c r="H37" s="18"/>
      <c r="I37" s="18"/>
      <c r="J37" s="18"/>
      <c r="K37" s="18"/>
      <c r="L37" s="18"/>
      <c r="N37" s="18"/>
      <c r="O37" s="18"/>
      <c r="P37" s="18"/>
    </row>
    <row r="38" s="3" customFormat="1" ht="14.25" spans="1:16">
      <c r="A38" s="10">
        <v>4</v>
      </c>
      <c r="B38" s="10" t="s">
        <v>26</v>
      </c>
      <c r="C38" s="11">
        <f t="shared" si="3"/>
        <v>0</v>
      </c>
      <c r="D38" s="19">
        <f t="shared" si="1"/>
        <v>10</v>
      </c>
      <c r="E38" s="18">
        <v>1</v>
      </c>
      <c r="F38" s="18">
        <f t="shared" si="2"/>
        <v>0</v>
      </c>
      <c r="G38" s="18"/>
      <c r="H38" s="18"/>
      <c r="I38" s="18"/>
      <c r="J38" s="18"/>
      <c r="K38" s="18"/>
      <c r="L38" s="18"/>
      <c r="N38" s="18"/>
      <c r="O38" s="18"/>
      <c r="P38" s="18"/>
    </row>
    <row r="39" s="3" customFormat="1" ht="14.25" spans="1:16">
      <c r="A39" s="10">
        <v>5</v>
      </c>
      <c r="B39" s="10" t="s">
        <v>28</v>
      </c>
      <c r="C39" s="11">
        <f t="shared" si="3"/>
        <v>0.01</v>
      </c>
      <c r="D39" s="19">
        <f t="shared" si="1"/>
        <v>20</v>
      </c>
      <c r="E39" s="18">
        <f t="shared" ref="E39:E44" si="4">$M$69</f>
        <v>1.436125</v>
      </c>
      <c r="F39" s="18">
        <f t="shared" si="2"/>
        <v>0.287225</v>
      </c>
      <c r="G39" s="18"/>
      <c r="H39" s="18"/>
      <c r="I39" s="18"/>
      <c r="J39" s="18"/>
      <c r="K39" s="18"/>
      <c r="L39" s="18"/>
      <c r="N39" s="18"/>
      <c r="O39" s="18"/>
      <c r="P39" s="18"/>
    </row>
    <row r="40" s="3" customFormat="1" ht="14.25" spans="1:16">
      <c r="A40" s="10">
        <v>6</v>
      </c>
      <c r="B40" s="10" t="s">
        <v>122</v>
      </c>
      <c r="C40" s="11">
        <f t="shared" si="3"/>
        <v>0.01</v>
      </c>
      <c r="D40" s="19">
        <f t="shared" si="1"/>
        <v>15</v>
      </c>
      <c r="E40" s="18">
        <f t="shared" si="4"/>
        <v>1.436125</v>
      </c>
      <c r="F40" s="18">
        <f t="shared" si="2"/>
        <v>0.21541875</v>
      </c>
      <c r="G40" s="18"/>
      <c r="H40" s="18"/>
      <c r="I40" s="18"/>
      <c r="J40" s="18"/>
      <c r="K40" s="18"/>
      <c r="L40" s="18"/>
      <c r="N40" s="18"/>
      <c r="O40" s="18"/>
      <c r="P40" s="18"/>
    </row>
    <row r="41" s="3" customFormat="1" ht="14.25" spans="1:16">
      <c r="A41" s="10">
        <v>7</v>
      </c>
      <c r="B41" s="10" t="s">
        <v>29</v>
      </c>
      <c r="C41" s="11">
        <f t="shared" si="3"/>
        <v>0.01</v>
      </c>
      <c r="D41" s="19">
        <f t="shared" si="1"/>
        <v>10</v>
      </c>
      <c r="E41" s="18">
        <f t="shared" si="4"/>
        <v>1.436125</v>
      </c>
      <c r="F41" s="18">
        <f t="shared" si="2"/>
        <v>0.1436125</v>
      </c>
      <c r="G41" s="18"/>
      <c r="H41" s="18"/>
      <c r="I41" s="18"/>
      <c r="J41" s="18"/>
      <c r="K41" s="18"/>
      <c r="L41" s="18"/>
      <c r="N41" s="18"/>
      <c r="O41" s="18"/>
      <c r="P41" s="18"/>
    </row>
    <row r="42" s="3" customFormat="1" ht="14.25" spans="1:16">
      <c r="A42" s="10">
        <v>8</v>
      </c>
      <c r="B42" s="10" t="s">
        <v>30</v>
      </c>
      <c r="C42" s="11">
        <f t="shared" si="3"/>
        <v>0.055</v>
      </c>
      <c r="D42" s="19">
        <f t="shared" si="1"/>
        <v>7</v>
      </c>
      <c r="E42" s="18">
        <f t="shared" si="4"/>
        <v>1.436125</v>
      </c>
      <c r="F42" s="18">
        <f t="shared" si="2"/>
        <v>0.552908125</v>
      </c>
      <c r="G42" s="18"/>
      <c r="H42" s="18"/>
      <c r="I42" s="18"/>
      <c r="J42" s="18"/>
      <c r="K42" s="18"/>
      <c r="L42" s="18"/>
      <c r="N42" s="18"/>
      <c r="O42" s="18"/>
      <c r="P42" s="18"/>
    </row>
    <row r="43" s="3" customFormat="1" ht="14.25" spans="1:16">
      <c r="A43" s="10">
        <v>9</v>
      </c>
      <c r="B43" s="10" t="s">
        <v>31</v>
      </c>
      <c r="C43" s="11">
        <f t="shared" si="3"/>
        <v>0.055</v>
      </c>
      <c r="D43" s="19">
        <f t="shared" si="1"/>
        <v>5</v>
      </c>
      <c r="E43" s="18">
        <f t="shared" si="4"/>
        <v>1.436125</v>
      </c>
      <c r="F43" s="18">
        <f t="shared" si="2"/>
        <v>0.394934375</v>
      </c>
      <c r="G43" s="18"/>
      <c r="H43" s="18"/>
      <c r="I43" s="18"/>
      <c r="J43" s="18"/>
      <c r="K43" s="18"/>
      <c r="L43" s="18"/>
      <c r="N43" s="18"/>
      <c r="O43" s="18"/>
      <c r="P43" s="18"/>
    </row>
    <row r="44" s="3" customFormat="1" ht="14.25" spans="1:16">
      <c r="A44" s="10">
        <v>10</v>
      </c>
      <c r="B44" s="10" t="s">
        <v>32</v>
      </c>
      <c r="C44" s="11">
        <f t="shared" si="3"/>
        <v>0.12</v>
      </c>
      <c r="D44" s="19">
        <f t="shared" si="1"/>
        <v>3</v>
      </c>
      <c r="E44" s="18">
        <f t="shared" si="4"/>
        <v>1.436125</v>
      </c>
      <c r="F44" s="18">
        <f t="shared" si="2"/>
        <v>0.517005</v>
      </c>
      <c r="G44" s="18"/>
      <c r="H44" s="18"/>
      <c r="I44" s="18"/>
      <c r="J44" s="18"/>
      <c r="K44" s="18"/>
      <c r="L44" s="18"/>
      <c r="N44" s="18"/>
      <c r="O44" s="18"/>
      <c r="P44" s="18"/>
    </row>
    <row r="45" s="3" customFormat="1" ht="14.25" spans="1:16">
      <c r="A45" s="10">
        <v>11</v>
      </c>
      <c r="B45" s="10" t="s">
        <v>123</v>
      </c>
      <c r="C45" s="11">
        <f t="shared" si="3"/>
        <v>0.12</v>
      </c>
      <c r="D45" s="19">
        <f t="shared" si="1"/>
        <v>2</v>
      </c>
      <c r="E45" s="18">
        <f>$M$119</f>
        <v>1.2864875</v>
      </c>
      <c r="F45" s="18">
        <f t="shared" si="2"/>
        <v>0.308757</v>
      </c>
      <c r="G45" s="18"/>
      <c r="H45" s="18"/>
      <c r="I45" s="18"/>
      <c r="J45" s="18"/>
      <c r="K45" s="18"/>
      <c r="L45" s="18"/>
      <c r="N45" s="18"/>
      <c r="O45" s="18"/>
      <c r="P45" s="18"/>
    </row>
    <row r="46" s="3" customFormat="1" ht="14.25" spans="1:16">
      <c r="A46" s="10">
        <v>12</v>
      </c>
      <c r="B46" s="10" t="s">
        <v>35</v>
      </c>
      <c r="C46" s="11">
        <f t="shared" si="3"/>
        <v>0.12</v>
      </c>
      <c r="D46" s="19">
        <f t="shared" si="1"/>
        <v>1</v>
      </c>
      <c r="E46" s="18">
        <f>$M$119</f>
        <v>1.2864875</v>
      </c>
      <c r="F46" s="18">
        <f t="shared" si="2"/>
        <v>0.1543785</v>
      </c>
      <c r="G46" s="18"/>
      <c r="H46" s="18"/>
      <c r="I46" s="18"/>
      <c r="J46" s="18"/>
      <c r="K46" s="18"/>
      <c r="L46" s="18"/>
      <c r="N46" s="18"/>
      <c r="O46" s="18"/>
      <c r="P46" s="18"/>
    </row>
    <row r="47" s="3" customFormat="1" ht="14.25" spans="1:16">
      <c r="A47" s="10">
        <v>13</v>
      </c>
      <c r="B47" s="10" t="s">
        <v>47</v>
      </c>
      <c r="C47" s="11">
        <f t="shared" si="3"/>
        <v>0.2</v>
      </c>
      <c r="D47" s="19">
        <f t="shared" si="1"/>
        <v>1</v>
      </c>
      <c r="E47" s="18">
        <v>1</v>
      </c>
      <c r="F47" s="18">
        <f t="shared" si="2"/>
        <v>0.2</v>
      </c>
      <c r="G47" s="18"/>
      <c r="H47" s="18"/>
      <c r="I47" s="18"/>
      <c r="J47" s="18"/>
      <c r="K47" s="18"/>
      <c r="L47" s="18"/>
      <c r="N47" s="18"/>
      <c r="O47" s="18"/>
      <c r="P47" s="18"/>
    </row>
    <row r="48" s="3" customFormat="1" ht="14.25" spans="1:16">
      <c r="A48" s="10">
        <v>14</v>
      </c>
      <c r="B48" s="10" t="s">
        <v>48</v>
      </c>
      <c r="C48" s="11">
        <f t="shared" si="3"/>
        <v>0.3</v>
      </c>
      <c r="D48" s="19">
        <v>1</v>
      </c>
      <c r="E48" s="18">
        <v>1</v>
      </c>
      <c r="F48" s="18">
        <f t="shared" si="2"/>
        <v>0.3</v>
      </c>
      <c r="G48" s="18"/>
      <c r="H48" s="18"/>
      <c r="I48" s="18"/>
      <c r="J48" s="18"/>
      <c r="K48" s="18"/>
      <c r="L48" s="18"/>
      <c r="N48" s="18"/>
      <c r="O48" s="18"/>
      <c r="P48" s="18"/>
    </row>
    <row r="49" s="5" customFormat="1" ht="14.25" spans="2:16">
      <c r="B49" s="5" t="s">
        <v>49</v>
      </c>
      <c r="C49" s="5">
        <f>SUM(C35:C48)</f>
        <v>1</v>
      </c>
      <c r="D49" s="20"/>
      <c r="E49" s="21"/>
      <c r="F49" s="22">
        <f>SUM(F35:F47)</f>
        <v>2.77423925</v>
      </c>
      <c r="G49" s="21"/>
      <c r="H49" s="21"/>
      <c r="I49" s="21"/>
      <c r="J49" s="21"/>
      <c r="K49" s="21"/>
      <c r="L49" s="21"/>
      <c r="N49" s="21"/>
      <c r="O49" s="21"/>
      <c r="P49" s="21"/>
    </row>
    <row r="50" s="5" customFormat="1" ht="14.25" spans="2:16">
      <c r="B50" s="5" t="s">
        <v>50</v>
      </c>
      <c r="D50" s="20"/>
      <c r="E50" s="21"/>
      <c r="F50" s="21">
        <f>1+(C38+C47+C48)/(1-(C38+C47+C48))</f>
        <v>2</v>
      </c>
      <c r="G50" s="21"/>
      <c r="H50" s="21"/>
      <c r="I50" s="21"/>
      <c r="J50" s="21"/>
      <c r="K50" s="21"/>
      <c r="L50" s="21"/>
      <c r="N50" s="21"/>
      <c r="O50" s="21"/>
      <c r="P50" s="21"/>
    </row>
    <row r="51" s="3" customFormat="1" ht="14.25" spans="2:16">
      <c r="B51" s="3" t="s">
        <v>51</v>
      </c>
      <c r="C51" s="3" t="s">
        <v>52</v>
      </c>
      <c r="D51" s="10" t="s">
        <v>4</v>
      </c>
      <c r="E51" s="13" t="s">
        <v>53</v>
      </c>
      <c r="F51" s="13" t="s">
        <v>54</v>
      </c>
      <c r="G51" s="13" t="s">
        <v>55</v>
      </c>
      <c r="H51" s="13" t="s">
        <v>56</v>
      </c>
      <c r="I51" s="13" t="s">
        <v>57</v>
      </c>
      <c r="J51" s="13" t="s">
        <v>58</v>
      </c>
      <c r="K51" s="13" t="s">
        <v>59</v>
      </c>
      <c r="L51" s="13" t="s">
        <v>60</v>
      </c>
      <c r="N51" s="13"/>
      <c r="O51" s="13"/>
      <c r="P51" s="13"/>
    </row>
    <row r="52" customFormat="1" ht="14.25" spans="2:12">
      <c r="B52" s="7" t="s">
        <v>119</v>
      </c>
      <c r="C52" s="7" t="s">
        <v>23</v>
      </c>
      <c r="D52" s="7">
        <v>3</v>
      </c>
      <c r="E52" s="7">
        <v>1</v>
      </c>
      <c r="G52">
        <v>1</v>
      </c>
      <c r="H52">
        <v>1</v>
      </c>
      <c r="I52">
        <f>$E$3*E52</f>
        <v>500</v>
      </c>
      <c r="J52">
        <f t="shared" ref="J52:J56" si="5">I52</f>
        <v>500</v>
      </c>
      <c r="K52">
        <f>F3*H52</f>
        <v>0</v>
      </c>
      <c r="L52">
        <f t="shared" ref="L52:L56" si="6">J52*K52</f>
        <v>0</v>
      </c>
    </row>
    <row r="53" customFormat="1" ht="14.25" spans="2:12">
      <c r="B53" s="7" t="s">
        <v>120</v>
      </c>
      <c r="C53" s="7" t="s">
        <v>23</v>
      </c>
      <c r="D53" s="7">
        <v>3</v>
      </c>
      <c r="E53" s="7">
        <v>1</v>
      </c>
      <c r="G53">
        <v>1</v>
      </c>
      <c r="H53">
        <v>1</v>
      </c>
      <c r="I53">
        <f>$E$4*E53</f>
        <v>300</v>
      </c>
      <c r="J53">
        <f t="shared" si="5"/>
        <v>300</v>
      </c>
      <c r="K53">
        <f>F4*H53</f>
        <v>0</v>
      </c>
      <c r="L53">
        <f t="shared" si="6"/>
        <v>0</v>
      </c>
    </row>
    <row r="54" customFormat="1" ht="14.25" spans="2:14">
      <c r="B54" s="3" t="s">
        <v>51</v>
      </c>
      <c r="C54" s="3" t="s">
        <v>52</v>
      </c>
      <c r="D54" s="10" t="s">
        <v>4</v>
      </c>
      <c r="E54" s="13" t="s">
        <v>53</v>
      </c>
      <c r="F54" s="13" t="s">
        <v>54</v>
      </c>
      <c r="G54" s="13" t="s">
        <v>55</v>
      </c>
      <c r="H54" s="13" t="s">
        <v>56</v>
      </c>
      <c r="I54" s="13" t="s">
        <v>57</v>
      </c>
      <c r="J54" s="13" t="s">
        <v>58</v>
      </c>
      <c r="K54" s="13" t="s">
        <v>59</v>
      </c>
      <c r="L54" s="13" t="s">
        <v>60</v>
      </c>
      <c r="N54" s="18"/>
    </row>
    <row r="55" customFormat="1" ht="14.25" spans="2:12">
      <c r="B55" s="7" t="s">
        <v>121</v>
      </c>
      <c r="C55" s="7" t="s">
        <v>34</v>
      </c>
      <c r="D55" s="7">
        <v>3</v>
      </c>
      <c r="E55" s="23">
        <v>12</v>
      </c>
      <c r="F55" t="s">
        <v>125</v>
      </c>
      <c r="G55">
        <f>0.7*0.7+0.7*0.3*0.7*2</f>
        <v>0.784</v>
      </c>
      <c r="H55">
        <f>G55</f>
        <v>0.784</v>
      </c>
      <c r="I55">
        <f>$E$5*E55</f>
        <v>240</v>
      </c>
      <c r="J55">
        <f t="shared" si="5"/>
        <v>240</v>
      </c>
      <c r="K55">
        <f>$F$5*H55</f>
        <v>0</v>
      </c>
      <c r="L55">
        <f t="shared" si="6"/>
        <v>0</v>
      </c>
    </row>
    <row r="56" customFormat="1" ht="14.25" spans="2:12">
      <c r="B56" s="24"/>
      <c r="C56" s="24"/>
      <c r="D56" s="7"/>
      <c r="E56" s="25">
        <v>18</v>
      </c>
      <c r="F56" t="s">
        <v>126</v>
      </c>
      <c r="G56">
        <f>0.3*0.3+0.7*0.3*0.3*2</f>
        <v>0.216</v>
      </c>
      <c r="H56">
        <f>G56</f>
        <v>0.216</v>
      </c>
      <c r="I56">
        <f>$E$5*E56</f>
        <v>360</v>
      </c>
      <c r="J56">
        <f t="shared" si="5"/>
        <v>360</v>
      </c>
      <c r="K56">
        <f>$F$5*H56</f>
        <v>0</v>
      </c>
      <c r="L56">
        <f t="shared" si="6"/>
        <v>0</v>
      </c>
    </row>
    <row r="57" s="4" customFormat="1" ht="14.25" spans="2:12">
      <c r="B57" s="26"/>
      <c r="C57" s="26"/>
      <c r="D57" s="27"/>
      <c r="E57" s="28"/>
      <c r="F57" s="4" t="s">
        <v>42</v>
      </c>
      <c r="H57" s="4">
        <f t="shared" ref="H57:L57" si="7">SUM(H55:H56)</f>
        <v>1</v>
      </c>
      <c r="K57" s="4">
        <f t="shared" si="7"/>
        <v>0</v>
      </c>
      <c r="L57" s="4">
        <f t="shared" si="7"/>
        <v>0</v>
      </c>
    </row>
    <row r="58" customFormat="1" ht="14.25" spans="2:14">
      <c r="B58" s="3" t="s">
        <v>51</v>
      </c>
      <c r="C58" s="3" t="s">
        <v>52</v>
      </c>
      <c r="D58" s="10" t="s">
        <v>4</v>
      </c>
      <c r="E58" s="13" t="s">
        <v>53</v>
      </c>
      <c r="F58" s="13" t="s">
        <v>54</v>
      </c>
      <c r="G58" s="13" t="s">
        <v>55</v>
      </c>
      <c r="H58" s="13" t="s">
        <v>56</v>
      </c>
      <c r="I58" s="13" t="s">
        <v>57</v>
      </c>
      <c r="J58" s="13" t="s">
        <v>58</v>
      </c>
      <c r="K58" s="13" t="s">
        <v>59</v>
      </c>
      <c r="L58" s="13" t="s">
        <v>60</v>
      </c>
      <c r="N58" s="18"/>
    </row>
    <row r="59" customFormat="1" ht="14.25" spans="2:14">
      <c r="B59" s="3" t="s">
        <v>26</v>
      </c>
      <c r="C59" s="3" t="s">
        <v>27</v>
      </c>
      <c r="D59" s="10">
        <v>3</v>
      </c>
      <c r="E59" s="18">
        <v>1</v>
      </c>
      <c r="F59" s="18" t="s">
        <v>61</v>
      </c>
      <c r="G59" s="18">
        <v>1</v>
      </c>
      <c r="H59" s="18">
        <v>1</v>
      </c>
      <c r="I59">
        <f>$E$6*E59</f>
        <v>10</v>
      </c>
      <c r="J59" s="32">
        <f>I59+3*F49+1.2*F49</f>
        <v>21.65180485</v>
      </c>
      <c r="K59" s="14">
        <f>$F$6*H59</f>
        <v>0</v>
      </c>
      <c r="L59" s="33">
        <f t="shared" ref="L59:L68" si="8">J59*K59</f>
        <v>0</v>
      </c>
      <c r="N59" s="18"/>
    </row>
    <row r="60" s="4" customFormat="1" spans="6:12">
      <c r="F60" s="4" t="s">
        <v>42</v>
      </c>
      <c r="G60" s="4">
        <f t="shared" ref="G60:L60" si="9">G59</f>
        <v>1</v>
      </c>
      <c r="H60" s="4">
        <f t="shared" si="9"/>
        <v>1</v>
      </c>
      <c r="K60" s="4">
        <f t="shared" si="9"/>
        <v>0</v>
      </c>
      <c r="L60" s="4">
        <f t="shared" si="9"/>
        <v>0</v>
      </c>
    </row>
    <row r="61" customFormat="1" ht="14.25" spans="2:14">
      <c r="B61" s="3" t="s">
        <v>51</v>
      </c>
      <c r="C61" s="3" t="s">
        <v>52</v>
      </c>
      <c r="D61" s="10" t="s">
        <v>4</v>
      </c>
      <c r="E61" s="13" t="s">
        <v>53</v>
      </c>
      <c r="F61" s="13" t="s">
        <v>54</v>
      </c>
      <c r="G61" s="13" t="s">
        <v>55</v>
      </c>
      <c r="H61" s="13" t="s">
        <v>56</v>
      </c>
      <c r="I61" s="13" t="s">
        <v>57</v>
      </c>
      <c r="J61" s="13" t="s">
        <v>58</v>
      </c>
      <c r="K61" s="13" t="s">
        <v>59</v>
      </c>
      <c r="L61" s="13" t="s">
        <v>60</v>
      </c>
      <c r="M61" t="s">
        <v>71</v>
      </c>
      <c r="N61" s="18"/>
    </row>
    <row r="62" customFormat="1" ht="14.25" spans="2:13">
      <c r="B62" s="7" t="s">
        <v>28</v>
      </c>
      <c r="C62" s="7" t="s">
        <v>27</v>
      </c>
      <c r="D62" s="7">
        <v>3</v>
      </c>
      <c r="E62">
        <v>1</v>
      </c>
      <c r="F62" s="29" t="s">
        <v>127</v>
      </c>
      <c r="G62">
        <f>(1-($K$7+$L$7))*(1-($M$7+$N$7))*(1-($O$7+$P$7))</f>
        <v>0.729</v>
      </c>
      <c r="H62">
        <f t="shared" ref="H62:H64" si="10">G62</f>
        <v>0.729</v>
      </c>
      <c r="I62">
        <f t="shared" ref="I62:I67" si="11">$E$7*E62</f>
        <v>20</v>
      </c>
      <c r="J62">
        <f t="shared" ref="J62:J67" si="12">I62</f>
        <v>20</v>
      </c>
      <c r="K62">
        <f t="shared" ref="K62:K68" si="13">$F$7*H62</f>
        <v>0</v>
      </c>
      <c r="L62">
        <f t="shared" si="8"/>
        <v>0</v>
      </c>
      <c r="M62">
        <f>E62*H62</f>
        <v>0.729</v>
      </c>
    </row>
    <row r="63" customFormat="1" spans="5:13">
      <c r="E63">
        <v>2</v>
      </c>
      <c r="F63" s="29" t="s">
        <v>128</v>
      </c>
      <c r="G63">
        <f>$L$7*(1-($M$7+$N$7))*(1-($O$7+$P$7))+(1-($K$7+$L$7))*$N$7*(1-($O$7+$P$7))+(1-($K$7+$L$7))*(1-($M$7+$N$7))*$P$7</f>
        <v>0.1701</v>
      </c>
      <c r="H63">
        <f t="shared" si="10"/>
        <v>0.1701</v>
      </c>
      <c r="I63">
        <f t="shared" si="11"/>
        <v>40</v>
      </c>
      <c r="J63">
        <f t="shared" si="12"/>
        <v>40</v>
      </c>
      <c r="K63">
        <f t="shared" si="13"/>
        <v>0</v>
      </c>
      <c r="L63">
        <f t="shared" si="8"/>
        <v>0</v>
      </c>
      <c r="M63">
        <f t="shared" ref="M62:M68" si="14">E63*H63</f>
        <v>0.3402</v>
      </c>
    </row>
    <row r="64" customFormat="1" spans="5:13">
      <c r="E64">
        <v>3</v>
      </c>
      <c r="F64" s="29" t="s">
        <v>129</v>
      </c>
      <c r="G64">
        <f>$K$7*(1-($M$7+$N$7))*(1-($O$7+$P$7))+(1-($K$7+$L$7))*$M$7*(1-($O$7+$P$7))+(1-($K$7+$L$7))*(1-($M$7+$N$7))*$O$7</f>
        <v>0.0729</v>
      </c>
      <c r="H64">
        <f t="shared" si="10"/>
        <v>0.0729</v>
      </c>
      <c r="I64">
        <f t="shared" si="11"/>
        <v>60</v>
      </c>
      <c r="J64">
        <f t="shared" si="12"/>
        <v>60</v>
      </c>
      <c r="K64">
        <f t="shared" si="13"/>
        <v>0</v>
      </c>
      <c r="L64">
        <f t="shared" si="8"/>
        <v>0</v>
      </c>
      <c r="M64">
        <f t="shared" si="14"/>
        <v>0.2187</v>
      </c>
    </row>
    <row r="65" customFormat="1" spans="5:13">
      <c r="E65">
        <v>4</v>
      </c>
      <c r="F65" s="29" t="s">
        <v>130</v>
      </c>
      <c r="G65">
        <f>$L$7*$N$7*(1-($O$7+$P$7))+$L$7*(1-($M$7+$N$7))*$P$7+(1-($K$7+$L$7))*$N$7*$P$7</f>
        <v>0.01323</v>
      </c>
      <c r="H65">
        <f>G65+$L$7*$N$7*$P$7</f>
        <v>0.013573</v>
      </c>
      <c r="I65">
        <f t="shared" si="11"/>
        <v>80</v>
      </c>
      <c r="J65">
        <f t="shared" si="12"/>
        <v>80</v>
      </c>
      <c r="K65">
        <f t="shared" si="13"/>
        <v>0</v>
      </c>
      <c r="L65">
        <f t="shared" si="8"/>
        <v>0</v>
      </c>
      <c r="M65">
        <f t="shared" si="14"/>
        <v>0.054292</v>
      </c>
    </row>
    <row r="66" customFormat="1" spans="5:13">
      <c r="E66">
        <v>6</v>
      </c>
      <c r="F66" s="14" t="s">
        <v>131</v>
      </c>
      <c r="G66">
        <f>$K$7*$N$7*(1-($O$7+$P$7))+$L$7*$M$7*(1-($O$7+$P$7))+$K$7*(1-($M$7+$N$7))*$P$7+$L$7*(1-($M$7+$N$7))*$O$7+(1-($K$7+$L$7))*$N$7*$O$7+(1-($K$7+$L$7))*$M$7*$P$7</f>
        <v>0.01134</v>
      </c>
      <c r="H66">
        <f>G66+($G$68-$K$7*$M$7*$O$7-$L$7*$N$7*$P$7)</f>
        <v>0.01197</v>
      </c>
      <c r="I66">
        <f t="shared" si="11"/>
        <v>120</v>
      </c>
      <c r="J66">
        <f t="shared" si="12"/>
        <v>120</v>
      </c>
      <c r="K66">
        <f t="shared" si="13"/>
        <v>0</v>
      </c>
      <c r="L66">
        <f t="shared" si="8"/>
        <v>0</v>
      </c>
      <c r="M66">
        <f t="shared" si="14"/>
        <v>0.07182</v>
      </c>
    </row>
    <row r="67" customFormat="1" spans="5:13">
      <c r="E67">
        <v>9</v>
      </c>
      <c r="F67" s="14" t="s">
        <v>132</v>
      </c>
      <c r="G67">
        <f>$K$7*$M$7*(1-($O$7+$P$7))+(1-($K$7+$L$7))*$M$7*$O$7+$K$7*(1-($M$7+$N$7))*$O$7</f>
        <v>0.00243</v>
      </c>
      <c r="H67">
        <f>G67+$K$7*$M$7*$O$7</f>
        <v>0.002457</v>
      </c>
      <c r="I67">
        <f t="shared" si="11"/>
        <v>180</v>
      </c>
      <c r="J67">
        <f t="shared" si="12"/>
        <v>180</v>
      </c>
      <c r="K67">
        <f t="shared" si="13"/>
        <v>0</v>
      </c>
      <c r="L67">
        <f t="shared" si="8"/>
        <v>0</v>
      </c>
      <c r="M67">
        <f t="shared" si="14"/>
        <v>0.022113</v>
      </c>
    </row>
    <row r="68" customFormat="1" spans="5:13">
      <c r="E68">
        <v>0</v>
      </c>
      <c r="F68" s="34" t="s">
        <v>133</v>
      </c>
      <c r="G68">
        <f>($K$7+$L$7)*($M$7+$N$7)*($O$7+$P$7)</f>
        <v>0.001</v>
      </c>
      <c r="H68">
        <v>0</v>
      </c>
      <c r="I68">
        <v>0</v>
      </c>
      <c r="J68">
        <v>0</v>
      </c>
      <c r="K68">
        <f t="shared" si="13"/>
        <v>0</v>
      </c>
      <c r="L68">
        <f t="shared" si="8"/>
        <v>0</v>
      </c>
      <c r="M68">
        <f t="shared" si="14"/>
        <v>0</v>
      </c>
    </row>
    <row r="69" s="4" customFormat="1" spans="6:13">
      <c r="F69" s="4" t="s">
        <v>42</v>
      </c>
      <c r="G69" s="4">
        <f t="shared" ref="G69:M69" si="15">SUM(G62:G68)</f>
        <v>1</v>
      </c>
      <c r="H69" s="4">
        <f t="shared" si="15"/>
        <v>1</v>
      </c>
      <c r="K69" s="4">
        <f t="shared" si="15"/>
        <v>0</v>
      </c>
      <c r="L69" s="4">
        <f t="shared" si="15"/>
        <v>0</v>
      </c>
      <c r="M69" s="4">
        <f t="shared" si="15"/>
        <v>1.436125</v>
      </c>
    </row>
    <row r="70" customFormat="1" ht="14.25" spans="2:14">
      <c r="B70" s="3" t="s">
        <v>51</v>
      </c>
      <c r="C70" s="3" t="s">
        <v>52</v>
      </c>
      <c r="D70" s="10" t="s">
        <v>4</v>
      </c>
      <c r="E70" s="13" t="s">
        <v>53</v>
      </c>
      <c r="F70" s="13" t="s">
        <v>54</v>
      </c>
      <c r="G70" s="13" t="s">
        <v>55</v>
      </c>
      <c r="H70" s="13" t="s">
        <v>56</v>
      </c>
      <c r="I70" s="13" t="s">
        <v>57</v>
      </c>
      <c r="J70" s="13" t="s">
        <v>58</v>
      </c>
      <c r="K70" s="13" t="s">
        <v>59</v>
      </c>
      <c r="L70" s="13" t="s">
        <v>60</v>
      </c>
      <c r="M70" t="s">
        <v>71</v>
      </c>
      <c r="N70" s="18"/>
    </row>
    <row r="71" customFormat="1" ht="14.25" spans="2:13">
      <c r="B71" s="7" t="s">
        <v>122</v>
      </c>
      <c r="C71" s="7" t="s">
        <v>27</v>
      </c>
      <c r="D71" s="7">
        <v>3</v>
      </c>
      <c r="E71">
        <v>1</v>
      </c>
      <c r="F71" s="29" t="s">
        <v>134</v>
      </c>
      <c r="G71">
        <f>(1-($K$7+$L$7))*(1-($M$7+$N$7))*(1-($O$7+$P$7))</f>
        <v>0.729</v>
      </c>
      <c r="H71">
        <f t="shared" ref="H71:H73" si="16">G71</f>
        <v>0.729</v>
      </c>
      <c r="I71">
        <f t="shared" ref="I71:I77" si="17">$E$8*E71</f>
        <v>15</v>
      </c>
      <c r="J71">
        <f t="shared" ref="J71:J76" si="18">I71</f>
        <v>15</v>
      </c>
      <c r="K71">
        <f t="shared" ref="K71:K77" si="19">$F$8*H71</f>
        <v>0</v>
      </c>
      <c r="L71">
        <f t="shared" ref="L71:L77" si="20">J71*K71</f>
        <v>0</v>
      </c>
      <c r="M71">
        <f t="shared" ref="M71:M77" si="21">E71*H71</f>
        <v>0.729</v>
      </c>
    </row>
    <row r="72" customFormat="1" spans="5:13">
      <c r="E72">
        <v>2</v>
      </c>
      <c r="F72" s="29" t="s">
        <v>135</v>
      </c>
      <c r="G72">
        <f>$L$7*(1-($M$7+$N$7))*(1-($O$7+$P$7))+(1-($K$7+$L$7))*$N$7*(1-($O$7+$P$7))+(1-($K$7+$L$7))*(1-($M$7+$N$7))*$P$7</f>
        <v>0.1701</v>
      </c>
      <c r="H72">
        <f t="shared" si="16"/>
        <v>0.1701</v>
      </c>
      <c r="I72">
        <f t="shared" si="17"/>
        <v>30</v>
      </c>
      <c r="J72">
        <f t="shared" si="18"/>
        <v>30</v>
      </c>
      <c r="K72">
        <f t="shared" si="19"/>
        <v>0</v>
      </c>
      <c r="L72">
        <f t="shared" si="20"/>
        <v>0</v>
      </c>
      <c r="M72">
        <f t="shared" si="21"/>
        <v>0.3402</v>
      </c>
    </row>
    <row r="73" customFormat="1" spans="5:13">
      <c r="E73">
        <v>3</v>
      </c>
      <c r="F73" s="29" t="s">
        <v>136</v>
      </c>
      <c r="G73">
        <f>$K$7*(1-($M$7+$N$7))*(1-($O$7+$P$7))+(1-($K$7+$L$7))*$M$7*(1-($O$7+$P$7))+(1-($K$7+$L$7))*(1-($M$7+$N$7))*$O$7</f>
        <v>0.0729</v>
      </c>
      <c r="H73">
        <f t="shared" si="16"/>
        <v>0.0729</v>
      </c>
      <c r="I73">
        <f t="shared" si="17"/>
        <v>45</v>
      </c>
      <c r="J73">
        <f t="shared" si="18"/>
        <v>45</v>
      </c>
      <c r="K73">
        <f t="shared" si="19"/>
        <v>0</v>
      </c>
      <c r="L73">
        <f t="shared" si="20"/>
        <v>0</v>
      </c>
      <c r="M73">
        <f t="shared" si="21"/>
        <v>0.2187</v>
      </c>
    </row>
    <row r="74" customFormat="1" spans="5:13">
      <c r="E74">
        <v>4</v>
      </c>
      <c r="F74" s="29" t="s">
        <v>137</v>
      </c>
      <c r="G74">
        <f>$L$7*$N$7*(1-($O$7+$P$7))+$L$7*(1-($M$7+$N$7))*$P$7+(1-($K$7+$L$7))*$N$7*$P$7</f>
        <v>0.01323</v>
      </c>
      <c r="H74">
        <f>G74+$L$7*$N$7*$P$7</f>
        <v>0.013573</v>
      </c>
      <c r="I74">
        <f t="shared" si="17"/>
        <v>60</v>
      </c>
      <c r="J74">
        <f t="shared" si="18"/>
        <v>60</v>
      </c>
      <c r="K74">
        <f t="shared" si="19"/>
        <v>0</v>
      </c>
      <c r="L74">
        <f t="shared" si="20"/>
        <v>0</v>
      </c>
      <c r="M74">
        <f t="shared" si="21"/>
        <v>0.054292</v>
      </c>
    </row>
    <row r="75" customFormat="1" spans="5:13">
      <c r="E75">
        <v>6</v>
      </c>
      <c r="F75" s="14" t="s">
        <v>138</v>
      </c>
      <c r="G75">
        <f>$K$7*$N$7*(1-($O$7+$P$7))+$L$7*$M$7*(1-($O$7+$P$7))+$K$7*(1-($M$7+$N$7))*$P$7+$L$7*(1-($M$7+$N$7))*$O$7+(1-($K$7+$L$7))*$N$7*$O$7+(1-($K$7+$L$7))*$M$7*$P$7</f>
        <v>0.01134</v>
      </c>
      <c r="H75">
        <f>G75+($G$68-$K$7*$M$7*$O$7-$L$7*$N$7*$P$7)</f>
        <v>0.01197</v>
      </c>
      <c r="I75">
        <f t="shared" si="17"/>
        <v>90</v>
      </c>
      <c r="J75">
        <f t="shared" si="18"/>
        <v>90</v>
      </c>
      <c r="K75">
        <f t="shared" si="19"/>
        <v>0</v>
      </c>
      <c r="L75">
        <f t="shared" si="20"/>
        <v>0</v>
      </c>
      <c r="M75">
        <f t="shared" si="21"/>
        <v>0.07182</v>
      </c>
    </row>
    <row r="76" customFormat="1" spans="5:13">
      <c r="E76">
        <v>9</v>
      </c>
      <c r="F76" s="14" t="s">
        <v>139</v>
      </c>
      <c r="G76">
        <f>$K$7*$M$7*(1-($O$7+$P$7))+(1-($K$7+$L$7))*$M$7*$O$7+$K$7*(1-($M$7+$N$7))*$O$7</f>
        <v>0.00243</v>
      </c>
      <c r="H76">
        <f>G76+$K$7*$M$7*$O$7</f>
        <v>0.002457</v>
      </c>
      <c r="I76">
        <f t="shared" si="17"/>
        <v>135</v>
      </c>
      <c r="J76">
        <f t="shared" si="18"/>
        <v>135</v>
      </c>
      <c r="K76">
        <f t="shared" si="19"/>
        <v>0</v>
      </c>
      <c r="L76">
        <f t="shared" si="20"/>
        <v>0</v>
      </c>
      <c r="M76">
        <f t="shared" si="21"/>
        <v>0.022113</v>
      </c>
    </row>
    <row r="77" customFormat="1" spans="5:13">
      <c r="E77">
        <v>0</v>
      </c>
      <c r="F77" s="34" t="s">
        <v>133</v>
      </c>
      <c r="G77">
        <f>($K$7+$L$7)*($M$7+$N$7)*($O$7+$P$7)</f>
        <v>0.001</v>
      </c>
      <c r="H77">
        <v>0</v>
      </c>
      <c r="I77">
        <f t="shared" si="17"/>
        <v>0</v>
      </c>
      <c r="J77">
        <v>0</v>
      </c>
      <c r="K77">
        <f t="shared" si="19"/>
        <v>0</v>
      </c>
      <c r="L77">
        <f t="shared" si="20"/>
        <v>0</v>
      </c>
      <c r="M77">
        <f t="shared" si="21"/>
        <v>0</v>
      </c>
    </row>
    <row r="78" s="4" customFormat="1" spans="6:13">
      <c r="F78" s="4" t="s">
        <v>42</v>
      </c>
      <c r="G78" s="4">
        <f t="shared" ref="G78:M78" si="22">SUM(G71:G77)</f>
        <v>1</v>
      </c>
      <c r="H78" s="4">
        <f t="shared" si="22"/>
        <v>1</v>
      </c>
      <c r="K78" s="4">
        <f t="shared" si="22"/>
        <v>0</v>
      </c>
      <c r="L78" s="4">
        <f t="shared" si="22"/>
        <v>0</v>
      </c>
      <c r="M78" s="4">
        <f t="shared" si="22"/>
        <v>1.436125</v>
      </c>
    </row>
    <row r="79" customFormat="1" ht="14.25" spans="2:14">
      <c r="B79" s="3" t="s">
        <v>51</v>
      </c>
      <c r="C79" s="3" t="s">
        <v>52</v>
      </c>
      <c r="D79" s="10" t="s">
        <v>4</v>
      </c>
      <c r="E79" s="13" t="s">
        <v>53</v>
      </c>
      <c r="F79" s="13" t="s">
        <v>54</v>
      </c>
      <c r="G79" s="13" t="s">
        <v>55</v>
      </c>
      <c r="H79" s="13" t="s">
        <v>56</v>
      </c>
      <c r="I79" s="13" t="s">
        <v>57</v>
      </c>
      <c r="J79" s="13" t="s">
        <v>58</v>
      </c>
      <c r="K79" s="13" t="s">
        <v>59</v>
      </c>
      <c r="L79" s="13" t="s">
        <v>60</v>
      </c>
      <c r="M79" t="s">
        <v>71</v>
      </c>
      <c r="N79" s="18"/>
    </row>
    <row r="80" customFormat="1" ht="14.25" spans="2:13">
      <c r="B80" s="7" t="s">
        <v>29</v>
      </c>
      <c r="C80" s="7" t="s">
        <v>27</v>
      </c>
      <c r="D80" s="7">
        <v>3</v>
      </c>
      <c r="E80">
        <v>1</v>
      </c>
      <c r="F80" s="29" t="s">
        <v>140</v>
      </c>
      <c r="G80">
        <f>(1-($K$7+$L$7))*(1-($M$7+$N$7))*(1-($O$7+$P$7))</f>
        <v>0.729</v>
      </c>
      <c r="H80">
        <f t="shared" ref="H80:H82" si="23">G80</f>
        <v>0.729</v>
      </c>
      <c r="I80">
        <f t="shared" ref="I80:I86" si="24">$E$9*E80</f>
        <v>10</v>
      </c>
      <c r="J80">
        <f t="shared" ref="J80:J85" si="25">I80</f>
        <v>10</v>
      </c>
      <c r="K80">
        <f t="shared" ref="K80:K86" si="26">$F$9*H80</f>
        <v>0</v>
      </c>
      <c r="L80">
        <f t="shared" ref="L80:L86" si="27">J80*K80</f>
        <v>0</v>
      </c>
      <c r="M80">
        <f t="shared" ref="M80:M86" si="28">E80*H80</f>
        <v>0.729</v>
      </c>
    </row>
    <row r="81" customFormat="1" spans="5:13">
      <c r="E81">
        <v>2</v>
      </c>
      <c r="F81" s="29" t="s">
        <v>141</v>
      </c>
      <c r="G81">
        <f>$L$7*(1-($M$7+$N$7))*(1-($O$7+$P$7))+(1-($K$7+$L$7))*$N$7*(1-($O$7+$P$7))+(1-($K$7+$L$7))*(1-($M$7+$N$7))*$P$7</f>
        <v>0.1701</v>
      </c>
      <c r="H81">
        <f t="shared" si="23"/>
        <v>0.1701</v>
      </c>
      <c r="I81">
        <f t="shared" si="24"/>
        <v>20</v>
      </c>
      <c r="J81">
        <f t="shared" si="25"/>
        <v>20</v>
      </c>
      <c r="K81">
        <f t="shared" si="26"/>
        <v>0</v>
      </c>
      <c r="L81">
        <f t="shared" si="27"/>
        <v>0</v>
      </c>
      <c r="M81">
        <f t="shared" si="28"/>
        <v>0.3402</v>
      </c>
    </row>
    <row r="82" customFormat="1" spans="5:13">
      <c r="E82">
        <v>3</v>
      </c>
      <c r="F82" s="29" t="s">
        <v>142</v>
      </c>
      <c r="G82">
        <f>$K$7*(1-($M$7+$N$7))*(1-($O$7+$P$7))+(1-($K$7+$L$7))*$M$7*(1-($O$7+$P$7))+(1-($K$7+$L$7))*(1-($M$7+$N$7))*$O$7</f>
        <v>0.0729</v>
      </c>
      <c r="H82">
        <f t="shared" si="23"/>
        <v>0.0729</v>
      </c>
      <c r="I82">
        <f t="shared" si="24"/>
        <v>30</v>
      </c>
      <c r="J82">
        <f t="shared" si="25"/>
        <v>30</v>
      </c>
      <c r="K82">
        <f t="shared" si="26"/>
        <v>0</v>
      </c>
      <c r="L82">
        <f t="shared" si="27"/>
        <v>0</v>
      </c>
      <c r="M82">
        <f t="shared" si="28"/>
        <v>0.2187</v>
      </c>
    </row>
    <row r="83" customFormat="1" spans="5:13">
      <c r="E83">
        <v>4</v>
      </c>
      <c r="F83" s="29" t="s">
        <v>143</v>
      </c>
      <c r="G83">
        <f>$L$7*$N$7*(1-($O$7+$P$7))+$L$7*(1-($M$7+$N$7))*$P$7+(1-($K$7+$L$7))*$N$7*$P$7</f>
        <v>0.01323</v>
      </c>
      <c r="H83">
        <f>G83+$L$7*$N$7*$P$7</f>
        <v>0.013573</v>
      </c>
      <c r="I83">
        <f t="shared" si="24"/>
        <v>40</v>
      </c>
      <c r="J83">
        <f t="shared" si="25"/>
        <v>40</v>
      </c>
      <c r="K83">
        <f t="shared" si="26"/>
        <v>0</v>
      </c>
      <c r="L83">
        <f t="shared" si="27"/>
        <v>0</v>
      </c>
      <c r="M83">
        <f t="shared" si="28"/>
        <v>0.054292</v>
      </c>
    </row>
    <row r="84" customFormat="1" spans="5:13">
      <c r="E84">
        <v>6</v>
      </c>
      <c r="F84" s="14" t="s">
        <v>144</v>
      </c>
      <c r="G84">
        <f>$K$7*$N$7*(1-($O$7+$P$7))+$L$7*$M$7*(1-($O$7+$P$7))+$K$7*(1-($M$7+$N$7))*$P$7+$L$7*(1-($M$7+$N$7))*$O$7+(1-($K$7+$L$7))*$N$7*$O$7+(1-($K$7+$L$7))*$M$7*$P$7</f>
        <v>0.01134</v>
      </c>
      <c r="H84">
        <f>G84+($G$68-$K$7*$M$7*$O$7-$L$7*$N$7*$P$7)</f>
        <v>0.01197</v>
      </c>
      <c r="I84">
        <f t="shared" si="24"/>
        <v>60</v>
      </c>
      <c r="J84">
        <f t="shared" si="25"/>
        <v>60</v>
      </c>
      <c r="K84">
        <f t="shared" si="26"/>
        <v>0</v>
      </c>
      <c r="L84">
        <f t="shared" si="27"/>
        <v>0</v>
      </c>
      <c r="M84">
        <f t="shared" si="28"/>
        <v>0.07182</v>
      </c>
    </row>
    <row r="85" customFormat="1" spans="5:13">
      <c r="E85">
        <v>9</v>
      </c>
      <c r="F85" s="14" t="s">
        <v>145</v>
      </c>
      <c r="G85">
        <f>$K$7*$M$7*(1-($O$7+$P$7))+(1-($K$7+$L$7))*$M$7*$O$7+$K$7*(1-($M$7+$N$7))*$O$7</f>
        <v>0.00243</v>
      </c>
      <c r="H85">
        <f>G85+$K$7*$M$7*$O$7</f>
        <v>0.002457</v>
      </c>
      <c r="I85">
        <f t="shared" si="24"/>
        <v>90</v>
      </c>
      <c r="J85">
        <f t="shared" si="25"/>
        <v>90</v>
      </c>
      <c r="K85">
        <f t="shared" si="26"/>
        <v>0</v>
      </c>
      <c r="L85">
        <f t="shared" si="27"/>
        <v>0</v>
      </c>
      <c r="M85">
        <f t="shared" si="28"/>
        <v>0.022113</v>
      </c>
    </row>
    <row r="86" customFormat="1" spans="5:13">
      <c r="E86">
        <v>0</v>
      </c>
      <c r="F86" s="34" t="s">
        <v>133</v>
      </c>
      <c r="G86">
        <f>($K$7+$L$7)*($M$7+$N$7)*($O$7+$P$7)</f>
        <v>0.001</v>
      </c>
      <c r="H86">
        <v>0</v>
      </c>
      <c r="I86">
        <f t="shared" si="24"/>
        <v>0</v>
      </c>
      <c r="J86">
        <v>0</v>
      </c>
      <c r="K86">
        <f t="shared" si="26"/>
        <v>0</v>
      </c>
      <c r="L86">
        <f t="shared" si="27"/>
        <v>0</v>
      </c>
      <c r="M86">
        <f t="shared" si="28"/>
        <v>0</v>
      </c>
    </row>
    <row r="87" s="4" customFormat="1" spans="6:13">
      <c r="F87" s="4" t="s">
        <v>42</v>
      </c>
      <c r="G87" s="4">
        <f t="shared" ref="G87:M87" si="29">SUM(G80:G86)</f>
        <v>1</v>
      </c>
      <c r="H87" s="4">
        <f t="shared" si="29"/>
        <v>1</v>
      </c>
      <c r="K87" s="4">
        <f t="shared" si="29"/>
        <v>0</v>
      </c>
      <c r="L87" s="4">
        <f t="shared" si="29"/>
        <v>0</v>
      </c>
      <c r="M87" s="4">
        <f t="shared" si="29"/>
        <v>1.436125</v>
      </c>
    </row>
    <row r="88" customFormat="1" ht="14.25" spans="2:14">
      <c r="B88" s="3" t="s">
        <v>51</v>
      </c>
      <c r="C88" s="3" t="s">
        <v>52</v>
      </c>
      <c r="D88" s="10" t="s">
        <v>4</v>
      </c>
      <c r="E88" s="13" t="s">
        <v>53</v>
      </c>
      <c r="F88" s="13" t="s">
        <v>54</v>
      </c>
      <c r="G88" s="13" t="s">
        <v>55</v>
      </c>
      <c r="H88" s="13" t="s">
        <v>56</v>
      </c>
      <c r="I88" s="13" t="s">
        <v>57</v>
      </c>
      <c r="J88" s="13" t="s">
        <v>58</v>
      </c>
      <c r="K88" s="13" t="s">
        <v>59</v>
      </c>
      <c r="L88" s="13" t="s">
        <v>60</v>
      </c>
      <c r="M88" t="s">
        <v>71</v>
      </c>
      <c r="N88" s="18"/>
    </row>
    <row r="89" customFormat="1" ht="14.25" spans="2:13">
      <c r="B89" s="7" t="s">
        <v>30</v>
      </c>
      <c r="C89" s="7" t="s">
        <v>27</v>
      </c>
      <c r="D89" s="7">
        <v>3</v>
      </c>
      <c r="E89">
        <v>1</v>
      </c>
      <c r="F89" s="29" t="s">
        <v>146</v>
      </c>
      <c r="G89">
        <f>(1-($K$7+$L$7))*(1-($M$7+$N$7))*(1-($O$7+$P$7))</f>
        <v>0.729</v>
      </c>
      <c r="H89">
        <f t="shared" ref="H89:H91" si="30">G89</f>
        <v>0.729</v>
      </c>
      <c r="I89">
        <f t="shared" ref="I89:I95" si="31">$E$10*E89</f>
        <v>7</v>
      </c>
      <c r="J89">
        <f t="shared" ref="J89:J94" si="32">I89</f>
        <v>7</v>
      </c>
      <c r="K89">
        <f t="shared" ref="K89:K95" si="33">$F$10*H89</f>
        <v>0</v>
      </c>
      <c r="L89">
        <f t="shared" ref="L89:L95" si="34">J89*K89</f>
        <v>0</v>
      </c>
      <c r="M89">
        <f t="shared" ref="M89:M95" si="35">E89*H89</f>
        <v>0.729</v>
      </c>
    </row>
    <row r="90" customFormat="1" spans="5:13">
      <c r="E90">
        <v>2</v>
      </c>
      <c r="F90" s="29" t="s">
        <v>147</v>
      </c>
      <c r="G90">
        <f>$L$7*(1-($M$7+$N$7))*(1-($O$7+$P$7))+(1-($K$7+$L$7))*$N$7*(1-($O$7+$P$7))+(1-($K$7+$L$7))*(1-($M$7+$N$7))*$P$7</f>
        <v>0.1701</v>
      </c>
      <c r="H90">
        <f t="shared" si="30"/>
        <v>0.1701</v>
      </c>
      <c r="I90">
        <f t="shared" si="31"/>
        <v>14</v>
      </c>
      <c r="J90">
        <f t="shared" si="32"/>
        <v>14</v>
      </c>
      <c r="K90">
        <f t="shared" si="33"/>
        <v>0</v>
      </c>
      <c r="L90">
        <f t="shared" si="34"/>
        <v>0</v>
      </c>
      <c r="M90">
        <f t="shared" si="35"/>
        <v>0.3402</v>
      </c>
    </row>
    <row r="91" customFormat="1" spans="5:13">
      <c r="E91">
        <v>3</v>
      </c>
      <c r="F91" s="29" t="s">
        <v>148</v>
      </c>
      <c r="G91">
        <f>$K$7*(1-($M$7+$N$7))*(1-($O$7+$P$7))+(1-($K$7+$L$7))*$M$7*(1-($O$7+$P$7))+(1-($K$7+$L$7))*(1-($M$7+$N$7))*$O$7</f>
        <v>0.0729</v>
      </c>
      <c r="H91">
        <f t="shared" si="30"/>
        <v>0.0729</v>
      </c>
      <c r="I91">
        <f t="shared" si="31"/>
        <v>21</v>
      </c>
      <c r="J91">
        <f t="shared" si="32"/>
        <v>21</v>
      </c>
      <c r="K91">
        <f t="shared" si="33"/>
        <v>0</v>
      </c>
      <c r="L91">
        <f t="shared" si="34"/>
        <v>0</v>
      </c>
      <c r="M91">
        <f t="shared" si="35"/>
        <v>0.2187</v>
      </c>
    </row>
    <row r="92" customFormat="1" spans="5:13">
      <c r="E92">
        <v>4</v>
      </c>
      <c r="F92" s="29" t="s">
        <v>149</v>
      </c>
      <c r="G92">
        <f>$L$7*$N$7*(1-($O$7+$P$7))+$L$7*(1-($M$7+$N$7))*$P$7+(1-($K$7+$L$7))*$N$7*$P$7</f>
        <v>0.01323</v>
      </c>
      <c r="H92">
        <f>G92+$L$7*$N$7*$P$7</f>
        <v>0.013573</v>
      </c>
      <c r="I92">
        <f t="shared" si="31"/>
        <v>28</v>
      </c>
      <c r="J92">
        <f t="shared" si="32"/>
        <v>28</v>
      </c>
      <c r="K92">
        <f t="shared" si="33"/>
        <v>0</v>
      </c>
      <c r="L92">
        <f t="shared" si="34"/>
        <v>0</v>
      </c>
      <c r="M92">
        <f t="shared" si="35"/>
        <v>0.054292</v>
      </c>
    </row>
    <row r="93" customFormat="1" spans="5:13">
      <c r="E93">
        <v>6</v>
      </c>
      <c r="F93" s="14" t="s">
        <v>150</v>
      </c>
      <c r="G93">
        <f>$K$7*$N$7*(1-($O$7+$P$7))+$L$7*$M$7*(1-($O$7+$P$7))+$K$7*(1-($M$7+$N$7))*$P$7+$L$7*(1-($M$7+$N$7))*$O$7+(1-($K$7+$L$7))*$N$7*$O$7+(1-($K$7+$L$7))*$M$7*$P$7</f>
        <v>0.01134</v>
      </c>
      <c r="H93">
        <f>G93+($G$68-$K$7*$M$7*$O$7-$L$7*$N$7*$P$7)</f>
        <v>0.01197</v>
      </c>
      <c r="I93">
        <f t="shared" si="31"/>
        <v>42</v>
      </c>
      <c r="J93">
        <f t="shared" si="32"/>
        <v>42</v>
      </c>
      <c r="K93">
        <f t="shared" si="33"/>
        <v>0</v>
      </c>
      <c r="L93">
        <f t="shared" si="34"/>
        <v>0</v>
      </c>
      <c r="M93">
        <f t="shared" si="35"/>
        <v>0.07182</v>
      </c>
    </row>
    <row r="94" customFormat="1" spans="5:13">
      <c r="E94">
        <v>9</v>
      </c>
      <c r="F94" s="14" t="s">
        <v>151</v>
      </c>
      <c r="G94">
        <f>$K$7*$M$7*(1-($O$7+$P$7))+(1-($K$7+$L$7))*$M$7*$O$7+$K$7*(1-($M$7+$N$7))*$O$7</f>
        <v>0.00243</v>
      </c>
      <c r="H94">
        <f>G94+$K$7*$M$7*$O$7</f>
        <v>0.002457</v>
      </c>
      <c r="I94">
        <f t="shared" si="31"/>
        <v>63</v>
      </c>
      <c r="J94">
        <f t="shared" si="32"/>
        <v>63</v>
      </c>
      <c r="K94">
        <f t="shared" si="33"/>
        <v>0</v>
      </c>
      <c r="L94">
        <f t="shared" si="34"/>
        <v>0</v>
      </c>
      <c r="M94">
        <f t="shared" si="35"/>
        <v>0.022113</v>
      </c>
    </row>
    <row r="95" customFormat="1" spans="5:13">
      <c r="E95">
        <v>0</v>
      </c>
      <c r="F95" s="34" t="s">
        <v>133</v>
      </c>
      <c r="G95">
        <f>($K$7+$L$7)*($M$7+$N$7)*($O$7+$P$7)</f>
        <v>0.001</v>
      </c>
      <c r="H95">
        <v>0</v>
      </c>
      <c r="I95">
        <f t="shared" si="31"/>
        <v>0</v>
      </c>
      <c r="J95">
        <v>0</v>
      </c>
      <c r="K95">
        <f t="shared" si="33"/>
        <v>0</v>
      </c>
      <c r="L95">
        <f t="shared" si="34"/>
        <v>0</v>
      </c>
      <c r="M95">
        <f t="shared" si="35"/>
        <v>0</v>
      </c>
    </row>
    <row r="96" s="4" customFormat="1" spans="6:13">
      <c r="F96" s="4" t="s">
        <v>42</v>
      </c>
      <c r="G96" s="4">
        <f t="shared" ref="G96:M96" si="36">SUM(G89:G95)</f>
        <v>1</v>
      </c>
      <c r="H96" s="4">
        <f t="shared" si="36"/>
        <v>1</v>
      </c>
      <c r="K96" s="4">
        <f t="shared" si="36"/>
        <v>0</v>
      </c>
      <c r="L96" s="4">
        <f t="shared" si="36"/>
        <v>0</v>
      </c>
      <c r="M96" s="4">
        <f t="shared" si="36"/>
        <v>1.436125</v>
      </c>
    </row>
    <row r="97" customFormat="1" ht="14.25" spans="2:14">
      <c r="B97" s="3" t="s">
        <v>51</v>
      </c>
      <c r="C97" s="3" t="s">
        <v>52</v>
      </c>
      <c r="D97" s="10" t="s">
        <v>4</v>
      </c>
      <c r="E97" s="13" t="s">
        <v>53</v>
      </c>
      <c r="F97" s="13" t="s">
        <v>54</v>
      </c>
      <c r="G97" s="13" t="s">
        <v>55</v>
      </c>
      <c r="H97" s="13" t="s">
        <v>56</v>
      </c>
      <c r="I97" s="13" t="s">
        <v>57</v>
      </c>
      <c r="J97" s="13" t="s">
        <v>58</v>
      </c>
      <c r="K97" s="13" t="s">
        <v>59</v>
      </c>
      <c r="L97" s="13" t="s">
        <v>60</v>
      </c>
      <c r="M97" t="s">
        <v>71</v>
      </c>
      <c r="N97" s="18"/>
    </row>
    <row r="98" customFormat="1" ht="14.25" spans="2:13">
      <c r="B98" s="7" t="s">
        <v>31</v>
      </c>
      <c r="C98" s="7" t="s">
        <v>27</v>
      </c>
      <c r="D98" s="7">
        <v>3</v>
      </c>
      <c r="E98">
        <v>1</v>
      </c>
      <c r="F98" s="29" t="s">
        <v>152</v>
      </c>
      <c r="G98">
        <f>(1-($K$7+$L$7))*(1-($M$7+$N$7))*(1-($O$7+$P$7))</f>
        <v>0.729</v>
      </c>
      <c r="H98">
        <f t="shared" ref="H98:H100" si="37">G98</f>
        <v>0.729</v>
      </c>
      <c r="I98">
        <f t="shared" ref="I98:I104" si="38">$E$11*E98</f>
        <v>5</v>
      </c>
      <c r="J98">
        <f t="shared" ref="J98:J103" si="39">I98</f>
        <v>5</v>
      </c>
      <c r="K98">
        <f t="shared" ref="K98:K104" si="40">$F$11*H98</f>
        <v>0</v>
      </c>
      <c r="L98">
        <f t="shared" ref="L98:L104" si="41">J98*K98</f>
        <v>0</v>
      </c>
      <c r="M98">
        <f t="shared" ref="M98:M104" si="42">E98*H98</f>
        <v>0.729</v>
      </c>
    </row>
    <row r="99" customFormat="1" spans="5:13">
      <c r="E99">
        <v>2</v>
      </c>
      <c r="F99" s="29" t="s">
        <v>153</v>
      </c>
      <c r="G99">
        <f>$L$7*(1-($M$7+$N$7))*(1-($O$7+$P$7))+(1-($K$7+$L$7))*$N$7*(1-($O$7+$P$7))+(1-($K$7+$L$7))*(1-($M$7+$N$7))*$P$7</f>
        <v>0.1701</v>
      </c>
      <c r="H99">
        <f t="shared" si="37"/>
        <v>0.1701</v>
      </c>
      <c r="I99">
        <f t="shared" si="38"/>
        <v>10</v>
      </c>
      <c r="J99">
        <f t="shared" si="39"/>
        <v>10</v>
      </c>
      <c r="K99">
        <f t="shared" si="40"/>
        <v>0</v>
      </c>
      <c r="L99">
        <f t="shared" si="41"/>
        <v>0</v>
      </c>
      <c r="M99">
        <f t="shared" si="42"/>
        <v>0.3402</v>
      </c>
    </row>
    <row r="100" customFormat="1" spans="5:13">
      <c r="E100">
        <v>3</v>
      </c>
      <c r="F100" s="29" t="s">
        <v>154</v>
      </c>
      <c r="G100">
        <f>$K$7*(1-($M$7+$N$7))*(1-($O$7+$P$7))+(1-($K$7+$L$7))*$M$7*(1-($O$7+$P$7))+(1-($K$7+$L$7))*(1-($M$7+$N$7))*$O$7</f>
        <v>0.0729</v>
      </c>
      <c r="H100">
        <f t="shared" si="37"/>
        <v>0.0729</v>
      </c>
      <c r="I100">
        <f t="shared" si="38"/>
        <v>15</v>
      </c>
      <c r="J100">
        <f t="shared" si="39"/>
        <v>15</v>
      </c>
      <c r="K100">
        <f t="shared" si="40"/>
        <v>0</v>
      </c>
      <c r="L100">
        <f t="shared" si="41"/>
        <v>0</v>
      </c>
      <c r="M100">
        <f t="shared" si="42"/>
        <v>0.2187</v>
      </c>
    </row>
    <row r="101" customFormat="1" spans="5:13">
      <c r="E101">
        <v>4</v>
      </c>
      <c r="F101" s="29" t="s">
        <v>155</v>
      </c>
      <c r="G101">
        <f>$L$7*$N$7*(1-($O$7+$P$7))+$L$7*(1-($M$7+$N$7))*$P$7+(1-($K$7+$L$7))*$N$7*$P$7</f>
        <v>0.01323</v>
      </c>
      <c r="H101">
        <f>G101+$L$7*$N$7*$P$7</f>
        <v>0.013573</v>
      </c>
      <c r="I101">
        <f t="shared" si="38"/>
        <v>20</v>
      </c>
      <c r="J101">
        <f t="shared" si="39"/>
        <v>20</v>
      </c>
      <c r="K101">
        <f t="shared" si="40"/>
        <v>0</v>
      </c>
      <c r="L101">
        <f t="shared" si="41"/>
        <v>0</v>
      </c>
      <c r="M101">
        <f t="shared" si="42"/>
        <v>0.054292</v>
      </c>
    </row>
    <row r="102" customFormat="1" spans="5:13">
      <c r="E102">
        <v>6</v>
      </c>
      <c r="F102" s="14" t="s">
        <v>156</v>
      </c>
      <c r="G102">
        <f>$K$7*$N$7*(1-($O$7+$P$7))+$L$7*$M$7*(1-($O$7+$P$7))+$K$7*(1-($M$7+$N$7))*$P$7+$L$7*(1-($M$7+$N$7))*$O$7+(1-($K$7+$L$7))*$N$7*$O$7+(1-($K$7+$L$7))*$M$7*$P$7</f>
        <v>0.01134</v>
      </c>
      <c r="H102">
        <f>G102+($G$68-$K$7*$M$7*$O$7-$L$7*$N$7*$P$7)</f>
        <v>0.01197</v>
      </c>
      <c r="I102">
        <f t="shared" si="38"/>
        <v>30</v>
      </c>
      <c r="J102">
        <f t="shared" si="39"/>
        <v>30</v>
      </c>
      <c r="K102">
        <f t="shared" si="40"/>
        <v>0</v>
      </c>
      <c r="L102">
        <f t="shared" si="41"/>
        <v>0</v>
      </c>
      <c r="M102">
        <f t="shared" si="42"/>
        <v>0.07182</v>
      </c>
    </row>
    <row r="103" customFormat="1" spans="5:13">
      <c r="E103">
        <v>9</v>
      </c>
      <c r="F103" s="14" t="s">
        <v>157</v>
      </c>
      <c r="G103">
        <f>$K$7*$M$7*(1-($O$7+$P$7))+(1-($K$7+$L$7))*$M$7*$O$7+$K$7*(1-($M$7+$N$7))*$O$7</f>
        <v>0.00243</v>
      </c>
      <c r="H103">
        <f>G103+$K$7*$M$7*$O$7</f>
        <v>0.002457</v>
      </c>
      <c r="I103">
        <f t="shared" si="38"/>
        <v>45</v>
      </c>
      <c r="J103">
        <f t="shared" si="39"/>
        <v>45</v>
      </c>
      <c r="K103">
        <f t="shared" si="40"/>
        <v>0</v>
      </c>
      <c r="L103">
        <f t="shared" si="41"/>
        <v>0</v>
      </c>
      <c r="M103">
        <f t="shared" si="42"/>
        <v>0.022113</v>
      </c>
    </row>
    <row r="104" customFormat="1" spans="5:13">
      <c r="E104">
        <v>0</v>
      </c>
      <c r="F104" s="34" t="s">
        <v>133</v>
      </c>
      <c r="G104">
        <f>($K$7+$L$7)*($M$7+$N$7)*($O$7+$P$7)</f>
        <v>0.001</v>
      </c>
      <c r="H104">
        <v>0</v>
      </c>
      <c r="I104">
        <f t="shared" si="38"/>
        <v>0</v>
      </c>
      <c r="J104">
        <v>0</v>
      </c>
      <c r="K104">
        <f t="shared" si="40"/>
        <v>0</v>
      </c>
      <c r="L104">
        <f t="shared" si="41"/>
        <v>0</v>
      </c>
      <c r="M104">
        <f t="shared" si="42"/>
        <v>0</v>
      </c>
    </row>
    <row r="105" s="4" customFormat="1" spans="6:13">
      <c r="F105" s="4" t="s">
        <v>42</v>
      </c>
      <c r="G105" s="4">
        <f t="shared" ref="G105:M105" si="43">SUM(G98:G104)</f>
        <v>1</v>
      </c>
      <c r="H105" s="4">
        <f t="shared" si="43"/>
        <v>1</v>
      </c>
      <c r="K105" s="4">
        <f t="shared" si="43"/>
        <v>0</v>
      </c>
      <c r="L105" s="4">
        <f t="shared" si="43"/>
        <v>0</v>
      </c>
      <c r="M105" s="4">
        <f t="shared" si="43"/>
        <v>1.436125</v>
      </c>
    </row>
    <row r="106" customFormat="1" ht="14.25" spans="2:14">
      <c r="B106" s="3" t="s">
        <v>51</v>
      </c>
      <c r="C106" s="3" t="s">
        <v>52</v>
      </c>
      <c r="D106" s="10" t="s">
        <v>4</v>
      </c>
      <c r="E106" s="13" t="s">
        <v>53</v>
      </c>
      <c r="F106" s="13" t="s">
        <v>54</v>
      </c>
      <c r="G106" s="13" t="s">
        <v>55</v>
      </c>
      <c r="H106" s="13" t="s">
        <v>56</v>
      </c>
      <c r="I106" s="13" t="s">
        <v>57</v>
      </c>
      <c r="J106" s="13" t="s">
        <v>58</v>
      </c>
      <c r="K106" s="13" t="s">
        <v>59</v>
      </c>
      <c r="L106" s="13" t="s">
        <v>60</v>
      </c>
      <c r="M106" t="s">
        <v>71</v>
      </c>
      <c r="N106" s="18"/>
    </row>
    <row r="107" customFormat="1" ht="14.25" spans="2:13">
      <c r="B107" s="7" t="s">
        <v>32</v>
      </c>
      <c r="C107" s="7" t="s">
        <v>27</v>
      </c>
      <c r="D107" s="7">
        <v>3</v>
      </c>
      <c r="E107">
        <v>1</v>
      </c>
      <c r="F107" s="29" t="s">
        <v>158</v>
      </c>
      <c r="G107">
        <f>(1-($K$7+$L$7))*(1-($M$7+$N$7))*(1-($O$7+$P$7))</f>
        <v>0.729</v>
      </c>
      <c r="H107">
        <f t="shared" ref="H107:H109" si="44">G107</f>
        <v>0.729</v>
      </c>
      <c r="I107">
        <f t="shared" ref="I107:I113" si="45">$E$12*E107</f>
        <v>3</v>
      </c>
      <c r="J107">
        <f t="shared" ref="J107:J112" si="46">I107</f>
        <v>3</v>
      </c>
      <c r="K107">
        <f t="shared" ref="K107:K113" si="47">$F$12*H107</f>
        <v>0</v>
      </c>
      <c r="L107">
        <f t="shared" ref="L107:L113" si="48">J107*K107</f>
        <v>0</v>
      </c>
      <c r="M107">
        <f t="shared" ref="M107:M113" si="49">E107*H107</f>
        <v>0.729</v>
      </c>
    </row>
    <row r="108" customFormat="1" spans="5:13">
      <c r="E108">
        <v>2</v>
      </c>
      <c r="F108" s="29" t="s">
        <v>159</v>
      </c>
      <c r="G108">
        <f>$L$7*(1-($M$7+$N$7))*(1-($O$7+$P$7))+(1-($K$7+$L$7))*$N$7*(1-($O$7+$P$7))+(1-($K$7+$L$7))*(1-($M$7+$N$7))*$P$7</f>
        <v>0.1701</v>
      </c>
      <c r="H108">
        <f t="shared" si="44"/>
        <v>0.1701</v>
      </c>
      <c r="I108">
        <f t="shared" si="45"/>
        <v>6</v>
      </c>
      <c r="J108">
        <f t="shared" si="46"/>
        <v>6</v>
      </c>
      <c r="K108">
        <f t="shared" si="47"/>
        <v>0</v>
      </c>
      <c r="L108">
        <f t="shared" si="48"/>
        <v>0</v>
      </c>
      <c r="M108">
        <f t="shared" si="49"/>
        <v>0.3402</v>
      </c>
    </row>
    <row r="109" customFormat="1" spans="5:13">
      <c r="E109">
        <v>3</v>
      </c>
      <c r="F109" s="29" t="s">
        <v>160</v>
      </c>
      <c r="G109">
        <f>$K$7*(1-($M$7+$N$7))*(1-($O$7+$P$7))+(1-($K$7+$L$7))*$M$7*(1-($O$7+$P$7))+(1-($K$7+$L$7))*(1-($M$7+$N$7))*$O$7</f>
        <v>0.0729</v>
      </c>
      <c r="H109">
        <f t="shared" si="44"/>
        <v>0.0729</v>
      </c>
      <c r="I109">
        <f t="shared" si="45"/>
        <v>9</v>
      </c>
      <c r="J109">
        <f t="shared" si="46"/>
        <v>9</v>
      </c>
      <c r="K109">
        <f t="shared" si="47"/>
        <v>0</v>
      </c>
      <c r="L109">
        <f t="shared" si="48"/>
        <v>0</v>
      </c>
      <c r="M109">
        <f t="shared" si="49"/>
        <v>0.2187</v>
      </c>
    </row>
    <row r="110" customFormat="1" spans="5:13">
      <c r="E110">
        <v>4</v>
      </c>
      <c r="F110" s="29" t="s">
        <v>161</v>
      </c>
      <c r="G110">
        <f>$L$7*$N$7*(1-($O$7+$P$7))+$L$7*(1-($M$7+$N$7))*$P$7+(1-($K$7+$L$7))*$N$7*$P$7</f>
        <v>0.01323</v>
      </c>
      <c r="H110">
        <f>G110+$L$7*$N$7*$P$7</f>
        <v>0.013573</v>
      </c>
      <c r="I110">
        <f t="shared" si="45"/>
        <v>12</v>
      </c>
      <c r="J110">
        <f t="shared" si="46"/>
        <v>12</v>
      </c>
      <c r="K110">
        <f t="shared" si="47"/>
        <v>0</v>
      </c>
      <c r="L110">
        <f t="shared" si="48"/>
        <v>0</v>
      </c>
      <c r="M110">
        <f t="shared" si="49"/>
        <v>0.054292</v>
      </c>
    </row>
    <row r="111" customFormat="1" spans="5:13">
      <c r="E111">
        <v>6</v>
      </c>
      <c r="F111" s="14" t="s">
        <v>162</v>
      </c>
      <c r="G111">
        <f>$K$7*$N$7*(1-($O$7+$P$7))+$L$7*$M$7*(1-($O$7+$P$7))+$K$7*(1-($M$7+$N$7))*$P$7+$L$7*(1-($M$7+$N$7))*$O$7+(1-($K$7+$L$7))*$N$7*$O$7+(1-($K$7+$L$7))*$M$7*$P$7</f>
        <v>0.01134</v>
      </c>
      <c r="H111">
        <f>G111+($G$68-$K$7*$M$7*$O$7-$L$7*$N$7*$P$7)</f>
        <v>0.01197</v>
      </c>
      <c r="I111">
        <f t="shared" si="45"/>
        <v>18</v>
      </c>
      <c r="J111">
        <f t="shared" si="46"/>
        <v>18</v>
      </c>
      <c r="K111">
        <f t="shared" si="47"/>
        <v>0</v>
      </c>
      <c r="L111">
        <f t="shared" si="48"/>
        <v>0</v>
      </c>
      <c r="M111">
        <f t="shared" si="49"/>
        <v>0.07182</v>
      </c>
    </row>
    <row r="112" customFormat="1" spans="5:13">
      <c r="E112">
        <v>9</v>
      </c>
      <c r="F112" s="14" t="s">
        <v>163</v>
      </c>
      <c r="G112">
        <f>$K$7*$M$7*(1-($O$7+$P$7))+(1-($K$7+$L$7))*$M$7*$O$7+$K$7*(1-($M$7+$N$7))*$O$7</f>
        <v>0.00243</v>
      </c>
      <c r="H112">
        <f>G112+$K$7*$M$7*$O$7</f>
        <v>0.002457</v>
      </c>
      <c r="I112">
        <f t="shared" si="45"/>
        <v>27</v>
      </c>
      <c r="J112">
        <f t="shared" si="46"/>
        <v>27</v>
      </c>
      <c r="K112">
        <f t="shared" si="47"/>
        <v>0</v>
      </c>
      <c r="L112">
        <f t="shared" si="48"/>
        <v>0</v>
      </c>
      <c r="M112">
        <f t="shared" si="49"/>
        <v>0.022113</v>
      </c>
    </row>
    <row r="113" customFormat="1" spans="5:13">
      <c r="E113">
        <v>0</v>
      </c>
      <c r="F113" s="34" t="s">
        <v>133</v>
      </c>
      <c r="G113">
        <f>($K$7+$L$7)*($M$7+$N$7)*($O$7+$P$7)</f>
        <v>0.001</v>
      </c>
      <c r="H113">
        <v>0</v>
      </c>
      <c r="I113">
        <f t="shared" si="45"/>
        <v>0</v>
      </c>
      <c r="J113">
        <v>0</v>
      </c>
      <c r="K113">
        <f t="shared" si="47"/>
        <v>0</v>
      </c>
      <c r="L113">
        <f t="shared" si="48"/>
        <v>0</v>
      </c>
      <c r="M113">
        <f t="shared" si="49"/>
        <v>0</v>
      </c>
    </row>
    <row r="114" s="4" customFormat="1" spans="6:13">
      <c r="F114" s="4" t="s">
        <v>42</v>
      </c>
      <c r="G114" s="4">
        <f t="shared" ref="G114:M114" si="50">SUM(G107:G113)</f>
        <v>1</v>
      </c>
      <c r="H114" s="4">
        <f t="shared" si="50"/>
        <v>1</v>
      </c>
      <c r="K114" s="4">
        <f t="shared" si="50"/>
        <v>0</v>
      </c>
      <c r="L114" s="4">
        <f t="shared" si="50"/>
        <v>0</v>
      </c>
      <c r="M114" s="4">
        <f t="shared" si="50"/>
        <v>1.436125</v>
      </c>
    </row>
    <row r="115" customFormat="1" spans="2:13">
      <c r="B115" t="s">
        <v>164</v>
      </c>
      <c r="C115" t="s">
        <v>34</v>
      </c>
      <c r="D115">
        <v>3</v>
      </c>
      <c r="E115" t="s">
        <v>53</v>
      </c>
      <c r="F115" t="s">
        <v>54</v>
      </c>
      <c r="G115" t="s">
        <v>55</v>
      </c>
      <c r="H115" t="s">
        <v>56</v>
      </c>
      <c r="I115" t="s">
        <v>57</v>
      </c>
      <c r="J115" t="s">
        <v>58</v>
      </c>
      <c r="K115" t="s">
        <v>59</v>
      </c>
      <c r="L115" t="s">
        <v>60</v>
      </c>
      <c r="M115" t="s">
        <v>71</v>
      </c>
    </row>
    <row r="116" customFormat="1" spans="5:13">
      <c r="E116">
        <v>1</v>
      </c>
      <c r="F116" t="s">
        <v>165</v>
      </c>
      <c r="G116">
        <f>G121*D121+G126*D126*3</f>
        <v>0.779625</v>
      </c>
      <c r="H116">
        <f t="shared" ref="H116:H118" si="51">G116</f>
        <v>0.779625</v>
      </c>
      <c r="I116">
        <f t="shared" ref="I116:I118" si="52">$E$13*E116</f>
        <v>2</v>
      </c>
      <c r="J116">
        <f t="shared" ref="J116:J118" si="53">I116</f>
        <v>2</v>
      </c>
      <c r="K116">
        <f t="shared" ref="K116:K118" si="54">$F$13*H116</f>
        <v>0</v>
      </c>
      <c r="L116">
        <f t="shared" ref="L116:L118" si="55">J116*K116</f>
        <v>0</v>
      </c>
      <c r="M116">
        <f t="shared" ref="M116:M118" si="56">E116*H116</f>
        <v>0.779625</v>
      </c>
    </row>
    <row r="117" customFormat="1" spans="5:13">
      <c r="E117">
        <v>2</v>
      </c>
      <c r="F117" t="s">
        <v>166</v>
      </c>
      <c r="G117">
        <f>G122*D121+G127*D126*3</f>
        <v>0.1542625</v>
      </c>
      <c r="H117">
        <f t="shared" si="51"/>
        <v>0.1542625</v>
      </c>
      <c r="I117">
        <f t="shared" si="52"/>
        <v>4</v>
      </c>
      <c r="J117">
        <f t="shared" si="53"/>
        <v>4</v>
      </c>
      <c r="K117">
        <f t="shared" si="54"/>
        <v>0</v>
      </c>
      <c r="L117">
        <f t="shared" si="55"/>
        <v>0</v>
      </c>
      <c r="M117">
        <f t="shared" si="56"/>
        <v>0.308525</v>
      </c>
    </row>
    <row r="118" customFormat="1" spans="5:13">
      <c r="E118">
        <v>3</v>
      </c>
      <c r="F118" t="s">
        <v>167</v>
      </c>
      <c r="G118">
        <f>G123*D121+G128*D126*3</f>
        <v>0.0661125</v>
      </c>
      <c r="H118">
        <f t="shared" si="51"/>
        <v>0.0661125</v>
      </c>
      <c r="I118">
        <f t="shared" si="52"/>
        <v>6</v>
      </c>
      <c r="J118">
        <f t="shared" si="53"/>
        <v>6</v>
      </c>
      <c r="K118">
        <f t="shared" si="54"/>
        <v>0</v>
      </c>
      <c r="L118">
        <f t="shared" si="55"/>
        <v>0</v>
      </c>
      <c r="M118">
        <f t="shared" si="56"/>
        <v>0.1983375</v>
      </c>
    </row>
    <row r="119" s="4" customFormat="1" spans="5:13">
      <c r="E119" s="4" t="s">
        <v>42</v>
      </c>
      <c r="G119" s="4">
        <f t="shared" ref="G119:M119" si="57">SUM(G116:G118)</f>
        <v>1</v>
      </c>
      <c r="K119" s="4">
        <f t="shared" si="57"/>
        <v>0</v>
      </c>
      <c r="L119" s="4">
        <f t="shared" si="57"/>
        <v>0</v>
      </c>
      <c r="M119" s="4">
        <f t="shared" si="57"/>
        <v>1.2864875</v>
      </c>
    </row>
    <row r="120" customFormat="1" ht="14.25" spans="3:13">
      <c r="C120" s="35" t="s">
        <v>96</v>
      </c>
      <c r="D120" s="36" t="s">
        <v>97</v>
      </c>
      <c r="E120" s="37" t="s">
        <v>53</v>
      </c>
      <c r="F120" s="37" t="s">
        <v>54</v>
      </c>
      <c r="G120" s="37" t="s">
        <v>55</v>
      </c>
      <c r="H120" s="36" t="s">
        <v>56</v>
      </c>
      <c r="I120" s="36" t="s">
        <v>57</v>
      </c>
      <c r="J120" s="36" t="s">
        <v>58</v>
      </c>
      <c r="K120" s="36" t="s">
        <v>59</v>
      </c>
      <c r="L120" s="36" t="s">
        <v>60</v>
      </c>
      <c r="M120" s="43" t="s">
        <v>71</v>
      </c>
    </row>
    <row r="121" customFormat="1" ht="14.25" spans="3:13">
      <c r="C121" s="38" t="s">
        <v>98</v>
      </c>
      <c r="D121" s="39">
        <f>3/8</f>
        <v>0.375</v>
      </c>
      <c r="E121" s="40">
        <v>1</v>
      </c>
      <c r="F121" s="41" t="s">
        <v>165</v>
      </c>
      <c r="G121" s="39">
        <f>0.9*0.9*0.9</f>
        <v>0.729</v>
      </c>
      <c r="H121" s="39"/>
      <c r="I121" s="39"/>
      <c r="J121" s="39"/>
      <c r="K121" s="39"/>
      <c r="L121" s="39"/>
      <c r="M121" s="44"/>
    </row>
    <row r="122" customFormat="1" ht="14.25" spans="3:13">
      <c r="C122" s="38"/>
      <c r="D122" s="39"/>
      <c r="E122" s="40">
        <v>2</v>
      </c>
      <c r="F122" s="41" t="s">
        <v>166</v>
      </c>
      <c r="G122" s="39">
        <f>(1-0.729)*0.7</f>
        <v>0.1897</v>
      </c>
      <c r="H122" s="39"/>
      <c r="I122" s="39"/>
      <c r="J122" s="39"/>
      <c r="K122" s="39"/>
      <c r="L122" s="39"/>
      <c r="M122" s="44"/>
    </row>
    <row r="123" customFormat="1" ht="14.25" spans="3:13">
      <c r="C123" s="38"/>
      <c r="D123" s="39"/>
      <c r="E123" s="39">
        <v>3</v>
      </c>
      <c r="F123" s="39" t="s">
        <v>167</v>
      </c>
      <c r="G123" s="39">
        <f>(1-0.729)*0.3</f>
        <v>0.0813</v>
      </c>
      <c r="H123" s="39"/>
      <c r="I123" s="39"/>
      <c r="J123" s="39"/>
      <c r="K123" s="39"/>
      <c r="L123" s="39"/>
      <c r="M123" s="44"/>
    </row>
    <row r="124" customFormat="1" ht="14.25" spans="3:13">
      <c r="C124" s="38"/>
      <c r="D124" s="39"/>
      <c r="E124" s="42" t="s">
        <v>42</v>
      </c>
      <c r="F124" s="42"/>
      <c r="G124" s="39">
        <f>SUM(G121:G123)</f>
        <v>1</v>
      </c>
      <c r="H124" s="39"/>
      <c r="I124" s="42"/>
      <c r="J124" s="42"/>
      <c r="K124" s="42"/>
      <c r="L124" s="42"/>
      <c r="M124" s="45"/>
    </row>
    <row r="125" customFormat="1" ht="14.25" spans="3:13">
      <c r="C125" s="38"/>
      <c r="D125" s="39"/>
      <c r="E125" s="42" t="s">
        <v>53</v>
      </c>
      <c r="F125" s="42" t="s">
        <v>54</v>
      </c>
      <c r="G125" s="42" t="s">
        <v>55</v>
      </c>
      <c r="H125" s="39" t="s">
        <v>56</v>
      </c>
      <c r="I125" s="39" t="s">
        <v>57</v>
      </c>
      <c r="J125" s="39" t="s">
        <v>58</v>
      </c>
      <c r="K125" s="39" t="s">
        <v>59</v>
      </c>
      <c r="L125" s="39" t="s">
        <v>60</v>
      </c>
      <c r="M125" s="44" t="s">
        <v>71</v>
      </c>
    </row>
    <row r="126" customFormat="1" ht="14.25" spans="3:13">
      <c r="C126" s="38" t="s">
        <v>103</v>
      </c>
      <c r="D126" s="39">
        <f>5/24</f>
        <v>0.208333333333333</v>
      </c>
      <c r="E126" s="40">
        <v>1</v>
      </c>
      <c r="F126" s="41" t="s">
        <v>165</v>
      </c>
      <c r="G126" s="39">
        <v>0.81</v>
      </c>
      <c r="H126" s="39"/>
      <c r="I126" s="39"/>
      <c r="J126" s="39"/>
      <c r="K126" s="39"/>
      <c r="L126" s="39"/>
      <c r="M126" s="44"/>
    </row>
    <row r="127" customFormat="1" ht="14.25" spans="3:13">
      <c r="C127" s="38"/>
      <c r="D127" s="39"/>
      <c r="E127" s="40">
        <v>2</v>
      </c>
      <c r="F127" s="41" t="s">
        <v>168</v>
      </c>
      <c r="G127" s="39">
        <f>0.19*7/10</f>
        <v>0.133</v>
      </c>
      <c r="H127" s="39"/>
      <c r="I127" s="39"/>
      <c r="J127" s="39"/>
      <c r="K127" s="39"/>
      <c r="L127" s="39"/>
      <c r="M127" s="44"/>
    </row>
    <row r="128" customFormat="1" ht="14.25" spans="3:13">
      <c r="C128" s="38"/>
      <c r="D128" s="39"/>
      <c r="E128" s="39">
        <v>3</v>
      </c>
      <c r="F128" s="39" t="s">
        <v>169</v>
      </c>
      <c r="G128" s="39">
        <f>0.19*3/10</f>
        <v>0.057</v>
      </c>
      <c r="H128" s="39"/>
      <c r="I128" s="39"/>
      <c r="J128" s="39"/>
      <c r="K128" s="39"/>
      <c r="L128" s="39"/>
      <c r="M128" s="44"/>
    </row>
    <row r="129" customFormat="1" ht="14.25" spans="3:13">
      <c r="C129" s="38"/>
      <c r="D129" s="39"/>
      <c r="E129" s="42" t="s">
        <v>42</v>
      </c>
      <c r="F129" s="42"/>
      <c r="G129" s="42">
        <f>SUM(G126:G128)</f>
        <v>1</v>
      </c>
      <c r="H129" s="39"/>
      <c r="I129" s="42"/>
      <c r="J129" s="42"/>
      <c r="K129" s="42"/>
      <c r="L129" s="42"/>
      <c r="M129" s="45"/>
    </row>
    <row r="130" customFormat="1" ht="14.25" spans="3:13">
      <c r="C130" s="38" t="s">
        <v>105</v>
      </c>
      <c r="D130" s="39">
        <f>5/24</f>
        <v>0.208333333333333</v>
      </c>
      <c r="E130" s="42" t="s">
        <v>53</v>
      </c>
      <c r="F130" s="42" t="s">
        <v>54</v>
      </c>
      <c r="G130" s="42" t="s">
        <v>55</v>
      </c>
      <c r="H130" s="39" t="s">
        <v>56</v>
      </c>
      <c r="I130" s="39" t="s">
        <v>57</v>
      </c>
      <c r="J130" s="39" t="s">
        <v>58</v>
      </c>
      <c r="K130" s="39" t="s">
        <v>59</v>
      </c>
      <c r="L130" s="39" t="s">
        <v>60</v>
      </c>
      <c r="M130" s="44" t="s">
        <v>71</v>
      </c>
    </row>
    <row r="131" customFormat="1" ht="14.25" spans="3:13">
      <c r="C131" s="38"/>
      <c r="D131" s="39"/>
      <c r="E131" s="40">
        <v>1</v>
      </c>
      <c r="F131" s="41" t="s">
        <v>165</v>
      </c>
      <c r="G131" s="39">
        <v>0.81</v>
      </c>
      <c r="H131" s="39"/>
      <c r="I131" s="39"/>
      <c r="J131" s="39"/>
      <c r="K131" s="39"/>
      <c r="L131" s="39"/>
      <c r="M131" s="44"/>
    </row>
    <row r="132" customFormat="1" ht="14.25" spans="3:13">
      <c r="C132" s="46"/>
      <c r="D132" s="39"/>
      <c r="E132" s="39">
        <v>2</v>
      </c>
      <c r="F132" s="39" t="s">
        <v>170</v>
      </c>
      <c r="G132" s="39">
        <f>0.19*7/10</f>
        <v>0.133</v>
      </c>
      <c r="H132" s="39"/>
      <c r="I132" s="39"/>
      <c r="J132" s="39"/>
      <c r="K132" s="39"/>
      <c r="L132" s="39"/>
      <c r="M132" s="44"/>
    </row>
    <row r="133" customFormat="1" ht="14.25" spans="3:13">
      <c r="C133" s="46"/>
      <c r="D133" s="39"/>
      <c r="E133" s="39">
        <v>3</v>
      </c>
      <c r="F133" s="39" t="s">
        <v>101</v>
      </c>
      <c r="G133" s="39">
        <f>0.19*3/10</f>
        <v>0.057</v>
      </c>
      <c r="H133" s="39"/>
      <c r="I133" s="39"/>
      <c r="J133" s="39"/>
      <c r="K133" s="39"/>
      <c r="L133" s="39"/>
      <c r="M133" s="44"/>
    </row>
    <row r="134" customFormat="1" ht="14.25" spans="3:13">
      <c r="C134" s="46"/>
      <c r="D134" s="39"/>
      <c r="E134" s="39" t="s">
        <v>42</v>
      </c>
      <c r="F134" s="39"/>
      <c r="G134" s="39">
        <f>SUM(G131:G133)</f>
        <v>1</v>
      </c>
      <c r="H134" s="39"/>
      <c r="I134" s="39"/>
      <c r="J134" s="39"/>
      <c r="K134" s="39"/>
      <c r="L134" s="39"/>
      <c r="M134" s="44"/>
    </row>
    <row r="135" customFormat="1" ht="14.25" spans="3:13">
      <c r="C135" s="38" t="s">
        <v>107</v>
      </c>
      <c r="D135" s="39">
        <f>5/24</f>
        <v>0.208333333333333</v>
      </c>
      <c r="E135" s="42" t="s">
        <v>53</v>
      </c>
      <c r="F135" s="42" t="s">
        <v>54</v>
      </c>
      <c r="G135" s="42" t="s">
        <v>55</v>
      </c>
      <c r="H135" s="39" t="s">
        <v>56</v>
      </c>
      <c r="I135" s="39" t="s">
        <v>57</v>
      </c>
      <c r="J135" s="39" t="s">
        <v>58</v>
      </c>
      <c r="K135" s="39" t="s">
        <v>59</v>
      </c>
      <c r="L135" s="39" t="s">
        <v>60</v>
      </c>
      <c r="M135" s="44" t="s">
        <v>71</v>
      </c>
    </row>
    <row r="136" customFormat="1" ht="14.25" spans="3:13">
      <c r="C136" s="46"/>
      <c r="D136" s="39"/>
      <c r="E136" s="40">
        <v>1</v>
      </c>
      <c r="F136" s="41" t="s">
        <v>165</v>
      </c>
      <c r="G136" s="39">
        <v>0.81</v>
      </c>
      <c r="H136" s="39"/>
      <c r="I136" s="39"/>
      <c r="J136" s="39"/>
      <c r="K136" s="39"/>
      <c r="L136" s="39"/>
      <c r="M136" s="44"/>
    </row>
    <row r="137" customFormat="1" ht="14.25" spans="3:13">
      <c r="C137" s="46"/>
      <c r="D137" s="39"/>
      <c r="E137" s="40">
        <v>2</v>
      </c>
      <c r="F137" s="41" t="s">
        <v>171</v>
      </c>
      <c r="G137" s="39">
        <f>0.19*7/10</f>
        <v>0.133</v>
      </c>
      <c r="H137" s="39"/>
      <c r="I137" s="39"/>
      <c r="J137" s="39"/>
      <c r="K137" s="39"/>
      <c r="L137" s="39"/>
      <c r="M137" s="44"/>
    </row>
    <row r="138" customFormat="1" ht="14.25" spans="3:13">
      <c r="C138" s="46"/>
      <c r="D138" s="39"/>
      <c r="E138" s="39">
        <v>3</v>
      </c>
      <c r="F138" s="39" t="s">
        <v>172</v>
      </c>
      <c r="G138" s="39">
        <f>0.19*3/10</f>
        <v>0.057</v>
      </c>
      <c r="H138" s="39"/>
      <c r="I138" s="39"/>
      <c r="J138" s="39"/>
      <c r="K138" s="39"/>
      <c r="L138" s="39"/>
      <c r="M138" s="44"/>
    </row>
    <row r="139" customFormat="1" ht="14.25" spans="3:13">
      <c r="C139" s="47"/>
      <c r="D139" s="48"/>
      <c r="E139" s="48" t="s">
        <v>42</v>
      </c>
      <c r="F139" s="48"/>
      <c r="G139" s="48">
        <f>SUM(G136:G138)</f>
        <v>1</v>
      </c>
      <c r="H139" s="48"/>
      <c r="I139" s="48"/>
      <c r="J139" s="48"/>
      <c r="K139" s="48"/>
      <c r="L139" s="48"/>
      <c r="M139" s="52"/>
    </row>
    <row r="140" customFormat="1" ht="14.25" spans="2:13">
      <c r="B140" s="10" t="s">
        <v>35</v>
      </c>
      <c r="C140" t="s">
        <v>34</v>
      </c>
      <c r="D140">
        <v>3</v>
      </c>
      <c r="E140" t="s">
        <v>53</v>
      </c>
      <c r="F140" t="s">
        <v>54</v>
      </c>
      <c r="G140" t="s">
        <v>55</v>
      </c>
      <c r="H140" t="s">
        <v>56</v>
      </c>
      <c r="I140" t="s">
        <v>57</v>
      </c>
      <c r="J140" t="s">
        <v>58</v>
      </c>
      <c r="K140" t="s">
        <v>59</v>
      </c>
      <c r="L140" t="s">
        <v>60</v>
      </c>
      <c r="M140" t="s">
        <v>71</v>
      </c>
    </row>
    <row r="141" customFormat="1" spans="5:13">
      <c r="E141">
        <v>1</v>
      </c>
      <c r="F141" t="s">
        <v>165</v>
      </c>
      <c r="G141">
        <f>G146*D146+G151*D151*3</f>
        <v>0.779625</v>
      </c>
      <c r="H141">
        <f t="shared" ref="H141:H143" si="58">G141</f>
        <v>0.779625</v>
      </c>
      <c r="I141">
        <f t="shared" ref="I141:I143" si="59">$E$14*E141</f>
        <v>1</v>
      </c>
      <c r="J141">
        <f t="shared" ref="J141:J143" si="60">I141</f>
        <v>1</v>
      </c>
      <c r="K141">
        <f t="shared" ref="K141:K143" si="61">$F$14*H141</f>
        <v>0</v>
      </c>
      <c r="L141">
        <f t="shared" ref="L141:L143" si="62">J141*K141</f>
        <v>0</v>
      </c>
      <c r="M141">
        <f t="shared" ref="M141:M143" si="63">E141*H141</f>
        <v>0.779625</v>
      </c>
    </row>
    <row r="142" customFormat="1" spans="5:13">
      <c r="E142">
        <v>2</v>
      </c>
      <c r="F142" t="s">
        <v>166</v>
      </c>
      <c r="G142">
        <f>G147*D146+G152*D151*3</f>
        <v>0.1542625</v>
      </c>
      <c r="H142">
        <f t="shared" si="58"/>
        <v>0.1542625</v>
      </c>
      <c r="I142">
        <f t="shared" si="59"/>
        <v>2</v>
      </c>
      <c r="J142">
        <f t="shared" si="60"/>
        <v>2</v>
      </c>
      <c r="K142">
        <f t="shared" si="61"/>
        <v>0</v>
      </c>
      <c r="L142">
        <f t="shared" si="62"/>
        <v>0</v>
      </c>
      <c r="M142">
        <f t="shared" si="63"/>
        <v>0.308525</v>
      </c>
    </row>
    <row r="143" customFormat="1" spans="5:13">
      <c r="E143">
        <v>3</v>
      </c>
      <c r="F143" t="s">
        <v>167</v>
      </c>
      <c r="G143">
        <f>G148*D146+G153*D151*3</f>
        <v>0.0661125</v>
      </c>
      <c r="H143">
        <f t="shared" si="58"/>
        <v>0.0661125</v>
      </c>
      <c r="I143">
        <f t="shared" si="59"/>
        <v>3</v>
      </c>
      <c r="J143">
        <f t="shared" si="60"/>
        <v>3</v>
      </c>
      <c r="K143">
        <f t="shared" si="61"/>
        <v>0</v>
      </c>
      <c r="L143">
        <f t="shared" si="62"/>
        <v>0</v>
      </c>
      <c r="M143">
        <f t="shared" si="63"/>
        <v>0.1983375</v>
      </c>
    </row>
    <row r="144" s="4" customFormat="1" spans="5:13">
      <c r="E144" s="4" t="s">
        <v>42</v>
      </c>
      <c r="G144" s="4">
        <f t="shared" ref="G144:M144" si="64">SUM(G141:G143)</f>
        <v>1</v>
      </c>
      <c r="K144" s="4">
        <f t="shared" si="64"/>
        <v>0</v>
      </c>
      <c r="L144" s="4">
        <f t="shared" si="64"/>
        <v>0</v>
      </c>
      <c r="M144" s="4">
        <f t="shared" si="64"/>
        <v>1.2864875</v>
      </c>
    </row>
    <row r="145" customFormat="1" ht="14.25" spans="3:13">
      <c r="C145" s="35" t="s">
        <v>96</v>
      </c>
      <c r="D145" s="36" t="s">
        <v>97</v>
      </c>
      <c r="E145" s="37" t="s">
        <v>53</v>
      </c>
      <c r="F145" s="37" t="s">
        <v>54</v>
      </c>
      <c r="G145" s="37" t="s">
        <v>55</v>
      </c>
      <c r="H145" s="36" t="s">
        <v>56</v>
      </c>
      <c r="I145" s="36" t="s">
        <v>57</v>
      </c>
      <c r="J145" s="36" t="s">
        <v>58</v>
      </c>
      <c r="K145" s="36" t="s">
        <v>59</v>
      </c>
      <c r="L145" s="36" t="s">
        <v>60</v>
      </c>
      <c r="M145" s="43" t="s">
        <v>71</v>
      </c>
    </row>
    <row r="146" customFormat="1" ht="14.25" spans="3:13">
      <c r="C146" s="38" t="s">
        <v>98</v>
      </c>
      <c r="D146" s="39">
        <f>3/8</f>
        <v>0.375</v>
      </c>
      <c r="E146" s="40">
        <v>1</v>
      </c>
      <c r="F146" s="41" t="s">
        <v>165</v>
      </c>
      <c r="G146" s="39">
        <f>0.9*0.9*0.9</f>
        <v>0.729</v>
      </c>
      <c r="H146" s="39"/>
      <c r="I146" s="39"/>
      <c r="J146" s="39"/>
      <c r="K146" s="39"/>
      <c r="L146" s="39"/>
      <c r="M146" s="44"/>
    </row>
    <row r="147" customFormat="1" ht="14.25" spans="3:13">
      <c r="C147" s="38"/>
      <c r="D147" s="39"/>
      <c r="E147" s="40">
        <v>2</v>
      </c>
      <c r="F147" s="41" t="s">
        <v>166</v>
      </c>
      <c r="G147" s="39">
        <f>(1-0.729)*0.7</f>
        <v>0.1897</v>
      </c>
      <c r="H147" s="39"/>
      <c r="I147" s="39"/>
      <c r="J147" s="39"/>
      <c r="K147" s="39"/>
      <c r="L147" s="39"/>
      <c r="M147" s="44"/>
    </row>
    <row r="148" customFormat="1" ht="14.25" spans="3:13">
      <c r="C148" s="38"/>
      <c r="D148" s="39"/>
      <c r="E148" s="39">
        <v>3</v>
      </c>
      <c r="F148" s="39" t="s">
        <v>167</v>
      </c>
      <c r="G148" s="39">
        <f>(1-0.729)*0.3</f>
        <v>0.0813</v>
      </c>
      <c r="H148" s="39"/>
      <c r="I148" s="39"/>
      <c r="J148" s="39"/>
      <c r="K148" s="39"/>
      <c r="L148" s="39"/>
      <c r="M148" s="44"/>
    </row>
    <row r="149" customFormat="1" ht="14.25" spans="3:13">
      <c r="C149" s="38"/>
      <c r="D149" s="39"/>
      <c r="E149" s="42" t="s">
        <v>42</v>
      </c>
      <c r="F149" s="42"/>
      <c r="G149" s="39">
        <f>SUM(G146:G148)</f>
        <v>1</v>
      </c>
      <c r="H149" s="39"/>
      <c r="I149" s="42"/>
      <c r="J149" s="42"/>
      <c r="K149" s="42"/>
      <c r="L149" s="42"/>
      <c r="M149" s="45"/>
    </row>
    <row r="150" customFormat="1" ht="14.25" spans="3:13">
      <c r="C150" s="38"/>
      <c r="D150" s="39"/>
      <c r="E150" s="42" t="s">
        <v>53</v>
      </c>
      <c r="F150" s="42" t="s">
        <v>54</v>
      </c>
      <c r="G150" s="42" t="s">
        <v>55</v>
      </c>
      <c r="H150" s="39" t="s">
        <v>56</v>
      </c>
      <c r="I150" s="39" t="s">
        <v>57</v>
      </c>
      <c r="J150" s="39" t="s">
        <v>58</v>
      </c>
      <c r="K150" s="39" t="s">
        <v>59</v>
      </c>
      <c r="L150" s="39" t="s">
        <v>60</v>
      </c>
      <c r="M150" s="44" t="s">
        <v>71</v>
      </c>
    </row>
    <row r="151" customFormat="1" ht="14.25" spans="3:13">
      <c r="C151" s="38" t="s">
        <v>103</v>
      </c>
      <c r="D151" s="39">
        <f>5/24</f>
        <v>0.208333333333333</v>
      </c>
      <c r="E151" s="40">
        <v>1</v>
      </c>
      <c r="F151" s="41" t="s">
        <v>165</v>
      </c>
      <c r="G151" s="39">
        <v>0.81</v>
      </c>
      <c r="H151" s="39"/>
      <c r="I151" s="39"/>
      <c r="J151" s="39"/>
      <c r="K151" s="39"/>
      <c r="L151" s="39"/>
      <c r="M151" s="44"/>
    </row>
    <row r="152" customFormat="1" ht="14.25" spans="3:13">
      <c r="C152" s="38"/>
      <c r="D152" s="39"/>
      <c r="E152" s="40">
        <v>2</v>
      </c>
      <c r="F152" s="41" t="s">
        <v>168</v>
      </c>
      <c r="G152" s="39">
        <f>0.19*7/10</f>
        <v>0.133</v>
      </c>
      <c r="H152" s="39"/>
      <c r="I152" s="39"/>
      <c r="J152" s="39"/>
      <c r="K152" s="39"/>
      <c r="L152" s="39"/>
      <c r="M152" s="44"/>
    </row>
    <row r="153" customFormat="1" ht="14.25" spans="3:13">
      <c r="C153" s="38"/>
      <c r="D153" s="39"/>
      <c r="E153" s="39">
        <v>3</v>
      </c>
      <c r="F153" s="39" t="s">
        <v>169</v>
      </c>
      <c r="G153" s="39">
        <f>0.19*3/10</f>
        <v>0.057</v>
      </c>
      <c r="H153" s="39"/>
      <c r="I153" s="39"/>
      <c r="J153" s="39"/>
      <c r="K153" s="39"/>
      <c r="L153" s="39"/>
      <c r="M153" s="44"/>
    </row>
    <row r="154" customFormat="1" ht="14.25" spans="3:13">
      <c r="C154" s="38"/>
      <c r="D154" s="39"/>
      <c r="E154" s="42" t="s">
        <v>42</v>
      </c>
      <c r="F154" s="42"/>
      <c r="G154" s="42">
        <f>SUM(G151:G153)</f>
        <v>1</v>
      </c>
      <c r="H154" s="39"/>
      <c r="I154" s="42"/>
      <c r="J154" s="42"/>
      <c r="K154" s="42"/>
      <c r="L154" s="42"/>
      <c r="M154" s="45"/>
    </row>
    <row r="155" customFormat="1" ht="14.25" spans="3:13">
      <c r="C155" s="38" t="s">
        <v>105</v>
      </c>
      <c r="D155" s="39">
        <f>5/24</f>
        <v>0.208333333333333</v>
      </c>
      <c r="E155" s="42" t="s">
        <v>53</v>
      </c>
      <c r="F155" s="42" t="s">
        <v>54</v>
      </c>
      <c r="G155" s="42" t="s">
        <v>55</v>
      </c>
      <c r="H155" s="39" t="s">
        <v>56</v>
      </c>
      <c r="I155" s="39" t="s">
        <v>57</v>
      </c>
      <c r="J155" s="39" t="s">
        <v>58</v>
      </c>
      <c r="K155" s="39" t="s">
        <v>59</v>
      </c>
      <c r="L155" s="39" t="s">
        <v>60</v>
      </c>
      <c r="M155" s="44" t="s">
        <v>71</v>
      </c>
    </row>
    <row r="156" customFormat="1" ht="14.25" spans="3:13">
      <c r="C156" s="38"/>
      <c r="D156" s="39"/>
      <c r="E156" s="40">
        <v>1</v>
      </c>
      <c r="F156" s="41" t="s">
        <v>165</v>
      </c>
      <c r="G156" s="39">
        <v>0.81</v>
      </c>
      <c r="H156" s="39"/>
      <c r="I156" s="39"/>
      <c r="J156" s="39"/>
      <c r="K156" s="39"/>
      <c r="L156" s="39"/>
      <c r="M156" s="44"/>
    </row>
    <row r="157" customFormat="1" ht="14.25" spans="3:13">
      <c r="C157" s="46"/>
      <c r="D157" s="39"/>
      <c r="E157" s="39">
        <v>2</v>
      </c>
      <c r="F157" s="39" t="s">
        <v>170</v>
      </c>
      <c r="G157" s="39">
        <f>0.19*7/10</f>
        <v>0.133</v>
      </c>
      <c r="H157" s="39"/>
      <c r="I157" s="39"/>
      <c r="J157" s="39"/>
      <c r="K157" s="39"/>
      <c r="L157" s="39"/>
      <c r="M157" s="44"/>
    </row>
    <row r="158" customFormat="1" ht="14.25" spans="3:13">
      <c r="C158" s="46"/>
      <c r="D158" s="39"/>
      <c r="E158" s="39">
        <v>3</v>
      </c>
      <c r="F158" s="39" t="s">
        <v>101</v>
      </c>
      <c r="G158" s="39">
        <f>0.19*3/10</f>
        <v>0.057</v>
      </c>
      <c r="H158" s="39"/>
      <c r="I158" s="39"/>
      <c r="J158" s="39"/>
      <c r="K158" s="39"/>
      <c r="L158" s="39"/>
      <c r="M158" s="44"/>
    </row>
    <row r="159" customFormat="1" ht="14.25" spans="3:13">
      <c r="C159" s="46"/>
      <c r="D159" s="39"/>
      <c r="E159" s="39" t="s">
        <v>42</v>
      </c>
      <c r="F159" s="39"/>
      <c r="G159" s="39">
        <f>SUM(G156:G158)</f>
        <v>1</v>
      </c>
      <c r="H159" s="39"/>
      <c r="I159" s="39"/>
      <c r="J159" s="39"/>
      <c r="K159" s="39"/>
      <c r="L159" s="39"/>
      <c r="M159" s="44"/>
    </row>
    <row r="160" customFormat="1" ht="14.25" spans="3:13">
      <c r="C160" s="38" t="s">
        <v>107</v>
      </c>
      <c r="D160" s="39">
        <f>5/24</f>
        <v>0.208333333333333</v>
      </c>
      <c r="E160" s="42" t="s">
        <v>53</v>
      </c>
      <c r="F160" s="42" t="s">
        <v>54</v>
      </c>
      <c r="G160" s="42" t="s">
        <v>55</v>
      </c>
      <c r="H160" s="39" t="s">
        <v>56</v>
      </c>
      <c r="I160" s="39" t="s">
        <v>57</v>
      </c>
      <c r="J160" s="39" t="s">
        <v>58</v>
      </c>
      <c r="K160" s="39" t="s">
        <v>59</v>
      </c>
      <c r="L160" s="39" t="s">
        <v>60</v>
      </c>
      <c r="M160" s="44" t="s">
        <v>71</v>
      </c>
    </row>
    <row r="161" customFormat="1" ht="14.25" spans="3:13">
      <c r="C161" s="46"/>
      <c r="D161" s="39"/>
      <c r="E161" s="40">
        <v>1</v>
      </c>
      <c r="F161" s="41" t="s">
        <v>165</v>
      </c>
      <c r="G161" s="39">
        <v>0.81</v>
      </c>
      <c r="H161" s="39"/>
      <c r="I161" s="39"/>
      <c r="J161" s="39"/>
      <c r="K161" s="39"/>
      <c r="L161" s="39"/>
      <c r="M161" s="44"/>
    </row>
    <row r="162" customFormat="1" ht="14.25" spans="3:13">
      <c r="C162" s="46"/>
      <c r="D162" s="39"/>
      <c r="E162" s="40">
        <v>2</v>
      </c>
      <c r="F162" s="41" t="s">
        <v>171</v>
      </c>
      <c r="G162" s="39">
        <f>0.19*7/10</f>
        <v>0.133</v>
      </c>
      <c r="H162" s="39"/>
      <c r="I162" s="39"/>
      <c r="J162" s="39"/>
      <c r="K162" s="39"/>
      <c r="L162" s="39"/>
      <c r="M162" s="44"/>
    </row>
    <row r="163" customFormat="1" ht="14.25" spans="3:13">
      <c r="C163" s="46"/>
      <c r="D163" s="39"/>
      <c r="E163" s="39">
        <v>3</v>
      </c>
      <c r="F163" s="39" t="s">
        <v>172</v>
      </c>
      <c r="G163" s="39">
        <f>0.19*3/10</f>
        <v>0.057</v>
      </c>
      <c r="H163" s="39"/>
      <c r="I163" s="39"/>
      <c r="J163" s="39"/>
      <c r="K163" s="39"/>
      <c r="L163" s="39"/>
      <c r="M163" s="44"/>
    </row>
    <row r="164" customFormat="1" ht="14.25" spans="3:13">
      <c r="C164" s="47"/>
      <c r="D164" s="48"/>
      <c r="E164" s="48" t="s">
        <v>42</v>
      </c>
      <c r="F164" s="48"/>
      <c r="G164" s="48">
        <f>SUM(G161:G163)</f>
        <v>1</v>
      </c>
      <c r="H164" s="48"/>
      <c r="I164" s="48"/>
      <c r="J164" s="48"/>
      <c r="K164" s="48"/>
      <c r="L164" s="48"/>
      <c r="M164" s="52"/>
    </row>
    <row r="165" customFormat="1" ht="14.25" spans="2:14">
      <c r="B165" s="3" t="s">
        <v>51</v>
      </c>
      <c r="C165" s="3" t="s">
        <v>52</v>
      </c>
      <c r="D165" s="10" t="s">
        <v>4</v>
      </c>
      <c r="E165" s="13" t="s">
        <v>53</v>
      </c>
      <c r="F165" s="13" t="s">
        <v>54</v>
      </c>
      <c r="G165" s="13" t="s">
        <v>55</v>
      </c>
      <c r="H165" s="13" t="s">
        <v>56</v>
      </c>
      <c r="I165" s="13" t="s">
        <v>57</v>
      </c>
      <c r="J165" s="13" t="s">
        <v>58</v>
      </c>
      <c r="K165" s="13" t="s">
        <v>59</v>
      </c>
      <c r="L165" s="13" t="s">
        <v>60</v>
      </c>
      <c r="N165" s="18"/>
    </row>
    <row r="166" customFormat="1" ht="14.25" spans="2:12">
      <c r="B166" s="7" t="s">
        <v>26</v>
      </c>
      <c r="C166" s="7" t="s">
        <v>34</v>
      </c>
      <c r="D166" s="49">
        <v>2</v>
      </c>
      <c r="E166" s="49">
        <v>1</v>
      </c>
      <c r="G166">
        <v>1</v>
      </c>
      <c r="H166">
        <v>1</v>
      </c>
      <c r="I166">
        <f>$E$14*E166</f>
        <v>1</v>
      </c>
      <c r="J166">
        <f>I166+F49*2+F49*1.2</f>
        <v>9.8775656</v>
      </c>
      <c r="K166">
        <f>$F$15*H166</f>
        <v>0.02</v>
      </c>
      <c r="L166">
        <f>J166*K166</f>
        <v>0.197551312</v>
      </c>
    </row>
    <row r="167" customFormat="1" ht="14.25" spans="2:12">
      <c r="B167" s="7" t="s">
        <v>26</v>
      </c>
      <c r="C167" s="7" t="s">
        <v>34</v>
      </c>
      <c r="D167" s="7">
        <v>1</v>
      </c>
      <c r="E167" s="7">
        <v>1</v>
      </c>
      <c r="G167">
        <v>1</v>
      </c>
      <c r="H167">
        <v>1</v>
      </c>
      <c r="I167">
        <f>$E$15*E167</f>
        <v>1</v>
      </c>
      <c r="J167">
        <f>I167+F49*1+F49*1.2</f>
        <v>7.10332635</v>
      </c>
      <c r="K167">
        <f>$F$16*H167</f>
        <v>0.03</v>
      </c>
      <c r="L167">
        <f>J167*K167</f>
        <v>0.2130997905</v>
      </c>
    </row>
    <row r="168" customFormat="1" ht="22.5" spans="1:12">
      <c r="A168" s="50" t="s">
        <v>109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customFormat="1" ht="14.25" spans="2:12">
      <c r="B169" t="s">
        <v>51</v>
      </c>
      <c r="C169" t="s">
        <v>110</v>
      </c>
      <c r="D169" s="51" t="s">
        <v>111</v>
      </c>
      <c r="E169" s="13" t="s">
        <v>39</v>
      </c>
      <c r="F169" s="13"/>
      <c r="G169" s="13"/>
      <c r="H169" s="13"/>
      <c r="I169" s="13"/>
      <c r="J169" s="13"/>
      <c r="K169" s="13"/>
      <c r="L169" s="13"/>
    </row>
    <row r="170" customFormat="1" ht="14.25" spans="2:5">
      <c r="B170" s="10" t="s">
        <v>119</v>
      </c>
      <c r="C170">
        <f>J52</f>
        <v>500</v>
      </c>
      <c r="D170">
        <f>K52</f>
        <v>0</v>
      </c>
      <c r="E170">
        <f t="shared" ref="E170:E219" si="65">(C170-$D$32)^2*D170</f>
        <v>0</v>
      </c>
    </row>
    <row r="171" customFormat="1" ht="14.25" spans="2:5">
      <c r="B171" s="10" t="s">
        <v>120</v>
      </c>
      <c r="C171">
        <f>J53</f>
        <v>300</v>
      </c>
      <c r="D171">
        <f>K53</f>
        <v>0</v>
      </c>
      <c r="E171">
        <f t="shared" si="65"/>
        <v>0</v>
      </c>
    </row>
    <row r="172" customFormat="1" ht="14.25" spans="2:5">
      <c r="B172" s="10" t="s">
        <v>121</v>
      </c>
      <c r="C172">
        <f>J55</f>
        <v>240</v>
      </c>
      <c r="D172">
        <f>K55</f>
        <v>0</v>
      </c>
      <c r="E172">
        <f t="shared" si="65"/>
        <v>0</v>
      </c>
    </row>
    <row r="173" customFormat="1" ht="14.25" spans="2:5">
      <c r="B173" s="10"/>
      <c r="C173">
        <f>J56</f>
        <v>360</v>
      </c>
      <c r="D173">
        <f>K56</f>
        <v>0</v>
      </c>
      <c r="E173">
        <f t="shared" si="65"/>
        <v>0</v>
      </c>
    </row>
    <row r="174" customFormat="1" ht="14.25" spans="2:5">
      <c r="B174" s="10" t="s">
        <v>26</v>
      </c>
      <c r="C174">
        <f>J59</f>
        <v>21.65180485</v>
      </c>
      <c r="D174">
        <f>K59</f>
        <v>0</v>
      </c>
      <c r="E174">
        <f t="shared" si="65"/>
        <v>0</v>
      </c>
    </row>
    <row r="175" customFormat="1" ht="14.25" spans="2:5">
      <c r="B175" s="7" t="s">
        <v>28</v>
      </c>
      <c r="C175">
        <f t="shared" ref="C175:C180" si="66">J62</f>
        <v>20</v>
      </c>
      <c r="D175">
        <f t="shared" ref="D175:D180" si="67">K62</f>
        <v>0</v>
      </c>
      <c r="E175">
        <f t="shared" si="65"/>
        <v>0</v>
      </c>
    </row>
    <row r="176" customFormat="1" spans="3:5">
      <c r="C176">
        <f t="shared" si="66"/>
        <v>40</v>
      </c>
      <c r="D176">
        <f t="shared" si="67"/>
        <v>0</v>
      </c>
      <c r="E176">
        <f t="shared" si="65"/>
        <v>0</v>
      </c>
    </row>
    <row r="177" customFormat="1" spans="3:5">
      <c r="C177">
        <f t="shared" si="66"/>
        <v>60</v>
      </c>
      <c r="D177">
        <f t="shared" si="67"/>
        <v>0</v>
      </c>
      <c r="E177">
        <f t="shared" si="65"/>
        <v>0</v>
      </c>
    </row>
    <row r="178" customFormat="1" spans="3:5">
      <c r="C178">
        <f t="shared" si="66"/>
        <v>80</v>
      </c>
      <c r="D178">
        <f t="shared" si="67"/>
        <v>0</v>
      </c>
      <c r="E178">
        <f t="shared" si="65"/>
        <v>0</v>
      </c>
    </row>
    <row r="179" customFormat="1" spans="3:5">
      <c r="C179">
        <f t="shared" si="66"/>
        <v>120</v>
      </c>
      <c r="D179">
        <f t="shared" si="67"/>
        <v>0</v>
      </c>
      <c r="E179">
        <f t="shared" si="65"/>
        <v>0</v>
      </c>
    </row>
    <row r="180" customFormat="1" spans="3:5">
      <c r="C180">
        <f t="shared" si="66"/>
        <v>180</v>
      </c>
      <c r="D180">
        <f t="shared" si="67"/>
        <v>0</v>
      </c>
      <c r="E180">
        <f t="shared" si="65"/>
        <v>0</v>
      </c>
    </row>
    <row r="181" customFormat="1" ht="14.25" spans="2:5">
      <c r="B181" s="7" t="s">
        <v>122</v>
      </c>
      <c r="C181">
        <f t="shared" ref="C181:C186" si="68">J71</f>
        <v>15</v>
      </c>
      <c r="D181">
        <f t="shared" ref="D181:D186" si="69">K71</f>
        <v>0</v>
      </c>
      <c r="E181">
        <f t="shared" si="65"/>
        <v>0</v>
      </c>
    </row>
    <row r="182" customFormat="1" spans="3:5">
      <c r="C182">
        <f t="shared" si="68"/>
        <v>30</v>
      </c>
      <c r="D182">
        <f t="shared" si="69"/>
        <v>0</v>
      </c>
      <c r="E182">
        <f t="shared" si="65"/>
        <v>0</v>
      </c>
    </row>
    <row r="183" customFormat="1" spans="3:5">
      <c r="C183">
        <f t="shared" si="68"/>
        <v>45</v>
      </c>
      <c r="D183">
        <f t="shared" si="69"/>
        <v>0</v>
      </c>
      <c r="E183">
        <f t="shared" si="65"/>
        <v>0</v>
      </c>
    </row>
    <row r="184" customFormat="1" spans="3:5">
      <c r="C184">
        <f t="shared" si="68"/>
        <v>60</v>
      </c>
      <c r="D184">
        <f t="shared" si="69"/>
        <v>0</v>
      </c>
      <c r="E184">
        <f t="shared" si="65"/>
        <v>0</v>
      </c>
    </row>
    <row r="185" customFormat="1" spans="3:5">
      <c r="C185">
        <f t="shared" si="68"/>
        <v>90</v>
      </c>
      <c r="D185">
        <f t="shared" si="69"/>
        <v>0</v>
      </c>
      <c r="E185">
        <f t="shared" si="65"/>
        <v>0</v>
      </c>
    </row>
    <row r="186" customFormat="1" spans="3:5">
      <c r="C186">
        <f t="shared" si="68"/>
        <v>135</v>
      </c>
      <c r="D186">
        <f t="shared" si="69"/>
        <v>0</v>
      </c>
      <c r="E186">
        <f t="shared" si="65"/>
        <v>0</v>
      </c>
    </row>
    <row r="187" customFormat="1" ht="14.25" spans="2:5">
      <c r="B187" s="7" t="s">
        <v>29</v>
      </c>
      <c r="C187">
        <f t="shared" ref="C187:C192" si="70">J80</f>
        <v>10</v>
      </c>
      <c r="D187">
        <f t="shared" ref="D187:D192" si="71">K80</f>
        <v>0</v>
      </c>
      <c r="E187">
        <f t="shared" si="65"/>
        <v>0</v>
      </c>
    </row>
    <row r="188" customFormat="1" spans="3:5">
      <c r="C188">
        <f t="shared" si="70"/>
        <v>20</v>
      </c>
      <c r="D188">
        <f t="shared" si="71"/>
        <v>0</v>
      </c>
      <c r="E188">
        <f t="shared" si="65"/>
        <v>0</v>
      </c>
    </row>
    <row r="189" customFormat="1" spans="3:5">
      <c r="C189">
        <f t="shared" si="70"/>
        <v>30</v>
      </c>
      <c r="D189">
        <f t="shared" si="71"/>
        <v>0</v>
      </c>
      <c r="E189">
        <f t="shared" si="65"/>
        <v>0</v>
      </c>
    </row>
    <row r="190" customFormat="1" spans="3:5">
      <c r="C190">
        <f t="shared" si="70"/>
        <v>40</v>
      </c>
      <c r="D190">
        <f t="shared" si="71"/>
        <v>0</v>
      </c>
      <c r="E190">
        <f t="shared" si="65"/>
        <v>0</v>
      </c>
    </row>
    <row r="191" customFormat="1" spans="3:5">
      <c r="C191">
        <f t="shared" si="70"/>
        <v>60</v>
      </c>
      <c r="D191">
        <f t="shared" si="71"/>
        <v>0</v>
      </c>
      <c r="E191">
        <f t="shared" si="65"/>
        <v>0</v>
      </c>
    </row>
    <row r="192" customFormat="1" spans="3:5">
      <c r="C192">
        <f t="shared" si="70"/>
        <v>90</v>
      </c>
      <c r="D192">
        <f t="shared" si="71"/>
        <v>0</v>
      </c>
      <c r="E192">
        <f t="shared" si="65"/>
        <v>0</v>
      </c>
    </row>
    <row r="193" customFormat="1" ht="14.25" spans="2:5">
      <c r="B193" s="7" t="s">
        <v>30</v>
      </c>
      <c r="C193">
        <f t="shared" ref="C193:C198" si="72">J89</f>
        <v>7</v>
      </c>
      <c r="D193">
        <f t="shared" ref="D193:D198" si="73">K89</f>
        <v>0</v>
      </c>
      <c r="E193">
        <f t="shared" si="65"/>
        <v>0</v>
      </c>
    </row>
    <row r="194" customFormat="1" spans="3:5">
      <c r="C194">
        <f t="shared" si="72"/>
        <v>14</v>
      </c>
      <c r="D194">
        <f t="shared" si="73"/>
        <v>0</v>
      </c>
      <c r="E194">
        <f t="shared" si="65"/>
        <v>0</v>
      </c>
    </row>
    <row r="195" customFormat="1" spans="3:5">
      <c r="C195">
        <f t="shared" si="72"/>
        <v>21</v>
      </c>
      <c r="D195">
        <f t="shared" si="73"/>
        <v>0</v>
      </c>
      <c r="E195">
        <f t="shared" si="65"/>
        <v>0</v>
      </c>
    </row>
    <row r="196" customFormat="1" spans="3:5">
      <c r="C196">
        <f t="shared" si="72"/>
        <v>28</v>
      </c>
      <c r="D196">
        <f t="shared" si="73"/>
        <v>0</v>
      </c>
      <c r="E196">
        <f t="shared" si="65"/>
        <v>0</v>
      </c>
    </row>
    <row r="197" customFormat="1" spans="3:5">
      <c r="C197">
        <f t="shared" si="72"/>
        <v>42</v>
      </c>
      <c r="D197">
        <f t="shared" si="73"/>
        <v>0</v>
      </c>
      <c r="E197">
        <f t="shared" si="65"/>
        <v>0</v>
      </c>
    </row>
    <row r="198" customFormat="1" spans="3:5">
      <c r="C198">
        <f t="shared" si="72"/>
        <v>63</v>
      </c>
      <c r="D198">
        <f t="shared" si="73"/>
        <v>0</v>
      </c>
      <c r="E198">
        <f t="shared" si="65"/>
        <v>0</v>
      </c>
    </row>
    <row r="199" customFormat="1" ht="14.25" spans="2:5">
      <c r="B199" s="7" t="s">
        <v>31</v>
      </c>
      <c r="C199">
        <f t="shared" ref="C199:C204" si="74">J98</f>
        <v>5</v>
      </c>
      <c r="D199">
        <f t="shared" ref="D199:D204" si="75">K98</f>
        <v>0</v>
      </c>
      <c r="E199">
        <f t="shared" si="65"/>
        <v>0</v>
      </c>
    </row>
    <row r="200" customFormat="1" spans="3:5">
      <c r="C200">
        <f t="shared" si="74"/>
        <v>10</v>
      </c>
      <c r="D200">
        <f t="shared" si="75"/>
        <v>0</v>
      </c>
      <c r="E200">
        <f t="shared" si="65"/>
        <v>0</v>
      </c>
    </row>
    <row r="201" customFormat="1" spans="3:5">
      <c r="C201">
        <f t="shared" si="74"/>
        <v>15</v>
      </c>
      <c r="D201">
        <f t="shared" si="75"/>
        <v>0</v>
      </c>
      <c r="E201">
        <f t="shared" si="65"/>
        <v>0</v>
      </c>
    </row>
    <row r="202" customFormat="1" spans="3:5">
      <c r="C202">
        <f t="shared" si="74"/>
        <v>20</v>
      </c>
      <c r="D202">
        <f t="shared" si="75"/>
        <v>0</v>
      </c>
      <c r="E202">
        <f t="shared" si="65"/>
        <v>0</v>
      </c>
    </row>
    <row r="203" customFormat="1" spans="3:5">
      <c r="C203">
        <f t="shared" si="74"/>
        <v>30</v>
      </c>
      <c r="D203">
        <f t="shared" si="75"/>
        <v>0</v>
      </c>
      <c r="E203">
        <f t="shared" si="65"/>
        <v>0</v>
      </c>
    </row>
    <row r="204" customFormat="1" spans="3:5">
      <c r="C204">
        <f t="shared" si="74"/>
        <v>45</v>
      </c>
      <c r="D204">
        <f t="shared" si="75"/>
        <v>0</v>
      </c>
      <c r="E204">
        <f t="shared" si="65"/>
        <v>0</v>
      </c>
    </row>
    <row r="205" customFormat="1" spans="2:5">
      <c r="B205" t="s">
        <v>32</v>
      </c>
      <c r="C205">
        <f t="shared" ref="C205:C210" si="76">J107</f>
        <v>3</v>
      </c>
      <c r="D205">
        <f t="shared" ref="D205:D210" si="77">K107</f>
        <v>0</v>
      </c>
      <c r="E205">
        <f t="shared" si="65"/>
        <v>0</v>
      </c>
    </row>
    <row r="206" customFormat="1" spans="3:5">
      <c r="C206">
        <f t="shared" si="76"/>
        <v>6</v>
      </c>
      <c r="D206">
        <f t="shared" si="77"/>
        <v>0</v>
      </c>
      <c r="E206">
        <f t="shared" si="65"/>
        <v>0</v>
      </c>
    </row>
    <row r="207" customFormat="1" spans="3:5">
      <c r="C207">
        <f t="shared" si="76"/>
        <v>9</v>
      </c>
      <c r="D207">
        <f t="shared" si="77"/>
        <v>0</v>
      </c>
      <c r="E207">
        <f t="shared" si="65"/>
        <v>0</v>
      </c>
    </row>
    <row r="208" customFormat="1" spans="3:5">
      <c r="C208">
        <f t="shared" si="76"/>
        <v>12</v>
      </c>
      <c r="D208">
        <f t="shared" si="77"/>
        <v>0</v>
      </c>
      <c r="E208">
        <f t="shared" si="65"/>
        <v>0</v>
      </c>
    </row>
    <row r="209" customFormat="1" spans="3:5">
      <c r="C209">
        <f t="shared" si="76"/>
        <v>18</v>
      </c>
      <c r="D209">
        <f t="shared" si="77"/>
        <v>0</v>
      </c>
      <c r="E209">
        <f t="shared" si="65"/>
        <v>0</v>
      </c>
    </row>
    <row r="210" customFormat="1" spans="3:5">
      <c r="C210">
        <f t="shared" si="76"/>
        <v>27</v>
      </c>
      <c r="D210">
        <f t="shared" si="77"/>
        <v>0</v>
      </c>
      <c r="E210">
        <f t="shared" si="65"/>
        <v>0</v>
      </c>
    </row>
    <row r="211" customFormat="1" spans="2:5">
      <c r="B211" t="s">
        <v>164</v>
      </c>
      <c r="C211">
        <f t="shared" ref="C211:C213" si="78">J116</f>
        <v>2</v>
      </c>
      <c r="D211">
        <f t="shared" ref="D211:D213" si="79">K116</f>
        <v>0</v>
      </c>
      <c r="E211">
        <f t="shared" si="65"/>
        <v>0</v>
      </c>
    </row>
    <row r="212" customFormat="1" spans="3:5">
      <c r="C212">
        <f t="shared" si="78"/>
        <v>4</v>
      </c>
      <c r="D212">
        <f t="shared" si="79"/>
        <v>0</v>
      </c>
      <c r="E212">
        <f t="shared" si="65"/>
        <v>0</v>
      </c>
    </row>
    <row r="213" customFormat="1" spans="3:5">
      <c r="C213">
        <f t="shared" si="78"/>
        <v>6</v>
      </c>
      <c r="D213">
        <f t="shared" si="79"/>
        <v>0</v>
      </c>
      <c r="E213">
        <f t="shared" si="65"/>
        <v>0</v>
      </c>
    </row>
    <row r="214" customFormat="1" spans="2:5">
      <c r="B214" t="s">
        <v>35</v>
      </c>
      <c r="C214">
        <f t="shared" ref="C214:C216" si="80">J141</f>
        <v>1</v>
      </c>
      <c r="D214">
        <f t="shared" ref="D214:D216" si="81">K141</f>
        <v>0</v>
      </c>
      <c r="E214">
        <f t="shared" si="65"/>
        <v>0</v>
      </c>
    </row>
    <row r="215" customFormat="1" spans="3:5">
      <c r="C215">
        <f t="shared" si="80"/>
        <v>2</v>
      </c>
      <c r="D215">
        <f t="shared" si="81"/>
        <v>0</v>
      </c>
      <c r="E215">
        <f t="shared" si="65"/>
        <v>0</v>
      </c>
    </row>
    <row r="216" customFormat="1" spans="3:5">
      <c r="C216">
        <f t="shared" si="80"/>
        <v>3</v>
      </c>
      <c r="D216">
        <f t="shared" si="81"/>
        <v>0</v>
      </c>
      <c r="E216">
        <f t="shared" si="65"/>
        <v>0</v>
      </c>
    </row>
    <row r="217" customFormat="1" spans="2:5">
      <c r="B217" t="s">
        <v>48</v>
      </c>
      <c r="C217">
        <f>J166</f>
        <v>9.8775656</v>
      </c>
      <c r="D217">
        <f>K166</f>
        <v>0.02</v>
      </c>
      <c r="E217">
        <f t="shared" si="65"/>
        <v>1.79244940205951</v>
      </c>
    </row>
    <row r="218" customFormat="1" spans="2:5">
      <c r="B218" t="s">
        <v>47</v>
      </c>
      <c r="C218">
        <f>J167</f>
        <v>7.10332635</v>
      </c>
      <c r="D218">
        <f>K167</f>
        <v>0.03</v>
      </c>
      <c r="E218">
        <f t="shared" si="65"/>
        <v>1.34375705905498</v>
      </c>
    </row>
    <row r="219" customFormat="1" spans="2:5">
      <c r="B219" t="s">
        <v>112</v>
      </c>
      <c r="C219">
        <v>0</v>
      </c>
      <c r="D219">
        <f>1-C32</f>
        <v>0.95</v>
      </c>
      <c r="E219">
        <f t="shared" si="65"/>
        <v>0.160202611585242</v>
      </c>
    </row>
    <row r="220" customFormat="1" spans="2:5">
      <c r="B220" t="s">
        <v>42</v>
      </c>
      <c r="D220">
        <f>SUM(D170:D219)</f>
        <v>1</v>
      </c>
      <c r="E220">
        <f>SUM(E170:E219)</f>
        <v>3.29640907269973</v>
      </c>
    </row>
  </sheetData>
  <dataValidations count="1">
    <dataValidation type="list" allowBlank="1" showInputMessage="1" showErrorMessage="1" sqref="C2 C55 C56 C57 C62 C71 C80 C89 C98 C107 C132 C133 C134 C139 C157 C158 C159 C164 C166 C167 C168 C3:C16 C52:C53 C136:C138 C161:C163">
      <formula1>"PayoutType,Ordered,All,Any"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14</vt:lpstr>
      <vt:lpstr>14L</vt:lpstr>
      <vt:lpstr>Normal</vt:lpstr>
      <vt:lpstr>Lucky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2017-06-26T01:59:00Z</dcterms:created>
  <dcterms:modified xsi:type="dcterms:W3CDTF">2017-10-19T06:42:47Z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