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"/>
    </mc:Choice>
  </mc:AlternateContent>
  <xr:revisionPtr revIDLastSave="0" documentId="13_ncr:1_{B8E5E7F7-E7CC-4D4D-B8B6-9E847E700611}" xr6:coauthVersionLast="47" xr6:coauthVersionMax="47" xr10:uidLastSave="{00000000-0000-0000-0000-000000000000}"/>
  <bookViews>
    <workbookView xWindow="1340" yWindow="960" windowWidth="26360" windowHeight="14780" firstSheet="104" activeTab="108" xr2:uid="{704B1649-01E6-E642-8A80-7EECDE5BB8DE}"/>
  </bookViews>
  <sheets>
    <sheet name="Alchemy Lycos 2023" sheetId="108" r:id="rId1"/>
    <sheet name="Alchemy Rogue 2022" sheetId="68" r:id="rId2"/>
    <sheet name="All-City Cosmic Stallion 2022" sheetId="28" r:id="rId3"/>
    <sheet name="All-City Gorilla Monsoon 2022" sheetId="27" r:id="rId4"/>
    <sheet name="All-City Space Horse 2023" sheetId="114" r:id="rId5"/>
    <sheet name="Alle Bike MB31 Bramley 2022" sheetId="61" r:id="rId6"/>
    <sheet name="Amigo Bug Out 2022" sheetId="62" r:id="rId7"/>
    <sheet name="Argonaut GR3 2023" sheetId="95" r:id="rId8"/>
    <sheet name="Bearclaw Beaux Jaxon 2022" sheetId="64" r:id="rId9"/>
    <sheet name="Blackheart Gravel AL 2024" sheetId="131" r:id="rId10"/>
    <sheet name="Blackheart All Road TI 2022" sheetId="77" r:id="rId11"/>
    <sheet name="BlackMtnCy La Cabra 2022" sheetId="34" r:id="rId12"/>
    <sheet name="BlackMtnCy Monstercross V5 2022" sheetId="33" r:id="rId13"/>
    <sheet name="Bombtrack Beyond 2 2022" sheetId="19" r:id="rId14"/>
    <sheet name="Bombtrack Beyond+ Adv 2022" sheetId="57" r:id="rId15"/>
    <sheet name="Bombtrack Hook 2022" sheetId="58" r:id="rId16"/>
    <sheet name="BMC URS AL 2022" sheetId="75" r:id="rId17"/>
    <sheet name="BMC URS AL SUS 2022" sheetId="76" r:id="rId18"/>
    <sheet name="BMC URS One 2022" sheetId="4" r:id="rId19"/>
    <sheet name="Breezer Radar X Pro 2022" sheetId="2" r:id="rId20"/>
    <sheet name="Calfee adventure 2022" sheetId="85" r:id="rId21"/>
    <sheet name="Cannondale SuperSix Evo SE 2022" sheetId="112" r:id="rId22"/>
    <sheet name="Cannondale Topstone Lefty 2023" sheetId="111" r:id="rId23"/>
    <sheet name="Canyon Grail 7 1by 2022" sheetId="41" r:id="rId24"/>
    <sheet name="Canyon Grail SL 2022" sheetId="16" r:id="rId25"/>
    <sheet name="Canyon Grizl 7 1by 2022" sheetId="42" r:id="rId26"/>
    <sheet name="Cervelo Aspero 2022" sheetId="79" r:id="rId27"/>
    <sheet name="Chiru Kegeti 2023" sheetId="117" r:id="rId28"/>
    <sheet name="Chiru Kegeti 2022" sheetId="66" r:id="rId29"/>
    <sheet name="Chumba Terlingua SL Tit 2023" sheetId="36" r:id="rId30"/>
    <sheet name="Chumba Terlingua Steel fdo 2022" sheetId="119" r:id="rId31"/>
    <sheet name="Chumba Yaupon Steel Sus 2023" sheetId="120" r:id="rId32"/>
    <sheet name="Chumba Yaupon 2022" sheetId="73" r:id="rId33"/>
    <sheet name="Cinelli Hobootleg Geo 2022" sheetId="26" r:id="rId34"/>
    <sheet name="Commencal 365 2023" sheetId="107" r:id="rId35"/>
    <sheet name="Cotic Cascade 2022" sheetId="71" r:id="rId36"/>
    <sheet name="Curve GMX+ Steel 2023" sheetId="124" r:id="rId37"/>
    <sheet name="Devinci Hatchet 2022" sheetId="81" r:id="rId38"/>
    <sheet name="Enigma Escape XR 2023" sheetId="121" r:id="rId39"/>
    <sheet name="Enve Mog 2023" sheetId="113" r:id="rId40"/>
    <sheet name="Evil Chamois Hagar GRX 2022" sheetId="3" r:id="rId41"/>
    <sheet name="Fezzari Shafer 2022" sheetId="88" r:id="rId42"/>
    <sheet name="Fiftyone Assassin short-hi 2022" sheetId="46" r:id="rId43"/>
    <sheet name="Fiftyone Assassin long-low 2022" sheetId="45" r:id="rId44"/>
    <sheet name="Focus Atlas 8.9 2023" sheetId="100" r:id="rId45"/>
    <sheet name="Fustle Causway GR1 2022" sheetId="91" r:id="rId46"/>
    <sheet name="Genesis Vagabond 2022" sheetId="51" r:id="rId47"/>
    <sheet name="Giant Revolt pro long 2023" sheetId="110" r:id="rId48"/>
    <sheet name="Giant Revolt pro short 2023" sheetId="109" r:id="rId49"/>
    <sheet name="Giant Revolt X pro 1 long 2023" sheetId="99" r:id="rId50"/>
    <sheet name="Giant Revolt X pro 1 short 2023" sheetId="98" r:id="rId51"/>
    <sheet name="Hudski Doggler Gravel 2022" sheetId="63" r:id="rId52"/>
    <sheet name="Ibis Hakka MX 2023" sheetId="104" r:id="rId53"/>
    <sheet name="Knolly Cache Steel 2022" sheetId="14" r:id="rId54"/>
    <sheet name="Kona Sutra ULTD 2022" sheetId="24" r:id="rId55"/>
    <sheet name="Lauf Siegla 2022" sheetId="11" r:id="rId56"/>
    <sheet name="Light Blue Darwin 2022" sheetId="47" r:id="rId57"/>
    <sheet name="Liz Devote Advance 2023" sheetId="105" r:id="rId58"/>
    <sheet name="Lynskey GR300 2023" sheetId="122" r:id="rId59"/>
    <sheet name="Marin DSX 2 2022" sheetId="30" r:id="rId60"/>
    <sheet name="Mason InSearchOf 2022" sheetId="6" r:id="rId61"/>
    <sheet name="Merida Silex 2022" sheetId="44" r:id="rId62"/>
    <sheet name="Moots Routt ESC 2022" sheetId="43" r:id="rId63"/>
    <sheet name="Mosaic GT-1X 2022" sheetId="69" r:id="rId64"/>
    <sheet name="Niner RLT 9 RDO 2022" sheetId="18" r:id="rId65"/>
    <sheet name="No22 Drifter X 2022" sheetId="15" r:id="rId66"/>
    <sheet name="Noble GX 5 2022" sheetId="32" r:id="rId67"/>
    <sheet name="Nordest Kutxo 2022" sheetId="78" r:id="rId68"/>
    <sheet name="Nukeproof Digger 2022" sheetId="128" r:id="rId69"/>
    <sheet name="Obed Boundary 2022" sheetId="48" r:id="rId70"/>
    <sheet name="OPEN U.P. 2022" sheetId="20" r:id="rId71"/>
    <sheet name="Open WI.DE 2022" sheetId="80" r:id="rId72"/>
    <sheet name="Orbea Terra M 2023" sheetId="103" r:id="rId73"/>
    <sheet name="Orbea Terra H 2023" sheetId="102" r:id="rId74"/>
    <sheet name="Otso Fenrir 2022" sheetId="67" r:id="rId75"/>
    <sheet name="Otso Waheela C front 2022" sheetId="93" r:id="rId76"/>
    <sheet name="Otso Waheela C rear 2022" sheetId="94" r:id="rId77"/>
    <sheet name="Otso Warakin Stainless 2022" sheetId="74" r:id="rId78"/>
    <sheet name="Panorama Katahdin 2023" sheetId="126" r:id="rId79"/>
    <sheet name="Panorama Taiga EXP 2023" sheetId="127" r:id="rId80"/>
    <sheet name="Panorama Taiga EXP 2022" sheetId="70" r:id="rId81"/>
    <sheet name="Pinarello Grevil F 2023" sheetId="40" r:id="rId82"/>
    <sheet name="Reeb Sams Pants 2022" sheetId="49" r:id="rId83"/>
    <sheet name="Revel Rover 2022" sheetId="52" r:id="rId84"/>
    <sheet name="Ribble Gravel SL 2022" sheetId="10" r:id="rId85"/>
    <sheet name="Ridley Kanzo Adventure New 2022" sheetId="53" r:id="rId86"/>
    <sheet name="Ritchey Outback frameset 2022" sheetId="13" r:id="rId87"/>
    <sheet name="Rodeo Flaanimal 5.0 2024" sheetId="132" r:id="rId88"/>
    <sheet name="Rodeo TrailDonkey 4.0 2023" sheetId="125" r:id="rId89"/>
    <sheet name="Rondo MYLC CF Hi 2022" sheetId="90" r:id="rId90"/>
    <sheet name="Rondo MYLC CF Lo 2022" sheetId="89" r:id="rId91"/>
    <sheet name="Rose Backroad XPLR 2022" sheetId="92" r:id="rId92"/>
    <sheet name="Salsa Cutthroat 2022" sheetId="39" r:id="rId93"/>
    <sheet name="Salsa Fargo rear dropout 2022" sheetId="23" r:id="rId94"/>
    <sheet name="Salsa Fargo front dropout 2022" sheetId="22" r:id="rId95"/>
    <sheet name="Salsa Journeyer 700c 2023" sheetId="130" r:id="rId96"/>
    <sheet name="Salsa Vaya 2022" sheetId="21" r:id="rId97"/>
    <sheet name="Salsa Warbird 2022" sheetId="38" r:id="rId98"/>
    <sheet name="Santa Cruz Stigmata CC 2023" sheetId="129" r:id="rId99"/>
    <sheet name="Santa Cruz Stigmata 2022" sheetId="54" r:id="rId100"/>
    <sheet name="Scott Addict Gravel 2022" sheetId="86" r:id="rId101"/>
    <sheet name="Shand Stooshie 2022" sheetId="37" r:id="rId102"/>
    <sheet name="Sklar Super Something Ti 2024" sheetId="133" r:id="rId103"/>
    <sheet name="Sklar SS Ti 2025" sheetId="134" r:id="rId104"/>
    <sheet name="Sklar SS Ti Sus 2025" sheetId="135" r:id="rId105"/>
    <sheet name="Solace OM-3 Short 2022" sheetId="50" r:id="rId106"/>
    <sheet name="Soma Wolverine 2022" sheetId="87" r:id="rId107"/>
    <sheet name="Sonder Camino AL 2022" sheetId="65" r:id="rId108"/>
    <sheet name="Specialized Crux 2023" sheetId="123" r:id="rId109"/>
    <sheet name="Specialized Diverge 2022" sheetId="56" r:id="rId110"/>
    <sheet name="Specialized Diverge Evo 2022" sheetId="29" r:id="rId111"/>
    <sheet name="Specialized Diverge STR 2023" sheetId="97" r:id="rId112"/>
    <sheet name="Squid Gravtron 2022" sheetId="59" r:id="rId113"/>
    <sheet name="Surly Ghost Grappler 2022" sheetId="5" r:id="rId114"/>
    <sheet name="Thesis OB1 2022" sheetId="25" r:id="rId115"/>
    <sheet name="Tout Terrain Scrambler 28 2022" sheetId="12" r:id="rId116"/>
    <sheet name="Trek Checkpoint SL5 2022" sheetId="9" r:id="rId117"/>
    <sheet name="Tumbleweed Stargazer 2022" sheetId="7" r:id="rId118"/>
    <sheet name="Ventum GS1 2023" sheetId="101" r:id="rId119"/>
    <sheet name="Why R+ V4 2022" sheetId="55" r:id="rId120"/>
    <sheet name="Whyte Friston Gravel 2022" sheetId="31" r:id="rId121"/>
    <sheet name="Whyte Gisburn 2022" sheetId="60" r:id="rId122"/>
    <sheet name="Wilde Earth Ship Steel 2023" sheetId="115" r:id="rId123"/>
    <sheet name="Wilde Rambler SL 2023" sheetId="106" r:id="rId124"/>
    <sheet name="Wilier Jena 2022" sheetId="82" r:id="rId125"/>
    <sheet name="Wilier Rave SLR 2022" sheetId="83" r:id="rId126"/>
    <sheet name="YT Szepter 2023" sheetId="96" r:id="rId127"/>
  </sheets>
  <definedNames>
    <definedName name="dropper" localSheetId="114">'Thesis OB1 2022'!#REF!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06" l="1"/>
  <c r="E29" i="106"/>
  <c r="C29" i="106"/>
  <c r="E28" i="106"/>
  <c r="F28" i="106"/>
  <c r="D28" i="106"/>
  <c r="D29" i="115"/>
  <c r="E29" i="115"/>
  <c r="F29" i="115"/>
  <c r="G29" i="115"/>
  <c r="C29" i="115"/>
  <c r="E28" i="115"/>
  <c r="F28" i="115"/>
  <c r="G28" i="115"/>
  <c r="H28" i="115"/>
  <c r="D28" i="115"/>
  <c r="D22" i="81"/>
  <c r="E22" i="81"/>
  <c r="F22" i="81"/>
  <c r="C22" i="81"/>
  <c r="E21" i="81"/>
  <c r="F21" i="81"/>
  <c r="G21" i="81"/>
  <c r="D21" i="81"/>
  <c r="G22" i="81"/>
  <c r="C21" i="81"/>
  <c r="D25" i="67"/>
  <c r="E25" i="67"/>
  <c r="F25" i="67"/>
  <c r="C25" i="67"/>
  <c r="E24" i="67"/>
  <c r="F24" i="67"/>
  <c r="G24" i="67"/>
  <c r="D24" i="67"/>
  <c r="G25" i="67"/>
  <c r="C24" i="67"/>
  <c r="D24" i="34"/>
  <c r="E24" i="34"/>
  <c r="F24" i="34"/>
  <c r="C24" i="34"/>
  <c r="E23" i="34"/>
  <c r="F23" i="34"/>
  <c r="G23" i="34"/>
  <c r="D23" i="34"/>
  <c r="G24" i="34"/>
  <c r="C23" i="34"/>
  <c r="D22" i="71"/>
  <c r="E22" i="71"/>
  <c r="C22" i="71"/>
  <c r="E21" i="71"/>
  <c r="F21" i="71"/>
  <c r="D21" i="71"/>
  <c r="F22" i="71"/>
  <c r="C21" i="71"/>
  <c r="D27" i="117"/>
  <c r="E27" i="117"/>
  <c r="C27" i="117"/>
  <c r="E26" i="117"/>
  <c r="F26" i="117"/>
  <c r="D26" i="117"/>
  <c r="F27" i="117"/>
  <c r="C26" i="117"/>
  <c r="E24" i="80"/>
  <c r="F24" i="80"/>
  <c r="G24" i="80"/>
  <c r="D24" i="80"/>
  <c r="F23" i="80"/>
  <c r="G23" i="80"/>
  <c r="H23" i="80"/>
  <c r="E23" i="80"/>
  <c r="H24" i="80"/>
  <c r="D23" i="80"/>
  <c r="E22" i="89"/>
  <c r="D22" i="89"/>
  <c r="G21" i="89"/>
  <c r="F22" i="89" s="1"/>
  <c r="F21" i="89"/>
  <c r="E21" i="89"/>
  <c r="E22" i="90"/>
  <c r="F22" i="90"/>
  <c r="D22" i="90"/>
  <c r="F21" i="90"/>
  <c r="G21" i="90"/>
  <c r="E21" i="90"/>
  <c r="D22" i="38"/>
  <c r="E22" i="38"/>
  <c r="F22" i="38"/>
  <c r="G22" i="38"/>
  <c r="H22" i="38"/>
  <c r="C22" i="38"/>
  <c r="E21" i="38"/>
  <c r="F21" i="38"/>
  <c r="G21" i="38"/>
  <c r="H21" i="38"/>
  <c r="I21" i="38"/>
  <c r="D21" i="38"/>
  <c r="C21" i="38"/>
  <c r="I22" i="38"/>
  <c r="D25" i="29"/>
  <c r="C25" i="29"/>
  <c r="E24" i="29"/>
  <c r="D24" i="29"/>
  <c r="D24" i="25"/>
  <c r="E24" i="25"/>
  <c r="F24" i="25"/>
  <c r="C24" i="25"/>
  <c r="E23" i="25"/>
  <c r="F23" i="25"/>
  <c r="G23" i="25"/>
  <c r="D23" i="25"/>
  <c r="C27" i="102"/>
  <c r="H26" i="102"/>
  <c r="G27" i="102" s="1"/>
  <c r="G26" i="102"/>
  <c r="F27" i="102" s="1"/>
  <c r="F26" i="102"/>
  <c r="E27" i="102" s="1"/>
  <c r="E26" i="102"/>
  <c r="D27" i="102" s="1"/>
  <c r="D26" i="102"/>
  <c r="D27" i="103"/>
  <c r="E27" i="103"/>
  <c r="F27" i="103"/>
  <c r="G27" i="103"/>
  <c r="C27" i="103"/>
  <c r="E26" i="103"/>
  <c r="F26" i="103"/>
  <c r="G26" i="103"/>
  <c r="H26" i="103"/>
  <c r="D26" i="103"/>
  <c r="F29" i="6"/>
  <c r="E30" i="6" s="1"/>
  <c r="G29" i="6"/>
  <c r="F30" i="6" s="1"/>
  <c r="H29" i="6"/>
  <c r="G30" i="6" s="1"/>
  <c r="E29" i="6"/>
  <c r="D30" i="6" s="1"/>
  <c r="H30" i="6"/>
  <c r="D29" i="6"/>
  <c r="D23" i="107"/>
  <c r="E23" i="107"/>
  <c r="F23" i="107"/>
  <c r="C23" i="107"/>
  <c r="E22" i="107"/>
  <c r="F22" i="107"/>
  <c r="G22" i="107"/>
  <c r="D22" i="107"/>
  <c r="G23" i="107"/>
  <c r="C22" i="107"/>
  <c r="D27" i="66"/>
  <c r="E27" i="66"/>
  <c r="C27" i="66"/>
  <c r="E26" i="66"/>
  <c r="F26" i="66"/>
  <c r="D26" i="66"/>
  <c r="F27" i="66"/>
  <c r="C26" i="66"/>
  <c r="D27" i="58"/>
  <c r="E27" i="58"/>
  <c r="F27" i="58"/>
  <c r="C27" i="58"/>
  <c r="E26" i="58"/>
  <c r="F26" i="58"/>
  <c r="G26" i="58"/>
  <c r="D26" i="58"/>
  <c r="G30" i="58"/>
  <c r="F30" i="58"/>
  <c r="E30" i="58"/>
  <c r="D30" i="58"/>
  <c r="C30" i="58"/>
  <c r="G29" i="58"/>
  <c r="F29" i="58"/>
  <c r="E29" i="58"/>
  <c r="D29" i="58"/>
  <c r="C29" i="58"/>
  <c r="D25" i="57"/>
  <c r="E25" i="57"/>
  <c r="C25" i="57"/>
  <c r="E24" i="57"/>
  <c r="F24" i="57"/>
  <c r="D24" i="57"/>
  <c r="D26" i="19"/>
  <c r="E26" i="19"/>
  <c r="F26" i="19"/>
  <c r="C26" i="19"/>
  <c r="E25" i="19"/>
  <c r="F25" i="19"/>
  <c r="G25" i="19"/>
  <c r="D25" i="19"/>
  <c r="C25" i="19"/>
  <c r="G21" i="22"/>
  <c r="F22" i="22" s="1"/>
  <c r="F21" i="22"/>
  <c r="E22" i="22" s="1"/>
  <c r="E21" i="22"/>
  <c r="D22" i="22" s="1"/>
  <c r="D21" i="22"/>
  <c r="C22" i="22" s="1"/>
  <c r="C21" i="22"/>
  <c r="D23" i="87"/>
  <c r="E23" i="87"/>
  <c r="F23" i="87"/>
  <c r="G23" i="87"/>
  <c r="H23" i="87"/>
  <c r="I23" i="87"/>
  <c r="J23" i="87"/>
  <c r="C23" i="87"/>
  <c r="E22" i="87"/>
  <c r="F22" i="87"/>
  <c r="G22" i="87"/>
  <c r="H22" i="87"/>
  <c r="I22" i="87"/>
  <c r="J22" i="87"/>
  <c r="K22" i="87"/>
  <c r="D22" i="87"/>
  <c r="D25" i="112"/>
  <c r="E25" i="112"/>
  <c r="F25" i="112"/>
  <c r="C25" i="112"/>
  <c r="E24" i="112"/>
  <c r="F24" i="112"/>
  <c r="G24" i="112"/>
  <c r="D24" i="112"/>
  <c r="G25" i="112"/>
  <c r="C24" i="112"/>
  <c r="D26" i="111"/>
  <c r="E26" i="111"/>
  <c r="F26" i="111"/>
  <c r="E25" i="111"/>
  <c r="F25" i="111"/>
  <c r="G25" i="111"/>
  <c r="C26" i="111"/>
  <c r="D25" i="111"/>
  <c r="F24" i="105"/>
  <c r="C23" i="105"/>
  <c r="D24" i="105"/>
  <c r="E24" i="105"/>
  <c r="C24" i="105"/>
  <c r="E23" i="105"/>
  <c r="F23" i="105"/>
  <c r="D23" i="105"/>
  <c r="D22" i="23"/>
  <c r="E22" i="23"/>
  <c r="F22" i="23"/>
  <c r="C22" i="23"/>
  <c r="E21" i="23"/>
  <c r="F21" i="23"/>
  <c r="G21" i="23"/>
  <c r="D21" i="23"/>
  <c r="D24" i="96"/>
  <c r="E24" i="96"/>
  <c r="F24" i="96"/>
  <c r="C24" i="96"/>
  <c r="E23" i="96"/>
  <c r="F23" i="96"/>
  <c r="G23" i="96"/>
  <c r="D23" i="96"/>
  <c r="D8" i="94"/>
  <c r="E8" i="94"/>
  <c r="F8" i="94"/>
  <c r="C8" i="94"/>
  <c r="D4" i="94"/>
  <c r="E4" i="94"/>
  <c r="F4" i="94"/>
  <c r="C4" i="94"/>
  <c r="F28" i="94"/>
  <c r="E28" i="94"/>
  <c r="D28" i="94"/>
  <c r="C28" i="94"/>
  <c r="F27" i="94"/>
  <c r="E27" i="94"/>
  <c r="D27" i="94"/>
  <c r="D25" i="94" s="1"/>
  <c r="C26" i="94" s="1"/>
  <c r="C27" i="94"/>
  <c r="F26" i="94"/>
  <c r="F25" i="94"/>
  <c r="E26" i="94" s="1"/>
  <c r="E25" i="94"/>
  <c r="D26" i="94" s="1"/>
  <c r="C25" i="94"/>
  <c r="F18" i="94"/>
  <c r="E18" i="94"/>
  <c r="D18" i="94"/>
  <c r="C18" i="94"/>
  <c r="F17" i="94"/>
  <c r="E17" i="94"/>
  <c r="D17" i="94"/>
  <c r="C17" i="94"/>
  <c r="F16" i="94"/>
  <c r="E16" i="94"/>
  <c r="D16" i="94"/>
  <c r="C16" i="94"/>
  <c r="F15" i="94"/>
  <c r="E15" i="94"/>
  <c r="D15" i="94"/>
  <c r="C15" i="94"/>
  <c r="F14" i="94"/>
  <c r="E14" i="94"/>
  <c r="D14" i="94"/>
  <c r="C14" i="94"/>
  <c r="F13" i="94"/>
  <c r="E13" i="94"/>
  <c r="D13" i="94"/>
  <c r="C13" i="94"/>
  <c r="F12" i="94"/>
  <c r="E12" i="94"/>
  <c r="D12" i="94"/>
  <c r="C12" i="94"/>
  <c r="F9" i="94"/>
  <c r="E9" i="94"/>
  <c r="D9" i="94"/>
  <c r="C9" i="94"/>
  <c r="F7" i="94"/>
  <c r="E7" i="94"/>
  <c r="D7" i="94"/>
  <c r="C7" i="94"/>
  <c r="F6" i="94"/>
  <c r="E6" i="94"/>
  <c r="D6" i="94"/>
  <c r="C6" i="94"/>
  <c r="F3" i="94"/>
  <c r="E3" i="94"/>
  <c r="D3" i="94"/>
  <c r="C3" i="94"/>
  <c r="F2" i="94"/>
  <c r="E2" i="94"/>
  <c r="D2" i="94"/>
  <c r="C2" i="94"/>
  <c r="D4" i="93"/>
  <c r="E4" i="93"/>
  <c r="F4" i="93"/>
  <c r="D8" i="93"/>
  <c r="E8" i="93"/>
  <c r="F8" i="93"/>
  <c r="C8" i="93"/>
  <c r="C4" i="93"/>
  <c r="D27" i="93"/>
  <c r="E27" i="93"/>
  <c r="F27" i="93"/>
  <c r="D28" i="93"/>
  <c r="E28" i="93"/>
  <c r="F28" i="93"/>
  <c r="C28" i="93"/>
  <c r="C27" i="93"/>
  <c r="D12" i="93"/>
  <c r="E12" i="93"/>
  <c r="F12" i="93"/>
  <c r="C12" i="93"/>
  <c r="I23" i="18"/>
  <c r="E23" i="18"/>
  <c r="F23" i="18"/>
  <c r="G23" i="18"/>
  <c r="H23" i="18"/>
  <c r="F22" i="18"/>
  <c r="G22" i="18"/>
  <c r="H22" i="18"/>
  <c r="I22" i="18"/>
  <c r="D23" i="18"/>
  <c r="E22" i="18"/>
  <c r="C31" i="134"/>
  <c r="D31" i="134"/>
  <c r="E31" i="134"/>
  <c r="F31" i="134"/>
  <c r="G31" i="134"/>
  <c r="D30" i="134"/>
  <c r="E30" i="134"/>
  <c r="F30" i="134"/>
  <c r="G30" i="134"/>
  <c r="C30" i="134"/>
  <c r="C33" i="134"/>
  <c r="G34" i="134"/>
  <c r="F36" i="134"/>
  <c r="E36" i="134"/>
  <c r="D36" i="134"/>
  <c r="C36" i="134"/>
  <c r="G36" i="134"/>
  <c r="C35" i="134"/>
  <c r="C34" i="134"/>
  <c r="D34" i="134"/>
  <c r="E34" i="134"/>
  <c r="F34" i="134"/>
  <c r="E33" i="134"/>
  <c r="F33" i="134"/>
  <c r="G33" i="134"/>
  <c r="D33" i="134"/>
  <c r="C23" i="108"/>
  <c r="C22" i="108"/>
  <c r="D23" i="108"/>
  <c r="E23" i="108"/>
  <c r="F23" i="108"/>
  <c r="G23" i="108"/>
  <c r="H23" i="108"/>
  <c r="E22" i="108"/>
  <c r="F22" i="108"/>
  <c r="G22" i="108"/>
  <c r="H22" i="108"/>
  <c r="D22" i="108"/>
  <c r="G23" i="91"/>
  <c r="F23" i="91"/>
  <c r="G22" i="91"/>
  <c r="F22" i="91"/>
  <c r="E23" i="91"/>
  <c r="E22" i="91"/>
  <c r="D23" i="91"/>
  <c r="D22" i="91"/>
  <c r="F26" i="93"/>
  <c r="C25" i="93"/>
  <c r="O22" i="133"/>
  <c r="O23" i="133" s="1"/>
  <c r="D22" i="132"/>
  <c r="E22" i="132"/>
  <c r="F22" i="132"/>
  <c r="G22" i="132"/>
  <c r="H22" i="132"/>
  <c r="C22" i="132"/>
  <c r="C30" i="132"/>
  <c r="C29" i="132"/>
  <c r="H6" i="132"/>
  <c r="H7" i="132"/>
  <c r="H8" i="132"/>
  <c r="H9" i="132"/>
  <c r="H10" i="132"/>
  <c r="H11" i="132"/>
  <c r="H12" i="132"/>
  <c r="H13" i="132"/>
  <c r="H14" i="132"/>
  <c r="H15" i="132"/>
  <c r="H16" i="132"/>
  <c r="H17" i="132"/>
  <c r="H18" i="132"/>
  <c r="H19" i="132"/>
  <c r="H20" i="132"/>
  <c r="H21" i="132"/>
  <c r="H30" i="132"/>
  <c r="G30" i="132"/>
  <c r="F30" i="132"/>
  <c r="E30" i="132"/>
  <c r="D30" i="132"/>
  <c r="H29" i="132"/>
  <c r="G29" i="132"/>
  <c r="F29" i="132"/>
  <c r="E29" i="132"/>
  <c r="D29" i="132"/>
  <c r="G21" i="132"/>
  <c r="F21" i="132"/>
  <c r="E21" i="132"/>
  <c r="D21" i="132"/>
  <c r="C21" i="132"/>
  <c r="B21" i="132"/>
  <c r="G20" i="132"/>
  <c r="F20" i="132"/>
  <c r="E20" i="132"/>
  <c r="D20" i="132"/>
  <c r="C20" i="132"/>
  <c r="B20" i="132"/>
  <c r="G19" i="132"/>
  <c r="F19" i="132"/>
  <c r="E19" i="132"/>
  <c r="D19" i="132"/>
  <c r="C19" i="132"/>
  <c r="B19" i="132"/>
  <c r="G18" i="132"/>
  <c r="F18" i="132"/>
  <c r="E18" i="132"/>
  <c r="D18" i="132"/>
  <c r="C18" i="132"/>
  <c r="B18" i="132"/>
  <c r="G17" i="132"/>
  <c r="F17" i="132"/>
  <c r="E17" i="132"/>
  <c r="D17" i="132"/>
  <c r="C17" i="132"/>
  <c r="B17" i="132"/>
  <c r="G16" i="132"/>
  <c r="F16" i="132"/>
  <c r="E16" i="132"/>
  <c r="D16" i="132"/>
  <c r="C16" i="132"/>
  <c r="B16" i="132"/>
  <c r="G15" i="132"/>
  <c r="F15" i="132"/>
  <c r="E15" i="132"/>
  <c r="D15" i="132"/>
  <c r="C15" i="132"/>
  <c r="B15" i="132"/>
  <c r="G14" i="132"/>
  <c r="F14" i="132"/>
  <c r="E14" i="132"/>
  <c r="D14" i="132"/>
  <c r="C14" i="132"/>
  <c r="B14" i="132"/>
  <c r="G13" i="132"/>
  <c r="F13" i="132"/>
  <c r="E13" i="132"/>
  <c r="D13" i="132"/>
  <c r="C13" i="132"/>
  <c r="B13" i="132"/>
  <c r="G12" i="132"/>
  <c r="F12" i="132"/>
  <c r="E12" i="132"/>
  <c r="D12" i="132"/>
  <c r="C12" i="132"/>
  <c r="B12" i="132"/>
  <c r="G11" i="132"/>
  <c r="F11" i="132"/>
  <c r="E11" i="132"/>
  <c r="D11" i="132"/>
  <c r="C11" i="132"/>
  <c r="B11" i="132"/>
  <c r="G10" i="132"/>
  <c r="F10" i="132"/>
  <c r="E10" i="132"/>
  <c r="D10" i="132"/>
  <c r="C10" i="132"/>
  <c r="B10" i="132"/>
  <c r="G9" i="132"/>
  <c r="F9" i="132"/>
  <c r="E9" i="132"/>
  <c r="D9" i="132"/>
  <c r="C9" i="132"/>
  <c r="B9" i="132"/>
  <c r="G8" i="132"/>
  <c r="F8" i="132"/>
  <c r="E8" i="132"/>
  <c r="D8" i="132"/>
  <c r="C8" i="132"/>
  <c r="B8" i="132"/>
  <c r="G7" i="132"/>
  <c r="F7" i="132"/>
  <c r="E7" i="132"/>
  <c r="D7" i="132"/>
  <c r="C7" i="132"/>
  <c r="B7" i="132"/>
  <c r="G6" i="132"/>
  <c r="F6" i="132"/>
  <c r="E6" i="132"/>
  <c r="D6" i="132"/>
  <c r="C6" i="132"/>
  <c r="B6" i="132"/>
  <c r="E28" i="131"/>
  <c r="F28" i="131"/>
  <c r="G28" i="131"/>
  <c r="H28" i="131"/>
  <c r="I28" i="131"/>
  <c r="J28" i="131"/>
  <c r="D28" i="131"/>
  <c r="F25" i="93" l="1"/>
  <c r="E26" i="93" s="1"/>
  <c r="E25" i="93"/>
  <c r="D26" i="93" s="1"/>
  <c r="D25" i="93"/>
  <c r="C26" i="93" s="1"/>
  <c r="H29" i="130"/>
  <c r="D26" i="130"/>
  <c r="E26" i="130"/>
  <c r="F26" i="130"/>
  <c r="G26" i="130"/>
  <c r="H26" i="130"/>
  <c r="G29" i="130" s="1"/>
  <c r="H28" i="130" s="1"/>
  <c r="D27" i="130"/>
  <c r="D29" i="130" s="1"/>
  <c r="E28" i="130" s="1"/>
  <c r="E27" i="130"/>
  <c r="E29" i="130" s="1"/>
  <c r="F28" i="130" s="1"/>
  <c r="F27" i="130"/>
  <c r="F29" i="130" s="1"/>
  <c r="G28" i="130" s="1"/>
  <c r="G27" i="130"/>
  <c r="H27" i="130"/>
  <c r="C27" i="130"/>
  <c r="C29" i="130" s="1"/>
  <c r="D28" i="130" s="1"/>
  <c r="C26" i="130"/>
  <c r="C28" i="130" s="1"/>
  <c r="B22" i="130"/>
  <c r="C22" i="130"/>
  <c r="D22" i="130"/>
  <c r="E22" i="130"/>
  <c r="F22" i="130"/>
  <c r="G22" i="130"/>
  <c r="H22" i="130"/>
  <c r="B7" i="130"/>
  <c r="C7" i="130"/>
  <c r="D7" i="130"/>
  <c r="E7" i="130"/>
  <c r="F7" i="130"/>
  <c r="G7" i="130"/>
  <c r="H7" i="130"/>
  <c r="B8" i="130"/>
  <c r="C8" i="130"/>
  <c r="D8" i="130"/>
  <c r="E8" i="130"/>
  <c r="F8" i="130"/>
  <c r="G8" i="130"/>
  <c r="H8" i="130"/>
  <c r="B9" i="130"/>
  <c r="C9" i="130"/>
  <c r="D9" i="130"/>
  <c r="E9" i="130"/>
  <c r="F9" i="130"/>
  <c r="G9" i="130"/>
  <c r="H9" i="130"/>
  <c r="B10" i="130"/>
  <c r="C10" i="130"/>
  <c r="D10" i="130"/>
  <c r="E10" i="130"/>
  <c r="F10" i="130"/>
  <c r="G10" i="130"/>
  <c r="H10" i="130"/>
  <c r="B11" i="130"/>
  <c r="C11" i="130"/>
  <c r="D11" i="130"/>
  <c r="E11" i="130"/>
  <c r="F11" i="130"/>
  <c r="G11" i="130"/>
  <c r="H11" i="130"/>
  <c r="B12" i="130"/>
  <c r="C12" i="130"/>
  <c r="D12" i="130"/>
  <c r="E12" i="130"/>
  <c r="F12" i="130"/>
  <c r="G12" i="130"/>
  <c r="H12" i="130"/>
  <c r="B13" i="130"/>
  <c r="C13" i="130"/>
  <c r="D13" i="130"/>
  <c r="E13" i="130"/>
  <c r="F13" i="130"/>
  <c r="G13" i="130"/>
  <c r="H13" i="130"/>
  <c r="B14" i="130"/>
  <c r="C14" i="130"/>
  <c r="D14" i="130"/>
  <c r="E14" i="130"/>
  <c r="F14" i="130"/>
  <c r="G14" i="130"/>
  <c r="H14" i="130"/>
  <c r="B15" i="130"/>
  <c r="C15" i="130"/>
  <c r="D15" i="130"/>
  <c r="E15" i="130"/>
  <c r="F15" i="130"/>
  <c r="G15" i="130"/>
  <c r="H15" i="130"/>
  <c r="B16" i="130"/>
  <c r="C16" i="130"/>
  <c r="D16" i="130"/>
  <c r="E16" i="130"/>
  <c r="F16" i="130"/>
  <c r="G16" i="130"/>
  <c r="H16" i="130"/>
  <c r="B17" i="130"/>
  <c r="C17" i="130"/>
  <c r="D17" i="130"/>
  <c r="E17" i="130"/>
  <c r="F17" i="130"/>
  <c r="G17" i="130"/>
  <c r="H17" i="130"/>
  <c r="B18" i="130"/>
  <c r="C18" i="130"/>
  <c r="D18" i="130"/>
  <c r="E18" i="130"/>
  <c r="F18" i="130"/>
  <c r="G18" i="130"/>
  <c r="H18" i="130"/>
  <c r="B19" i="130"/>
  <c r="C19" i="130"/>
  <c r="D19" i="130"/>
  <c r="E19" i="130"/>
  <c r="F19" i="130"/>
  <c r="G19" i="130"/>
  <c r="H19" i="130"/>
  <c r="B20" i="130"/>
  <c r="C20" i="130"/>
  <c r="D20" i="130"/>
  <c r="E20" i="130"/>
  <c r="F20" i="130"/>
  <c r="G20" i="130"/>
  <c r="H20" i="130"/>
  <c r="B21" i="130"/>
  <c r="C21" i="130"/>
  <c r="D21" i="130"/>
  <c r="E21" i="130"/>
  <c r="F21" i="130"/>
  <c r="G21" i="130"/>
  <c r="H21" i="130"/>
  <c r="C6" i="130"/>
  <c r="D6" i="130"/>
  <c r="E6" i="130"/>
  <c r="F6" i="130"/>
  <c r="G6" i="130"/>
  <c r="H6" i="130"/>
  <c r="B6" i="130"/>
  <c r="D17" i="129"/>
  <c r="E17" i="129"/>
  <c r="F17" i="129"/>
  <c r="G17" i="129"/>
  <c r="C17" i="129"/>
  <c r="B8" i="129"/>
  <c r="C8" i="129"/>
  <c r="D8" i="129"/>
  <c r="E8" i="129"/>
  <c r="F8" i="129"/>
  <c r="G8" i="129"/>
  <c r="B9" i="129"/>
  <c r="C9" i="129"/>
  <c r="D9" i="129"/>
  <c r="E9" i="129"/>
  <c r="F9" i="129"/>
  <c r="G9" i="129"/>
  <c r="B10" i="129"/>
  <c r="C10" i="129"/>
  <c r="D10" i="129"/>
  <c r="E10" i="129"/>
  <c r="F10" i="129"/>
  <c r="G10" i="129"/>
  <c r="B11" i="129"/>
  <c r="C11" i="129"/>
  <c r="D11" i="129"/>
  <c r="E11" i="129"/>
  <c r="F11" i="129"/>
  <c r="G11" i="129"/>
  <c r="B12" i="129"/>
  <c r="C12" i="129"/>
  <c r="D12" i="129"/>
  <c r="E12" i="129"/>
  <c r="F12" i="129"/>
  <c r="G12" i="129"/>
  <c r="B13" i="129"/>
  <c r="C13" i="129"/>
  <c r="D13" i="129"/>
  <c r="E13" i="129"/>
  <c r="F13" i="129"/>
  <c r="G13" i="129"/>
  <c r="B14" i="129"/>
  <c r="C14" i="129"/>
  <c r="D14" i="129"/>
  <c r="D19" i="129" s="1"/>
  <c r="E14" i="129"/>
  <c r="F14" i="129"/>
  <c r="G14" i="129"/>
  <c r="B15" i="129"/>
  <c r="C15" i="129"/>
  <c r="D15" i="129"/>
  <c r="E15" i="129"/>
  <c r="F15" i="129"/>
  <c r="G15" i="129"/>
  <c r="B16" i="129"/>
  <c r="C16" i="129"/>
  <c r="D16" i="129"/>
  <c r="E16" i="129"/>
  <c r="F16" i="129"/>
  <c r="G16" i="129"/>
  <c r="B17" i="129"/>
  <c r="B18" i="129"/>
  <c r="C18" i="129"/>
  <c r="D18" i="129"/>
  <c r="E18" i="129"/>
  <c r="F18" i="129"/>
  <c r="G18" i="129"/>
  <c r="C7" i="129"/>
  <c r="D7" i="129"/>
  <c r="E7" i="129"/>
  <c r="F7" i="129"/>
  <c r="G7" i="129"/>
  <c r="B7" i="129"/>
  <c r="D6" i="129"/>
  <c r="E6" i="129"/>
  <c r="F6" i="129"/>
  <c r="G6" i="129"/>
  <c r="C6" i="129"/>
  <c r="D34" i="128"/>
  <c r="E34" i="128"/>
  <c r="F34" i="128"/>
  <c r="C34" i="128"/>
  <c r="D33" i="128"/>
  <c r="E33" i="128"/>
  <c r="F33" i="128"/>
  <c r="C33" i="128"/>
  <c r="D23" i="128"/>
  <c r="E23" i="128"/>
  <c r="F23" i="128"/>
  <c r="C23" i="128"/>
  <c r="D21" i="128"/>
  <c r="E21" i="128"/>
  <c r="F21" i="128"/>
  <c r="C21" i="128"/>
  <c r="D20" i="128"/>
  <c r="E20" i="128"/>
  <c r="F20" i="128"/>
  <c r="C20" i="128"/>
  <c r="D7" i="128"/>
  <c r="E7" i="128"/>
  <c r="F7" i="128"/>
  <c r="D8" i="128"/>
  <c r="E8" i="128"/>
  <c r="F8" i="128"/>
  <c r="D9" i="128"/>
  <c r="E9" i="128"/>
  <c r="F9" i="128"/>
  <c r="D10" i="128"/>
  <c r="E10" i="128"/>
  <c r="F10" i="128"/>
  <c r="D11" i="128"/>
  <c r="E11" i="128"/>
  <c r="F11" i="128"/>
  <c r="D12" i="128"/>
  <c r="E12" i="128"/>
  <c r="F12" i="128"/>
  <c r="D13" i="128"/>
  <c r="E13" i="128"/>
  <c r="F13" i="128"/>
  <c r="D14" i="128"/>
  <c r="E14" i="128"/>
  <c r="F14" i="128"/>
  <c r="D15" i="128"/>
  <c r="E15" i="128"/>
  <c r="F15" i="128"/>
  <c r="D16" i="128"/>
  <c r="E16" i="128"/>
  <c r="F16" i="128"/>
  <c r="D17" i="128"/>
  <c r="E17" i="128"/>
  <c r="F17" i="128"/>
  <c r="D18" i="128"/>
  <c r="E18" i="128"/>
  <c r="F18" i="128"/>
  <c r="D19" i="128"/>
  <c r="E19" i="128"/>
  <c r="F19" i="128"/>
  <c r="C19" i="128"/>
  <c r="C15" i="128"/>
  <c r="C11" i="128"/>
  <c r="C8" i="128"/>
  <c r="C9" i="128"/>
  <c r="C10" i="128"/>
  <c r="C12" i="128"/>
  <c r="C13" i="128"/>
  <c r="C14" i="128"/>
  <c r="C16" i="128"/>
  <c r="C17" i="128"/>
  <c r="C18" i="128"/>
  <c r="C24" i="128"/>
  <c r="D24" i="128"/>
  <c r="E24" i="128"/>
  <c r="F24" i="128"/>
  <c r="C25" i="128"/>
  <c r="D25" i="128"/>
  <c r="E25" i="128"/>
  <c r="F25" i="128"/>
  <c r="C26" i="128"/>
  <c r="D26" i="128"/>
  <c r="E26" i="128"/>
  <c r="F26" i="128"/>
  <c r="C7" i="128"/>
  <c r="B8" i="128"/>
  <c r="B9" i="128"/>
  <c r="B10" i="128"/>
  <c r="B11" i="128"/>
  <c r="B12" i="128"/>
  <c r="B13" i="128"/>
  <c r="B14" i="128"/>
  <c r="B15" i="128"/>
  <c r="B16" i="128"/>
  <c r="B17" i="128"/>
  <c r="B18" i="128"/>
  <c r="B19" i="128"/>
  <c r="B20" i="128"/>
  <c r="B21" i="128"/>
  <c r="B22" i="128"/>
  <c r="B23" i="128"/>
  <c r="B24" i="128"/>
  <c r="B25" i="128"/>
  <c r="B26" i="128"/>
  <c r="D6" i="128"/>
  <c r="E6" i="128"/>
  <c r="F6" i="128"/>
  <c r="C6" i="128"/>
  <c r="B7" i="128"/>
  <c r="D25" i="127"/>
  <c r="E25" i="127"/>
  <c r="C25" i="127"/>
  <c r="D24" i="127"/>
  <c r="E24" i="127"/>
  <c r="C24" i="127"/>
  <c r="E27" i="126"/>
  <c r="D27" i="126"/>
  <c r="C27" i="126"/>
  <c r="E26" i="126"/>
  <c r="D26" i="126"/>
  <c r="C26" i="126"/>
  <c r="D26" i="127"/>
  <c r="E26" i="127"/>
  <c r="D27" i="127"/>
  <c r="E27" i="127"/>
  <c r="C27" i="127"/>
  <c r="C26" i="127"/>
  <c r="E9" i="127"/>
  <c r="E8" i="127"/>
  <c r="D9" i="127"/>
  <c r="D8" i="127"/>
  <c r="C12" i="127"/>
  <c r="C19" i="127"/>
  <c r="E20" i="127"/>
  <c r="D20" i="127"/>
  <c r="C20" i="127"/>
  <c r="B20" i="127"/>
  <c r="E19" i="127"/>
  <c r="D19" i="127"/>
  <c r="B19" i="127"/>
  <c r="E18" i="127"/>
  <c r="D18" i="127"/>
  <c r="C18" i="127"/>
  <c r="B18" i="127"/>
  <c r="E17" i="127"/>
  <c r="D17" i="127"/>
  <c r="C17" i="127"/>
  <c r="B17" i="127"/>
  <c r="E16" i="127"/>
  <c r="D16" i="127"/>
  <c r="C16" i="127"/>
  <c r="B16" i="127"/>
  <c r="E15" i="127"/>
  <c r="D15" i="127"/>
  <c r="C15" i="127"/>
  <c r="B15" i="127"/>
  <c r="E14" i="127"/>
  <c r="D14" i="127"/>
  <c r="C14" i="127"/>
  <c r="B14" i="127"/>
  <c r="E13" i="127"/>
  <c r="D13" i="127"/>
  <c r="C13" i="127"/>
  <c r="B13" i="127"/>
  <c r="E12" i="127"/>
  <c r="D12" i="127"/>
  <c r="B12" i="127"/>
  <c r="E11" i="127"/>
  <c r="D11" i="127"/>
  <c r="C11" i="127"/>
  <c r="B11" i="127"/>
  <c r="E10" i="127"/>
  <c r="D10" i="127"/>
  <c r="C10" i="127"/>
  <c r="B10" i="127"/>
  <c r="C9" i="127"/>
  <c r="B9" i="127"/>
  <c r="C8" i="127"/>
  <c r="B8" i="127"/>
  <c r="E7" i="127"/>
  <c r="D7" i="127"/>
  <c r="C7" i="127"/>
  <c r="B7" i="127"/>
  <c r="E6" i="127"/>
  <c r="D6" i="127"/>
  <c r="C6" i="127"/>
  <c r="D7" i="126"/>
  <c r="E7" i="126"/>
  <c r="D8" i="126"/>
  <c r="E8" i="126"/>
  <c r="D9" i="126"/>
  <c r="E9" i="126"/>
  <c r="D10" i="126"/>
  <c r="E10" i="126"/>
  <c r="D11" i="126"/>
  <c r="E11" i="126"/>
  <c r="D12" i="126"/>
  <c r="E12" i="126"/>
  <c r="D13" i="126"/>
  <c r="E13" i="126"/>
  <c r="D14" i="126"/>
  <c r="E14" i="126"/>
  <c r="D15" i="126"/>
  <c r="E15" i="126"/>
  <c r="D16" i="126"/>
  <c r="E16" i="126"/>
  <c r="D17" i="126"/>
  <c r="E17" i="126"/>
  <c r="D18" i="126"/>
  <c r="E18" i="126"/>
  <c r="D19" i="126"/>
  <c r="E19" i="126"/>
  <c r="D20" i="126"/>
  <c r="E20" i="126"/>
  <c r="C20" i="126"/>
  <c r="C19" i="126"/>
  <c r="C18" i="126"/>
  <c r="C17" i="126"/>
  <c r="C16" i="126"/>
  <c r="C9" i="126"/>
  <c r="C8" i="126"/>
  <c r="C10" i="126"/>
  <c r="C11" i="126"/>
  <c r="C12" i="126"/>
  <c r="C13" i="126"/>
  <c r="C14" i="126"/>
  <c r="C15" i="126"/>
  <c r="B18" i="126"/>
  <c r="B19" i="126"/>
  <c r="B20" i="126"/>
  <c r="B8" i="126"/>
  <c r="B9" i="126"/>
  <c r="B10" i="126"/>
  <c r="B11" i="126"/>
  <c r="B12" i="126"/>
  <c r="B13" i="126"/>
  <c r="B14" i="126"/>
  <c r="B15" i="126"/>
  <c r="B16" i="126"/>
  <c r="B17" i="126"/>
  <c r="C7" i="126"/>
  <c r="B7" i="126"/>
  <c r="D6" i="126"/>
  <c r="E6" i="126"/>
  <c r="C6" i="126"/>
  <c r="C36" i="53"/>
  <c r="C37" i="53"/>
  <c r="C38" i="53"/>
  <c r="C39" i="53"/>
  <c r="C40" i="53"/>
  <c r="C41" i="53"/>
  <c r="C42" i="53"/>
  <c r="C43" i="53"/>
  <c r="C44" i="53"/>
  <c r="C45" i="53"/>
  <c r="C46" i="53"/>
  <c r="C47" i="53"/>
  <c r="C48" i="53"/>
  <c r="C49" i="53"/>
  <c r="C50" i="53"/>
  <c r="C51" i="53"/>
  <c r="C52" i="53"/>
  <c r="C53" i="53"/>
  <c r="C54" i="53"/>
  <c r="C55" i="53"/>
  <c r="C56" i="53"/>
  <c r="C57" i="53"/>
  <c r="C58" i="53"/>
  <c r="C59" i="53"/>
  <c r="C60" i="53"/>
  <c r="C61" i="53"/>
  <c r="C62" i="53"/>
  <c r="C63" i="53"/>
  <c r="C64" i="53"/>
  <c r="C65" i="53"/>
  <c r="C66" i="53"/>
  <c r="C35" i="53"/>
  <c r="A35" i="53"/>
  <c r="C27" i="53"/>
  <c r="C28" i="53"/>
  <c r="C29" i="53"/>
  <c r="C30" i="53"/>
  <c r="C31" i="53"/>
  <c r="C32" i="53"/>
  <c r="C33" i="53"/>
  <c r="C34" i="53"/>
  <c r="C26" i="53"/>
  <c r="E20" i="14"/>
  <c r="E21" i="14"/>
  <c r="F20" i="14" s="1"/>
  <c r="F21" i="14"/>
  <c r="G20" i="14" s="1"/>
  <c r="G21" i="14"/>
  <c r="H20" i="14" s="1"/>
  <c r="H21" i="14"/>
  <c r="I20" i="14" s="1"/>
  <c r="I21" i="14"/>
  <c r="D21" i="14"/>
  <c r="C21" i="14"/>
  <c r="D20" i="14" s="1"/>
  <c r="C20" i="14"/>
  <c r="H23" i="24"/>
  <c r="D24" i="24"/>
  <c r="E23" i="24" s="1"/>
  <c r="E24" i="24"/>
  <c r="F23" i="24" s="1"/>
  <c r="F24" i="24"/>
  <c r="G23" i="24" s="1"/>
  <c r="G24" i="24"/>
  <c r="C24" i="24"/>
  <c r="D23" i="24" s="1"/>
  <c r="C23" i="24"/>
  <c r="G20" i="11"/>
  <c r="D20" i="11"/>
  <c r="E20" i="11"/>
  <c r="F20" i="11"/>
  <c r="C20" i="11"/>
  <c r="D26" i="11"/>
  <c r="E26" i="11"/>
  <c r="F26" i="11"/>
  <c r="G26" i="11"/>
  <c r="D27" i="11"/>
  <c r="D25" i="11" s="1"/>
  <c r="E24" i="11" s="1"/>
  <c r="E27" i="11"/>
  <c r="F27" i="11"/>
  <c r="G27" i="11"/>
  <c r="G25" i="11" s="1"/>
  <c r="C27" i="11"/>
  <c r="C25" i="11" s="1"/>
  <c r="D24" i="11" s="1"/>
  <c r="C26" i="11"/>
  <c r="C24" i="11" s="1"/>
  <c r="G23" i="52"/>
  <c r="C23" i="52"/>
  <c r="D24" i="52"/>
  <c r="E23" i="52" s="1"/>
  <c r="E24" i="52"/>
  <c r="F23" i="52" s="1"/>
  <c r="F24" i="52"/>
  <c r="G24" i="52"/>
  <c r="C24" i="52"/>
  <c r="D23" i="52" s="1"/>
  <c r="D21" i="10"/>
  <c r="E21" i="10"/>
  <c r="F21" i="10"/>
  <c r="G21" i="10"/>
  <c r="D22" i="10"/>
  <c r="E22" i="10"/>
  <c r="F22" i="10"/>
  <c r="G22" i="10"/>
  <c r="C22" i="10"/>
  <c r="C21" i="10"/>
  <c r="G22" i="39"/>
  <c r="D24" i="13"/>
  <c r="E24" i="13"/>
  <c r="F24" i="13"/>
  <c r="G23" i="13" s="1"/>
  <c r="G24" i="13"/>
  <c r="C24" i="13"/>
  <c r="D23" i="13" s="1"/>
  <c r="C23" i="13"/>
  <c r="F23" i="13"/>
  <c r="E23" i="13"/>
  <c r="D28" i="125"/>
  <c r="E28" i="125"/>
  <c r="F28" i="125"/>
  <c r="G28" i="125"/>
  <c r="D29" i="125"/>
  <c r="E29" i="125"/>
  <c r="F29" i="125"/>
  <c r="G29" i="125"/>
  <c r="C29" i="125"/>
  <c r="C28" i="125"/>
  <c r="D19" i="125"/>
  <c r="E19" i="125"/>
  <c r="F19" i="125"/>
  <c r="G19" i="125"/>
  <c r="C19" i="125"/>
  <c r="D9" i="125"/>
  <c r="E9" i="125"/>
  <c r="F9" i="125"/>
  <c r="G9" i="125"/>
  <c r="C9" i="125"/>
  <c r="B7" i="125"/>
  <c r="C7" i="125"/>
  <c r="D7" i="125"/>
  <c r="E7" i="125"/>
  <c r="F7" i="125"/>
  <c r="G7" i="125"/>
  <c r="B8" i="125"/>
  <c r="C8" i="125"/>
  <c r="D8" i="125"/>
  <c r="E8" i="125"/>
  <c r="F8" i="125"/>
  <c r="G8" i="125"/>
  <c r="B9" i="125"/>
  <c r="B10" i="125"/>
  <c r="C10" i="125"/>
  <c r="D10" i="125"/>
  <c r="E10" i="125"/>
  <c r="F10" i="125"/>
  <c r="G10" i="125"/>
  <c r="B11" i="125"/>
  <c r="C11" i="125"/>
  <c r="D11" i="125"/>
  <c r="E11" i="125"/>
  <c r="F11" i="125"/>
  <c r="G11" i="125"/>
  <c r="B12" i="125"/>
  <c r="C12" i="125"/>
  <c r="D12" i="125"/>
  <c r="E12" i="125"/>
  <c r="F12" i="125"/>
  <c r="G12" i="125"/>
  <c r="B13" i="125"/>
  <c r="C13" i="125"/>
  <c r="D13" i="125"/>
  <c r="E13" i="125"/>
  <c r="F13" i="125"/>
  <c r="G13" i="125"/>
  <c r="B14" i="125"/>
  <c r="C14" i="125"/>
  <c r="D14" i="125"/>
  <c r="E14" i="125"/>
  <c r="F14" i="125"/>
  <c r="G14" i="125"/>
  <c r="B15" i="125"/>
  <c r="C15" i="125"/>
  <c r="D15" i="125"/>
  <c r="E15" i="125"/>
  <c r="F15" i="125"/>
  <c r="G15" i="125"/>
  <c r="B16" i="125"/>
  <c r="C16" i="125"/>
  <c r="D16" i="125"/>
  <c r="E16" i="125"/>
  <c r="F16" i="125"/>
  <c r="G16" i="125"/>
  <c r="B17" i="125"/>
  <c r="C17" i="125"/>
  <c r="D17" i="125"/>
  <c r="E17" i="125"/>
  <c r="F17" i="125"/>
  <c r="G17" i="125"/>
  <c r="B18" i="125"/>
  <c r="C18" i="125"/>
  <c r="D18" i="125"/>
  <c r="E18" i="125"/>
  <c r="F18" i="125"/>
  <c r="G18" i="125"/>
  <c r="B19" i="125"/>
  <c r="B20" i="125"/>
  <c r="C20" i="125"/>
  <c r="D20" i="125"/>
  <c r="E20" i="125"/>
  <c r="F20" i="125"/>
  <c r="G20" i="125"/>
  <c r="B21" i="125"/>
  <c r="C21" i="125"/>
  <c r="D21" i="125"/>
  <c r="E21" i="125"/>
  <c r="F21" i="125"/>
  <c r="G21" i="125"/>
  <c r="C6" i="125"/>
  <c r="D6" i="125"/>
  <c r="E6" i="125"/>
  <c r="F6" i="125"/>
  <c r="G6" i="125"/>
  <c r="B6" i="125"/>
  <c r="E29" i="124"/>
  <c r="F28" i="124" s="1"/>
  <c r="F29" i="124"/>
  <c r="G28" i="124" s="1"/>
  <c r="G29" i="124"/>
  <c r="H28" i="124" s="1"/>
  <c r="H29" i="124"/>
  <c r="D29" i="124"/>
  <c r="E28" i="124" s="1"/>
  <c r="C29" i="124"/>
  <c r="D28" i="124" s="1"/>
  <c r="C28" i="124"/>
  <c r="D26" i="124"/>
  <c r="E26" i="124"/>
  <c r="F26" i="124"/>
  <c r="G26" i="124"/>
  <c r="H26" i="124"/>
  <c r="C26" i="124"/>
  <c r="E29" i="42"/>
  <c r="F29" i="42"/>
  <c r="G29" i="42"/>
  <c r="H29" i="42"/>
  <c r="I29" i="42"/>
  <c r="E30" i="42"/>
  <c r="F30" i="42"/>
  <c r="G30" i="42"/>
  <c r="H30" i="42"/>
  <c r="I30" i="42"/>
  <c r="D30" i="42"/>
  <c r="D29" i="42"/>
  <c r="E29" i="41"/>
  <c r="F29" i="41"/>
  <c r="G29" i="41"/>
  <c r="H29" i="41"/>
  <c r="E30" i="41"/>
  <c r="F30" i="41"/>
  <c r="G30" i="41"/>
  <c r="H30" i="41"/>
  <c r="D30" i="41"/>
  <c r="D29" i="41"/>
  <c r="G27" i="58"/>
  <c r="C26" i="58"/>
  <c r="F25" i="57"/>
  <c r="C24" i="57"/>
  <c r="G26" i="19"/>
  <c r="D23" i="71"/>
  <c r="E23" i="71"/>
  <c r="F23" i="71"/>
  <c r="D24" i="71"/>
  <c r="E24" i="71"/>
  <c r="F24" i="71"/>
  <c r="C24" i="71"/>
  <c r="C23" i="71"/>
  <c r="H25" i="109"/>
  <c r="G25" i="109"/>
  <c r="F25" i="109"/>
  <c r="E25" i="109"/>
  <c r="D25" i="109"/>
  <c r="C25" i="109"/>
  <c r="H24" i="109"/>
  <c r="G24" i="109"/>
  <c r="F24" i="109"/>
  <c r="E24" i="109"/>
  <c r="D24" i="109"/>
  <c r="C24" i="109"/>
  <c r="D25" i="110"/>
  <c r="E24" i="110"/>
  <c r="D24" i="110"/>
  <c r="C25" i="110"/>
  <c r="F24" i="110"/>
  <c r="E25" i="110"/>
  <c r="G24" i="110"/>
  <c r="F25" i="110"/>
  <c r="H24" i="110"/>
  <c r="G25" i="110"/>
  <c r="D26" i="4"/>
  <c r="H32" i="123"/>
  <c r="G32" i="123"/>
  <c r="F32" i="123"/>
  <c r="E32" i="123"/>
  <c r="D32" i="123"/>
  <c r="C32" i="123"/>
  <c r="H31" i="123"/>
  <c r="G31" i="123"/>
  <c r="F31" i="123"/>
  <c r="E31" i="123"/>
  <c r="D31" i="123"/>
  <c r="C31" i="123"/>
  <c r="H27" i="123"/>
  <c r="G27" i="123"/>
  <c r="F27" i="123"/>
  <c r="E27" i="123"/>
  <c r="D27" i="123"/>
  <c r="C27" i="123"/>
  <c r="B27" i="123"/>
  <c r="H26" i="123"/>
  <c r="G26" i="123"/>
  <c r="F26" i="123"/>
  <c r="E26" i="123"/>
  <c r="D26" i="123"/>
  <c r="C26" i="123"/>
  <c r="B26" i="123"/>
  <c r="H25" i="123"/>
  <c r="G25" i="123"/>
  <c r="F25" i="123"/>
  <c r="E25" i="123"/>
  <c r="D25" i="123"/>
  <c r="C25" i="123"/>
  <c r="B25" i="123"/>
  <c r="H24" i="123"/>
  <c r="G24" i="123"/>
  <c r="F24" i="123"/>
  <c r="E24" i="123"/>
  <c r="D24" i="123"/>
  <c r="C24" i="123"/>
  <c r="B24" i="123"/>
  <c r="H23" i="123"/>
  <c r="G23" i="123"/>
  <c r="F23" i="123"/>
  <c r="E23" i="123"/>
  <c r="D23" i="123"/>
  <c r="C23" i="123"/>
  <c r="B23" i="123"/>
  <c r="H22" i="123"/>
  <c r="G22" i="123"/>
  <c r="F22" i="123"/>
  <c r="E22" i="123"/>
  <c r="D22" i="123"/>
  <c r="C22" i="123"/>
  <c r="B22" i="123"/>
  <c r="H21" i="123"/>
  <c r="G21" i="123"/>
  <c r="F21" i="123"/>
  <c r="E21" i="123"/>
  <c r="D21" i="123"/>
  <c r="C21" i="123"/>
  <c r="B21" i="123"/>
  <c r="H20" i="123"/>
  <c r="G20" i="123"/>
  <c r="F20" i="123"/>
  <c r="E20" i="123"/>
  <c r="D20" i="123"/>
  <c r="C20" i="123"/>
  <c r="B20" i="123"/>
  <c r="H19" i="123"/>
  <c r="G19" i="123"/>
  <c r="F19" i="123"/>
  <c r="E19" i="123"/>
  <c r="D19" i="123"/>
  <c r="C19" i="123"/>
  <c r="B19" i="123"/>
  <c r="H18" i="123"/>
  <c r="G18" i="123"/>
  <c r="F18" i="123"/>
  <c r="E18" i="123"/>
  <c r="D18" i="123"/>
  <c r="C18" i="123"/>
  <c r="B18" i="123"/>
  <c r="H17" i="123"/>
  <c r="G17" i="123"/>
  <c r="F17" i="123"/>
  <c r="E17" i="123"/>
  <c r="D17" i="123"/>
  <c r="C17" i="123"/>
  <c r="B17" i="123"/>
  <c r="H16" i="123"/>
  <c r="G16" i="123"/>
  <c r="F16" i="123"/>
  <c r="E16" i="123"/>
  <c r="D16" i="123"/>
  <c r="C16" i="123"/>
  <c r="B16" i="123"/>
  <c r="H15" i="123"/>
  <c r="G15" i="123"/>
  <c r="F15" i="123"/>
  <c r="E15" i="123"/>
  <c r="D15" i="123"/>
  <c r="C15" i="123"/>
  <c r="B15" i="123"/>
  <c r="H14" i="123"/>
  <c r="G14" i="123"/>
  <c r="F14" i="123"/>
  <c r="E14" i="123"/>
  <c r="D14" i="123"/>
  <c r="C14" i="123"/>
  <c r="B14" i="123"/>
  <c r="H13" i="123"/>
  <c r="G13" i="123"/>
  <c r="F13" i="123"/>
  <c r="E13" i="123"/>
  <c r="D13" i="123"/>
  <c r="C13" i="123"/>
  <c r="B13" i="123"/>
  <c r="H12" i="123"/>
  <c r="G12" i="123"/>
  <c r="F12" i="123"/>
  <c r="E12" i="123"/>
  <c r="D12" i="123"/>
  <c r="C12" i="123"/>
  <c r="B12" i="123"/>
  <c r="H11" i="123"/>
  <c r="G11" i="123"/>
  <c r="F11" i="123"/>
  <c r="E11" i="123"/>
  <c r="D11" i="123"/>
  <c r="C11" i="123"/>
  <c r="B11" i="123"/>
  <c r="H10" i="123"/>
  <c r="G10" i="123"/>
  <c r="F10" i="123"/>
  <c r="E10" i="123"/>
  <c r="D10" i="123"/>
  <c r="C10" i="123"/>
  <c r="B10" i="123"/>
  <c r="H9" i="123"/>
  <c r="G9" i="123"/>
  <c r="F9" i="123"/>
  <c r="E9" i="123"/>
  <c r="D9" i="123"/>
  <c r="C9" i="123"/>
  <c r="B9" i="123"/>
  <c r="H8" i="123"/>
  <c r="G8" i="123"/>
  <c r="F8" i="123"/>
  <c r="E8" i="123"/>
  <c r="D8" i="123"/>
  <c r="C8" i="123"/>
  <c r="B8" i="123"/>
  <c r="H7" i="123"/>
  <c r="G7" i="123"/>
  <c r="F7" i="123"/>
  <c r="E7" i="123"/>
  <c r="D7" i="123"/>
  <c r="C7" i="123"/>
  <c r="B7" i="123"/>
  <c r="H6" i="123"/>
  <c r="G6" i="123"/>
  <c r="F6" i="123"/>
  <c r="E6" i="123"/>
  <c r="D6" i="123"/>
  <c r="C6" i="123"/>
  <c r="B6" i="123"/>
  <c r="H28" i="122"/>
  <c r="H29" i="122" s="1"/>
  <c r="G29" i="122"/>
  <c r="E29" i="122"/>
  <c r="F28" i="122"/>
  <c r="E28" i="122"/>
  <c r="G28" i="122"/>
  <c r="F29" i="122"/>
  <c r="D29" i="122"/>
  <c r="D28" i="122"/>
  <c r="C29" i="122"/>
  <c r="C28" i="122"/>
  <c r="H6" i="122"/>
  <c r="H7" i="122"/>
  <c r="H8" i="122"/>
  <c r="H9" i="122"/>
  <c r="H10" i="122"/>
  <c r="H11" i="122"/>
  <c r="H12" i="122"/>
  <c r="H13" i="122"/>
  <c r="H14" i="122"/>
  <c r="H15" i="122"/>
  <c r="H16" i="122"/>
  <c r="H17" i="122"/>
  <c r="H18" i="122"/>
  <c r="H19" i="122"/>
  <c r="H20" i="122"/>
  <c r="C10" i="122"/>
  <c r="D10" i="122"/>
  <c r="E10" i="122"/>
  <c r="F10" i="122"/>
  <c r="G10" i="122"/>
  <c r="D9" i="122"/>
  <c r="E9" i="122"/>
  <c r="F9" i="122"/>
  <c r="G9" i="122"/>
  <c r="C9" i="122"/>
  <c r="D7" i="122"/>
  <c r="E7" i="122"/>
  <c r="F7" i="122"/>
  <c r="G7" i="122"/>
  <c r="D8" i="122"/>
  <c r="E8" i="122"/>
  <c r="F8" i="122"/>
  <c r="G8" i="122"/>
  <c r="D11" i="122"/>
  <c r="E11" i="122"/>
  <c r="F11" i="122"/>
  <c r="G11" i="122"/>
  <c r="D12" i="122"/>
  <c r="E12" i="122"/>
  <c r="F12" i="122"/>
  <c r="G12" i="122"/>
  <c r="D13" i="122"/>
  <c r="E13" i="122"/>
  <c r="F13" i="122"/>
  <c r="G13" i="122"/>
  <c r="D14" i="122"/>
  <c r="E14" i="122"/>
  <c r="F14" i="122"/>
  <c r="G14" i="122"/>
  <c r="D15" i="122"/>
  <c r="E15" i="122"/>
  <c r="F15" i="122"/>
  <c r="G15" i="122"/>
  <c r="D16" i="122"/>
  <c r="E16" i="122"/>
  <c r="F16" i="122"/>
  <c r="G16" i="122"/>
  <c r="D17" i="122"/>
  <c r="E17" i="122"/>
  <c r="F17" i="122"/>
  <c r="G17" i="122"/>
  <c r="D18" i="122"/>
  <c r="E18" i="122"/>
  <c r="F18" i="122"/>
  <c r="G18" i="122"/>
  <c r="D19" i="122"/>
  <c r="E19" i="122"/>
  <c r="F19" i="122"/>
  <c r="G19" i="122"/>
  <c r="D20" i="122"/>
  <c r="E20" i="122"/>
  <c r="F20" i="122"/>
  <c r="G20" i="122"/>
  <c r="C20" i="122"/>
  <c r="C8" i="122"/>
  <c r="C11" i="122"/>
  <c r="C12" i="122"/>
  <c r="C13" i="122"/>
  <c r="C14" i="122"/>
  <c r="C15" i="122"/>
  <c r="C16" i="122"/>
  <c r="C17" i="122"/>
  <c r="C18" i="122"/>
  <c r="C19" i="122"/>
  <c r="C7" i="122"/>
  <c r="B8" i="122"/>
  <c r="B9" i="122"/>
  <c r="B10" i="122"/>
  <c r="B11" i="122"/>
  <c r="B12" i="122"/>
  <c r="B13" i="122"/>
  <c r="B14" i="122"/>
  <c r="B15" i="122"/>
  <c r="B16" i="122"/>
  <c r="B17" i="122"/>
  <c r="B18" i="122"/>
  <c r="B19" i="122"/>
  <c r="B20" i="122"/>
  <c r="B7" i="122"/>
  <c r="D6" i="122"/>
  <c r="E6" i="122"/>
  <c r="F6" i="122"/>
  <c r="G6" i="122"/>
  <c r="C6" i="122"/>
  <c r="D22" i="64"/>
  <c r="E22" i="64"/>
  <c r="F22" i="64"/>
  <c r="G22" i="64"/>
  <c r="H22" i="64"/>
  <c r="I22" i="64"/>
  <c r="J22" i="64"/>
  <c r="D23" i="64"/>
  <c r="E23" i="64"/>
  <c r="F23" i="64"/>
  <c r="G23" i="64"/>
  <c r="H23" i="64"/>
  <c r="I23" i="64"/>
  <c r="J23" i="64"/>
  <c r="C23" i="64"/>
  <c r="C22" i="64"/>
  <c r="D34" i="62"/>
  <c r="E34" i="62"/>
  <c r="F34" i="62"/>
  <c r="D35" i="62"/>
  <c r="E35" i="62"/>
  <c r="F35" i="62"/>
  <c r="C35" i="62"/>
  <c r="C34" i="62"/>
  <c r="D16" i="79"/>
  <c r="E16" i="79"/>
  <c r="F16" i="79"/>
  <c r="G16" i="79"/>
  <c r="H16" i="79"/>
  <c r="C16" i="79"/>
  <c r="D28" i="121"/>
  <c r="E28" i="121"/>
  <c r="F28" i="121"/>
  <c r="G28" i="121"/>
  <c r="H28" i="121"/>
  <c r="D29" i="121"/>
  <c r="E29" i="121"/>
  <c r="F29" i="121"/>
  <c r="G29" i="121"/>
  <c r="H29" i="121"/>
  <c r="C29" i="121"/>
  <c r="C28" i="121"/>
  <c r="D12" i="73"/>
  <c r="E12" i="73"/>
  <c r="F12" i="73"/>
  <c r="D17" i="120"/>
  <c r="E17" i="120"/>
  <c r="F17" i="120"/>
  <c r="F16" i="120"/>
  <c r="E16" i="120"/>
  <c r="D16" i="120"/>
  <c r="C16" i="120"/>
  <c r="D11" i="73"/>
  <c r="E11" i="73"/>
  <c r="F11" i="73"/>
  <c r="E20" i="78"/>
  <c r="F20" i="78"/>
  <c r="D20" i="78"/>
  <c r="D21" i="13"/>
  <c r="E21" i="13"/>
  <c r="F21" i="13"/>
  <c r="G21" i="13"/>
  <c r="C21" i="13"/>
  <c r="D23" i="74"/>
  <c r="E23" i="74"/>
  <c r="F23" i="74"/>
  <c r="G23" i="74"/>
  <c r="H23" i="74"/>
  <c r="D24" i="74"/>
  <c r="E24" i="74"/>
  <c r="F24" i="74"/>
  <c r="G24" i="74"/>
  <c r="H24" i="74"/>
  <c r="C24" i="74"/>
  <c r="C23" i="74"/>
  <c r="D22" i="67"/>
  <c r="E22" i="67"/>
  <c r="F22" i="67"/>
  <c r="G22" i="67"/>
  <c r="C22" i="67"/>
  <c r="D23" i="67"/>
  <c r="E23" i="67"/>
  <c r="F23" i="67"/>
  <c r="G23" i="67"/>
  <c r="C23" i="67"/>
  <c r="D26" i="67"/>
  <c r="E26" i="67"/>
  <c r="F26" i="67"/>
  <c r="G26" i="67"/>
  <c r="D27" i="67"/>
  <c r="E27" i="67"/>
  <c r="F27" i="67"/>
  <c r="G27" i="67"/>
  <c r="C27" i="67"/>
  <c r="C26" i="67"/>
  <c r="D23" i="43"/>
  <c r="E23" i="43"/>
  <c r="F23" i="43"/>
  <c r="C23" i="43"/>
  <c r="D27" i="43"/>
  <c r="E27" i="43"/>
  <c r="F27" i="43"/>
  <c r="D28" i="43"/>
  <c r="E28" i="43"/>
  <c r="F28" i="43"/>
  <c r="C28" i="43"/>
  <c r="C27" i="43"/>
  <c r="F24" i="120"/>
  <c r="E24" i="120"/>
  <c r="D24" i="120"/>
  <c r="C24" i="120"/>
  <c r="D19" i="73"/>
  <c r="E19" i="73"/>
  <c r="F19" i="73"/>
  <c r="C19" i="73"/>
  <c r="D3" i="73"/>
  <c r="E3" i="73"/>
  <c r="F3" i="73"/>
  <c r="C3" i="73"/>
  <c r="C12" i="73"/>
  <c r="B12" i="73"/>
  <c r="C11" i="73"/>
  <c r="B11" i="73"/>
  <c r="F10" i="73"/>
  <c r="E10" i="73"/>
  <c r="D10" i="73"/>
  <c r="C10" i="73"/>
  <c r="B10" i="73"/>
  <c r="F9" i="73"/>
  <c r="E9" i="73"/>
  <c r="D9" i="73"/>
  <c r="C9" i="73"/>
  <c r="B9" i="73"/>
  <c r="F8" i="73"/>
  <c r="E8" i="73"/>
  <c r="D8" i="73"/>
  <c r="C8" i="73"/>
  <c r="B8" i="73"/>
  <c r="F7" i="73"/>
  <c r="E7" i="73"/>
  <c r="D7" i="73"/>
  <c r="C7" i="73"/>
  <c r="B7" i="73"/>
  <c r="F6" i="73"/>
  <c r="E6" i="73"/>
  <c r="D6" i="73"/>
  <c r="C6" i="73"/>
  <c r="B6" i="73"/>
  <c r="F5" i="73"/>
  <c r="E5" i="73"/>
  <c r="D5" i="73"/>
  <c r="C5" i="73"/>
  <c r="B5" i="73"/>
  <c r="F4" i="73"/>
  <c r="E4" i="73"/>
  <c r="D4" i="73"/>
  <c r="C4" i="73"/>
  <c r="B4" i="73"/>
  <c r="B3" i="73"/>
  <c r="F2" i="73"/>
  <c r="E2" i="73"/>
  <c r="D2" i="73"/>
  <c r="C2" i="73"/>
  <c r="B2" i="73"/>
  <c r="F1" i="73"/>
  <c r="E1" i="73"/>
  <c r="D1" i="73"/>
  <c r="C1" i="73"/>
  <c r="B1" i="73"/>
  <c r="D14" i="120"/>
  <c r="E14" i="120"/>
  <c r="F14" i="120"/>
  <c r="C14" i="120"/>
  <c r="E10" i="120"/>
  <c r="F10" i="120"/>
  <c r="D10" i="120"/>
  <c r="D7" i="120"/>
  <c r="E7" i="120"/>
  <c r="F7" i="120"/>
  <c r="D8" i="120"/>
  <c r="E8" i="120"/>
  <c r="F8" i="120"/>
  <c r="D9" i="120"/>
  <c r="E9" i="120"/>
  <c r="F9" i="120"/>
  <c r="D11" i="120"/>
  <c r="E11" i="120"/>
  <c r="F11" i="120"/>
  <c r="D12" i="120"/>
  <c r="E12" i="120"/>
  <c r="F12" i="120"/>
  <c r="D13" i="120"/>
  <c r="E13" i="120"/>
  <c r="F13" i="120"/>
  <c r="D15" i="120"/>
  <c r="E15" i="120"/>
  <c r="F15" i="120"/>
  <c r="C15" i="120"/>
  <c r="C12" i="120"/>
  <c r="C11" i="120"/>
  <c r="C10" i="120"/>
  <c r="C13" i="120"/>
  <c r="C17" i="120"/>
  <c r="C9" i="120"/>
  <c r="C8" i="120"/>
  <c r="C7" i="120"/>
  <c r="B7" i="120"/>
  <c r="B8" i="120"/>
  <c r="B9" i="120"/>
  <c r="B10" i="120"/>
  <c r="B11" i="120"/>
  <c r="B12" i="120"/>
  <c r="B13" i="120"/>
  <c r="B14" i="120"/>
  <c r="B15" i="120"/>
  <c r="B16" i="120"/>
  <c r="B17" i="120"/>
  <c r="C6" i="120"/>
  <c r="D6" i="120"/>
  <c r="E6" i="120"/>
  <c r="F6" i="120"/>
  <c r="B6" i="120"/>
  <c r="C6" i="36"/>
  <c r="D6" i="36"/>
  <c r="E6" i="36"/>
  <c r="F6" i="36"/>
  <c r="G6" i="36"/>
  <c r="H6" i="36"/>
  <c r="F25" i="120"/>
  <c r="E25" i="120"/>
  <c r="D25" i="120"/>
  <c r="C25" i="120"/>
  <c r="E14" i="36"/>
  <c r="F14" i="36"/>
  <c r="G14" i="36"/>
  <c r="H14" i="36"/>
  <c r="D14" i="36"/>
  <c r="E10" i="36"/>
  <c r="D10" i="36"/>
  <c r="D9" i="36"/>
  <c r="E9" i="36"/>
  <c r="F9" i="36"/>
  <c r="G9" i="36"/>
  <c r="H9" i="36"/>
  <c r="F10" i="36"/>
  <c r="G10" i="36"/>
  <c r="H10" i="36"/>
  <c r="D11" i="36"/>
  <c r="E11" i="36"/>
  <c r="F11" i="36"/>
  <c r="G11" i="36"/>
  <c r="H11" i="36"/>
  <c r="D12" i="36"/>
  <c r="E12" i="36"/>
  <c r="F12" i="36"/>
  <c r="G12" i="36"/>
  <c r="H12" i="36"/>
  <c r="D13" i="36"/>
  <c r="E13" i="36"/>
  <c r="F13" i="36"/>
  <c r="G13" i="36"/>
  <c r="H13" i="36"/>
  <c r="D15" i="36"/>
  <c r="E15" i="36"/>
  <c r="F15" i="36"/>
  <c r="G15" i="36"/>
  <c r="H15" i="36"/>
  <c r="D16" i="36"/>
  <c r="E16" i="36"/>
  <c r="F16" i="36"/>
  <c r="G16" i="36"/>
  <c r="H16" i="36"/>
  <c r="D17" i="36"/>
  <c r="E17" i="36"/>
  <c r="F17" i="36"/>
  <c r="G17" i="36"/>
  <c r="H17" i="36"/>
  <c r="C15" i="36"/>
  <c r="C14" i="36"/>
  <c r="C12" i="36"/>
  <c r="C9" i="36"/>
  <c r="C10" i="36"/>
  <c r="C11" i="36"/>
  <c r="C13" i="36"/>
  <c r="C16" i="36"/>
  <c r="C17" i="36"/>
  <c r="C7" i="36"/>
  <c r="F8" i="36"/>
  <c r="G8" i="36"/>
  <c r="H8" i="36"/>
  <c r="E8" i="36"/>
  <c r="D8" i="36"/>
  <c r="C8" i="36"/>
  <c r="B7" i="36"/>
  <c r="B8" i="36"/>
  <c r="B9" i="36"/>
  <c r="B10" i="36"/>
  <c r="B11" i="36"/>
  <c r="B12" i="36"/>
  <c r="B13" i="36"/>
  <c r="B14" i="36"/>
  <c r="B15" i="36"/>
  <c r="B16" i="36"/>
  <c r="B17" i="36"/>
  <c r="B6" i="36"/>
  <c r="H12" i="119"/>
  <c r="G12" i="119"/>
  <c r="F12" i="119"/>
  <c r="E12" i="119"/>
  <c r="D12" i="119"/>
  <c r="C12" i="119"/>
  <c r="H10" i="119"/>
  <c r="G10" i="119"/>
  <c r="F10" i="119"/>
  <c r="E10" i="119"/>
  <c r="D10" i="119"/>
  <c r="C10" i="119"/>
  <c r="H9" i="119"/>
  <c r="G9" i="119"/>
  <c r="F9" i="119"/>
  <c r="E9" i="119"/>
  <c r="D9" i="119"/>
  <c r="C9" i="119"/>
  <c r="H7" i="119"/>
  <c r="G7" i="119"/>
  <c r="F7" i="119"/>
  <c r="E7" i="119"/>
  <c r="D7" i="119"/>
  <c r="C7" i="119"/>
  <c r="H4" i="119"/>
  <c r="G4" i="119"/>
  <c r="F4" i="119"/>
  <c r="E4" i="119"/>
  <c r="D4" i="119"/>
  <c r="C4" i="119"/>
  <c r="D24" i="117"/>
  <c r="E24" i="117"/>
  <c r="F24" i="117"/>
  <c r="C24" i="117"/>
  <c r="F29" i="117"/>
  <c r="E29" i="117"/>
  <c r="D29" i="117"/>
  <c r="C29" i="117"/>
  <c r="F28" i="117"/>
  <c r="E28" i="117"/>
  <c r="D28" i="117"/>
  <c r="C28" i="117"/>
  <c r="F25" i="117"/>
  <c r="E25" i="117"/>
  <c r="D25" i="117"/>
  <c r="C25" i="117"/>
  <c r="D28" i="66"/>
  <c r="E28" i="66"/>
  <c r="F28" i="66"/>
  <c r="D29" i="66"/>
  <c r="E29" i="66"/>
  <c r="F29" i="66"/>
  <c r="C29" i="66"/>
  <c r="C28" i="66"/>
  <c r="D25" i="34"/>
  <c r="E25" i="34"/>
  <c r="F25" i="34"/>
  <c r="G25" i="34"/>
  <c r="D26" i="34"/>
  <c r="E26" i="34"/>
  <c r="F26" i="34"/>
  <c r="G26" i="34"/>
  <c r="C26" i="34"/>
  <c r="C25" i="34"/>
  <c r="D21" i="34"/>
  <c r="E21" i="34"/>
  <c r="F21" i="34"/>
  <c r="G21" i="34"/>
  <c r="C21" i="34"/>
  <c r="H29" i="115"/>
  <c r="C28" i="115"/>
  <c r="D24" i="88"/>
  <c r="E24" i="88"/>
  <c r="F24" i="88"/>
  <c r="G24" i="88"/>
  <c r="D25" i="88"/>
  <c r="E25" i="88"/>
  <c r="F25" i="88"/>
  <c r="G25" i="88"/>
  <c r="C25" i="88"/>
  <c r="C24" i="88"/>
  <c r="B1" i="112"/>
  <c r="C1" i="112"/>
  <c r="D1" i="112"/>
  <c r="E1" i="112"/>
  <c r="F1" i="112"/>
  <c r="G1" i="112"/>
  <c r="B2" i="112"/>
  <c r="C2" i="112"/>
  <c r="D2" i="112"/>
  <c r="E2" i="112"/>
  <c r="F2" i="112"/>
  <c r="G2" i="112"/>
  <c r="B3" i="112"/>
  <c r="C3" i="112"/>
  <c r="D3" i="112"/>
  <c r="E3" i="112"/>
  <c r="F3" i="112"/>
  <c r="G3" i="112"/>
  <c r="B4" i="112"/>
  <c r="B5" i="112"/>
  <c r="C5" i="112"/>
  <c r="D5" i="112"/>
  <c r="E5" i="112"/>
  <c r="F5" i="112"/>
  <c r="G5" i="112"/>
  <c r="B6" i="112"/>
  <c r="C6" i="112"/>
  <c r="D6" i="112"/>
  <c r="E6" i="112"/>
  <c r="F6" i="112"/>
  <c r="G6" i="112"/>
  <c r="B7" i="112"/>
  <c r="C7" i="112"/>
  <c r="D7" i="112"/>
  <c r="E7" i="112"/>
  <c r="F7" i="112"/>
  <c r="G7" i="112"/>
  <c r="B8" i="112"/>
  <c r="C8" i="112"/>
  <c r="D8" i="112"/>
  <c r="E8" i="112"/>
  <c r="F8" i="112"/>
  <c r="G8" i="112"/>
  <c r="B9" i="112"/>
  <c r="C9" i="112"/>
  <c r="D9" i="112"/>
  <c r="E9" i="112"/>
  <c r="F9" i="112"/>
  <c r="G9" i="112"/>
  <c r="B10" i="112"/>
  <c r="C10" i="112"/>
  <c r="D10" i="112"/>
  <c r="E10" i="112"/>
  <c r="F10" i="112"/>
  <c r="G10" i="112"/>
  <c r="B11" i="112"/>
  <c r="C11" i="112"/>
  <c r="D11" i="112"/>
  <c r="E11" i="112"/>
  <c r="F11" i="112"/>
  <c r="G11" i="112"/>
  <c r="B12" i="112"/>
  <c r="C12" i="112"/>
  <c r="D12" i="112"/>
  <c r="E12" i="112"/>
  <c r="F12" i="112"/>
  <c r="G12" i="112"/>
  <c r="B13" i="112"/>
  <c r="C13" i="112"/>
  <c r="D13" i="112"/>
  <c r="E13" i="112"/>
  <c r="F13" i="112"/>
  <c r="G13" i="112"/>
  <c r="B14" i="112"/>
  <c r="C14" i="112"/>
  <c r="D14" i="112"/>
  <c r="E14" i="112"/>
  <c r="F14" i="112"/>
  <c r="G14" i="112"/>
  <c r="B15" i="112"/>
  <c r="C15" i="112"/>
  <c r="D15" i="112"/>
  <c r="E15" i="112"/>
  <c r="F15" i="112"/>
  <c r="G15" i="112"/>
  <c r="B16" i="112"/>
  <c r="C16" i="112"/>
  <c r="D16" i="112"/>
  <c r="E16" i="112"/>
  <c r="F16" i="112"/>
  <c r="G16" i="112"/>
  <c r="B17" i="112"/>
  <c r="C17" i="112"/>
  <c r="D17" i="112"/>
  <c r="E17" i="112"/>
  <c r="F17" i="112"/>
  <c r="G17" i="112"/>
  <c r="D5" i="111"/>
  <c r="E5" i="111"/>
  <c r="F5" i="111"/>
  <c r="G5" i="111"/>
  <c r="D6" i="111"/>
  <c r="E6" i="111"/>
  <c r="F6" i="111"/>
  <c r="G6" i="111"/>
  <c r="D7" i="111"/>
  <c r="E7" i="111"/>
  <c r="F7" i="111"/>
  <c r="G7" i="111"/>
  <c r="C7" i="111"/>
  <c r="C6" i="111"/>
  <c r="C5" i="111"/>
  <c r="D2" i="111"/>
  <c r="E2" i="111"/>
  <c r="F2" i="111"/>
  <c r="G2" i="111"/>
  <c r="D3" i="111"/>
  <c r="E3" i="111"/>
  <c r="F3" i="111"/>
  <c r="G3" i="111"/>
  <c r="D4" i="111"/>
  <c r="E4" i="111"/>
  <c r="F4" i="111"/>
  <c r="G4" i="111"/>
  <c r="D8" i="111"/>
  <c r="E8" i="111"/>
  <c r="F8" i="111"/>
  <c r="G8" i="111"/>
  <c r="D9" i="111"/>
  <c r="E9" i="111"/>
  <c r="F9" i="111"/>
  <c r="G9" i="111"/>
  <c r="D10" i="111"/>
  <c r="E10" i="111"/>
  <c r="F10" i="111"/>
  <c r="G10" i="111"/>
  <c r="D11" i="111"/>
  <c r="E11" i="111"/>
  <c r="F11" i="111"/>
  <c r="G11" i="111"/>
  <c r="D12" i="111"/>
  <c r="E12" i="111"/>
  <c r="F12" i="111"/>
  <c r="G12" i="111"/>
  <c r="D13" i="111"/>
  <c r="E13" i="111"/>
  <c r="F13" i="111"/>
  <c r="G13" i="111"/>
  <c r="D14" i="111"/>
  <c r="E14" i="111"/>
  <c r="F14" i="111"/>
  <c r="G14" i="111"/>
  <c r="D15" i="111"/>
  <c r="E15" i="111"/>
  <c r="F15" i="111"/>
  <c r="G15" i="111"/>
  <c r="D16" i="111"/>
  <c r="E16" i="111"/>
  <c r="F16" i="111"/>
  <c r="G16" i="111"/>
  <c r="D17" i="111"/>
  <c r="E17" i="111"/>
  <c r="F17" i="111"/>
  <c r="G17" i="111"/>
  <c r="D18" i="111"/>
  <c r="E18" i="111"/>
  <c r="F18" i="111"/>
  <c r="G18" i="111"/>
  <c r="C3" i="111"/>
  <c r="C4" i="111"/>
  <c r="C8" i="111"/>
  <c r="C9" i="111"/>
  <c r="C10" i="111"/>
  <c r="C11" i="111"/>
  <c r="C12" i="111"/>
  <c r="C13" i="111"/>
  <c r="C14" i="111"/>
  <c r="C15" i="111"/>
  <c r="C16" i="111"/>
  <c r="C17" i="111"/>
  <c r="C18" i="111"/>
  <c r="C2" i="111"/>
  <c r="D1" i="111"/>
  <c r="E1" i="111"/>
  <c r="F1" i="111"/>
  <c r="G1" i="111"/>
  <c r="C1" i="111"/>
  <c r="B1" i="111"/>
  <c r="D8" i="109"/>
  <c r="E8" i="109"/>
  <c r="F8" i="109"/>
  <c r="G8" i="109"/>
  <c r="H8" i="109"/>
  <c r="D9" i="109"/>
  <c r="E9" i="109"/>
  <c r="F9" i="109"/>
  <c r="G9" i="109"/>
  <c r="H9" i="109"/>
  <c r="D10" i="109"/>
  <c r="E10" i="109"/>
  <c r="F10" i="109"/>
  <c r="G10" i="109"/>
  <c r="H10" i="109"/>
  <c r="D11" i="109"/>
  <c r="E11" i="109"/>
  <c r="F11" i="109"/>
  <c r="G11" i="109"/>
  <c r="H11" i="109"/>
  <c r="C10" i="109"/>
  <c r="C9" i="109"/>
  <c r="C11" i="109"/>
  <c r="D8" i="110"/>
  <c r="E8" i="110"/>
  <c r="F8" i="110"/>
  <c r="G8" i="110"/>
  <c r="H8" i="110"/>
  <c r="C8" i="110"/>
  <c r="H25" i="110"/>
  <c r="C24" i="110"/>
  <c r="H17" i="110"/>
  <c r="G17" i="110"/>
  <c r="F17" i="110"/>
  <c r="E17" i="110"/>
  <c r="D17" i="110"/>
  <c r="C17" i="110"/>
  <c r="H16" i="110"/>
  <c r="G16" i="110"/>
  <c r="F16" i="110"/>
  <c r="E16" i="110"/>
  <c r="D16" i="110"/>
  <c r="C16" i="110"/>
  <c r="H15" i="110"/>
  <c r="G15" i="110"/>
  <c r="F15" i="110"/>
  <c r="E15" i="110"/>
  <c r="D15" i="110"/>
  <c r="C15" i="110"/>
  <c r="H14" i="110"/>
  <c r="G14" i="110"/>
  <c r="F14" i="110"/>
  <c r="E14" i="110"/>
  <c r="D14" i="110"/>
  <c r="C14" i="110"/>
  <c r="H13" i="110"/>
  <c r="G13" i="110"/>
  <c r="F13" i="110"/>
  <c r="E13" i="110"/>
  <c r="D13" i="110"/>
  <c r="C13" i="110"/>
  <c r="H12" i="110"/>
  <c r="G12" i="110"/>
  <c r="F12" i="110"/>
  <c r="E12" i="110"/>
  <c r="D12" i="110"/>
  <c r="C12" i="110"/>
  <c r="H10" i="110"/>
  <c r="G10" i="110"/>
  <c r="F10" i="110"/>
  <c r="E10" i="110"/>
  <c r="D10" i="110"/>
  <c r="C10" i="110"/>
  <c r="H9" i="110"/>
  <c r="G9" i="110"/>
  <c r="F9" i="110"/>
  <c r="E9" i="110"/>
  <c r="D9" i="110"/>
  <c r="C9" i="110"/>
  <c r="H7" i="110"/>
  <c r="G7" i="110"/>
  <c r="F7" i="110"/>
  <c r="E7" i="110"/>
  <c r="D7" i="110"/>
  <c r="C7" i="110"/>
  <c r="H6" i="110"/>
  <c r="G6" i="110"/>
  <c r="F6" i="110"/>
  <c r="E6" i="110"/>
  <c r="D6" i="110"/>
  <c r="C6" i="110"/>
  <c r="H5" i="110"/>
  <c r="G5" i="110"/>
  <c r="F5" i="110"/>
  <c r="E5" i="110"/>
  <c r="D5" i="110"/>
  <c r="C5" i="110"/>
  <c r="H4" i="110"/>
  <c r="G4" i="110"/>
  <c r="F4" i="110"/>
  <c r="E4" i="110"/>
  <c r="D4" i="110"/>
  <c r="C4" i="110"/>
  <c r="H3" i="110"/>
  <c r="G3" i="110"/>
  <c r="F3" i="110"/>
  <c r="E3" i="110"/>
  <c r="D3" i="110"/>
  <c r="C3" i="110"/>
  <c r="H2" i="110"/>
  <c r="G2" i="110"/>
  <c r="F2" i="110"/>
  <c r="E2" i="110"/>
  <c r="D2" i="110"/>
  <c r="C2" i="110"/>
  <c r="C8" i="109"/>
  <c r="D6" i="109"/>
  <c r="E6" i="109"/>
  <c r="F6" i="109"/>
  <c r="G6" i="109"/>
  <c r="H6" i="109"/>
  <c r="C6" i="109"/>
  <c r="D2" i="109"/>
  <c r="E2" i="109"/>
  <c r="F2" i="109"/>
  <c r="G2" i="109"/>
  <c r="H2" i="109"/>
  <c r="D3" i="109"/>
  <c r="E3" i="109"/>
  <c r="F3" i="109"/>
  <c r="G3" i="109"/>
  <c r="H3" i="109"/>
  <c r="C3" i="109"/>
  <c r="H17" i="109"/>
  <c r="G17" i="109"/>
  <c r="F17" i="109"/>
  <c r="E17" i="109"/>
  <c r="D17" i="109"/>
  <c r="C17" i="109"/>
  <c r="H16" i="109"/>
  <c r="G16" i="109"/>
  <c r="F16" i="109"/>
  <c r="E16" i="109"/>
  <c r="D16" i="109"/>
  <c r="C16" i="109"/>
  <c r="H15" i="109"/>
  <c r="G15" i="109"/>
  <c r="F15" i="109"/>
  <c r="E15" i="109"/>
  <c r="D15" i="109"/>
  <c r="C15" i="109"/>
  <c r="H14" i="109"/>
  <c r="G14" i="109"/>
  <c r="F14" i="109"/>
  <c r="E14" i="109"/>
  <c r="D14" i="109"/>
  <c r="C14" i="109"/>
  <c r="H13" i="109"/>
  <c r="G13" i="109"/>
  <c r="F13" i="109"/>
  <c r="E13" i="109"/>
  <c r="D13" i="109"/>
  <c r="C13" i="109"/>
  <c r="H12" i="109"/>
  <c r="G12" i="109"/>
  <c r="F12" i="109"/>
  <c r="E12" i="109"/>
  <c r="D12" i="109"/>
  <c r="C12" i="109"/>
  <c r="H7" i="109"/>
  <c r="G7" i="109"/>
  <c r="F7" i="109"/>
  <c r="E7" i="109"/>
  <c r="D7" i="109"/>
  <c r="C7" i="109"/>
  <c r="H5" i="109"/>
  <c r="G5" i="109"/>
  <c r="F5" i="109"/>
  <c r="E5" i="109"/>
  <c r="D5" i="109"/>
  <c r="C5" i="109"/>
  <c r="H4" i="109"/>
  <c r="G4" i="109"/>
  <c r="F4" i="109"/>
  <c r="E4" i="109"/>
  <c r="D4" i="109"/>
  <c r="C4" i="109"/>
  <c r="C2" i="109"/>
  <c r="D25" i="101"/>
  <c r="E25" i="101"/>
  <c r="F25" i="101"/>
  <c r="G25" i="101"/>
  <c r="H25" i="101"/>
  <c r="D26" i="101"/>
  <c r="E26" i="101"/>
  <c r="H26" i="101"/>
  <c r="C26" i="101"/>
  <c r="C25" i="101"/>
  <c r="D15" i="107"/>
  <c r="E15" i="107"/>
  <c r="F15" i="107"/>
  <c r="G15" i="107"/>
  <c r="C15" i="107"/>
  <c r="B3" i="107"/>
  <c r="B4" i="107"/>
  <c r="B5" i="107"/>
  <c r="B6" i="107"/>
  <c r="B7" i="107"/>
  <c r="B8" i="107"/>
  <c r="B9" i="107"/>
  <c r="B10" i="107"/>
  <c r="B11" i="107"/>
  <c r="B12" i="107"/>
  <c r="B13" i="107"/>
  <c r="B14" i="107"/>
  <c r="B2" i="107"/>
  <c r="F24" i="39"/>
  <c r="E24" i="39"/>
  <c r="D24" i="39"/>
  <c r="D22" i="39" s="1"/>
  <c r="E21" i="39" s="1"/>
  <c r="C24" i="39"/>
  <c r="C22" i="39" s="1"/>
  <c r="D21" i="39" s="1"/>
  <c r="G23" i="39"/>
  <c r="F23" i="39"/>
  <c r="E23" i="39"/>
  <c r="D23" i="39"/>
  <c r="C23" i="39"/>
  <c r="C21" i="39" s="1"/>
  <c r="C21" i="23"/>
  <c r="D21" i="21"/>
  <c r="E21" i="21"/>
  <c r="F21" i="21"/>
  <c r="G21" i="21"/>
  <c r="H21" i="21"/>
  <c r="D22" i="21"/>
  <c r="E22" i="21"/>
  <c r="F22" i="21"/>
  <c r="G22" i="21"/>
  <c r="C22" i="21"/>
  <c r="C21" i="21"/>
  <c r="H24" i="38"/>
  <c r="G24" i="38"/>
  <c r="D23" i="38"/>
  <c r="E23" i="38"/>
  <c r="F23" i="38"/>
  <c r="G23" i="38"/>
  <c r="H23" i="38"/>
  <c r="I23" i="38"/>
  <c r="D24" i="38"/>
  <c r="E24" i="38"/>
  <c r="F24" i="38"/>
  <c r="C24" i="38"/>
  <c r="C23" i="38"/>
  <c r="D22" i="54"/>
  <c r="E22" i="54"/>
  <c r="F22" i="54"/>
  <c r="G22" i="54"/>
  <c r="D23" i="54"/>
  <c r="E23" i="54"/>
  <c r="F23" i="54"/>
  <c r="G23" i="54"/>
  <c r="C23" i="54"/>
  <c r="C22" i="54"/>
  <c r="D8" i="86"/>
  <c r="E8" i="86"/>
  <c r="F8" i="86"/>
  <c r="G8" i="86"/>
  <c r="C8" i="86"/>
  <c r="J1" i="86"/>
  <c r="K1" i="86" s="1"/>
  <c r="L1" i="86" s="1"/>
  <c r="M1" i="86" s="1"/>
  <c r="N1" i="86" s="1"/>
  <c r="O1" i="86" s="1"/>
  <c r="P1" i="86" s="1"/>
  <c r="Q1" i="86" s="1"/>
  <c r="R1" i="86" s="1"/>
  <c r="S1" i="86" s="1"/>
  <c r="T1" i="86" s="1"/>
  <c r="U1" i="86" s="1"/>
  <c r="V1" i="86" s="1"/>
  <c r="W1" i="86" s="1"/>
  <c r="X1" i="86" s="1"/>
  <c r="Y1" i="86" s="1"/>
  <c r="Z1" i="86" s="1"/>
  <c r="AA1" i="86" s="1"/>
  <c r="AB1" i="86" s="1"/>
  <c r="AC1" i="86" s="1"/>
  <c r="AD1" i="86" s="1"/>
  <c r="AE1" i="86" s="1"/>
  <c r="AF1" i="86" s="1"/>
  <c r="AG1" i="86" s="1"/>
  <c r="AH1" i="86" s="1"/>
  <c r="AI1" i="86" s="1"/>
  <c r="AJ1" i="86" s="1"/>
  <c r="AK1" i="86" s="1"/>
  <c r="AL1" i="86" s="1"/>
  <c r="AM1" i="86" s="1"/>
  <c r="AN1" i="86" s="1"/>
  <c r="AO1" i="86" s="1"/>
  <c r="AP1" i="86" s="1"/>
  <c r="AQ1" i="86" s="1"/>
  <c r="AR1" i="86" s="1"/>
  <c r="AS1" i="86" s="1"/>
  <c r="AT1" i="86" s="1"/>
  <c r="AU1" i="86" s="1"/>
  <c r="AV1" i="86" s="1"/>
  <c r="AW1" i="86" s="1"/>
  <c r="AX1" i="86" s="1"/>
  <c r="AY1" i="86" s="1"/>
  <c r="AZ1" i="86" s="1"/>
  <c r="BA1" i="86" s="1"/>
  <c r="BB1" i="86" s="1"/>
  <c r="BC1" i="86" s="1"/>
  <c r="BD1" i="86" s="1"/>
  <c r="BE1" i="86" s="1"/>
  <c r="BF1" i="86" s="1"/>
  <c r="BG1" i="86" s="1"/>
  <c r="BH1" i="86" s="1"/>
  <c r="BI1" i="86" s="1"/>
  <c r="BJ1" i="86" s="1"/>
  <c r="BK1" i="86" s="1"/>
  <c r="BL1" i="86" s="1"/>
  <c r="BM1" i="86" s="1"/>
  <c r="BN1" i="86" s="1"/>
  <c r="BO1" i="86" s="1"/>
  <c r="BP1" i="86" s="1"/>
  <c r="BQ1" i="86" s="1"/>
  <c r="BR1" i="86" s="1"/>
  <c r="BS1" i="86" s="1"/>
  <c r="BT1" i="86" s="1"/>
  <c r="BU1" i="86" s="1"/>
  <c r="BV1" i="86" s="1"/>
  <c r="BW1" i="86" s="1"/>
  <c r="BX1" i="86" s="1"/>
  <c r="BY1" i="86" s="1"/>
  <c r="BZ1" i="86" s="1"/>
  <c r="CA1" i="86" s="1"/>
  <c r="CB1" i="86" s="1"/>
  <c r="CC1" i="86" s="1"/>
  <c r="CD1" i="86" s="1"/>
  <c r="CE1" i="86" s="1"/>
  <c r="CF1" i="86" s="1"/>
  <c r="CG1" i="86" s="1"/>
  <c r="CH1" i="86" s="1"/>
  <c r="CI1" i="86" s="1"/>
  <c r="CJ1" i="86" s="1"/>
  <c r="CK1" i="86" s="1"/>
  <c r="CL1" i="86" s="1"/>
  <c r="CM1" i="86" s="1"/>
  <c r="CN1" i="86" s="1"/>
  <c r="CO1" i="86" s="1"/>
  <c r="CP1" i="86" s="1"/>
  <c r="CQ1" i="86" s="1"/>
  <c r="CR1" i="86" s="1"/>
  <c r="CS1" i="86" s="1"/>
  <c r="CT1" i="86" s="1"/>
  <c r="CU1" i="86" s="1"/>
  <c r="CV1" i="86" s="1"/>
  <c r="CW1" i="86" s="1"/>
  <c r="CX1" i="86" s="1"/>
  <c r="CY1" i="86" s="1"/>
  <c r="CZ1" i="86" s="1"/>
  <c r="DA1" i="86" s="1"/>
  <c r="DB1" i="86" s="1"/>
  <c r="DC1" i="86" s="1"/>
  <c r="DD1" i="86" s="1"/>
  <c r="DE1" i="86" s="1"/>
  <c r="DF1" i="86" s="1"/>
  <c r="DG1" i="86" s="1"/>
  <c r="DH1" i="86" s="1"/>
  <c r="DI1" i="86" s="1"/>
  <c r="DJ1" i="86" s="1"/>
  <c r="DK1" i="86" s="1"/>
  <c r="DL1" i="86" s="1"/>
  <c r="DM1" i="86" s="1"/>
  <c r="DN1" i="86" s="1"/>
  <c r="DO1" i="86" s="1"/>
  <c r="DP1" i="86" s="1"/>
  <c r="DQ1" i="86" s="1"/>
  <c r="DR1" i="86" s="1"/>
  <c r="DS1" i="86" s="1"/>
  <c r="D15" i="87"/>
  <c r="E15" i="87"/>
  <c r="F15" i="87"/>
  <c r="G15" i="87"/>
  <c r="H15" i="87"/>
  <c r="I15" i="87"/>
  <c r="J15" i="87"/>
  <c r="K15" i="87"/>
  <c r="C15" i="87"/>
  <c r="C21" i="65"/>
  <c r="D21" i="65"/>
  <c r="E21" i="65"/>
  <c r="F21" i="65"/>
  <c r="D20" i="65"/>
  <c r="E20" i="65"/>
  <c r="F20" i="65"/>
  <c r="C20" i="65"/>
  <c r="D22" i="5"/>
  <c r="C23" i="5" s="1"/>
  <c r="E22" i="5"/>
  <c r="D23" i="5" s="1"/>
  <c r="F22" i="5"/>
  <c r="E23" i="5" s="1"/>
  <c r="G22" i="5"/>
  <c r="G23" i="5" s="1"/>
  <c r="C22" i="5"/>
  <c r="G24" i="25"/>
  <c r="C25" i="25"/>
  <c r="C23" i="25" s="1"/>
  <c r="E24" i="55"/>
  <c r="F24" i="55"/>
  <c r="G24" i="55"/>
  <c r="D24" i="55"/>
  <c r="D23" i="55"/>
  <c r="E23" i="55"/>
  <c r="F23" i="55"/>
  <c r="G23" i="55"/>
  <c r="C24" i="55"/>
  <c r="C23" i="55"/>
  <c r="G22" i="31"/>
  <c r="G23" i="31"/>
  <c r="G23" i="60"/>
  <c r="G24" i="60"/>
  <c r="F23" i="31"/>
  <c r="E23" i="31"/>
  <c r="D23" i="31"/>
  <c r="C23" i="31"/>
  <c r="F22" i="31"/>
  <c r="E22" i="31"/>
  <c r="D22" i="31"/>
  <c r="C22" i="31"/>
  <c r="D24" i="60"/>
  <c r="E24" i="60"/>
  <c r="F24" i="60"/>
  <c r="C24" i="60"/>
  <c r="D23" i="60"/>
  <c r="E23" i="60"/>
  <c r="F23" i="60"/>
  <c r="C23" i="60"/>
  <c r="D27" i="106"/>
  <c r="E27" i="106"/>
  <c r="F27" i="106"/>
  <c r="C27" i="106"/>
  <c r="F29" i="106"/>
  <c r="C28" i="106"/>
  <c r="F47" i="102"/>
  <c r="E47" i="102"/>
  <c r="F46" i="102"/>
  <c r="E46" i="102"/>
  <c r="F45" i="102"/>
  <c r="E45" i="102"/>
  <c r="F44" i="102"/>
  <c r="E44" i="102"/>
  <c r="F43" i="102"/>
  <c r="E43" i="102"/>
  <c r="F42" i="102"/>
  <c r="E42" i="102"/>
  <c r="E43" i="103"/>
  <c r="F43" i="103"/>
  <c r="E44" i="103"/>
  <c r="F44" i="103"/>
  <c r="E45" i="103"/>
  <c r="F45" i="103"/>
  <c r="E46" i="103"/>
  <c r="F46" i="103"/>
  <c r="E47" i="103"/>
  <c r="F47" i="103"/>
  <c r="F42" i="103"/>
  <c r="E42" i="103"/>
  <c r="D18" i="101"/>
  <c r="E18" i="101"/>
  <c r="F18" i="101"/>
  <c r="G18" i="101"/>
  <c r="H18" i="101"/>
  <c r="C18" i="101"/>
  <c r="D17" i="101"/>
  <c r="E17" i="101"/>
  <c r="F17" i="101"/>
  <c r="G17" i="101"/>
  <c r="H17" i="101"/>
  <c r="C17" i="101"/>
  <c r="D16" i="101"/>
  <c r="E16" i="101"/>
  <c r="F16" i="101"/>
  <c r="G16" i="101"/>
  <c r="H16" i="101"/>
  <c r="C16" i="101"/>
  <c r="G14" i="101"/>
  <c r="D14" i="101"/>
  <c r="E14" i="101"/>
  <c r="F14" i="101"/>
  <c r="H14" i="101"/>
  <c r="C14" i="101"/>
  <c r="C3" i="101"/>
  <c r="D3" i="101"/>
  <c r="E3" i="101"/>
  <c r="F3" i="101"/>
  <c r="G3" i="101"/>
  <c r="H3" i="101"/>
  <c r="C4" i="101"/>
  <c r="D4" i="101"/>
  <c r="E4" i="101"/>
  <c r="F4" i="101"/>
  <c r="G4" i="101"/>
  <c r="H4" i="101"/>
  <c r="C5" i="101"/>
  <c r="D5" i="101"/>
  <c r="E5" i="101"/>
  <c r="F5" i="101"/>
  <c r="G5" i="101"/>
  <c r="H5" i="101"/>
  <c r="C6" i="101"/>
  <c r="D6" i="101"/>
  <c r="E6" i="101"/>
  <c r="F6" i="101"/>
  <c r="G6" i="101"/>
  <c r="H6" i="101"/>
  <c r="C7" i="101"/>
  <c r="D7" i="101"/>
  <c r="E7" i="101"/>
  <c r="F7" i="101"/>
  <c r="G7" i="101"/>
  <c r="H7" i="101"/>
  <c r="C8" i="101"/>
  <c r="D8" i="101"/>
  <c r="E8" i="101"/>
  <c r="F8" i="101"/>
  <c r="G8" i="101"/>
  <c r="H8" i="101"/>
  <c r="C9" i="101"/>
  <c r="D9" i="101"/>
  <c r="E9" i="101"/>
  <c r="F9" i="101"/>
  <c r="G9" i="101"/>
  <c r="H9" i="101"/>
  <c r="C10" i="101"/>
  <c r="D10" i="101"/>
  <c r="E10" i="101"/>
  <c r="F10" i="101"/>
  <c r="G10" i="101"/>
  <c r="H10" i="101"/>
  <c r="C11" i="101"/>
  <c r="D11" i="101"/>
  <c r="E11" i="101"/>
  <c r="F11" i="101"/>
  <c r="G11" i="101"/>
  <c r="H11" i="101"/>
  <c r="C12" i="101"/>
  <c r="D12" i="101"/>
  <c r="E12" i="101"/>
  <c r="F12" i="101"/>
  <c r="G12" i="101"/>
  <c r="H12" i="101"/>
  <c r="C13" i="101"/>
  <c r="D13" i="101"/>
  <c r="E13" i="101"/>
  <c r="F13" i="101"/>
  <c r="G13" i="101"/>
  <c r="H13" i="101"/>
  <c r="C15" i="101"/>
  <c r="D15" i="101"/>
  <c r="E15" i="101"/>
  <c r="F15" i="101"/>
  <c r="G15" i="101"/>
  <c r="H15" i="101"/>
  <c r="D2" i="101"/>
  <c r="E2" i="101"/>
  <c r="F2" i="101"/>
  <c r="G2" i="101"/>
  <c r="H2" i="101"/>
  <c r="D1" i="101"/>
  <c r="E1" i="101"/>
  <c r="F1" i="101"/>
  <c r="G1" i="101"/>
  <c r="H1" i="101"/>
  <c r="C1" i="101"/>
  <c r="C2" i="101"/>
  <c r="E22" i="39" l="1"/>
  <c r="F21" i="39" s="1"/>
  <c r="F22" i="39"/>
  <c r="G21" i="39" s="1"/>
  <c r="F25" i="11"/>
  <c r="G24" i="11" s="1"/>
  <c r="E25" i="11"/>
  <c r="F24" i="11" s="1"/>
  <c r="G22" i="129"/>
  <c r="F22" i="129"/>
  <c r="E22" i="129"/>
  <c r="D22" i="129"/>
  <c r="D23" i="129"/>
  <c r="G23" i="129"/>
  <c r="C23" i="129"/>
  <c r="F19" i="129"/>
  <c r="E19" i="129"/>
  <c r="F23" i="129"/>
  <c r="E23" i="129"/>
  <c r="C19" i="129"/>
  <c r="G19" i="129"/>
  <c r="C22" i="129"/>
  <c r="F23" i="5"/>
  <c r="D14" i="99"/>
  <c r="E14" i="99"/>
  <c r="F14" i="99"/>
  <c r="G14" i="99"/>
  <c r="H14" i="99"/>
  <c r="C14" i="99"/>
  <c r="D10" i="99"/>
  <c r="E10" i="99"/>
  <c r="F10" i="99"/>
  <c r="G10" i="99"/>
  <c r="H10" i="99"/>
  <c r="C10" i="99"/>
  <c r="D9" i="99"/>
  <c r="E9" i="99"/>
  <c r="F9" i="99"/>
  <c r="G9" i="99"/>
  <c r="H9" i="99"/>
  <c r="C9" i="99"/>
  <c r="D8" i="99"/>
  <c r="E8" i="99"/>
  <c r="F8" i="99"/>
  <c r="G8" i="99"/>
  <c r="H8" i="99"/>
  <c r="C8" i="99"/>
  <c r="D6" i="99"/>
  <c r="E6" i="99"/>
  <c r="F6" i="99"/>
  <c r="G6" i="99"/>
  <c r="H6" i="99"/>
  <c r="C6" i="99"/>
  <c r="D3" i="99"/>
  <c r="E3" i="99"/>
  <c r="F3" i="99"/>
  <c r="G3" i="99"/>
  <c r="H3" i="99"/>
  <c r="C3" i="99"/>
  <c r="C4" i="99"/>
  <c r="H17" i="99"/>
  <c r="G17" i="99"/>
  <c r="F17" i="99"/>
  <c r="E17" i="99"/>
  <c r="D17" i="99"/>
  <c r="C17" i="99"/>
  <c r="H16" i="99"/>
  <c r="G16" i="99"/>
  <c r="F16" i="99"/>
  <c r="E16" i="99"/>
  <c r="D16" i="99"/>
  <c r="C16" i="99"/>
  <c r="H15" i="99"/>
  <c r="G15" i="99"/>
  <c r="F15" i="99"/>
  <c r="E15" i="99"/>
  <c r="D15" i="99"/>
  <c r="C15" i="99"/>
  <c r="H13" i="99"/>
  <c r="G13" i="99"/>
  <c r="F13" i="99"/>
  <c r="E13" i="99"/>
  <c r="D13" i="99"/>
  <c r="C13" i="99"/>
  <c r="H12" i="99"/>
  <c r="G12" i="99"/>
  <c r="F12" i="99"/>
  <c r="E12" i="99"/>
  <c r="D12" i="99"/>
  <c r="C12" i="99"/>
  <c r="H7" i="99"/>
  <c r="G7" i="99"/>
  <c r="F7" i="99"/>
  <c r="E7" i="99"/>
  <c r="D7" i="99"/>
  <c r="C7" i="99"/>
  <c r="H5" i="99"/>
  <c r="G5" i="99"/>
  <c r="F5" i="99"/>
  <c r="E5" i="99"/>
  <c r="D5" i="99"/>
  <c r="C5" i="99"/>
  <c r="H4" i="99"/>
  <c r="G4" i="99"/>
  <c r="F4" i="99"/>
  <c r="E4" i="99"/>
  <c r="D4" i="99"/>
  <c r="H2" i="99"/>
  <c r="G2" i="99"/>
  <c r="F2" i="99"/>
  <c r="E2" i="99"/>
  <c r="D2" i="99"/>
  <c r="C2" i="99"/>
  <c r="D2" i="98"/>
  <c r="E2" i="98"/>
  <c r="F2" i="98"/>
  <c r="G2" i="98"/>
  <c r="H2" i="98"/>
  <c r="D3" i="98"/>
  <c r="E3" i="98"/>
  <c r="F3" i="98"/>
  <c r="G3" i="98"/>
  <c r="H3" i="98"/>
  <c r="D4" i="98"/>
  <c r="E4" i="98"/>
  <c r="F4" i="98"/>
  <c r="G4" i="98"/>
  <c r="H4" i="98"/>
  <c r="D5" i="98"/>
  <c r="E5" i="98"/>
  <c r="F5" i="98"/>
  <c r="G5" i="98"/>
  <c r="H5" i="98"/>
  <c r="D6" i="98"/>
  <c r="E6" i="98"/>
  <c r="F6" i="98"/>
  <c r="G6" i="98"/>
  <c r="H6" i="98"/>
  <c r="D7" i="98"/>
  <c r="E7" i="98"/>
  <c r="F7" i="98"/>
  <c r="G7" i="98"/>
  <c r="H7" i="98"/>
  <c r="D8" i="98"/>
  <c r="E8" i="98"/>
  <c r="F8" i="98"/>
  <c r="G8" i="98"/>
  <c r="H8" i="98"/>
  <c r="D9" i="98"/>
  <c r="E9" i="98"/>
  <c r="F9" i="98"/>
  <c r="G9" i="98"/>
  <c r="H9" i="98"/>
  <c r="D10" i="98"/>
  <c r="E10" i="98"/>
  <c r="F10" i="98"/>
  <c r="G10" i="98"/>
  <c r="H10" i="98"/>
  <c r="D11" i="98"/>
  <c r="E11" i="98"/>
  <c r="F11" i="98"/>
  <c r="G11" i="98"/>
  <c r="H11" i="98"/>
  <c r="D12" i="98"/>
  <c r="E12" i="98"/>
  <c r="F12" i="98"/>
  <c r="G12" i="98"/>
  <c r="H12" i="98"/>
  <c r="D13" i="98"/>
  <c r="E13" i="98"/>
  <c r="F13" i="98"/>
  <c r="G13" i="98"/>
  <c r="H13" i="98"/>
  <c r="D14" i="98"/>
  <c r="E14" i="98"/>
  <c r="F14" i="98"/>
  <c r="G14" i="98"/>
  <c r="H14" i="98"/>
  <c r="D15" i="98"/>
  <c r="E15" i="98"/>
  <c r="F15" i="98"/>
  <c r="G15" i="98"/>
  <c r="H15" i="98"/>
  <c r="D16" i="98"/>
  <c r="E16" i="98"/>
  <c r="F16" i="98"/>
  <c r="G16" i="98"/>
  <c r="H16" i="98"/>
  <c r="D17" i="98"/>
  <c r="E17" i="98"/>
  <c r="F17" i="98"/>
  <c r="G17" i="98"/>
  <c r="H17" i="98"/>
  <c r="C14" i="98"/>
  <c r="C11" i="98"/>
  <c r="C10" i="98"/>
  <c r="C9" i="98"/>
  <c r="C8" i="98"/>
  <c r="C6" i="98"/>
  <c r="C3" i="98"/>
  <c r="C4" i="98"/>
  <c r="C5" i="98"/>
  <c r="C7" i="98"/>
  <c r="C12" i="98"/>
  <c r="C13" i="98"/>
  <c r="C15" i="98"/>
  <c r="C16" i="98"/>
  <c r="C17" i="98"/>
  <c r="C2" i="98"/>
  <c r="D18" i="97"/>
  <c r="E18" i="97"/>
  <c r="F18" i="97"/>
  <c r="G18" i="97"/>
  <c r="H18" i="97"/>
  <c r="C18" i="97"/>
  <c r="F22" i="97"/>
  <c r="G22" i="97"/>
  <c r="H22" i="97"/>
  <c r="E22" i="97"/>
  <c r="D22" i="97"/>
  <c r="C22" i="97"/>
  <c r="D15" i="97"/>
  <c r="E15" i="97"/>
  <c r="F15" i="97"/>
  <c r="G15" i="97"/>
  <c r="H15" i="97"/>
  <c r="C15" i="97"/>
  <c r="C13" i="97"/>
  <c r="D13" i="97"/>
  <c r="E13" i="97"/>
  <c r="F13" i="97"/>
  <c r="G13" i="97"/>
  <c r="H13" i="97"/>
  <c r="D12" i="97"/>
  <c r="E12" i="97"/>
  <c r="F12" i="97"/>
  <c r="G12" i="97"/>
  <c r="H12" i="97"/>
  <c r="C12" i="97"/>
  <c r="F10" i="97"/>
  <c r="G10" i="97"/>
  <c r="H10" i="97"/>
  <c r="D10" i="97"/>
  <c r="E10" i="97"/>
  <c r="C10" i="97"/>
  <c r="D4" i="97"/>
  <c r="E4" i="97"/>
  <c r="F4" i="97"/>
  <c r="C4" i="97"/>
  <c r="C3" i="97"/>
  <c r="D3" i="97"/>
  <c r="E3" i="97"/>
  <c r="F3" i="97"/>
  <c r="G3" i="97"/>
  <c r="H3" i="97"/>
  <c r="G4" i="97"/>
  <c r="H4" i="97"/>
  <c r="C5" i="97"/>
  <c r="D5" i="97"/>
  <c r="E5" i="97"/>
  <c r="F5" i="97"/>
  <c r="G5" i="97"/>
  <c r="H5" i="97"/>
  <c r="C6" i="97"/>
  <c r="D6" i="97"/>
  <c r="E6" i="97"/>
  <c r="F6" i="97"/>
  <c r="G6" i="97"/>
  <c r="H6" i="97"/>
  <c r="C7" i="97"/>
  <c r="D7" i="97"/>
  <c r="E7" i="97"/>
  <c r="F7" i="97"/>
  <c r="G7" i="97"/>
  <c r="H7" i="97"/>
  <c r="C8" i="97"/>
  <c r="D8" i="97"/>
  <c r="E8" i="97"/>
  <c r="F8" i="97"/>
  <c r="G8" i="97"/>
  <c r="H8" i="97"/>
  <c r="C9" i="97"/>
  <c r="D9" i="97"/>
  <c r="E9" i="97"/>
  <c r="F9" i="97"/>
  <c r="G9" i="97"/>
  <c r="H9" i="97"/>
  <c r="C11" i="97"/>
  <c r="D11" i="97"/>
  <c r="E11" i="97"/>
  <c r="F11" i="97"/>
  <c r="G11" i="97"/>
  <c r="H11" i="97"/>
  <c r="C14" i="97"/>
  <c r="D14" i="97"/>
  <c r="E14" i="97"/>
  <c r="F14" i="97"/>
  <c r="G14" i="97"/>
  <c r="H14" i="97"/>
  <c r="C16" i="97"/>
  <c r="D16" i="97"/>
  <c r="E16" i="97"/>
  <c r="F16" i="97"/>
  <c r="G16" i="97"/>
  <c r="H16" i="97"/>
  <c r="C17" i="97"/>
  <c r="D17" i="97"/>
  <c r="E17" i="97"/>
  <c r="F17" i="97"/>
  <c r="G17" i="97"/>
  <c r="H17" i="97"/>
  <c r="C19" i="97"/>
  <c r="D19" i="97"/>
  <c r="E19" i="97"/>
  <c r="F19" i="97"/>
  <c r="G19" i="97"/>
  <c r="H19" i="97"/>
  <c r="C20" i="97"/>
  <c r="D20" i="97"/>
  <c r="E20" i="97"/>
  <c r="F20" i="97"/>
  <c r="G20" i="97"/>
  <c r="H20" i="97"/>
  <c r="C21" i="97"/>
  <c r="D21" i="97"/>
  <c r="E21" i="97"/>
  <c r="F21" i="97"/>
  <c r="G21" i="97"/>
  <c r="H21" i="97"/>
  <c r="D2" i="97"/>
  <c r="E2" i="97"/>
  <c r="F2" i="97"/>
  <c r="G2" i="97"/>
  <c r="H2" i="97"/>
  <c r="C2" i="97"/>
  <c r="D1" i="97"/>
  <c r="E1" i="97"/>
  <c r="F1" i="97"/>
  <c r="G1" i="97"/>
  <c r="H1" i="97"/>
  <c r="C1" i="97"/>
  <c r="G31" i="96"/>
  <c r="H31" i="96"/>
  <c r="G32" i="96"/>
  <c r="H32" i="96"/>
  <c r="G33" i="96"/>
  <c r="H33" i="96"/>
  <c r="G34" i="96"/>
  <c r="H34" i="96"/>
  <c r="H30" i="96"/>
  <c r="G30" i="96"/>
  <c r="J31" i="96"/>
  <c r="J32" i="96"/>
  <c r="J33" i="96"/>
  <c r="J34" i="96"/>
  <c r="J30" i="96"/>
  <c r="I31" i="96"/>
  <c r="K31" i="96"/>
  <c r="L31" i="96"/>
  <c r="M31" i="96"/>
  <c r="N31" i="96"/>
  <c r="I32" i="96"/>
  <c r="K32" i="96"/>
  <c r="L32" i="96"/>
  <c r="M32" i="96"/>
  <c r="N32" i="96"/>
  <c r="I33" i="96"/>
  <c r="K33" i="96"/>
  <c r="L33" i="96"/>
  <c r="M33" i="96"/>
  <c r="N33" i="96"/>
  <c r="I34" i="96"/>
  <c r="K34" i="96"/>
  <c r="L34" i="96"/>
  <c r="M34" i="96"/>
  <c r="N34" i="96"/>
  <c r="K30" i="96"/>
  <c r="L30" i="96"/>
  <c r="M30" i="96"/>
  <c r="N30" i="96"/>
  <c r="I30" i="96"/>
  <c r="C30" i="96"/>
  <c r="D30" i="96"/>
  <c r="E30" i="96"/>
  <c r="F30" i="96"/>
  <c r="C31" i="96"/>
  <c r="D31" i="96"/>
  <c r="E31" i="96"/>
  <c r="F31" i="96"/>
  <c r="C32" i="96"/>
  <c r="D32" i="96"/>
  <c r="E32" i="96"/>
  <c r="F32" i="96"/>
  <c r="C33" i="96"/>
  <c r="D33" i="96"/>
  <c r="E33" i="96"/>
  <c r="F33" i="96"/>
  <c r="C34" i="96"/>
  <c r="D34" i="96"/>
  <c r="E34" i="96"/>
  <c r="F34" i="96"/>
  <c r="B31" i="96"/>
  <c r="B32" i="96"/>
  <c r="B33" i="96"/>
  <c r="B34" i="96"/>
  <c r="B30" i="96"/>
  <c r="B1" i="96" l="1" a="1"/>
  <c r="B1" i="96" s="1"/>
  <c r="C3" i="93"/>
  <c r="D18" i="93"/>
  <c r="E18" i="93"/>
  <c r="F18" i="93"/>
  <c r="C18" i="93"/>
  <c r="C17" i="93"/>
  <c r="D17" i="93"/>
  <c r="E17" i="93"/>
  <c r="F17" i="93"/>
  <c r="F16" i="93"/>
  <c r="E16" i="93"/>
  <c r="D16" i="93"/>
  <c r="C16" i="93"/>
  <c r="F15" i="93"/>
  <c r="E15" i="93"/>
  <c r="D15" i="93"/>
  <c r="C15" i="93"/>
  <c r="F14" i="93"/>
  <c r="E14" i="93"/>
  <c r="D14" i="93"/>
  <c r="C14" i="93"/>
  <c r="D13" i="93"/>
  <c r="E13" i="93"/>
  <c r="F13" i="93"/>
  <c r="C13" i="93"/>
  <c r="F9" i="93"/>
  <c r="E9" i="93"/>
  <c r="D9" i="93"/>
  <c r="C9" i="93"/>
  <c r="D7" i="93"/>
  <c r="E7" i="93"/>
  <c r="F7" i="93"/>
  <c r="C7" i="93"/>
  <c r="E3" i="93"/>
  <c r="F3" i="93"/>
  <c r="D3" i="93"/>
  <c r="C6" i="93"/>
  <c r="F6" i="93"/>
  <c r="E6" i="93"/>
  <c r="D6" i="93"/>
  <c r="D2" i="93"/>
  <c r="E2" i="93"/>
  <c r="F2" i="93"/>
  <c r="C2" i="93"/>
  <c r="D1" i="90" a="1"/>
  <c r="D1" i="90" s="1"/>
  <c r="C1" i="89" a="1"/>
  <c r="C1" i="89" s="1"/>
  <c r="D17" i="88"/>
  <c r="E17" i="88"/>
  <c r="F17" i="88"/>
  <c r="G17" i="88"/>
  <c r="C17" i="88"/>
  <c r="D2" i="9"/>
  <c r="E2" i="9"/>
  <c r="F2" i="9"/>
  <c r="G2" i="9"/>
  <c r="H2" i="9"/>
  <c r="C2" i="9"/>
  <c r="D6" i="86"/>
  <c r="E6" i="86"/>
  <c r="F6" i="86"/>
  <c r="G6" i="86"/>
  <c r="C6" i="86"/>
  <c r="G11" i="86"/>
  <c r="F11" i="86"/>
  <c r="E11" i="86"/>
  <c r="D11" i="86"/>
  <c r="C11" i="86"/>
  <c r="C5" i="86"/>
  <c r="D5" i="86"/>
  <c r="E5" i="86"/>
  <c r="F5" i="86"/>
  <c r="G5" i="86"/>
  <c r="C7" i="86"/>
  <c r="D7" i="86"/>
  <c r="E7" i="86"/>
  <c r="F7" i="86"/>
  <c r="G7" i="86"/>
  <c r="C9" i="86"/>
  <c r="D9" i="86"/>
  <c r="E9" i="86"/>
  <c r="F9" i="86"/>
  <c r="G9" i="86"/>
  <c r="C10" i="86"/>
  <c r="D10" i="86"/>
  <c r="E10" i="86"/>
  <c r="F10" i="86"/>
  <c r="G10" i="86"/>
  <c r="C12" i="86"/>
  <c r="D12" i="86"/>
  <c r="E12" i="86"/>
  <c r="F12" i="86"/>
  <c r="G12" i="86"/>
  <c r="C13" i="86"/>
  <c r="D13" i="86"/>
  <c r="E13" i="86"/>
  <c r="F13" i="86"/>
  <c r="G13" i="86"/>
  <c r="C14" i="86"/>
  <c r="D14" i="86"/>
  <c r="E14" i="86"/>
  <c r="F14" i="86"/>
  <c r="G14" i="86"/>
  <c r="D4" i="86"/>
  <c r="E4" i="86"/>
  <c r="F4" i="86"/>
  <c r="G4" i="86"/>
  <c r="C4" i="86"/>
  <c r="C3" i="86"/>
  <c r="D3" i="86"/>
  <c r="E3" i="86"/>
  <c r="F3" i="86"/>
  <c r="G3" i="86"/>
  <c r="D2" i="86"/>
  <c r="E2" i="86"/>
  <c r="F2" i="86"/>
  <c r="G2" i="86"/>
  <c r="C2" i="86"/>
  <c r="D1" i="86"/>
  <c r="E1" i="86"/>
  <c r="F1" i="86"/>
  <c r="G1" i="86"/>
  <c r="C1" i="86"/>
  <c r="B2" i="86"/>
  <c r="B3" i="86"/>
  <c r="B4" i="86"/>
  <c r="B5" i="86"/>
  <c r="B6" i="86"/>
  <c r="B7" i="86"/>
  <c r="B8" i="86"/>
  <c r="B9" i="86"/>
  <c r="B10" i="86"/>
  <c r="B11" i="86"/>
  <c r="B12" i="86"/>
  <c r="B13" i="86"/>
  <c r="B14" i="86"/>
  <c r="B23" i="85" a="1"/>
  <c r="B23" i="85" s="1"/>
  <c r="B1" i="85" s="1"/>
  <c r="C23" i="81"/>
  <c r="C24" i="81"/>
  <c r="D23" i="81"/>
  <c r="E23" i="81"/>
  <c r="F23" i="81"/>
  <c r="G23" i="81"/>
  <c r="D24" i="81"/>
  <c r="E24" i="81"/>
  <c r="F24" i="81"/>
  <c r="G24" i="81"/>
  <c r="H30" i="83"/>
  <c r="H29" i="83"/>
  <c r="H28" i="83"/>
  <c r="H27" i="83"/>
  <c r="H26" i="83"/>
  <c r="H25" i="83"/>
  <c r="G30" i="83"/>
  <c r="G29" i="83"/>
  <c r="G28" i="83"/>
  <c r="G27" i="83"/>
  <c r="G26" i="83"/>
  <c r="G25" i="83"/>
  <c r="E30" i="83"/>
  <c r="E29" i="83"/>
  <c r="E28" i="83"/>
  <c r="E27" i="83"/>
  <c r="E26" i="83"/>
  <c r="E25" i="83"/>
  <c r="D30" i="83"/>
  <c r="D29" i="83"/>
  <c r="D28" i="83"/>
  <c r="D27" i="83"/>
  <c r="D26" i="83"/>
  <c r="D25" i="83"/>
  <c r="C26" i="83"/>
  <c r="C27" i="83"/>
  <c r="C28" i="83"/>
  <c r="C29" i="83"/>
  <c r="C30" i="83"/>
  <c r="C25" i="83"/>
  <c r="C24" i="83"/>
  <c r="D24" i="83"/>
  <c r="E24" i="83"/>
  <c r="F24" i="83"/>
  <c r="G24" i="83"/>
  <c r="H24" i="83"/>
  <c r="I24" i="83"/>
  <c r="J24" i="83"/>
  <c r="K24" i="83"/>
  <c r="L24" i="83"/>
  <c r="F25" i="83"/>
  <c r="I25" i="83"/>
  <c r="J25" i="83"/>
  <c r="K25" i="83"/>
  <c r="L25" i="83"/>
  <c r="F26" i="83"/>
  <c r="I26" i="83"/>
  <c r="J26" i="83"/>
  <c r="K26" i="83"/>
  <c r="L26" i="83"/>
  <c r="F27" i="83"/>
  <c r="I27" i="83"/>
  <c r="J27" i="83"/>
  <c r="K27" i="83"/>
  <c r="L27" i="83"/>
  <c r="F28" i="83"/>
  <c r="I28" i="83"/>
  <c r="J28" i="83"/>
  <c r="K28" i="83"/>
  <c r="L28" i="83"/>
  <c r="F29" i="83"/>
  <c r="I29" i="83"/>
  <c r="J29" i="83"/>
  <c r="K29" i="83"/>
  <c r="L29" i="83"/>
  <c r="F30" i="83"/>
  <c r="I30" i="83"/>
  <c r="J30" i="83"/>
  <c r="K30" i="83"/>
  <c r="L30" i="83"/>
  <c r="B30" i="83"/>
  <c r="B25" i="83"/>
  <c r="B26" i="83"/>
  <c r="B27" i="83"/>
  <c r="B28" i="83"/>
  <c r="B29" i="83"/>
  <c r="B24" i="83"/>
  <c r="B1" i="83" s="1" a="1"/>
  <c r="B1" i="83" s="1"/>
  <c r="I29" i="82"/>
  <c r="I28" i="82"/>
  <c r="I27" i="82"/>
  <c r="I26" i="82"/>
  <c r="I25" i="82"/>
  <c r="F29" i="82"/>
  <c r="F28" i="82"/>
  <c r="F27" i="82"/>
  <c r="F26" i="82"/>
  <c r="F25" i="82"/>
  <c r="K25" i="82"/>
  <c r="K26" i="82"/>
  <c r="K27" i="82"/>
  <c r="K28" i="82"/>
  <c r="K29" i="82"/>
  <c r="J26" i="82"/>
  <c r="J27" i="82"/>
  <c r="J28" i="82"/>
  <c r="J29" i="82"/>
  <c r="J25" i="82"/>
  <c r="H29" i="82"/>
  <c r="H28" i="82"/>
  <c r="H27" i="82"/>
  <c r="H26" i="82"/>
  <c r="H25" i="82"/>
  <c r="G29" i="82"/>
  <c r="G28" i="82"/>
  <c r="G27" i="82"/>
  <c r="G26" i="82"/>
  <c r="G25" i="82"/>
  <c r="D25" i="82"/>
  <c r="E25" i="82"/>
  <c r="D26" i="82"/>
  <c r="E26" i="82"/>
  <c r="D27" i="82"/>
  <c r="E27" i="82"/>
  <c r="D28" i="82"/>
  <c r="E28" i="82"/>
  <c r="D29" i="82"/>
  <c r="E29" i="82"/>
  <c r="C26" i="82"/>
  <c r="C27" i="82"/>
  <c r="C28" i="82"/>
  <c r="C29" i="82"/>
  <c r="C25" i="82"/>
  <c r="D27" i="81"/>
  <c r="D13" i="81" s="1"/>
  <c r="E27" i="81"/>
  <c r="E13" i="81" s="1"/>
  <c r="F27" i="81"/>
  <c r="F13" i="81" s="1"/>
  <c r="G27" i="81"/>
  <c r="G13" i="81" s="1"/>
  <c r="C27" i="81"/>
  <c r="C13" i="81" s="1"/>
  <c r="C29" i="81"/>
  <c r="D13" i="79"/>
  <c r="E13" i="79"/>
  <c r="F13" i="79"/>
  <c r="G13" i="79"/>
  <c r="H13" i="79"/>
  <c r="C13" i="79"/>
  <c r="E21" i="78"/>
  <c r="F21" i="78"/>
  <c r="D21" i="78"/>
  <c r="E10" i="74"/>
  <c r="F10" i="74"/>
  <c r="G10" i="74"/>
  <c r="H10" i="74"/>
  <c r="D10" i="74"/>
  <c r="C10" i="74"/>
  <c r="D9" i="74"/>
  <c r="E9" i="74"/>
  <c r="F9" i="74"/>
  <c r="G9" i="74"/>
  <c r="H9" i="74"/>
  <c r="C9" i="74"/>
  <c r="G6" i="74"/>
  <c r="D6" i="74"/>
  <c r="F5" i="74"/>
  <c r="G5" i="74"/>
  <c r="H5" i="74"/>
  <c r="E5" i="74"/>
  <c r="F3" i="74"/>
  <c r="D3" i="74"/>
  <c r="D2" i="74"/>
  <c r="E2" i="74"/>
  <c r="F2" i="74"/>
  <c r="G2" i="74"/>
  <c r="H2" i="74"/>
  <c r="E3" i="74"/>
  <c r="G3" i="74"/>
  <c r="H3" i="74"/>
  <c r="D5" i="74"/>
  <c r="E6" i="74"/>
  <c r="F6" i="74"/>
  <c r="H6" i="74"/>
  <c r="D7" i="74"/>
  <c r="E7" i="74"/>
  <c r="F7" i="74"/>
  <c r="G7" i="74"/>
  <c r="H7" i="74"/>
  <c r="D8" i="74"/>
  <c r="E8" i="74"/>
  <c r="F8" i="74"/>
  <c r="G8" i="74"/>
  <c r="H8" i="74"/>
  <c r="D11" i="74"/>
  <c r="E11" i="74"/>
  <c r="F11" i="74"/>
  <c r="G11" i="74"/>
  <c r="H11" i="74"/>
  <c r="D12" i="74"/>
  <c r="E12" i="74"/>
  <c r="F12" i="74"/>
  <c r="G12" i="74"/>
  <c r="H12" i="74"/>
  <c r="D13" i="74"/>
  <c r="E13" i="74"/>
  <c r="F13" i="74"/>
  <c r="G13" i="74"/>
  <c r="H13" i="74"/>
  <c r="D14" i="74"/>
  <c r="E14" i="74"/>
  <c r="F14" i="74"/>
  <c r="G14" i="74"/>
  <c r="H14" i="74"/>
  <c r="D15" i="74"/>
  <c r="E15" i="74"/>
  <c r="F15" i="74"/>
  <c r="G15" i="74"/>
  <c r="H15" i="74"/>
  <c r="D16" i="74"/>
  <c r="E16" i="74"/>
  <c r="F16" i="74"/>
  <c r="G16" i="74"/>
  <c r="H16" i="74"/>
  <c r="C12" i="74"/>
  <c r="C11" i="74"/>
  <c r="C8" i="74"/>
  <c r="C7" i="74"/>
  <c r="C6" i="74"/>
  <c r="C5" i="74"/>
  <c r="C3" i="74"/>
  <c r="C13" i="74"/>
  <c r="C14" i="74"/>
  <c r="C15" i="74"/>
  <c r="C16" i="74"/>
  <c r="C2" i="74"/>
  <c r="D20" i="73"/>
  <c r="E20" i="73"/>
  <c r="F20" i="73"/>
  <c r="C20" i="73"/>
  <c r="D14" i="56"/>
  <c r="E14" i="56"/>
  <c r="F14" i="56"/>
  <c r="G14" i="56"/>
  <c r="H14" i="56"/>
  <c r="I14" i="56"/>
  <c r="C14" i="56"/>
  <c r="D19" i="71"/>
  <c r="E19" i="71"/>
  <c r="F19" i="71"/>
  <c r="C19" i="71"/>
  <c r="E19" i="70"/>
  <c r="F19" i="70"/>
  <c r="D19" i="70"/>
  <c r="E21" i="69"/>
  <c r="F21" i="69"/>
  <c r="G21" i="69"/>
  <c r="H21" i="69"/>
  <c r="I21" i="69"/>
  <c r="J21" i="69"/>
  <c r="E22" i="69"/>
  <c r="F22" i="69"/>
  <c r="G22" i="69"/>
  <c r="H22" i="69"/>
  <c r="I22" i="69"/>
  <c r="J22" i="69"/>
  <c r="D22" i="69"/>
  <c r="D21" i="69"/>
  <c r="D10" i="67"/>
  <c r="E10" i="67"/>
  <c r="F10" i="67"/>
  <c r="G10" i="67"/>
  <c r="C10" i="67"/>
  <c r="E2" i="67"/>
  <c r="F2" i="67"/>
  <c r="G2" i="67"/>
  <c r="E3" i="67"/>
  <c r="F3" i="67"/>
  <c r="G3" i="67"/>
  <c r="E4" i="67"/>
  <c r="F4" i="67"/>
  <c r="G4" i="67"/>
  <c r="E5" i="67"/>
  <c r="F5" i="67"/>
  <c r="G5" i="67"/>
  <c r="E6" i="67"/>
  <c r="F6" i="67"/>
  <c r="G6" i="67"/>
  <c r="E7" i="67"/>
  <c r="F7" i="67"/>
  <c r="G7" i="67"/>
  <c r="E8" i="67"/>
  <c r="F8" i="67"/>
  <c r="G8" i="67"/>
  <c r="E9" i="67"/>
  <c r="F9" i="67"/>
  <c r="G9" i="67"/>
  <c r="E11" i="67"/>
  <c r="F11" i="67"/>
  <c r="G11" i="67"/>
  <c r="E12" i="67"/>
  <c r="F12" i="67"/>
  <c r="G12" i="67"/>
  <c r="E13" i="67"/>
  <c r="F13" i="67"/>
  <c r="G13" i="67"/>
  <c r="E14" i="67"/>
  <c r="F14" i="67"/>
  <c r="G14" i="67"/>
  <c r="E15" i="67"/>
  <c r="F15" i="67"/>
  <c r="G15" i="67"/>
  <c r="E16" i="67"/>
  <c r="F16" i="67"/>
  <c r="G16" i="67"/>
  <c r="D5" i="67"/>
  <c r="D2" i="67"/>
  <c r="D3" i="67"/>
  <c r="D4" i="67"/>
  <c r="D6" i="67"/>
  <c r="D7" i="67"/>
  <c r="D8" i="67"/>
  <c r="D9" i="67"/>
  <c r="D11" i="67"/>
  <c r="D12" i="67"/>
  <c r="D13" i="67"/>
  <c r="D14" i="67"/>
  <c r="D15" i="67"/>
  <c r="D16" i="67"/>
  <c r="C12" i="67"/>
  <c r="C11" i="67"/>
  <c r="C8" i="67"/>
  <c r="C6" i="67"/>
  <c r="C5" i="67"/>
  <c r="C4" i="67"/>
  <c r="C3" i="67"/>
  <c r="C7" i="67"/>
  <c r="C9" i="67"/>
  <c r="C13" i="67"/>
  <c r="C14" i="67"/>
  <c r="C15" i="67"/>
  <c r="C16" i="67"/>
  <c r="C2" i="67"/>
  <c r="D25" i="66"/>
  <c r="E25" i="66"/>
  <c r="F25" i="66"/>
  <c r="C25" i="66"/>
  <c r="D19" i="64"/>
  <c r="E19" i="64"/>
  <c r="F19" i="64"/>
  <c r="G19" i="64"/>
  <c r="H19" i="64"/>
  <c r="I19" i="64"/>
  <c r="J19" i="64"/>
  <c r="D20" i="64"/>
  <c r="E20" i="64"/>
  <c r="F20" i="64"/>
  <c r="G20" i="64"/>
  <c r="H20" i="64"/>
  <c r="I20" i="64"/>
  <c r="J20" i="64"/>
  <c r="C20" i="64"/>
  <c r="C19" i="64"/>
  <c r="D15" i="64"/>
  <c r="E15" i="64"/>
  <c r="F15" i="64"/>
  <c r="G15" i="64"/>
  <c r="H15" i="64"/>
  <c r="I15" i="64"/>
  <c r="J15" i="64"/>
  <c r="C15" i="64"/>
  <c r="E23" i="63"/>
  <c r="F23" i="63"/>
  <c r="G23" i="63"/>
  <c r="D23" i="63"/>
  <c r="E10" i="63"/>
  <c r="F10" i="63"/>
  <c r="G10" i="63"/>
  <c r="D10" i="63"/>
  <c r="E2" i="63"/>
  <c r="F2" i="63"/>
  <c r="G2" i="63"/>
  <c r="E3" i="63"/>
  <c r="F3" i="63"/>
  <c r="G3" i="63"/>
  <c r="E4" i="63"/>
  <c r="F4" i="63"/>
  <c r="G4" i="63"/>
  <c r="E5" i="63"/>
  <c r="F5" i="63"/>
  <c r="G5" i="63"/>
  <c r="E6" i="63"/>
  <c r="F6" i="63"/>
  <c r="G6" i="63"/>
  <c r="E7" i="63"/>
  <c r="F7" i="63"/>
  <c r="G7" i="63"/>
  <c r="E8" i="63"/>
  <c r="F8" i="63"/>
  <c r="G8" i="63"/>
  <c r="E9" i="63"/>
  <c r="F9" i="63"/>
  <c r="G9" i="63"/>
  <c r="E11" i="63"/>
  <c r="F11" i="63"/>
  <c r="G11" i="63"/>
  <c r="E12" i="63"/>
  <c r="F12" i="63"/>
  <c r="G12" i="63"/>
  <c r="E13" i="63"/>
  <c r="F13" i="63"/>
  <c r="G13" i="63"/>
  <c r="E14" i="63"/>
  <c r="F14" i="63"/>
  <c r="G14" i="63"/>
  <c r="E15" i="63"/>
  <c r="F15" i="63"/>
  <c r="G15" i="63"/>
  <c r="E16" i="63"/>
  <c r="F16" i="63"/>
  <c r="G16" i="63"/>
  <c r="E17" i="63"/>
  <c r="F17" i="63"/>
  <c r="G17" i="63"/>
  <c r="E19" i="63"/>
  <c r="F19" i="63"/>
  <c r="G19" i="63"/>
  <c r="E20" i="63"/>
  <c r="F20" i="63"/>
  <c r="G20" i="63"/>
  <c r="D20" i="63"/>
  <c r="D16" i="63"/>
  <c r="D13" i="63"/>
  <c r="D9" i="63"/>
  <c r="D5" i="63"/>
  <c r="D3" i="63"/>
  <c r="D4" i="63"/>
  <c r="D6" i="63"/>
  <c r="D7" i="63"/>
  <c r="D8" i="63"/>
  <c r="D11" i="63"/>
  <c r="D12" i="63"/>
  <c r="D14" i="63"/>
  <c r="D15" i="63"/>
  <c r="D17" i="63"/>
  <c r="D19" i="63"/>
  <c r="D2" i="63"/>
  <c r="D12" i="62"/>
  <c r="E12" i="62"/>
  <c r="F12" i="62"/>
  <c r="C12" i="62"/>
  <c r="F24" i="62"/>
  <c r="E24" i="62"/>
  <c r="F8" i="62"/>
  <c r="E8" i="62"/>
  <c r="F4" i="62"/>
  <c r="D2" i="62"/>
  <c r="E2" i="62"/>
  <c r="F2" i="62"/>
  <c r="D3" i="62"/>
  <c r="E3" i="62"/>
  <c r="F3" i="62"/>
  <c r="D4" i="62"/>
  <c r="E4" i="62"/>
  <c r="D5" i="62"/>
  <c r="E5" i="62"/>
  <c r="F5" i="62"/>
  <c r="D7" i="62"/>
  <c r="E7" i="62"/>
  <c r="F7" i="62"/>
  <c r="D8" i="62"/>
  <c r="D9" i="62"/>
  <c r="E9" i="62"/>
  <c r="F9" i="62"/>
  <c r="D10" i="62"/>
  <c r="E10" i="62"/>
  <c r="F10" i="62"/>
  <c r="D11" i="62"/>
  <c r="E11" i="62"/>
  <c r="F11" i="62"/>
  <c r="D13" i="62"/>
  <c r="E13" i="62"/>
  <c r="F13" i="62"/>
  <c r="D14" i="62"/>
  <c r="E14" i="62"/>
  <c r="F14" i="62"/>
  <c r="D15" i="62"/>
  <c r="E15" i="62"/>
  <c r="F15" i="62"/>
  <c r="D16" i="62"/>
  <c r="E16" i="62"/>
  <c r="F16" i="62"/>
  <c r="D17" i="62"/>
  <c r="E17" i="62"/>
  <c r="F17" i="62"/>
  <c r="D18" i="62"/>
  <c r="E18" i="62"/>
  <c r="F18" i="62"/>
  <c r="D19" i="62"/>
  <c r="E19" i="62"/>
  <c r="F19" i="62"/>
  <c r="D20" i="62"/>
  <c r="E20" i="62"/>
  <c r="F20" i="62"/>
  <c r="D21" i="62"/>
  <c r="E21" i="62"/>
  <c r="F21" i="62"/>
  <c r="D22" i="62"/>
  <c r="E22" i="62"/>
  <c r="F22" i="62"/>
  <c r="D23" i="62"/>
  <c r="E23" i="62"/>
  <c r="F23" i="62"/>
  <c r="D24" i="62"/>
  <c r="D25" i="62"/>
  <c r="E25" i="62"/>
  <c r="F25" i="62"/>
  <c r="D26" i="62"/>
  <c r="E26" i="62"/>
  <c r="F26" i="62"/>
  <c r="D27" i="62"/>
  <c r="E27" i="62"/>
  <c r="F27" i="62"/>
  <c r="C27" i="62"/>
  <c r="C26" i="62"/>
  <c r="C25" i="62"/>
  <c r="C24" i="62"/>
  <c r="C22" i="62"/>
  <c r="C21" i="62"/>
  <c r="C20" i="62"/>
  <c r="C19" i="62"/>
  <c r="C17" i="62"/>
  <c r="C16" i="62"/>
  <c r="C10" i="62"/>
  <c r="C9" i="62"/>
  <c r="C8" i="62"/>
  <c r="C7" i="62"/>
  <c r="C4" i="62"/>
  <c r="C3" i="62"/>
  <c r="C5" i="62"/>
  <c r="C11" i="62"/>
  <c r="C13" i="62"/>
  <c r="C14" i="62"/>
  <c r="C15" i="62"/>
  <c r="C18" i="62"/>
  <c r="C23" i="62"/>
  <c r="C2" i="62"/>
  <c r="D15" i="60"/>
  <c r="E15" i="60"/>
  <c r="F15" i="60"/>
  <c r="G15" i="60"/>
  <c r="C15" i="60"/>
  <c r="D13" i="59"/>
  <c r="E13" i="59"/>
  <c r="F13" i="59"/>
  <c r="G13" i="59"/>
  <c r="H13" i="59"/>
  <c r="C13" i="59"/>
  <c r="D23" i="57"/>
  <c r="E23" i="57"/>
  <c r="F23" i="57"/>
  <c r="C23" i="57"/>
  <c r="D22" i="57"/>
  <c r="E22" i="57"/>
  <c r="F22" i="57"/>
  <c r="C22" i="57"/>
  <c r="D21" i="57"/>
  <c r="E21" i="57"/>
  <c r="F21" i="57"/>
  <c r="C21" i="57"/>
  <c r="F2" i="56"/>
  <c r="E2" i="56"/>
  <c r="D18" i="56"/>
  <c r="E18" i="56"/>
  <c r="F18" i="56"/>
  <c r="G18" i="56"/>
  <c r="H18" i="56"/>
  <c r="I18" i="56"/>
  <c r="C18" i="56"/>
  <c r="I22" i="56"/>
  <c r="D22" i="56"/>
  <c r="C22" i="56"/>
  <c r="H3" i="56"/>
  <c r="I3" i="56"/>
  <c r="G3" i="56"/>
  <c r="F10" i="56"/>
  <c r="G10" i="56"/>
  <c r="H10" i="56"/>
  <c r="I10" i="56"/>
  <c r="E10" i="56"/>
  <c r="C10" i="56"/>
  <c r="C9" i="56"/>
  <c r="D2" i="56"/>
  <c r="G2" i="56"/>
  <c r="H2" i="56"/>
  <c r="I2" i="56"/>
  <c r="D3" i="56"/>
  <c r="E3" i="56"/>
  <c r="F3" i="56"/>
  <c r="D4" i="56"/>
  <c r="E4" i="56"/>
  <c r="F4" i="56"/>
  <c r="G4" i="56"/>
  <c r="H4" i="56"/>
  <c r="I4" i="56"/>
  <c r="D5" i="56"/>
  <c r="E5" i="56"/>
  <c r="F5" i="56"/>
  <c r="G5" i="56"/>
  <c r="H5" i="56"/>
  <c r="I5" i="56"/>
  <c r="D6" i="56"/>
  <c r="E6" i="56"/>
  <c r="F6" i="56"/>
  <c r="G6" i="56"/>
  <c r="H6" i="56"/>
  <c r="I6" i="56"/>
  <c r="D7" i="56"/>
  <c r="E7" i="56"/>
  <c r="F7" i="56"/>
  <c r="G7" i="56"/>
  <c r="H7" i="56"/>
  <c r="I7" i="56"/>
  <c r="D8" i="56"/>
  <c r="E8" i="56"/>
  <c r="F8" i="56"/>
  <c r="G8" i="56"/>
  <c r="H8" i="56"/>
  <c r="I8" i="56"/>
  <c r="D9" i="56"/>
  <c r="E9" i="56"/>
  <c r="F9" i="56"/>
  <c r="G9" i="56"/>
  <c r="H9" i="56"/>
  <c r="I9" i="56"/>
  <c r="D10" i="56"/>
  <c r="D11" i="56"/>
  <c r="E11" i="56"/>
  <c r="F11" i="56"/>
  <c r="G11" i="56"/>
  <c r="H11" i="56"/>
  <c r="I11" i="56"/>
  <c r="D12" i="56"/>
  <c r="E12" i="56"/>
  <c r="F12" i="56"/>
  <c r="G12" i="56"/>
  <c r="H12" i="56"/>
  <c r="I12" i="56"/>
  <c r="D13" i="56"/>
  <c r="E13" i="56"/>
  <c r="F13" i="56"/>
  <c r="G13" i="56"/>
  <c r="H13" i="56"/>
  <c r="I13" i="56"/>
  <c r="D15" i="56"/>
  <c r="E15" i="56"/>
  <c r="F15" i="56"/>
  <c r="G15" i="56"/>
  <c r="H15" i="56"/>
  <c r="I15" i="56"/>
  <c r="D16" i="56"/>
  <c r="E16" i="56"/>
  <c r="F16" i="56"/>
  <c r="G16" i="56"/>
  <c r="H16" i="56"/>
  <c r="I16" i="56"/>
  <c r="D17" i="56"/>
  <c r="E17" i="56"/>
  <c r="F17" i="56"/>
  <c r="G17" i="56"/>
  <c r="H17" i="56"/>
  <c r="I17" i="56"/>
  <c r="D19" i="56"/>
  <c r="E19" i="56"/>
  <c r="F19" i="56"/>
  <c r="G19" i="56"/>
  <c r="H19" i="56"/>
  <c r="I19" i="56"/>
  <c r="D20" i="56"/>
  <c r="E20" i="56"/>
  <c r="F20" i="56"/>
  <c r="G20" i="56"/>
  <c r="H20" i="56"/>
  <c r="I20" i="56"/>
  <c r="D21" i="56"/>
  <c r="E21" i="56"/>
  <c r="F21" i="56"/>
  <c r="G21" i="56"/>
  <c r="H21" i="56"/>
  <c r="I21" i="56"/>
  <c r="E22" i="56"/>
  <c r="F22" i="56"/>
  <c r="G22" i="56"/>
  <c r="H22" i="56"/>
  <c r="C15" i="56"/>
  <c r="C13" i="56"/>
  <c r="C12" i="56"/>
  <c r="C3" i="56"/>
  <c r="C4" i="56"/>
  <c r="C5" i="56"/>
  <c r="C6" i="56"/>
  <c r="C7" i="56"/>
  <c r="C8" i="56"/>
  <c r="C11" i="56"/>
  <c r="C16" i="56"/>
  <c r="C17" i="56"/>
  <c r="C19" i="56"/>
  <c r="C20" i="56"/>
  <c r="C21" i="56"/>
  <c r="C2" i="56"/>
  <c r="E19" i="51"/>
  <c r="F19" i="51"/>
  <c r="G19" i="51"/>
  <c r="D19" i="51"/>
  <c r="E18" i="51"/>
  <c r="F18" i="51"/>
  <c r="G18" i="51"/>
  <c r="D18" i="51"/>
  <c r="E9" i="51"/>
  <c r="F9" i="51"/>
  <c r="G9" i="51"/>
  <c r="D9" i="51"/>
  <c r="E1" i="51"/>
  <c r="F1" i="51"/>
  <c r="G1" i="51"/>
  <c r="E2" i="51"/>
  <c r="F2" i="51"/>
  <c r="G2" i="51"/>
  <c r="E3" i="51"/>
  <c r="F3" i="51"/>
  <c r="G3" i="51"/>
  <c r="E4" i="51"/>
  <c r="F4" i="51"/>
  <c r="G4" i="51"/>
  <c r="E5" i="51"/>
  <c r="F5" i="51"/>
  <c r="G5" i="51"/>
  <c r="E6" i="51"/>
  <c r="F6" i="51"/>
  <c r="G6" i="51"/>
  <c r="E7" i="51"/>
  <c r="F7" i="51"/>
  <c r="G7" i="51"/>
  <c r="E8" i="51"/>
  <c r="F8" i="51"/>
  <c r="G8" i="51"/>
  <c r="E10" i="51"/>
  <c r="F10" i="51"/>
  <c r="G10" i="51"/>
  <c r="E11" i="51"/>
  <c r="F11" i="51"/>
  <c r="G11" i="51"/>
  <c r="E12" i="51"/>
  <c r="F12" i="51"/>
  <c r="G12" i="51"/>
  <c r="E13" i="51"/>
  <c r="F13" i="51"/>
  <c r="G13" i="51"/>
  <c r="E14" i="51"/>
  <c r="F14" i="51"/>
  <c r="G14" i="51"/>
  <c r="D10" i="51"/>
  <c r="D11" i="51"/>
  <c r="D8" i="51"/>
  <c r="D7" i="51"/>
  <c r="D3" i="51"/>
  <c r="D4" i="51"/>
  <c r="D5" i="51"/>
  <c r="D6" i="51"/>
  <c r="D12" i="51"/>
  <c r="D13" i="51"/>
  <c r="D14" i="51"/>
  <c r="D2" i="51"/>
  <c r="C3" i="51"/>
  <c r="C4" i="51"/>
  <c r="C5" i="51"/>
  <c r="C6" i="51"/>
  <c r="C7" i="51"/>
  <c r="C8" i="51"/>
  <c r="C9" i="51"/>
  <c r="C10" i="51"/>
  <c r="C11" i="51"/>
  <c r="C12" i="51"/>
  <c r="C13" i="51"/>
  <c r="C14" i="51"/>
  <c r="C2" i="51"/>
  <c r="D1" i="51"/>
  <c r="D19" i="50"/>
  <c r="E19" i="50"/>
  <c r="F19" i="50"/>
  <c r="D20" i="50"/>
  <c r="E20" i="50"/>
  <c r="F20" i="50"/>
  <c r="C20" i="50"/>
  <c r="C19" i="50"/>
  <c r="D43" i="50"/>
  <c r="D44" i="50" s="1"/>
  <c r="D11" i="50" s="1"/>
  <c r="E43" i="50"/>
  <c r="E44" i="50" s="1"/>
  <c r="E11" i="50" s="1"/>
  <c r="F43" i="50"/>
  <c r="F44" i="50" s="1"/>
  <c r="F11" i="50" s="1"/>
  <c r="C43" i="50"/>
  <c r="C44" i="50" s="1"/>
  <c r="C11" i="50" s="1"/>
  <c r="D41" i="50"/>
  <c r="E41" i="50"/>
  <c r="F41" i="50"/>
  <c r="C41" i="50"/>
  <c r="D39" i="50"/>
  <c r="E39" i="50"/>
  <c r="F39" i="50"/>
  <c r="C39" i="50"/>
  <c r="D31" i="50"/>
  <c r="E31" i="50"/>
  <c r="F31" i="50"/>
  <c r="D32" i="50"/>
  <c r="E32" i="50"/>
  <c r="F32" i="50"/>
  <c r="C32" i="50"/>
  <c r="C31" i="50"/>
  <c r="C33" i="50" s="1"/>
  <c r="C34" i="50" s="1"/>
  <c r="C36" i="50" s="1"/>
  <c r="D19" i="49"/>
  <c r="E19" i="49"/>
  <c r="F19" i="49"/>
  <c r="G19" i="49"/>
  <c r="H19" i="49"/>
  <c r="D20" i="49"/>
  <c r="E20" i="49"/>
  <c r="F20" i="49"/>
  <c r="G20" i="49"/>
  <c r="H20" i="49"/>
  <c r="C19" i="49"/>
  <c r="D1" i="49"/>
  <c r="E1" i="49"/>
  <c r="F1" i="49"/>
  <c r="G1" i="49"/>
  <c r="H1" i="49"/>
  <c r="D2" i="49"/>
  <c r="E2" i="49"/>
  <c r="F2" i="49"/>
  <c r="G2" i="49"/>
  <c r="H2" i="49"/>
  <c r="D3" i="49"/>
  <c r="E3" i="49"/>
  <c r="F3" i="49"/>
  <c r="G3" i="49"/>
  <c r="H3" i="49"/>
  <c r="D4" i="49"/>
  <c r="E4" i="49"/>
  <c r="F4" i="49"/>
  <c r="G4" i="49"/>
  <c r="H4" i="49"/>
  <c r="D5" i="49"/>
  <c r="E5" i="49"/>
  <c r="F5" i="49"/>
  <c r="G5" i="49"/>
  <c r="H5" i="49"/>
  <c r="D6" i="49"/>
  <c r="E6" i="49"/>
  <c r="F6" i="49"/>
  <c r="G6" i="49"/>
  <c r="H6" i="49"/>
  <c r="D7" i="49"/>
  <c r="E7" i="49"/>
  <c r="F7" i="49"/>
  <c r="G7" i="49"/>
  <c r="H7" i="49"/>
  <c r="D8" i="49"/>
  <c r="E8" i="49"/>
  <c r="F8" i="49"/>
  <c r="G8" i="49"/>
  <c r="H8" i="49"/>
  <c r="D9" i="49"/>
  <c r="E9" i="49"/>
  <c r="F9" i="49"/>
  <c r="G9" i="49"/>
  <c r="H9" i="49"/>
  <c r="D10" i="49"/>
  <c r="E10" i="49"/>
  <c r="F10" i="49"/>
  <c r="G10" i="49"/>
  <c r="H10" i="49"/>
  <c r="D11" i="49"/>
  <c r="E11" i="49"/>
  <c r="F11" i="49"/>
  <c r="G11" i="49"/>
  <c r="H11" i="49"/>
  <c r="D12" i="49"/>
  <c r="E12" i="49"/>
  <c r="F12" i="49"/>
  <c r="G12" i="49"/>
  <c r="H12" i="49"/>
  <c r="D13" i="49"/>
  <c r="E13" i="49"/>
  <c r="F13" i="49"/>
  <c r="G13" i="49"/>
  <c r="H13" i="49"/>
  <c r="D14" i="49"/>
  <c r="E14" i="49"/>
  <c r="F14" i="49"/>
  <c r="G14" i="49"/>
  <c r="H14" i="49"/>
  <c r="C13" i="49"/>
  <c r="C12" i="49"/>
  <c r="C11" i="49"/>
  <c r="C7" i="49"/>
  <c r="C6" i="49"/>
  <c r="C3" i="49"/>
  <c r="C4" i="49"/>
  <c r="C5" i="49"/>
  <c r="C8" i="49"/>
  <c r="C9" i="49"/>
  <c r="C10" i="49"/>
  <c r="C14" i="49"/>
  <c r="C2" i="49"/>
  <c r="C1" i="49"/>
  <c r="C20" i="49"/>
  <c r="E22" i="3"/>
  <c r="F22" i="3"/>
  <c r="G22" i="3"/>
  <c r="D22" i="3"/>
  <c r="D21" i="3"/>
  <c r="E22" i="44"/>
  <c r="F22" i="44"/>
  <c r="G22" i="44"/>
  <c r="H22" i="44"/>
  <c r="D22" i="44"/>
  <c r="D23" i="44" s="1"/>
  <c r="D24" i="44" s="1"/>
  <c r="G28" i="46"/>
  <c r="F28" i="46"/>
  <c r="E28" i="46"/>
  <c r="D28" i="46"/>
  <c r="G27" i="46"/>
  <c r="F27" i="46"/>
  <c r="E27" i="46"/>
  <c r="D27" i="46"/>
  <c r="G26" i="46"/>
  <c r="F26" i="46"/>
  <c r="E26" i="46"/>
  <c r="D26" i="46"/>
  <c r="E26" i="45"/>
  <c r="F26" i="45"/>
  <c r="G26" i="45"/>
  <c r="E27" i="45"/>
  <c r="F27" i="45"/>
  <c r="G27" i="45"/>
  <c r="E28" i="45"/>
  <c r="F28" i="45"/>
  <c r="G28" i="45"/>
  <c r="I28" i="45"/>
  <c r="I27" i="45"/>
  <c r="I26" i="45"/>
  <c r="D27" i="45"/>
  <c r="D28" i="45"/>
  <c r="D26" i="45"/>
  <c r="E21" i="44"/>
  <c r="F21" i="44"/>
  <c r="F23" i="44" s="1"/>
  <c r="F24" i="44" s="1"/>
  <c r="G21" i="44"/>
  <c r="G23" i="44" s="1"/>
  <c r="G24" i="44" s="1"/>
  <c r="H21" i="44"/>
  <c r="H23" i="44" s="1"/>
  <c r="H24" i="44" s="1"/>
  <c r="D21" i="44"/>
  <c r="D36" i="43"/>
  <c r="D37" i="43"/>
  <c r="D38" i="43"/>
  <c r="D39" i="43"/>
  <c r="C37" i="43"/>
  <c r="C38" i="43"/>
  <c r="C39" i="43"/>
  <c r="C36" i="43"/>
  <c r="E17" i="43"/>
  <c r="D17" i="43"/>
  <c r="F17" i="43"/>
  <c r="C17" i="43"/>
  <c r="D24" i="43"/>
  <c r="E24" i="43"/>
  <c r="F24" i="43"/>
  <c r="C24" i="43"/>
  <c r="C5" i="42"/>
  <c r="C2" i="42"/>
  <c r="D2" i="42"/>
  <c r="E2" i="42"/>
  <c r="F2" i="42"/>
  <c r="G2" i="42"/>
  <c r="H2" i="42"/>
  <c r="I2" i="42"/>
  <c r="J2" i="42"/>
  <c r="C3" i="42"/>
  <c r="D3" i="42"/>
  <c r="E3" i="42"/>
  <c r="F3" i="42"/>
  <c r="G3" i="42"/>
  <c r="H3" i="42"/>
  <c r="I3" i="42"/>
  <c r="J3" i="42"/>
  <c r="C4" i="42"/>
  <c r="D4" i="42"/>
  <c r="E4" i="42"/>
  <c r="F4" i="42"/>
  <c r="G4" i="42"/>
  <c r="H4" i="42"/>
  <c r="I4" i="42"/>
  <c r="J4" i="42"/>
  <c r="D5" i="42"/>
  <c r="E5" i="42"/>
  <c r="F5" i="42"/>
  <c r="G5" i="42"/>
  <c r="H5" i="42"/>
  <c r="I5" i="42"/>
  <c r="J5" i="42"/>
  <c r="C6" i="42"/>
  <c r="D6" i="42"/>
  <c r="E6" i="42"/>
  <c r="F6" i="42"/>
  <c r="G6" i="42"/>
  <c r="H6" i="42"/>
  <c r="I6" i="42"/>
  <c r="J6" i="42"/>
  <c r="C7" i="42"/>
  <c r="C52" i="42" s="1"/>
  <c r="D7" i="42"/>
  <c r="D52" i="42" s="1"/>
  <c r="E7" i="42"/>
  <c r="E52" i="42" s="1"/>
  <c r="F7" i="42"/>
  <c r="F52" i="42" s="1"/>
  <c r="G7" i="42"/>
  <c r="H7" i="42"/>
  <c r="H52" i="42" s="1"/>
  <c r="I7" i="42"/>
  <c r="I52" i="42" s="1"/>
  <c r="J7" i="42"/>
  <c r="J52" i="42" s="1"/>
  <c r="C8" i="42"/>
  <c r="D8" i="42"/>
  <c r="E8" i="42"/>
  <c r="F8" i="42"/>
  <c r="G8" i="42"/>
  <c r="H8" i="42"/>
  <c r="I8" i="42"/>
  <c r="J8" i="42"/>
  <c r="C9" i="42"/>
  <c r="C23" i="42" s="1"/>
  <c r="D9" i="42"/>
  <c r="D23" i="42" s="1"/>
  <c r="E9" i="42"/>
  <c r="E23" i="42" s="1"/>
  <c r="F9" i="42"/>
  <c r="F23" i="42" s="1"/>
  <c r="G9" i="42"/>
  <c r="G23" i="42" s="1"/>
  <c r="H9" i="42"/>
  <c r="H23" i="42" s="1"/>
  <c r="I9" i="42"/>
  <c r="I23" i="42" s="1"/>
  <c r="J9" i="42"/>
  <c r="J23" i="42" s="1"/>
  <c r="C10" i="42"/>
  <c r="C24" i="42" s="1"/>
  <c r="D10" i="42"/>
  <c r="D24" i="42" s="1"/>
  <c r="E10" i="42"/>
  <c r="E24" i="42" s="1"/>
  <c r="F10" i="42"/>
  <c r="F24" i="42" s="1"/>
  <c r="G10" i="42"/>
  <c r="G24" i="42" s="1"/>
  <c r="H10" i="42"/>
  <c r="H24" i="42" s="1"/>
  <c r="I10" i="42"/>
  <c r="I24" i="42" s="1"/>
  <c r="J10" i="42"/>
  <c r="J24" i="42" s="1"/>
  <c r="C11" i="42"/>
  <c r="D11" i="42"/>
  <c r="E11" i="42"/>
  <c r="F11" i="42"/>
  <c r="G11" i="42"/>
  <c r="H11" i="42"/>
  <c r="I11" i="42"/>
  <c r="J11" i="42"/>
  <c r="C12" i="42"/>
  <c r="D12" i="42"/>
  <c r="E12" i="42"/>
  <c r="F12" i="42"/>
  <c r="G12" i="42"/>
  <c r="H12" i="42"/>
  <c r="H22" i="42" s="1"/>
  <c r="I12" i="42"/>
  <c r="J12" i="42"/>
  <c r="C13" i="42"/>
  <c r="D13" i="42"/>
  <c r="E13" i="42"/>
  <c r="F13" i="42"/>
  <c r="G13" i="42"/>
  <c r="H13" i="42"/>
  <c r="I13" i="42"/>
  <c r="J13" i="42"/>
  <c r="C14" i="42"/>
  <c r="D14" i="42"/>
  <c r="E14" i="42"/>
  <c r="F14" i="42"/>
  <c r="G14" i="42"/>
  <c r="H14" i="42"/>
  <c r="I14" i="42"/>
  <c r="J14" i="42"/>
  <c r="B3" i="42"/>
  <c r="B4" i="42"/>
  <c r="B5" i="42"/>
  <c r="B6" i="42"/>
  <c r="B7" i="42"/>
  <c r="B8" i="42"/>
  <c r="B9" i="42"/>
  <c r="B10" i="42"/>
  <c r="B11" i="42"/>
  <c r="B12" i="42"/>
  <c r="B13" i="42"/>
  <c r="B14" i="42"/>
  <c r="B2" i="42"/>
  <c r="B37" i="41"/>
  <c r="F8" i="41"/>
  <c r="G8" i="41"/>
  <c r="H8" i="41"/>
  <c r="I8" i="41"/>
  <c r="E8" i="41"/>
  <c r="D23" i="41"/>
  <c r="D25" i="41" s="1"/>
  <c r="E23" i="41"/>
  <c r="E25" i="41" s="1"/>
  <c r="F23" i="41"/>
  <c r="F25" i="41" s="1"/>
  <c r="G23" i="41"/>
  <c r="G25" i="41" s="1"/>
  <c r="H23" i="41"/>
  <c r="H25" i="41" s="1"/>
  <c r="I23" i="41"/>
  <c r="I25" i="41" s="1"/>
  <c r="D24" i="41"/>
  <c r="E24" i="41"/>
  <c r="F24" i="41"/>
  <c r="G24" i="41"/>
  <c r="H24" i="41"/>
  <c r="I24" i="41"/>
  <c r="C24" i="41"/>
  <c r="C23" i="41"/>
  <c r="C25" i="41" s="1"/>
  <c r="D22" i="41"/>
  <c r="E22" i="41"/>
  <c r="F22" i="41"/>
  <c r="G22" i="41"/>
  <c r="H22" i="41"/>
  <c r="I22" i="41"/>
  <c r="C22" i="41"/>
  <c r="E22" i="30"/>
  <c r="F22" i="30"/>
  <c r="G22" i="30"/>
  <c r="D22" i="30"/>
  <c r="E22" i="16"/>
  <c r="F22" i="16"/>
  <c r="G22" i="16"/>
  <c r="H22" i="16"/>
  <c r="I22" i="16"/>
  <c r="J22" i="16"/>
  <c r="D22" i="16"/>
  <c r="E24" i="3"/>
  <c r="F24" i="3"/>
  <c r="G24" i="3"/>
  <c r="D24" i="3"/>
  <c r="I34" i="40"/>
  <c r="I36" i="40"/>
  <c r="I38" i="40"/>
  <c r="I39" i="40"/>
  <c r="I41" i="40"/>
  <c r="B2" i="40" a="1"/>
  <c r="B2" i="40" s="1"/>
  <c r="D19" i="39"/>
  <c r="E19" i="39"/>
  <c r="F19" i="39"/>
  <c r="G19" i="39"/>
  <c r="D20" i="39"/>
  <c r="E20" i="39"/>
  <c r="F20" i="39"/>
  <c r="G20" i="39"/>
  <c r="C20" i="39"/>
  <c r="C19" i="39"/>
  <c r="D16" i="39"/>
  <c r="E16" i="39"/>
  <c r="F16" i="39"/>
  <c r="G16" i="39"/>
  <c r="C16" i="39"/>
  <c r="D4" i="37"/>
  <c r="E4" i="37"/>
  <c r="F4" i="37"/>
  <c r="G4" i="37"/>
  <c r="D5" i="37"/>
  <c r="E5" i="37"/>
  <c r="F5" i="37"/>
  <c r="G5" i="37"/>
  <c r="D6" i="37"/>
  <c r="E6" i="37"/>
  <c r="F6" i="37"/>
  <c r="G6" i="37"/>
  <c r="D7" i="37"/>
  <c r="E7" i="37"/>
  <c r="F7" i="37"/>
  <c r="G7" i="37"/>
  <c r="D8" i="37"/>
  <c r="E8" i="37"/>
  <c r="F8" i="37"/>
  <c r="G8" i="37"/>
  <c r="D9" i="37"/>
  <c r="E9" i="37"/>
  <c r="F9" i="37"/>
  <c r="G9" i="37"/>
  <c r="D10" i="37"/>
  <c r="E10" i="37"/>
  <c r="F10" i="37"/>
  <c r="G10" i="37"/>
  <c r="D11" i="37"/>
  <c r="E11" i="37"/>
  <c r="F11" i="37"/>
  <c r="G11" i="37"/>
  <c r="D12" i="37"/>
  <c r="E12" i="37"/>
  <c r="F12" i="37"/>
  <c r="G12" i="37"/>
  <c r="D13" i="37"/>
  <c r="E13" i="37"/>
  <c r="F13" i="37"/>
  <c r="G13" i="37"/>
  <c r="D14" i="37"/>
  <c r="E14" i="37"/>
  <c r="F14" i="37"/>
  <c r="G14" i="37"/>
  <c r="C12" i="37"/>
  <c r="C11" i="37"/>
  <c r="C9" i="37"/>
  <c r="C6" i="37"/>
  <c r="C5" i="37"/>
  <c r="C7" i="37"/>
  <c r="C8" i="37"/>
  <c r="C10" i="37"/>
  <c r="C13" i="37"/>
  <c r="C14" i="37"/>
  <c r="C4" i="37"/>
  <c r="D22" i="34"/>
  <c r="E22" i="34"/>
  <c r="F22" i="34"/>
  <c r="G22" i="34"/>
  <c r="C22" i="34"/>
  <c r="G13" i="32"/>
  <c r="E13" i="32"/>
  <c r="F13" i="32"/>
  <c r="H13" i="32"/>
  <c r="I13" i="32"/>
  <c r="D13" i="32"/>
  <c r="E12" i="32"/>
  <c r="F12" i="32"/>
  <c r="G12" i="32"/>
  <c r="H12" i="32"/>
  <c r="I12" i="32"/>
  <c r="D12" i="32"/>
  <c r="H8" i="32"/>
  <c r="G8" i="32"/>
  <c r="E8" i="32"/>
  <c r="F8" i="32"/>
  <c r="I8" i="32"/>
  <c r="D8" i="32"/>
  <c r="D7" i="32"/>
  <c r="E7" i="32"/>
  <c r="F7" i="32"/>
  <c r="G7" i="32"/>
  <c r="H7" i="32"/>
  <c r="I7" i="32"/>
  <c r="E6" i="32"/>
  <c r="F6" i="32"/>
  <c r="G6" i="32"/>
  <c r="H6" i="32"/>
  <c r="I6" i="32"/>
  <c r="D6" i="32"/>
  <c r="C3" i="32"/>
  <c r="D3" i="32"/>
  <c r="E3" i="32"/>
  <c r="F3" i="32"/>
  <c r="G3" i="32"/>
  <c r="H3" i="32"/>
  <c r="I3" i="32"/>
  <c r="C4" i="32"/>
  <c r="D4" i="32"/>
  <c r="E4" i="32"/>
  <c r="F4" i="32"/>
  <c r="G4" i="32"/>
  <c r="H4" i="32"/>
  <c r="I4" i="32"/>
  <c r="C5" i="32"/>
  <c r="D5" i="32"/>
  <c r="E5" i="32"/>
  <c r="F5" i="32"/>
  <c r="G5" i="32"/>
  <c r="H5" i="32"/>
  <c r="I5" i="32"/>
  <c r="C6" i="32"/>
  <c r="C7" i="32"/>
  <c r="C8" i="32"/>
  <c r="C9" i="32"/>
  <c r="D9" i="32"/>
  <c r="E9" i="32"/>
  <c r="F9" i="32"/>
  <c r="G9" i="32"/>
  <c r="H9" i="32"/>
  <c r="I9" i="32"/>
  <c r="C10" i="32"/>
  <c r="D10" i="32"/>
  <c r="E10" i="32"/>
  <c r="F10" i="32"/>
  <c r="G10" i="32"/>
  <c r="H10" i="32"/>
  <c r="I10" i="32"/>
  <c r="C11" i="32"/>
  <c r="D11" i="32"/>
  <c r="E11" i="32"/>
  <c r="F11" i="32"/>
  <c r="G11" i="32"/>
  <c r="H11" i="32"/>
  <c r="I11" i="32"/>
  <c r="C12" i="32"/>
  <c r="E2" i="32"/>
  <c r="F2" i="32"/>
  <c r="G2" i="32"/>
  <c r="H2" i="32"/>
  <c r="I2" i="32"/>
  <c r="D2" i="32"/>
  <c r="C2" i="32"/>
  <c r="D1" i="32"/>
  <c r="E1" i="32"/>
  <c r="F1" i="32"/>
  <c r="G1" i="32"/>
  <c r="H1" i="32"/>
  <c r="I1" i="32"/>
  <c r="C1" i="32"/>
  <c r="E21" i="30"/>
  <c r="F21" i="30"/>
  <c r="G21" i="30"/>
  <c r="D21" i="30"/>
  <c r="D13" i="29"/>
  <c r="E13" i="29"/>
  <c r="C13" i="29"/>
  <c r="D2" i="29"/>
  <c r="E2" i="29"/>
  <c r="D3" i="29"/>
  <c r="D48" i="29" s="1"/>
  <c r="E3" i="29"/>
  <c r="E48" i="29" s="1"/>
  <c r="D4" i="29"/>
  <c r="E4" i="29"/>
  <c r="D5" i="29"/>
  <c r="E5" i="29"/>
  <c r="D6" i="29"/>
  <c r="E6" i="29"/>
  <c r="D7" i="29"/>
  <c r="E7" i="29"/>
  <c r="D8" i="29"/>
  <c r="E8" i="29"/>
  <c r="D9" i="29"/>
  <c r="E9" i="29"/>
  <c r="D10" i="29"/>
  <c r="E10" i="29"/>
  <c r="D11" i="29"/>
  <c r="E11" i="29"/>
  <c r="D12" i="29"/>
  <c r="E12" i="29"/>
  <c r="D14" i="29"/>
  <c r="E14" i="29"/>
  <c r="D15" i="29"/>
  <c r="E15" i="29"/>
  <c r="D16" i="29"/>
  <c r="E16" i="29"/>
  <c r="D17" i="29"/>
  <c r="E17" i="29"/>
  <c r="C10" i="29"/>
  <c r="C8" i="29"/>
  <c r="C7" i="29"/>
  <c r="C5" i="29"/>
  <c r="C3" i="29"/>
  <c r="C48" i="29" s="1"/>
  <c r="C4" i="29"/>
  <c r="C6" i="29"/>
  <c r="C9" i="29"/>
  <c r="C11" i="29"/>
  <c r="C12" i="29"/>
  <c r="C15" i="29"/>
  <c r="C16" i="29"/>
  <c r="C17" i="29"/>
  <c r="C2" i="29"/>
  <c r="C47" i="29" s="1"/>
  <c r="D19" i="27"/>
  <c r="E19" i="27"/>
  <c r="F19" i="27"/>
  <c r="G19" i="27"/>
  <c r="H19" i="27"/>
  <c r="I19" i="27"/>
  <c r="C19" i="27"/>
  <c r="E23" i="26"/>
  <c r="F23" i="26"/>
  <c r="G23" i="26"/>
  <c r="D23" i="26"/>
  <c r="E22" i="26"/>
  <c r="F22" i="26"/>
  <c r="G22" i="26"/>
  <c r="D22" i="26"/>
  <c r="D21" i="24"/>
  <c r="E21" i="24"/>
  <c r="F21" i="24"/>
  <c r="G21" i="24"/>
  <c r="H21" i="24"/>
  <c r="C21" i="24"/>
  <c r="D14" i="23"/>
  <c r="E14" i="23"/>
  <c r="F14" i="23"/>
  <c r="G14" i="23"/>
  <c r="C14" i="23"/>
  <c r="D11" i="23"/>
  <c r="E11" i="23"/>
  <c r="F11" i="23"/>
  <c r="G11" i="23"/>
  <c r="C11" i="23"/>
  <c r="G20" i="23"/>
  <c r="F20" i="23"/>
  <c r="E20" i="23"/>
  <c r="D20" i="23"/>
  <c r="C20" i="23"/>
  <c r="G19" i="23"/>
  <c r="F19" i="23"/>
  <c r="E19" i="23"/>
  <c r="D19" i="23"/>
  <c r="C19" i="23"/>
  <c r="G16" i="23"/>
  <c r="F16" i="23"/>
  <c r="E16" i="23"/>
  <c r="D16" i="23"/>
  <c r="C16" i="23"/>
  <c r="D16" i="22"/>
  <c r="E16" i="22"/>
  <c r="F16" i="22"/>
  <c r="G16" i="22"/>
  <c r="C16" i="22"/>
  <c r="D14" i="22"/>
  <c r="E14" i="22"/>
  <c r="F14" i="22"/>
  <c r="G14" i="22"/>
  <c r="C14" i="22"/>
  <c r="D11" i="22"/>
  <c r="E11" i="22"/>
  <c r="F11" i="22"/>
  <c r="G11" i="22"/>
  <c r="C11" i="22"/>
  <c r="D20" i="22"/>
  <c r="E20" i="22"/>
  <c r="F20" i="22"/>
  <c r="G20" i="22"/>
  <c r="C20" i="22"/>
  <c r="D19" i="22"/>
  <c r="E19" i="22"/>
  <c r="F19" i="22"/>
  <c r="G19" i="22"/>
  <c r="C19" i="22"/>
  <c r="D16" i="21"/>
  <c r="E16" i="21"/>
  <c r="F16" i="21"/>
  <c r="G16" i="21"/>
  <c r="H16" i="21"/>
  <c r="C16" i="21"/>
  <c r="D24" i="19"/>
  <c r="C24" i="19"/>
  <c r="E24" i="19"/>
  <c r="F24" i="19"/>
  <c r="G24" i="19"/>
  <c r="C1" i="18" a="1"/>
  <c r="C1" i="18" s="1"/>
  <c r="E17" i="16"/>
  <c r="F17" i="16"/>
  <c r="G17" i="16"/>
  <c r="H17" i="16"/>
  <c r="I17" i="16"/>
  <c r="J17" i="16"/>
  <c r="D17" i="16"/>
  <c r="J18" i="16"/>
  <c r="E18" i="16"/>
  <c r="F18" i="16"/>
  <c r="G18" i="16"/>
  <c r="H18" i="16"/>
  <c r="I18" i="16"/>
  <c r="D18" i="16"/>
  <c r="D13" i="15"/>
  <c r="E13" i="15"/>
  <c r="F13" i="15"/>
  <c r="G13" i="15"/>
  <c r="H13" i="15"/>
  <c r="I13" i="15"/>
  <c r="C13" i="15"/>
  <c r="C3" i="16"/>
  <c r="C4" i="16"/>
  <c r="C5" i="16"/>
  <c r="C6" i="16"/>
  <c r="C7" i="16"/>
  <c r="C8" i="16"/>
  <c r="C9" i="16"/>
  <c r="C10" i="16"/>
  <c r="C11" i="16"/>
  <c r="C12" i="16"/>
  <c r="C13" i="16"/>
  <c r="C14" i="16"/>
  <c r="C2" i="16"/>
  <c r="D23" i="11"/>
  <c r="E23" i="11"/>
  <c r="F23" i="11"/>
  <c r="G23" i="11"/>
  <c r="C23" i="11"/>
  <c r="G2" i="11"/>
  <c r="D2" i="11"/>
  <c r="E2" i="11"/>
  <c r="F2" i="11"/>
  <c r="C2" i="11"/>
  <c r="D3" i="9"/>
  <c r="E3" i="9"/>
  <c r="F3" i="9"/>
  <c r="G3" i="9"/>
  <c r="H3" i="9"/>
  <c r="D4" i="9"/>
  <c r="E4" i="9"/>
  <c r="F4" i="9"/>
  <c r="G4" i="9"/>
  <c r="H4" i="9"/>
  <c r="D5" i="9"/>
  <c r="E5" i="9"/>
  <c r="F5" i="9"/>
  <c r="G5" i="9"/>
  <c r="H5" i="9"/>
  <c r="D6" i="9"/>
  <c r="E6" i="9"/>
  <c r="F6" i="9"/>
  <c r="G6" i="9"/>
  <c r="H6" i="9"/>
  <c r="D7" i="9"/>
  <c r="E7" i="9"/>
  <c r="F7" i="9"/>
  <c r="G7" i="9"/>
  <c r="H7" i="9"/>
  <c r="D8" i="9"/>
  <c r="E8" i="9"/>
  <c r="F8" i="9"/>
  <c r="G8" i="9"/>
  <c r="H8" i="9"/>
  <c r="D9" i="9"/>
  <c r="E9" i="9"/>
  <c r="F9" i="9"/>
  <c r="G9" i="9"/>
  <c r="H9" i="9"/>
  <c r="D10" i="9"/>
  <c r="E10" i="9"/>
  <c r="F10" i="9"/>
  <c r="G10" i="9"/>
  <c r="H10" i="9"/>
  <c r="D11" i="9"/>
  <c r="E11" i="9"/>
  <c r="F11" i="9"/>
  <c r="G11" i="9"/>
  <c r="H11" i="9"/>
  <c r="D12" i="9"/>
  <c r="E12" i="9"/>
  <c r="F12" i="9"/>
  <c r="G12" i="9"/>
  <c r="H12" i="9"/>
  <c r="D13" i="9"/>
  <c r="E13" i="9"/>
  <c r="F13" i="9"/>
  <c r="G13" i="9"/>
  <c r="H13" i="9"/>
  <c r="D14" i="9"/>
  <c r="E14" i="9"/>
  <c r="F14" i="9"/>
  <c r="G14" i="9"/>
  <c r="H14" i="9"/>
  <c r="D15" i="9"/>
  <c r="E15" i="9"/>
  <c r="F15" i="9"/>
  <c r="G15" i="9"/>
  <c r="H15" i="9"/>
  <c r="D16" i="9"/>
  <c r="E16" i="9"/>
  <c r="F16" i="9"/>
  <c r="G16" i="9"/>
  <c r="H16" i="9"/>
  <c r="C16" i="9"/>
  <c r="C6" i="9"/>
  <c r="C4" i="9"/>
  <c r="C5" i="9"/>
  <c r="C7" i="9"/>
  <c r="C8" i="9"/>
  <c r="C9" i="9"/>
  <c r="C10" i="9"/>
  <c r="C11" i="9"/>
  <c r="C12" i="9"/>
  <c r="C13" i="9"/>
  <c r="C14" i="9"/>
  <c r="C15" i="9"/>
  <c r="C3" i="9"/>
  <c r="B1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2" i="9"/>
  <c r="C1" i="9"/>
  <c r="D1" i="9"/>
  <c r="E1" i="9"/>
  <c r="F1" i="9"/>
  <c r="G1" i="9"/>
  <c r="H1" i="9"/>
  <c r="B1" i="9"/>
  <c r="C2" i="7"/>
  <c r="D2" i="7"/>
  <c r="E2" i="7"/>
  <c r="F2" i="7"/>
  <c r="G2" i="7"/>
  <c r="C3" i="7"/>
  <c r="D3" i="7"/>
  <c r="E3" i="7"/>
  <c r="F3" i="7"/>
  <c r="G3" i="7"/>
  <c r="C4" i="7"/>
  <c r="D4" i="7"/>
  <c r="E4" i="7"/>
  <c r="F4" i="7"/>
  <c r="G4" i="7"/>
  <c r="C5" i="7"/>
  <c r="D5" i="7"/>
  <c r="E5" i="7"/>
  <c r="F5" i="7"/>
  <c r="G5" i="7"/>
  <c r="C6" i="7"/>
  <c r="D6" i="7"/>
  <c r="E6" i="7"/>
  <c r="F6" i="7"/>
  <c r="G6" i="7"/>
  <c r="C7" i="7"/>
  <c r="D7" i="7"/>
  <c r="E7" i="7"/>
  <c r="F7" i="7"/>
  <c r="G7" i="7"/>
  <c r="C8" i="7"/>
  <c r="D8" i="7"/>
  <c r="E8" i="7"/>
  <c r="F8" i="7"/>
  <c r="G8" i="7"/>
  <c r="C9" i="7"/>
  <c r="D9" i="7"/>
  <c r="E9" i="7"/>
  <c r="F9" i="7"/>
  <c r="G9" i="7"/>
  <c r="C10" i="7"/>
  <c r="D10" i="7"/>
  <c r="E10" i="7"/>
  <c r="F10" i="7"/>
  <c r="G10" i="7"/>
  <c r="C11" i="7"/>
  <c r="D11" i="7"/>
  <c r="E11" i="7"/>
  <c r="F11" i="7"/>
  <c r="G11" i="7"/>
  <c r="C12" i="7"/>
  <c r="D12" i="7"/>
  <c r="E12" i="7"/>
  <c r="F12" i="7"/>
  <c r="G12" i="7"/>
  <c r="C13" i="7"/>
  <c r="D13" i="7"/>
  <c r="E13" i="7"/>
  <c r="F13" i="7"/>
  <c r="G13" i="7"/>
  <c r="C18" i="7"/>
  <c r="D18" i="7"/>
  <c r="E18" i="7"/>
  <c r="F18" i="7"/>
  <c r="G18" i="7"/>
  <c r="C19" i="7"/>
  <c r="D19" i="7"/>
  <c r="E19" i="7"/>
  <c r="F19" i="7"/>
  <c r="G19" i="7"/>
  <c r="E22" i="6"/>
  <c r="F22" i="6"/>
  <c r="G22" i="6"/>
  <c r="H22" i="6"/>
  <c r="E23" i="6"/>
  <c r="F23" i="6"/>
  <c r="G23" i="6"/>
  <c r="H23" i="6"/>
  <c r="D23" i="6"/>
  <c r="D22" i="6"/>
  <c r="E28" i="6"/>
  <c r="F28" i="6"/>
  <c r="G28" i="6"/>
  <c r="H28" i="6"/>
  <c r="D28" i="6"/>
  <c r="E27" i="6"/>
  <c r="F27" i="6"/>
  <c r="G27" i="6"/>
  <c r="H27" i="6"/>
  <c r="D27" i="6"/>
  <c r="D20" i="5"/>
  <c r="E20" i="5"/>
  <c r="F20" i="5"/>
  <c r="G20" i="5"/>
  <c r="D21" i="5"/>
  <c r="E21" i="5"/>
  <c r="F21" i="5"/>
  <c r="G21" i="5"/>
  <c r="C21" i="5"/>
  <c r="C20" i="5"/>
  <c r="D15" i="2"/>
  <c r="E15" i="2"/>
  <c r="F15" i="2"/>
  <c r="G15" i="2"/>
  <c r="H15" i="2"/>
  <c r="C15" i="2"/>
  <c r="D19" i="2"/>
  <c r="E19" i="2"/>
  <c r="F19" i="2"/>
  <c r="G19" i="2"/>
  <c r="H19" i="2"/>
  <c r="C19" i="2"/>
  <c r="E1" i="3"/>
  <c r="F1" i="3"/>
  <c r="G1" i="3"/>
  <c r="D1" i="3"/>
  <c r="D18" i="2"/>
  <c r="E18" i="2"/>
  <c r="F18" i="2"/>
  <c r="G18" i="2"/>
  <c r="H18" i="2"/>
  <c r="C18" i="2"/>
  <c r="H34" i="18" l="1"/>
  <c r="F34" i="18"/>
  <c r="I26" i="41"/>
  <c r="D46" i="29"/>
  <c r="D17" i="67"/>
  <c r="D24" i="90"/>
  <c r="F24" i="90"/>
  <c r="E34" i="18"/>
  <c r="E23" i="44"/>
  <c r="E24" i="44" s="1"/>
  <c r="G24" i="90"/>
  <c r="D25" i="90"/>
  <c r="H26" i="41"/>
  <c r="H27" i="41" s="1"/>
  <c r="J25" i="42"/>
  <c r="G34" i="18"/>
  <c r="G26" i="41"/>
  <c r="G27" i="41" s="1"/>
  <c r="G28" i="41" s="1"/>
  <c r="D29" i="46"/>
  <c r="D30" i="46" s="1"/>
  <c r="E24" i="90"/>
  <c r="E23" i="90" s="1"/>
  <c r="B1" i="82" a="1"/>
  <c r="B1" i="82" s="1"/>
  <c r="E46" i="29"/>
  <c r="F26" i="41"/>
  <c r="F27" i="41" s="1"/>
  <c r="F28" i="41" s="1"/>
  <c r="E26" i="41"/>
  <c r="E25" i="90"/>
  <c r="D34" i="18"/>
  <c r="G17" i="67"/>
  <c r="D24" i="89"/>
  <c r="F25" i="90"/>
  <c r="D50" i="29"/>
  <c r="D51" i="29" s="1"/>
  <c r="I34" i="18"/>
  <c r="C25" i="42"/>
  <c r="F17" i="67"/>
  <c r="G25" i="90"/>
  <c r="G23" i="90" s="1"/>
  <c r="I40" i="40"/>
  <c r="D25" i="42"/>
  <c r="F25" i="42"/>
  <c r="E25" i="42"/>
  <c r="D22" i="42"/>
  <c r="I25" i="42"/>
  <c r="C22" i="42"/>
  <c r="H25" i="42"/>
  <c r="F22" i="42"/>
  <c r="G25" i="42"/>
  <c r="G22" i="42"/>
  <c r="G52" i="42"/>
  <c r="G53" i="42" s="1"/>
  <c r="G26" i="42" s="1"/>
  <c r="G27" i="42" s="1"/>
  <c r="G28" i="42" s="1"/>
  <c r="J53" i="42"/>
  <c r="J26" i="42" s="1"/>
  <c r="J27" i="42" s="1"/>
  <c r="J28" i="42" s="1"/>
  <c r="J22" i="42"/>
  <c r="I22" i="42"/>
  <c r="F53" i="42"/>
  <c r="E53" i="42"/>
  <c r="H53" i="42"/>
  <c r="H26" i="42" s="1"/>
  <c r="H27" i="42" s="1"/>
  <c r="H28" i="42" s="1"/>
  <c r="D53" i="42"/>
  <c r="D26" i="42" s="1"/>
  <c r="D27" i="42" s="1"/>
  <c r="D28" i="42" s="1"/>
  <c r="I53" i="42"/>
  <c r="C53" i="42"/>
  <c r="E27" i="41"/>
  <c r="E28" i="41" s="1"/>
  <c r="D26" i="41"/>
  <c r="D27" i="41" s="1"/>
  <c r="I27" i="41"/>
  <c r="I28" i="41" s="1"/>
  <c r="C26" i="41"/>
  <c r="C27" i="41" s="1"/>
  <c r="C17" i="67"/>
  <c r="E17" i="67"/>
  <c r="B6" i="43" a="1"/>
  <c r="B6" i="43" s="1"/>
  <c r="C35" i="50"/>
  <c r="E33" i="50"/>
  <c r="D33" i="50"/>
  <c r="D52" i="29"/>
  <c r="D45" i="29"/>
  <c r="C50" i="29"/>
  <c r="C51" i="29" s="1"/>
  <c r="E45" i="29"/>
  <c r="C46" i="29"/>
  <c r="E50" i="29"/>
  <c r="E51" i="29" s="1"/>
  <c r="E52" i="29" s="1"/>
  <c r="D49" i="29"/>
  <c r="E47" i="29"/>
  <c r="C45" i="29"/>
  <c r="D47" i="29"/>
  <c r="F23" i="90"/>
  <c r="G24" i="89"/>
  <c r="F24" i="89"/>
  <c r="E24" i="89"/>
  <c r="D25" i="89"/>
  <c r="G25" i="89"/>
  <c r="F25" i="89"/>
  <c r="E25" i="89"/>
  <c r="C37" i="50"/>
  <c r="C9" i="50" s="1"/>
  <c r="C38" i="50"/>
  <c r="C40" i="50" s="1"/>
  <c r="F33" i="50"/>
  <c r="E29" i="46"/>
  <c r="G29" i="46"/>
  <c r="G30" i="46" s="1"/>
  <c r="F29" i="46"/>
  <c r="F30" i="46" s="1"/>
  <c r="F29" i="45"/>
  <c r="F30" i="45" s="1"/>
  <c r="E29" i="45"/>
  <c r="E30" i="45" s="1"/>
  <c r="G29" i="45"/>
  <c r="G30" i="45" s="1"/>
  <c r="D29" i="45"/>
  <c r="D30" i="45" s="1"/>
  <c r="H28" i="41"/>
  <c r="E30" i="46"/>
  <c r="I29" i="45"/>
  <c r="I30" i="45" s="1"/>
  <c r="E22" i="42"/>
  <c r="E26" i="42" l="1"/>
  <c r="E27" i="42" s="1"/>
  <c r="E28" i="42" s="1"/>
  <c r="C49" i="29"/>
  <c r="C53" i="29"/>
  <c r="C14" i="29" s="1"/>
  <c r="C52" i="29" s="1"/>
  <c r="C26" i="42"/>
  <c r="C27" i="42" s="1"/>
  <c r="C28" i="42" s="1"/>
  <c r="F26" i="42"/>
  <c r="F27" i="42" s="1"/>
  <c r="F28" i="42" s="1"/>
  <c r="I26" i="42"/>
  <c r="I27" i="42" s="1"/>
  <c r="I28" i="42" s="1"/>
  <c r="F34" i="50"/>
  <c r="F36" i="50" s="1"/>
  <c r="F35" i="50"/>
  <c r="D34" i="50"/>
  <c r="D36" i="50" s="1"/>
  <c r="D35" i="50"/>
  <c r="E34" i="50"/>
  <c r="E36" i="50" s="1"/>
  <c r="E35" i="50"/>
  <c r="E49" i="29"/>
  <c r="C54" i="29"/>
  <c r="D23" i="90"/>
  <c r="D23" i="89"/>
  <c r="F23" i="89"/>
  <c r="G23" i="89"/>
  <c r="E23" i="89"/>
  <c r="D38" i="40" s="1"/>
  <c r="C38" i="40" s="1"/>
  <c r="D39" i="40" s="1"/>
  <c r="C39" i="40" s="1"/>
  <c r="G41" i="40" s="1"/>
  <c r="F41" i="40" s="1"/>
  <c r="H1" i="40" s="1"/>
  <c r="G1" i="40" s="1"/>
  <c r="F1" i="40" s="1"/>
  <c r="E1" i="40" s="1"/>
  <c r="D1" i="40" s="1"/>
  <c r="C1" i="40" s="1"/>
  <c r="L12" i="85" s="1"/>
  <c r="K12" i="85" s="1"/>
  <c r="J12" i="85" s="1"/>
  <c r="I12" i="85" s="1"/>
  <c r="H12" i="85" s="1"/>
  <c r="G12" i="85" s="1"/>
  <c r="F12" i="85" s="1"/>
  <c r="E12" i="85" s="1"/>
  <c r="D12" i="85" s="1"/>
  <c r="C12" i="85" s="1"/>
  <c r="B12" i="85" s="1"/>
  <c r="L11" i="85" s="1"/>
  <c r="K11" i="85" s="1"/>
  <c r="J11" i="85" s="1"/>
  <c r="I11" i="85" s="1"/>
  <c r="H11" i="85" s="1"/>
  <c r="G11" i="85" s="1"/>
  <c r="F11" i="85" s="1"/>
  <c r="E11" i="85" s="1"/>
  <c r="D11" i="85" s="1"/>
  <c r="C11" i="85" s="1"/>
  <c r="B11" i="85" s="1"/>
  <c r="L10" i="85" s="1"/>
  <c r="K10" i="85" s="1"/>
  <c r="J10" i="85" s="1"/>
  <c r="I10" i="85" s="1"/>
  <c r="H10" i="85" s="1"/>
  <c r="G10" i="85" s="1"/>
  <c r="F10" i="85" s="1"/>
  <c r="E10" i="85" s="1"/>
  <c r="D10" i="85" s="1"/>
  <c r="C10" i="85" s="1"/>
  <c r="B10" i="85" s="1"/>
  <c r="L9" i="85" s="1"/>
  <c r="K9" i="85" s="1"/>
  <c r="J9" i="85" s="1"/>
  <c r="I9" i="85" s="1"/>
  <c r="H9" i="85" s="1"/>
  <c r="G9" i="85" s="1"/>
  <c r="F9" i="85" s="1"/>
  <c r="E9" i="85" s="1"/>
  <c r="D9" i="85" s="1"/>
  <c r="C9" i="85" s="1"/>
  <c r="B9" i="85" s="1"/>
  <c r="L8" i="85" s="1"/>
  <c r="K8" i="85" s="1"/>
  <c r="J8" i="85" s="1"/>
  <c r="I8" i="85" s="1"/>
  <c r="H8" i="85" s="1"/>
  <c r="G8" i="85" s="1"/>
  <c r="F8" i="85" s="1"/>
  <c r="E8" i="85" s="1"/>
  <c r="D8" i="85" s="1"/>
  <c r="C8" i="85" s="1"/>
  <c r="B8" i="85" s="1"/>
  <c r="L7" i="85" s="1"/>
  <c r="K7" i="85" s="1"/>
  <c r="J7" i="85" s="1"/>
  <c r="I7" i="85" s="1"/>
  <c r="H7" i="85" s="1"/>
  <c r="G7" i="85" s="1"/>
  <c r="F7" i="85" s="1"/>
  <c r="E7" i="85" s="1"/>
  <c r="D7" i="85" s="1"/>
  <c r="C7" i="85" s="1"/>
  <c r="B7" i="85" s="1"/>
  <c r="L6" i="85" s="1"/>
  <c r="K6" i="85" s="1"/>
  <c r="J6" i="85" s="1"/>
  <c r="I6" i="85" s="1"/>
  <c r="H6" i="85" s="1"/>
  <c r="G6" i="85" s="1"/>
  <c r="F6" i="85" s="1"/>
  <c r="E6" i="85" s="1"/>
  <c r="D6" i="85" s="1"/>
  <c r="C6" i="85" s="1"/>
  <c r="B6" i="85" s="1"/>
  <c r="L5" i="85" s="1"/>
  <c r="K5" i="85" s="1"/>
  <c r="J5" i="85" s="1"/>
  <c r="I5" i="85" s="1"/>
  <c r="H5" i="85" s="1"/>
  <c r="G5" i="85" s="1"/>
  <c r="F5" i="85" s="1"/>
  <c r="E5" i="85" s="1"/>
  <c r="D5" i="85" s="1"/>
  <c r="C5" i="85" s="1"/>
  <c r="B5" i="85" s="1"/>
  <c r="L4" i="85" s="1"/>
  <c r="K4" i="85" s="1"/>
  <c r="J4" i="85" s="1"/>
  <c r="I4" i="85" s="1"/>
  <c r="H4" i="85" s="1"/>
  <c r="G4" i="85" s="1"/>
  <c r="F4" i="85" s="1"/>
  <c r="E4" i="85" s="1"/>
  <c r="D4" i="85" s="1"/>
  <c r="C4" i="85" s="1"/>
  <c r="B4" i="85" s="1"/>
  <c r="L3" i="85" s="1"/>
  <c r="K3" i="85" s="1"/>
  <c r="J3" i="85" s="1"/>
  <c r="I3" i="85" s="1"/>
  <c r="H3" i="85" s="1"/>
  <c r="G3" i="85" s="1"/>
  <c r="F3" i="85" s="1"/>
  <c r="E3" i="85" s="1"/>
  <c r="D3" i="85" s="1"/>
  <c r="C3" i="85" s="1"/>
  <c r="B3" i="85" s="1"/>
  <c r="L1" i="85" s="1"/>
  <c r="K1" i="85" s="1"/>
  <c r="J1" i="85" s="1"/>
  <c r="I1" i="85" s="1"/>
  <c r="H1" i="85" s="1"/>
  <c r="G1" i="85" s="1"/>
  <c r="F1" i="85" s="1"/>
  <c r="E1" i="85" s="1"/>
  <c r="D1" i="85" s="1"/>
  <c r="C1" i="85" s="1"/>
  <c r="D41" i="40" l="1"/>
  <c r="G36" i="40"/>
  <c r="G34" i="40"/>
  <c r="H41" i="40"/>
  <c r="E38" i="40"/>
  <c r="C34" i="40"/>
  <c r="C36" i="40"/>
  <c r="C40" i="40" s="1"/>
  <c r="C14" i="40" s="1"/>
  <c r="E39" i="40"/>
  <c r="F38" i="40"/>
  <c r="H36" i="40"/>
  <c r="H34" i="40"/>
  <c r="C41" i="40"/>
  <c r="D34" i="40"/>
  <c r="D36" i="40"/>
  <c r="D40" i="40" s="1"/>
  <c r="D14" i="40" s="1"/>
  <c r="F39" i="40"/>
  <c r="G38" i="40"/>
  <c r="G39" i="40"/>
  <c r="E34" i="40"/>
  <c r="E36" i="40"/>
  <c r="H38" i="40"/>
  <c r="E41" i="40"/>
  <c r="F36" i="40"/>
  <c r="F34" i="40"/>
  <c r="H39" i="40"/>
  <c r="E38" i="50"/>
  <c r="E40" i="50" s="1"/>
  <c r="E37" i="50"/>
  <c r="E9" i="50" s="1"/>
  <c r="D38" i="50"/>
  <c r="D40" i="50" s="1"/>
  <c r="D37" i="50"/>
  <c r="D9" i="50" s="1"/>
  <c r="F37" i="50"/>
  <c r="F9" i="50" s="1"/>
  <c r="F38" i="50"/>
  <c r="F40" i="50" s="1"/>
  <c r="F40" i="40" l="1"/>
  <c r="F14" i="40" s="1"/>
  <c r="H40" i="40"/>
  <c r="H14" i="40" s="1"/>
  <c r="G40" i="40"/>
  <c r="G14" i="40" s="1"/>
  <c r="E40" i="40"/>
  <c r="E14" i="4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<sst xmlns="http://schemas.openxmlformats.org/spreadsheetml/2006/main" count="11922" uniqueCount="2866">
  <si>
    <t>Stack</t>
  </si>
  <si>
    <t>Reach</t>
  </si>
  <si>
    <t>Seat Tube Length, C-T</t>
  </si>
  <si>
    <t>Head Tube Angle</t>
  </si>
  <si>
    <t>Seat Tube Angle</t>
  </si>
  <si>
    <t>Head Tube Length</t>
  </si>
  <si>
    <t>Bottom Bracket Drop</t>
  </si>
  <si>
    <t>Chainstay Length</t>
  </si>
  <si>
    <t>Front-Center</t>
  </si>
  <si>
    <t>Wheelbase</t>
  </si>
  <si>
    <t>Fork Offset/Rake</t>
  </si>
  <si>
    <t>Wheel Size</t>
  </si>
  <si>
    <t>Handlebar Width</t>
  </si>
  <si>
    <t>Stem Length</t>
  </si>
  <si>
    <t>Standover</t>
  </si>
  <si>
    <t>Frame Size</t>
  </si>
  <si>
    <t>XS</t>
  </si>
  <si>
    <t>S</t>
  </si>
  <si>
    <t>M</t>
  </si>
  <si>
    <t>L</t>
  </si>
  <si>
    <t>XL</t>
  </si>
  <si>
    <t>BIKE SIZE(*COMPACT FRAME)</t>
  </si>
  <si>
    <t>48cm</t>
  </si>
  <si>
    <t>54cm</t>
  </si>
  <si>
    <t>57cm</t>
  </si>
  <si>
    <t>60cm</t>
  </si>
  <si>
    <t>SEAT TUBE, CENTER TO TOP</t>
  </si>
  <si>
    <t>C</t>
  </si>
  <si>
    <t>TOP TUBE, EFFECTIVE</t>
  </si>
  <si>
    <t>HEAD TUBE LENGTH</t>
  </si>
  <si>
    <t>E</t>
  </si>
  <si>
    <t>SEAT TUBE ANGLE</t>
  </si>
  <si>
    <t>74°</t>
  </si>
  <si>
    <t>73.5°</t>
  </si>
  <si>
    <t>HEAD TUBE ANGLE</t>
  </si>
  <si>
    <t>CHAINSTAY LENGTH</t>
  </si>
  <si>
    <t>WHEELBASE</t>
  </si>
  <si>
    <t>BOTTOM BRACKET DROP</t>
  </si>
  <si>
    <t>FORK OFFSET </t>
  </si>
  <si>
    <t>STACK</t>
  </si>
  <si>
    <t>REACH</t>
  </si>
  <si>
    <t>STANDOVER</t>
  </si>
  <si>
    <t>STEM MM</t>
  </si>
  <si>
    <t>HANDLEBAR WIDTH CM</t>
  </si>
  <si>
    <t>CRANK MM</t>
  </si>
  <si>
    <t>WHEEL SIZE</t>
  </si>
  <si>
    <t>700c</t>
  </si>
  <si>
    <t>SEAT POST DIAMETER MM</t>
  </si>
  <si>
    <t>45cm (XS)</t>
  </si>
  <si>
    <t>48cm (S)</t>
  </si>
  <si>
    <t>51cm (M)</t>
  </si>
  <si>
    <t>54cm (L)</t>
  </si>
  <si>
    <t>57cm (XL)</t>
  </si>
  <si>
    <t>60cm (XXL)</t>
  </si>
  <si>
    <t>stack</t>
  </si>
  <si>
    <t>reach</t>
  </si>
  <si>
    <t>wheelbase</t>
  </si>
  <si>
    <t>standover</t>
  </si>
  <si>
    <t>Crank Length</t>
  </si>
  <si>
    <t>seat_post_diameter</t>
  </si>
  <si>
    <t>seat_tube_length</t>
  </si>
  <si>
    <t>top_tube_length</t>
  </si>
  <si>
    <t>head_tube_angle</t>
  </si>
  <si>
    <t>seat_tube_angle</t>
  </si>
  <si>
    <t>head_tube_length</t>
  </si>
  <si>
    <t>bottom_bracket_drop</t>
  </si>
  <si>
    <t>chainstay_length</t>
  </si>
  <si>
    <t>fork_offset_rake</t>
  </si>
  <si>
    <t>wheel_size</t>
  </si>
  <si>
    <t>crank_length</t>
  </si>
  <si>
    <t>handlebar_width</t>
  </si>
  <si>
    <t>stem_length</t>
  </si>
  <si>
    <t>frame_size</t>
  </si>
  <si>
    <t>top_tube_effective_length</t>
  </si>
  <si>
    <t>Tires</t>
  </si>
  <si>
    <t>Frame</t>
  </si>
  <si>
    <t>steel</t>
  </si>
  <si>
    <t>FRAME GEO</t>
  </si>
  <si>
    <t>586mm | 23.07"</t>
  </si>
  <si>
    <t>605mm | 23.80"</t>
  </si>
  <si>
    <t>624mm | 24.56"</t>
  </si>
  <si>
    <t>643mm | 25.33"</t>
  </si>
  <si>
    <t>450mm | 17.72"</t>
  </si>
  <si>
    <t>470mm | 18.50"</t>
  </si>
  <si>
    <t>490mm | 19.29"</t>
  </si>
  <si>
    <t>510mm | 20.08"</t>
  </si>
  <si>
    <t>278mm | 10.93"</t>
  </si>
  <si>
    <t>80mm | 3.15"</t>
  </si>
  <si>
    <t>140mm | 5.51"</t>
  </si>
  <si>
    <t>160mm | 6.30"</t>
  </si>
  <si>
    <t>180mm | 7.09"</t>
  </si>
  <si>
    <t>200mm | 7.87"</t>
  </si>
  <si>
    <t>430mm | 16.93"</t>
  </si>
  <si>
    <t>1098mm | 43.22"</t>
  </si>
  <si>
    <t>1126mm | 44.32"</t>
  </si>
  <si>
    <t>1154mm | 45.42"</t>
  </si>
  <si>
    <t>1182mm | 46.52"</t>
  </si>
  <si>
    <t>428mm | 16.24"</t>
  </si>
  <si>
    <t>57mm | 2.23"</t>
  </si>
  <si>
    <t>93mm | 3.64"</t>
  </si>
  <si>
    <t>680mm | 26.77"</t>
  </si>
  <si>
    <t>708mm | 27.86"</t>
  </si>
  <si>
    <t>736mm | 28.96"</t>
  </si>
  <si>
    <t>763mm | 30.05"</t>
  </si>
  <si>
    <t>400mm | 15.75"</t>
  </si>
  <si>
    <t>420mm | 16.54"</t>
  </si>
  <si>
    <t>440mm | 17.32"</t>
  </si>
  <si>
    <t>460mm | 18.11"</t>
  </si>
  <si>
    <t>575mm | 22.66"</t>
  </si>
  <si>
    <t>594mm | 23.38"</t>
  </si>
  <si>
    <t>612mm | 24.10"</t>
  </si>
  <si>
    <t>631mm | 24.83"</t>
  </si>
  <si>
    <t>Stand Over</t>
  </si>
  <si>
    <t>662mm | 26.08"</t>
  </si>
  <si>
    <t>671mm | 26.40"</t>
  </si>
  <si>
    <t>682mm | 26.85"</t>
  </si>
  <si>
    <t>696mm | 27.38"</t>
  </si>
  <si>
    <t>A - Head Angle</t>
  </si>
  <si>
    <t>B - Seat Tube Angle</t>
  </si>
  <si>
    <t>C - Virtual Top Tube Length</t>
  </si>
  <si>
    <t>D - Seat Tube Length</t>
  </si>
  <si>
    <t>E - Bottom Bracket Height</t>
  </si>
  <si>
    <t>F - Bottom Bracket Drop</t>
  </si>
  <si>
    <t>G - Head Tube Length</t>
  </si>
  <si>
    <t>H - Chain Stay Length</t>
  </si>
  <si>
    <t>I - Wheel Base</t>
  </si>
  <si>
    <t>J - Axle to Crown</t>
  </si>
  <si>
    <t>K - Fork Offset</t>
  </si>
  <si>
    <t>L - Trail</t>
  </si>
  <si>
    <t>M - Front to Center</t>
  </si>
  <si>
    <t>N - Reach</t>
  </si>
  <si>
    <t>O - Stack</t>
  </si>
  <si>
    <t>frame_material</t>
  </si>
  <si>
    <t>Trail</t>
  </si>
  <si>
    <t>front_center</t>
  </si>
  <si>
    <t>trail</t>
  </si>
  <si>
    <t>axle_to_crown</t>
  </si>
  <si>
    <t>bottom_bracket_height</t>
  </si>
  <si>
    <t>size</t>
  </si>
  <si>
    <t>tire_width_spec</t>
  </si>
  <si>
    <t>tire_width_max</t>
  </si>
  <si>
    <t>Size</t>
  </si>
  <si>
    <t>Stack MM</t>
  </si>
  <si>
    <t>Reach MM (reach)</t>
  </si>
  <si>
    <t>Seat Tube MM (st)</t>
  </si>
  <si>
    <t>Top Tube MM (tt)</t>
  </si>
  <si>
    <t>Head Tube MM (ht)</t>
  </si>
  <si>
    <t>Seat Tube Angle (sa)</t>
  </si>
  <si>
    <t>Head Angle (ha)</t>
  </si>
  <si>
    <t>Rear Center MM (rc)</t>
  </si>
  <si>
    <t>Front Center MM (fc)</t>
  </si>
  <si>
    <t>Wheelbase MM (wb)</t>
  </si>
  <si>
    <t>BB Drop MM (drop)</t>
  </si>
  <si>
    <t>Fork Length MM (fl)</t>
  </si>
  <si>
    <t>Fork Rake MM (fr)</t>
  </si>
  <si>
    <t>Trail MM (trail)</t>
  </si>
  <si>
    <t>Crank Length MM</t>
  </si>
  <si>
    <t>Stem Length MM</t>
  </si>
  <si>
    <t>Bar Width MM</t>
  </si>
  <si>
    <t>Bar Drop MM</t>
  </si>
  <si>
    <t>Bar Reach MM</t>
  </si>
  <si>
    <t>Standover Height mm</t>
  </si>
  <si>
    <t>Seatpost Length MM</t>
  </si>
  <si>
    <t>fork_length</t>
  </si>
  <si>
    <t>bar_drop</t>
  </si>
  <si>
    <t>bar_reach</t>
  </si>
  <si>
    <t>seatpost</t>
  </si>
  <si>
    <t>SIZE</t>
  </si>
  <si>
    <t>SM</t>
  </si>
  <si>
    <t>MD</t>
  </si>
  <si>
    <t>LG</t>
  </si>
  <si>
    <t>Rider Height</t>
  </si>
  <si>
    <t>69.5°</t>
  </si>
  <si>
    <t>Seat Tube Length</t>
  </si>
  <si>
    <t>BB Drop</t>
  </si>
  <si>
    <t>Top Tube Length, Effective</t>
  </si>
  <si>
    <t>Standover Height</t>
  </si>
  <si>
    <t>Stem Angle</t>
  </si>
  <si>
    <t>Fork Length</t>
  </si>
  <si>
    <t>Fork Rake</t>
  </si>
  <si>
    <t>HANDLEBAR WIDTH MM</t>
  </si>
  <si>
    <t>stem_angle</t>
  </si>
  <si>
    <t>SEAT TUBE C/T</t>
  </si>
  <si>
    <t>SEAT TUBE C/C</t>
  </si>
  <si>
    <t>BB DROP</t>
  </si>
  <si>
    <t>REAR CENTRE</t>
  </si>
  <si>
    <t>TT EFFECTIVE</t>
  </si>
  <si>
    <t>TT ACTUAL</t>
  </si>
  <si>
    <t>OFFSET</t>
  </si>
  <si>
    <t>TRAIL</t>
  </si>
  <si>
    <t>FORK CROWN HEIGHT</t>
  </si>
  <si>
    <t>HEAD ANGLE</t>
  </si>
  <si>
    <t>HANDLEBAR (OUTSIDE DIMENSION)</t>
  </si>
  <si>
    <t>fork_crown_height</t>
  </si>
  <si>
    <t>standover_27.5</t>
  </si>
  <si>
    <t>tt_actual</t>
  </si>
  <si>
    <t>seat_tube_cc</t>
  </si>
  <si>
    <t>42CM</t>
  </si>
  <si>
    <t>46CM</t>
  </si>
  <si>
    <t>50CM</t>
  </si>
  <si>
    <t>54CM</t>
  </si>
  <si>
    <t>58CM</t>
  </si>
  <si>
    <t>S/O - 27.5 X 2.8</t>
  </si>
  <si>
    <t>S/O - 29 X 2.4</t>
  </si>
  <si>
    <t>FRONT CENTRE</t>
  </si>
  <si>
    <t>AXLE SPACING</t>
  </si>
  <si>
    <t>FRAME WEIGHT</t>
  </si>
  <si>
    <t>2100g</t>
  </si>
  <si>
    <t>2180g</t>
  </si>
  <si>
    <t>2260g</t>
  </si>
  <si>
    <t>2400g</t>
  </si>
  <si>
    <t>2480g</t>
  </si>
  <si>
    <t>FORK WEIGHT</t>
  </si>
  <si>
    <t>700g</t>
  </si>
  <si>
    <t>STEM</t>
  </si>
  <si>
    <t>CRANKARM</t>
  </si>
  <si>
    <t>axle_spacing</t>
  </si>
  <si>
    <t>frame_weight</t>
  </si>
  <si>
    <t>fork_weight</t>
  </si>
  <si>
    <t>Frame Geometry</t>
  </si>
  <si>
    <t>Small</t>
  </si>
  <si>
    <t>Medium</t>
  </si>
  <si>
    <t>Extra Medium</t>
  </si>
  <si>
    <t>Large</t>
  </si>
  <si>
    <t>Extra Large</t>
  </si>
  <si>
    <t>Effective Top Tube Length</t>
  </si>
  <si>
    <t>535mm</t>
  </si>
  <si>
    <t>555mm</t>
  </si>
  <si>
    <t>575mm</t>
  </si>
  <si>
    <t>595mm</t>
  </si>
  <si>
    <t>615mm</t>
  </si>
  <si>
    <t>73.5 degrees</t>
  </si>
  <si>
    <t>73 degrees</t>
  </si>
  <si>
    <t>72.5 degrees</t>
  </si>
  <si>
    <t>72.5mm</t>
  </si>
  <si>
    <t>Seat Tube Length C-T</t>
  </si>
  <si>
    <t>380mm</t>
  </si>
  <si>
    <t>430mm</t>
  </si>
  <si>
    <t>460mm</t>
  </si>
  <si>
    <t>490mm</t>
  </si>
  <si>
    <t>545mm</t>
  </si>
  <si>
    <t>115mm</t>
  </si>
  <si>
    <t>140mm</t>
  </si>
  <si>
    <t>175mm</t>
  </si>
  <si>
    <t>200mm</t>
  </si>
  <si>
    <t>220mm</t>
  </si>
  <si>
    <t>69 degrees</t>
  </si>
  <si>
    <t>Fork Offset</t>
  </si>
  <si>
    <t>55mm</t>
  </si>
  <si>
    <t>450mm</t>
  </si>
  <si>
    <t>Bottom Bracket Drop*</t>
  </si>
  <si>
    <t>63.5mm</t>
  </si>
  <si>
    <t>574mm</t>
  </si>
  <si>
    <t>597mm</t>
  </si>
  <si>
    <t>630mm</t>
  </si>
  <si>
    <t>653mm</t>
  </si>
  <si>
    <t>672mm</t>
  </si>
  <si>
    <t>365mm</t>
  </si>
  <si>
    <t>372mm</t>
  </si>
  <si>
    <t>382mm</t>
  </si>
  <si>
    <t>389mm</t>
  </si>
  <si>
    <t>403mm</t>
  </si>
  <si>
    <t>Standover Height**</t>
  </si>
  <si>
    <t>750mm</t>
  </si>
  <si>
    <t>784mm</t>
  </si>
  <si>
    <t>815mm</t>
  </si>
  <si>
    <t>840mm</t>
  </si>
  <si>
    <t>875mm</t>
  </si>
  <si>
    <t>proxy</t>
  </si>
  <si>
    <t>Frame size number</t>
  </si>
  <si>
    <t>Wheel size</t>
  </si>
  <si>
    <t>A — Seat tube</t>
  </si>
  <si>
    <t>B — Seat tube angle</t>
  </si>
  <si>
    <t>C — Head tube length</t>
  </si>
  <si>
    <t>D — Head angle</t>
  </si>
  <si>
    <t>E — Effective top tube</t>
  </si>
  <si>
    <t>G — Bottom bracket drop</t>
  </si>
  <si>
    <t>H — Chainstay length</t>
  </si>
  <si>
    <t>I — Offset</t>
  </si>
  <si>
    <t>J — Trail</t>
  </si>
  <si>
    <t>K — Wheelbase</t>
  </si>
  <si>
    <t>L — Standover</t>
  </si>
  <si>
    <t>M — Frame reach</t>
  </si>
  <si>
    <t>N — Frame stack</t>
  </si>
  <si>
    <t>Stem length</t>
  </si>
  <si>
    <t>49 cm</t>
  </si>
  <si>
    <t>71.0°</t>
  </si>
  <si>
    <t>52 cm</t>
  </si>
  <si>
    <t>54 cm</t>
  </si>
  <si>
    <t>56 cm</t>
  </si>
  <si>
    <t>58 cm</t>
  </si>
  <si>
    <t>61 cm</t>
  </si>
  <si>
    <t>All measurements provided in cm unless otherwise noted.</t>
  </si>
  <si>
    <t>72.5°</t>
  </si>
  <si>
    <t>RIDER HEIGHT</t>
  </si>
  <si>
    <t>5'4" - 5'7" </t>
  </si>
  <si>
    <t>162 - 170cm</t>
  </si>
  <si>
    <t>5'7" - 5'9" </t>
  </si>
  <si>
    <t>170 - 175cm</t>
  </si>
  <si>
    <t>5'9" - 5'11" </t>
  </si>
  <si>
    <t>175 - 180cm</t>
  </si>
  <si>
    <t>5'11" - 6'1" </t>
  </si>
  <si>
    <t>180 - 185cm</t>
  </si>
  <si>
    <t>6'1" - 6'4" </t>
  </si>
  <si>
    <t>185 - 194cm</t>
  </si>
  <si>
    <t>650b / 700c</t>
  </si>
  <si>
    <t>A - SEAT ANGLE (MM)</t>
  </si>
  <si>
    <t>B - TOP TUBE (MM)</t>
  </si>
  <si>
    <t>C - HEAD ANGLE (MM)</t>
  </si>
  <si>
    <t>71°</t>
  </si>
  <si>
    <t>D - OFFSET (MM)</t>
  </si>
  <si>
    <t>E - HEAD TUBE (MM)</t>
  </si>
  <si>
    <t>F - BB DROP (MM)</t>
  </si>
  <si>
    <t>G - SEAT TUBE (MM)</t>
  </si>
  <si>
    <t>RC - CHAINSTAY (MM)</t>
  </si>
  <si>
    <t>FC - FRONT CENTRE(MM)</t>
  </si>
  <si>
    <t>REACH (MM)</t>
  </si>
  <si>
    <t>STACK (MM)</t>
  </si>
  <si>
    <t>WB - WHEELBASE (MM)</t>
  </si>
  <si>
    <t>rider_height_in</t>
  </si>
  <si>
    <t>rider_height_cm</t>
  </si>
  <si>
    <t>wheel_size_input</t>
  </si>
  <si>
    <t>X-Small</t>
  </si>
  <si>
    <t>X-large</t>
  </si>
  <si>
    <t>156-165cm</t>
  </si>
  <si>
    <t>5'1.4"-5'5"</t>
  </si>
  <si>
    <t>166-174cm</t>
  </si>
  <si>
    <t>5'5.35"-5'8.5"</t>
  </si>
  <si>
    <t>175-182cm</t>
  </si>
  <si>
    <t>5'8.9"-5'11.65"</t>
  </si>
  <si>
    <t>183-190cm</t>
  </si>
  <si>
    <t>6'0.05"-6'2.8"</t>
  </si>
  <si>
    <t>191-200cm</t>
  </si>
  <si>
    <t>6'3.2"-6'6.74"</t>
  </si>
  <si>
    <t>Stem</t>
  </si>
  <si>
    <t>Reach to handlebar</t>
  </si>
  <si>
    <t>Stack to handlebar</t>
  </si>
  <si>
    <t>562-604</t>
  </si>
  <si>
    <t>579-623</t>
  </si>
  <si>
    <t>608-654</t>
  </si>
  <si>
    <t>639-688</t>
  </si>
  <si>
    <t>671-722</t>
  </si>
  <si>
    <t>BB to saddle top</t>
  </si>
  <si>
    <t>541-679</t>
  </si>
  <si>
    <t>580-758</t>
  </si>
  <si>
    <t>608-806</t>
  </si>
  <si>
    <t>628-846</t>
  </si>
  <si>
    <t>655-873</t>
  </si>
  <si>
    <t>Frame reach</t>
  </si>
  <si>
    <t>Frame stack</t>
  </si>
  <si>
    <t>Head angle</t>
  </si>
  <si>
    <t>Seattube angle*</t>
  </si>
  <si>
    <t>Seattube length</t>
  </si>
  <si>
    <t>Chainstay length</t>
  </si>
  <si>
    <t>BB drop</t>
  </si>
  <si>
    <t>Headtube length</t>
  </si>
  <si>
    <t>Toptube length</t>
  </si>
  <si>
    <t>Axle to crown</t>
  </si>
  <si>
    <t>Fork rake</t>
  </si>
  <si>
    <t>Standover height (on 45mm tires)</t>
  </si>
  <si>
    <t>handlebar_reach</t>
  </si>
  <si>
    <t>handlebar_stack</t>
  </si>
  <si>
    <t>BB_2_top</t>
  </si>
  <si>
    <t>frontcenter</t>
  </si>
  <si>
    <t>axlecrown</t>
  </si>
  <si>
    <t>60, 7</t>
  </si>
  <si>
    <t>70, 7</t>
  </si>
  <si>
    <t>80, 7</t>
  </si>
  <si>
    <t>90, 7</t>
  </si>
  <si>
    <t>100, 7</t>
  </si>
  <si>
    <t>seat tube-c-c</t>
  </si>
  <si>
    <t>seat tube c-t</t>
  </si>
  <si>
    <t>bikeinsights</t>
  </si>
  <si>
    <t xml:space="preserve">Frame Size </t>
  </si>
  <si>
    <t xml:space="preserve">Top tube (effective) </t>
  </si>
  <si>
    <t xml:space="preserve">Top tube (actual) </t>
  </si>
  <si>
    <t xml:space="preserve">Seat tube (c-t) </t>
  </si>
  <si>
    <t xml:space="preserve">Seat tube angle </t>
  </si>
  <si>
    <t xml:space="preserve">Head tube length </t>
  </si>
  <si>
    <t xml:space="preserve">Head tube angle </t>
  </si>
  <si>
    <t xml:space="preserve">BB drop </t>
  </si>
  <si>
    <t xml:space="preserve">Chainstay </t>
  </si>
  <si>
    <t xml:space="preserve">Wheelbase </t>
  </si>
  <si>
    <t xml:space="preserve">Standover height </t>
  </si>
  <si>
    <t xml:space="preserve">Stack </t>
  </si>
  <si>
    <t xml:space="preserve">Reach </t>
  </si>
  <si>
    <t xml:space="preserve">Fork rake </t>
  </si>
  <si>
    <t xml:space="preserve">Fork Length </t>
  </si>
  <si>
    <t xml:space="preserve">Axle to crown </t>
  </si>
  <si>
    <t xml:space="preserve">L </t>
  </si>
  <si>
    <t xml:space="preserve">A B C D E F G H </t>
  </si>
  <si>
    <t xml:space="preserve">C DF </t>
  </si>
  <si>
    <t xml:space="preserve">N </t>
  </si>
  <si>
    <t xml:space="preserve">M </t>
  </si>
  <si>
    <t xml:space="preserve">L M N </t>
  </si>
  <si>
    <t xml:space="preserve">H </t>
  </si>
  <si>
    <t xml:space="preserve">G </t>
  </si>
  <si>
    <t xml:space="preserve">I </t>
  </si>
  <si>
    <t xml:space="preserve">J JKK </t>
  </si>
  <si>
    <t>fork_rate</t>
  </si>
  <si>
    <t>top_tube_actual</t>
  </si>
  <si>
    <t>49.5CM</t>
  </si>
  <si>
    <t>52CM</t>
  </si>
  <si>
    <t>56CM</t>
  </si>
  <si>
    <t>60CM</t>
  </si>
  <si>
    <t>62.5CM</t>
  </si>
  <si>
    <t>EFFECTIVE TOP TUBE LENGTH</t>
  </si>
  <si>
    <t>STAND OVER HEIGHT</t>
  </si>
  <si>
    <t>703mm</t>
  </si>
  <si>
    <t>SEAT TUBE LENGTH</t>
  </si>
  <si>
    <t>guess</t>
  </si>
  <si>
    <t>buyer specified</t>
  </si>
  <si>
    <t>50cm</t>
  </si>
  <si>
    <t>52cm</t>
  </si>
  <si>
    <t>56cm</t>
  </si>
  <si>
    <t>58cm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</si>
  <si>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</si>
  <si>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</si>
  <si>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</si>
  <si>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</si>
  <si>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</si>
  <si>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</si>
  <si>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</si>
  <si>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</si>
  <si>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</si>
  <si>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</si>
  <si>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Standover (700x38mm tires)</t>
  </si>
  <si>
    <t>seat_tube_c_c</t>
  </si>
  <si>
    <t>2XS</t>
  </si>
  <si>
    <t>2XL</t>
  </si>
  <si>
    <t>Body Height in cm</t>
  </si>
  <si>
    <t>&lt; 166</t>
  </si>
  <si>
    <t>166 - 172</t>
  </si>
  <si>
    <t>172 - 178</t>
  </si>
  <si>
    <t>178 - 184</t>
  </si>
  <si>
    <t>184 - 190</t>
  </si>
  <si>
    <t>190 - 196</t>
  </si>
  <si>
    <t>&gt; 196</t>
  </si>
  <si>
    <t>Seat Height in mm (a)</t>
  </si>
  <si>
    <t>623 - 723</t>
  </si>
  <si>
    <t>653 - 753</t>
  </si>
  <si>
    <t>683 - 783</t>
  </si>
  <si>
    <t>713 - 813</t>
  </si>
  <si>
    <t>743 - 843</t>
  </si>
  <si>
    <t>773 - 873</t>
  </si>
  <si>
    <t>803 - 903</t>
  </si>
  <si>
    <t>Seat Tube Length in mm (b)</t>
  </si>
  <si>
    <t>Top Tube Length in mm (c)</t>
  </si>
  <si>
    <t>Head Tube Length in mm (d)</t>
  </si>
  <si>
    <t>Head Tube Angle (e)</t>
  </si>
  <si>
    <t>70,25°</t>
  </si>
  <si>
    <t>71,25°</t>
  </si>
  <si>
    <t>72,5°</t>
  </si>
  <si>
    <t>72,75°</t>
  </si>
  <si>
    <t>Seat Tube Angle (f)</t>
  </si>
  <si>
    <t>73,5°</t>
  </si>
  <si>
    <t>Chainstay Length in mm (g)</t>
  </si>
  <si>
    <t>Wheel Base in mm (h)</t>
  </si>
  <si>
    <t>Stack in mm (i)</t>
  </si>
  <si>
    <t>Reach in mm (j)</t>
  </si>
  <si>
    <t>Stand-over Height in mm (k)</t>
  </si>
  <si>
    <t>Bottom Bracket Offset in mm (l)</t>
  </si>
  <si>
    <t>Stack+ in mm</t>
  </si>
  <si>
    <t>Reach+ in mm</t>
  </si>
  <si>
    <t>stackplus</t>
  </si>
  <si>
    <t>reachplus</t>
  </si>
  <si>
    <r>
      <t>1019.6</t>
    </r>
    <r>
      <rPr>
        <sz val="11"/>
        <color rgb="FFAAAAAA"/>
        <rFont val="Helvetica Neue"/>
        <family val="2"/>
      </rPr>
      <t>mm</t>
    </r>
  </si>
  <si>
    <t>c-c but won't effect anything</t>
  </si>
  <si>
    <t>not published. Multiple sources. appproximate</t>
  </si>
  <si>
    <t>60-400</t>
  </si>
  <si>
    <t>75-420</t>
  </si>
  <si>
    <t>75-440</t>
  </si>
  <si>
    <t>90-440</t>
  </si>
  <si>
    <t>90-460</t>
  </si>
  <si>
    <t>105-460</t>
  </si>
  <si>
    <t>Cockpit dimensions</t>
  </si>
  <si>
    <t>TT Length</t>
  </si>
  <si>
    <t>Horizontal Chainstay</t>
  </si>
  <si>
    <t>Front Center</t>
  </si>
  <si>
    <t>rear_center_spec</t>
  </si>
  <si>
    <t>front_center_spec</t>
  </si>
  <si>
    <t>Bike Size</t>
  </si>
  <si>
    <t>27.5''</t>
  </si>
  <si>
    <t>29''</t>
  </si>
  <si>
    <t>Horizontal TT length</t>
  </si>
  <si>
    <t>Seat Angle</t>
  </si>
  <si>
    <t>Seat Angle effective</t>
  </si>
  <si>
    <t>Head Angle</t>
  </si>
  <si>
    <t>Headtube Length</t>
  </si>
  <si>
    <t>Wheelbase Length</t>
  </si>
  <si>
    <t>Axle to Crown</t>
  </si>
  <si>
    <t>Minimum rider height ¹</t>
  </si>
  <si>
    <t>Maximum rider height ¹</t>
  </si>
  <si>
    <t>seat_tube_angle_effective</t>
  </si>
  <si>
    <t>trail_spec</t>
  </si>
  <si>
    <t>axle_crown</t>
  </si>
  <si>
    <t>min height</t>
  </si>
  <si>
    <t>max height</t>
  </si>
  <si>
    <t>GEOMETRY</t>
  </si>
  <si>
    <t>rider height¹</t>
  </si>
  <si>
    <t>5’2"-5’8"</t>
  </si>
  <si>
    <t>5’7"-5’11"</t>
  </si>
  <si>
    <t>5’10"-6’3"</t>
  </si>
  <si>
    <t>6’2"-6’7"</t>
  </si>
  <si>
    <t>standover²</t>
  </si>
  <si>
    <t>headtube angle</t>
  </si>
  <si>
    <t>headtube length</t>
  </si>
  <si>
    <t>fork offset</t>
  </si>
  <si>
    <t>seattube length</t>
  </si>
  <si>
    <t>seattube angle</t>
  </si>
  <si>
    <t>seattube angle (norm.³)</t>
  </si>
  <si>
    <t>toptube length</t>
  </si>
  <si>
    <t>toptube length (norm.³)</t>
  </si>
  <si>
    <t>BB drop</t>
  </si>
  <si>
    <t>front center</t>
  </si>
  <si>
    <t>rear center</t>
  </si>
  <si>
    <t>top_tube_length_norm</t>
  </si>
  <si>
    <t>seat_tube_angle_norm</t>
  </si>
  <si>
    <t>49.5cm</t>
  </si>
  <si>
    <t>55cm</t>
  </si>
  <si>
    <t>59.5cm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</si>
  <si>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</si>
  <si>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</si>
  <si>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</si>
  <si>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</si>
  <si>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</si>
  <si>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</si>
  <si>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</si>
  <si>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</si>
  <si>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</si>
  <si>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</si>
  <si>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</si>
  <si>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</si>
  <si>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</si>
  <si>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</si>
  <si>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38cm</t>
  </si>
  <si>
    <t>40cm</t>
  </si>
  <si>
    <t>42cm</t>
  </si>
  <si>
    <t>44cm</t>
  </si>
  <si>
    <t>46cm</t>
  </si>
  <si>
    <t>Recommended Rider Height</t>
  </si>
  <si>
    <t>147–158 cm</t>
  </si>
  <si>
    <t>158–165 cm</t>
  </si>
  <si>
    <t>165–173 cm</t>
  </si>
  <si>
    <t>170–178 cm</t>
  </si>
  <si>
    <t>175–185 cm</t>
  </si>
  <si>
    <t>188cm–UP5</t>
  </si>
  <si>
    <t>axle_clrown</t>
  </si>
  <si>
    <t>445–462</t>
  </si>
  <si>
    <t>1050–1067</t>
  </si>
  <si>
    <t>1067–1084</t>
  </si>
  <si>
    <t>1083–1100</t>
  </si>
  <si>
    <t>1110–1127</t>
  </si>
  <si>
    <t>1141–1158</t>
  </si>
  <si>
    <t>150cm–160cm</t>
  </si>
  <si>
    <t>160cm–175cm</t>
  </si>
  <si>
    <t>173cm–183cm</t>
  </si>
  <si>
    <t>180cm–191cm</t>
  </si>
  <si>
    <t>188cm–UP</t>
  </si>
  <si>
    <t>ST LENGTH</t>
  </si>
  <si>
    <t>TT LENGTH</t>
  </si>
  <si>
    <t>HT ANGLE</t>
  </si>
  <si>
    <t>HT LENGTH</t>
  </si>
  <si>
    <t>ST ANGLE</t>
  </si>
  <si>
    <t>CS LENGTH</t>
  </si>
  <si>
    <t>BB HEIGHT</t>
  </si>
  <si>
    <t>FRONT CENTER</t>
  </si>
  <si>
    <t>FORK LENGTH</t>
  </si>
  <si>
    <t>FORK OFFSET</t>
  </si>
  <si>
    <t>bb_height</t>
  </si>
  <si>
    <t>Typical Height Range</t>
  </si>
  <si>
    <t>5'1" - 5'5"</t>
  </si>
  <si>
    <t>5'4" - 5'8"</t>
  </si>
  <si>
    <t>5'6" - 5'11"</t>
  </si>
  <si>
    <t>5'10" - 6'2"</t>
  </si>
  <si>
    <t>6'1" - 6'5"</t>
  </si>
  <si>
    <t>Head Tube</t>
  </si>
  <si>
    <t>Effective Top Tube</t>
  </si>
  <si>
    <t>F</t>
  </si>
  <si>
    <t>70°</t>
  </si>
  <si>
    <t>Fork Axle to Crown</t>
  </si>
  <si>
    <t>Chain Stay</t>
  </si>
  <si>
    <t>Seat Tube</t>
  </si>
  <si>
    <t>Standover (Midpoint of TT)</t>
  </si>
  <si>
    <t>Default Handlebar (C-C)</t>
  </si>
  <si>
    <t>Default Stem (7°)</t>
  </si>
  <si>
    <t>Default Crankarms</t>
  </si>
  <si>
    <t>Default Seatpost</t>
  </si>
  <si>
    <t>S1</t>
  </si>
  <si>
    <t>T1</t>
  </si>
  <si>
    <t>T</t>
  </si>
  <si>
    <t>H/T</t>
  </si>
  <si>
    <t>a°</t>
  </si>
  <si>
    <t>b°</t>
  </si>
  <si>
    <t>R</t>
  </si>
  <si>
    <t>45/50</t>
  </si>
  <si>
    <t>WB</t>
  </si>
  <si>
    <t>Fork</t>
  </si>
  <si>
    <t>Rake</t>
  </si>
  <si>
    <t>double/adaptable rake</t>
  </si>
  <si>
    <t>43cm</t>
  </si>
  <si>
    <t>49cm</t>
  </si>
  <si>
    <t>61cm</t>
  </si>
  <si>
    <t>Seat Tube Angle)</t>
  </si>
  <si>
    <t>Top Tube Length)</t>
  </si>
  <si>
    <t>Total Fork Length</t>
  </si>
  <si>
    <t>580mm</t>
  </si>
  <si>
    <t>607mm</t>
  </si>
  <si>
    <t>632mm</t>
  </si>
  <si>
    <t>395mm</t>
  </si>
  <si>
    <t>420mm</t>
  </si>
  <si>
    <t>440mm</t>
  </si>
  <si>
    <t>104mm</t>
  </si>
  <si>
    <t>133mm</t>
  </si>
  <si>
    <t>159mm</t>
  </si>
  <si>
    <t>BB Height</t>
  </si>
  <si>
    <t>265mm</t>
  </si>
  <si>
    <t>85mm</t>
  </si>
  <si>
    <t>69mm</t>
  </si>
  <si>
    <t>Fork Length, Full</t>
  </si>
  <si>
    <t>390mm</t>
  </si>
  <si>
    <t>Fork Rake/Offset</t>
  </si>
  <si>
    <t>639mm</t>
  </si>
  <si>
    <t>674mm</t>
  </si>
  <si>
    <t>432mm</t>
  </si>
  <si>
    <t>1057mm</t>
  </si>
  <si>
    <t>1092mm</t>
  </si>
  <si>
    <t>1121mm</t>
  </si>
  <si>
    <t>Top Tube Length, Horizontal</t>
  </si>
  <si>
    <t>456mm</t>
  </si>
  <si>
    <t>600mm</t>
  </si>
  <si>
    <t>627mm</t>
  </si>
  <si>
    <t>Bike Standover Height</t>
  </si>
  <si>
    <t>732mm</t>
  </si>
  <si>
    <t>754mm</t>
  </si>
  <si>
    <t>774mm</t>
  </si>
  <si>
    <t>470mm</t>
  </si>
  <si>
    <t>500mm</t>
  </si>
  <si>
    <t>530mm</t>
  </si>
  <si>
    <t>fork_length_spec</t>
  </si>
  <si>
    <t>bb_height_spec</t>
  </si>
  <si>
    <t>SEATPOST DIAMETER</t>
  </si>
  <si>
    <t>HANDLEBAR WIDTH (MM)</t>
  </si>
  <si>
    <t>STEM LENGTH (MM)</t>
  </si>
  <si>
    <t>CRANK LENGTH</t>
  </si>
  <si>
    <t>ASTACK</t>
  </si>
  <si>
    <t>BREACH</t>
  </si>
  <si>
    <t>CHEADTUBE ANGLE</t>
  </si>
  <si>
    <t>DHEAD TUBE LENGTH (MM)</t>
  </si>
  <si>
    <t>ESEATTUBE ANGLE</t>
  </si>
  <si>
    <t>FSEAT TUBE LENGTH (MM)</t>
  </si>
  <si>
    <t>GTOP TUBE EFFECTIVE (MM)</t>
  </si>
  <si>
    <t>HBB HEIGHT</t>
  </si>
  <si>
    <t>IBB DROP</t>
  </si>
  <si>
    <t>JCHAIN STAY (MM)</t>
  </si>
  <si>
    <t>KWHEELBASE</t>
  </si>
  <si>
    <t>LSTANDOVER HEIGHT</t>
  </si>
  <si>
    <t>MFORK OFFSET (MM)</t>
  </si>
  <si>
    <t>5’2″ – 5’5″</t>
  </si>
  <si>
    <t>5’5″ – 5’8″</t>
  </si>
  <si>
    <t>5’8″ – 5’11″</t>
  </si>
  <si>
    <t>5’11″ – 6’2″</t>
  </si>
  <si>
    <t>6’2″ – 6’5″</t>
  </si>
  <si>
    <t>157 – 165 cm</t>
  </si>
  <si>
    <t>165 – 172 cm</t>
  </si>
  <si>
    <t>172 – 180 cm</t>
  </si>
  <si>
    <t>180 – 187 cm</t>
  </si>
  <si>
    <t>187 – 195 cm</t>
  </si>
  <si>
    <t>TOP TUBE HORIZONTAL</t>
  </si>
  <si>
    <t>BB HEIGHT ABOVE GROUND</t>
  </si>
  <si>
    <t>CHAIN STAY LENGTH</t>
  </si>
  <si>
    <t>SEAT POST DIAMETER</t>
  </si>
  <si>
    <t>WHEEL BASE </t>
  </si>
  <si>
    <t>seat_post_L</t>
  </si>
  <si>
    <t>bike insights</t>
  </si>
  <si>
    <t>Ref</t>
  </si>
  <si>
    <t xml:space="preserve">- </t>
  </si>
  <si>
    <t xml:space="preserve">Rider Height </t>
  </si>
  <si>
    <t xml:space="preserve">5'0"-5'3" </t>
  </si>
  <si>
    <t xml:space="preserve">5'3"-5'5" </t>
  </si>
  <si>
    <t xml:space="preserve">5'5"-5'7" </t>
  </si>
  <si>
    <t xml:space="preserve">5'7"-5'9" </t>
  </si>
  <si>
    <t xml:space="preserve">5'9"-5'11" </t>
  </si>
  <si>
    <t xml:space="preserve">5'11"-6'1" </t>
  </si>
  <si>
    <t xml:space="preserve">A </t>
  </si>
  <si>
    <t xml:space="preserve">Seat Tube </t>
  </si>
  <si>
    <t xml:space="preserve">450mm </t>
  </si>
  <si>
    <t xml:space="preserve">470mm </t>
  </si>
  <si>
    <t xml:space="preserve">490mm </t>
  </si>
  <si>
    <t xml:space="preserve">510mm </t>
  </si>
  <si>
    <t xml:space="preserve">530mm </t>
  </si>
  <si>
    <t xml:space="preserve">550mm </t>
  </si>
  <si>
    <t xml:space="preserve">B </t>
  </si>
  <si>
    <t xml:space="preserve">Effective Top Tube Length </t>
  </si>
  <si>
    <t xml:space="preserve">520mm </t>
  </si>
  <si>
    <t xml:space="preserve">535mm </t>
  </si>
  <si>
    <t xml:space="preserve">555mm </t>
  </si>
  <si>
    <t xml:space="preserve">570mm </t>
  </si>
  <si>
    <t xml:space="preserve">585mm </t>
  </si>
  <si>
    <t xml:space="preserve">C </t>
  </si>
  <si>
    <t xml:space="preserve">Head Tube Length </t>
  </si>
  <si>
    <t xml:space="preserve">100mm </t>
  </si>
  <si>
    <t xml:space="preserve">110mm </t>
  </si>
  <si>
    <t xml:space="preserve">125mm </t>
  </si>
  <si>
    <t xml:space="preserve">145mm </t>
  </si>
  <si>
    <t xml:space="preserve">160mm </t>
  </si>
  <si>
    <t xml:space="preserve">185mm </t>
  </si>
  <si>
    <t xml:space="preserve">D </t>
  </si>
  <si>
    <t xml:space="preserve">Chain Stay Length </t>
  </si>
  <si>
    <t xml:space="preserve">440mm </t>
  </si>
  <si>
    <t xml:space="preserve">E </t>
  </si>
  <si>
    <t xml:space="preserve">Head Tube Angle </t>
  </si>
  <si>
    <t xml:space="preserve">70.0° </t>
  </si>
  <si>
    <t xml:space="preserve">70.5° </t>
  </si>
  <si>
    <t xml:space="preserve">71.5° </t>
  </si>
  <si>
    <t xml:space="preserve">F </t>
  </si>
  <si>
    <t xml:space="preserve">Seat Tube Angle </t>
  </si>
  <si>
    <t xml:space="preserve">75.0° </t>
  </si>
  <si>
    <t xml:space="preserve">74.5° </t>
  </si>
  <si>
    <t xml:space="preserve">74.0° </t>
  </si>
  <si>
    <t xml:space="preserve">73.0° </t>
  </si>
  <si>
    <t xml:space="preserve">72.5° </t>
  </si>
  <si>
    <t xml:space="preserve">Bottom Bracket Drop </t>
  </si>
  <si>
    <t xml:space="preserve">82.5mm </t>
  </si>
  <si>
    <t xml:space="preserve">77.5mm </t>
  </si>
  <si>
    <t xml:space="preserve">75mm </t>
  </si>
  <si>
    <t xml:space="preserve">72.5mm </t>
  </si>
  <si>
    <t xml:space="preserve">367mm </t>
  </si>
  <si>
    <t xml:space="preserve">370mm </t>
  </si>
  <si>
    <t xml:space="preserve">374mm </t>
  </si>
  <si>
    <t xml:space="preserve">379mm </t>
  </si>
  <si>
    <t xml:space="preserve">389mm </t>
  </si>
  <si>
    <t xml:space="preserve">392mm </t>
  </si>
  <si>
    <t xml:space="preserve">536mm </t>
  </si>
  <si>
    <t xml:space="preserve">542mm </t>
  </si>
  <si>
    <t xml:space="preserve">560mm </t>
  </si>
  <si>
    <t xml:space="preserve">576mm </t>
  </si>
  <si>
    <t xml:space="preserve">591mm </t>
  </si>
  <si>
    <t xml:space="preserve">612mm </t>
  </si>
  <si>
    <t xml:space="preserve">J </t>
  </si>
  <si>
    <t xml:space="preserve">400mm </t>
  </si>
  <si>
    <t xml:space="preserve">K </t>
  </si>
  <si>
    <t xml:space="preserve">Fork Offset </t>
  </si>
  <si>
    <t xml:space="preserve">52mm </t>
  </si>
  <si>
    <t>guessed distribution</t>
  </si>
  <si>
    <r>
      <t>1022.8</t>
    </r>
    <r>
      <rPr>
        <sz val="11"/>
        <color rgb="FFAAAAAA"/>
        <rFont val="Helvetica Neue"/>
        <family val="2"/>
      </rPr>
      <t>mm</t>
    </r>
  </si>
  <si>
    <r>
      <t>1023.4</t>
    </r>
    <r>
      <rPr>
        <sz val="11"/>
        <color rgb="FFAAAAAA"/>
        <rFont val="Helvetica Neue"/>
        <family val="2"/>
      </rPr>
      <t>mm</t>
    </r>
  </si>
  <si>
    <r>
      <t>1035</t>
    </r>
    <r>
      <rPr>
        <sz val="11"/>
        <color rgb="FFAAAAAA"/>
        <rFont val="Helvetica Neue"/>
        <family val="2"/>
      </rPr>
      <t>mm</t>
    </r>
  </si>
  <si>
    <r>
      <t>1050.1</t>
    </r>
    <r>
      <rPr>
        <sz val="11"/>
        <color rgb="FFAAAAAA"/>
        <rFont val="Helvetica Neue"/>
        <family val="2"/>
      </rPr>
      <t>mm</t>
    </r>
  </si>
  <si>
    <r>
      <t>1061.3</t>
    </r>
    <r>
      <rPr>
        <sz val="11"/>
        <color rgb="FFAAAAAA"/>
        <rFont val="Helvetica Neue"/>
        <family val="2"/>
      </rPr>
      <t>mm</t>
    </r>
  </si>
  <si>
    <t>62cm</t>
  </si>
  <si>
    <t>64cm</t>
  </si>
  <si>
    <t>15"</t>
  </si>
  <si>
    <t>16"</t>
  </si>
  <si>
    <t>18"</t>
  </si>
  <si>
    <t>20"</t>
  </si>
  <si>
    <t>22"</t>
  </si>
  <si>
    <t>FRAME SIZE</t>
  </si>
  <si>
    <t>A - TOP TUBE (MM)</t>
  </si>
  <si>
    <t>B - SEAT TUBE</t>
  </si>
  <si>
    <t>C - HEAD TUBE</t>
  </si>
  <si>
    <t>D - CHAIN STAY</t>
  </si>
  <si>
    <t>E - BB DROP</t>
  </si>
  <si>
    <t>F - SEAT ANGLE</t>
  </si>
  <si>
    <t>G - HEAD ANGLE</t>
  </si>
  <si>
    <t>H - FORK LENGTH</t>
  </si>
  <si>
    <t>I - STACK</t>
  </si>
  <si>
    <t>J - REACH</t>
  </si>
  <si>
    <t>K - WHEEL BASE</t>
  </si>
  <si>
    <t>DOWN TUBE OD</t>
  </si>
  <si>
    <t>TOP TUBE OD</t>
  </si>
  <si>
    <t>MED</t>
  </si>
  <si>
    <t>down_tube_od</t>
  </si>
  <si>
    <t>top_tube_od</t>
  </si>
  <si>
    <t>FRAME SIZE (HORIZONTAL TOP TUBE)  </t>
  </si>
  <si>
    <t>RIDER HEIGHT (CM)</t>
  </si>
  <si>
    <t>RIDER HEIGHT (INCHES)</t>
  </si>
  <si>
    <t>SADDLE HEIGHT (MM)</t>
  </si>
  <si>
    <t>5'2"</t>
  </si>
  <si>
    <t>5'4"</t>
  </si>
  <si>
    <t>5'5"</t>
  </si>
  <si>
    <t>5'7"</t>
  </si>
  <si>
    <t>5'8"</t>
  </si>
  <si>
    <t>5'10"</t>
  </si>
  <si>
    <t>6'0"</t>
  </si>
  <si>
    <t>6'1"</t>
  </si>
  <si>
    <t>6'3"</t>
  </si>
  <si>
    <t>6'4"</t>
  </si>
  <si>
    <t>6'6"</t>
  </si>
  <si>
    <t>Measurement</t>
  </si>
  <si>
    <t>71.5°</t>
  </si>
  <si>
    <t>72°</t>
  </si>
  <si>
    <t>Head Tube Length*</t>
  </si>
  <si>
    <t>100 T</t>
  </si>
  <si>
    <t>120 T</t>
  </si>
  <si>
    <t>130 T</t>
  </si>
  <si>
    <t>150 T</t>
  </si>
  <si>
    <t>170 T</t>
  </si>
  <si>
    <t>190 M</t>
  </si>
  <si>
    <t>74.5°</t>
  </si>
  <si>
    <t>73°</t>
  </si>
  <si>
    <t>425-445</t>
  </si>
  <si>
    <t>997-1017</t>
  </si>
  <si>
    <t>1004-1024</t>
  </si>
  <si>
    <t>1012-1032</t>
  </si>
  <si>
    <t>1027-1047</t>
  </si>
  <si>
    <t>1034-1054</t>
  </si>
  <si>
    <t>1044-1064</t>
  </si>
  <si>
    <t>29.1"</t>
  </si>
  <si>
    <t>29.8"</t>
  </si>
  <si>
    <t>30.3"</t>
  </si>
  <si>
    <t>30.9"</t>
  </si>
  <si>
    <t>31.8"</t>
  </si>
  <si>
    <t>32.3"</t>
  </si>
  <si>
    <t>531*</t>
  </si>
  <si>
    <t>551*</t>
  </si>
  <si>
    <t>560*</t>
  </si>
  <si>
    <t>579*</t>
  </si>
  <si>
    <t>597*</t>
  </si>
  <si>
    <t>616*</t>
  </si>
  <si>
    <t>front dropout</t>
  </si>
  <si>
    <t>50 in rear dropout</t>
  </si>
  <si>
    <t>B - Seat Angle</t>
  </si>
  <si>
    <t>C - Top Tube</t>
  </si>
  <si>
    <t>520mm</t>
  </si>
  <si>
    <t>D - Seat Tube</t>
  </si>
  <si>
    <t>E - BB Drop</t>
  </si>
  <si>
    <t>68mm</t>
  </si>
  <si>
    <t>F - Chainstay Length</t>
  </si>
  <si>
    <t>G - Headtube Length</t>
  </si>
  <si>
    <t>130mm</t>
  </si>
  <si>
    <t>H - Wheelbase</t>
  </si>
  <si>
    <t>1011mm</t>
  </si>
  <si>
    <t>I - Front-Centre</t>
  </si>
  <si>
    <t>590mm</t>
  </si>
  <si>
    <t>J - Fork Offset</t>
  </si>
  <si>
    <t>47mm</t>
  </si>
  <si>
    <t>K - Trail</t>
  </si>
  <si>
    <t>74mm</t>
  </si>
  <si>
    <t>L - Reach</t>
  </si>
  <si>
    <t>358mm</t>
  </si>
  <si>
    <t>M - Stack</t>
  </si>
  <si>
    <t>558mm</t>
  </si>
  <si>
    <t>70.5°</t>
  </si>
  <si>
    <t>534mm</t>
  </si>
  <si>
    <t>1020mm</t>
  </si>
  <si>
    <t>72mm</t>
  </si>
  <si>
    <t>368mm</t>
  </si>
  <si>
    <t>570mm</t>
  </si>
  <si>
    <t>540mm</t>
  </si>
  <si>
    <t>150mm</t>
  </si>
  <si>
    <t>1027mm</t>
  </si>
  <si>
    <t>606mm</t>
  </si>
  <si>
    <t>66mm</t>
  </si>
  <si>
    <t>582mm</t>
  </si>
  <si>
    <t>560mm</t>
  </si>
  <si>
    <t>160mm</t>
  </si>
  <si>
    <t>1038mm</t>
  </si>
  <si>
    <t>618mm</t>
  </si>
  <si>
    <t>592mm</t>
  </si>
  <si>
    <t>190mm</t>
  </si>
  <si>
    <t>1059mm</t>
  </si>
  <si>
    <t>638mm</t>
  </si>
  <si>
    <t>400mm</t>
  </si>
  <si>
    <t>619mm</t>
  </si>
  <si>
    <t>52.5cm</t>
  </si>
  <si>
    <t>54.5cm</t>
  </si>
  <si>
    <t>57.5cm</t>
  </si>
  <si>
    <t>59cm</t>
  </si>
  <si>
    <t>142cm–157cm</t>
  </si>
  <si>
    <t>155cm–165cm</t>
  </si>
  <si>
    <t>162cm–173cm</t>
  </si>
  <si>
    <t>170cm–180cm</t>
  </si>
  <si>
    <t>178–188cm</t>
  </si>
  <si>
    <t>185–193 cm</t>
  </si>
  <si>
    <t>190cm–UP</t>
  </si>
  <si>
    <t>46cm or 48cm</t>
  </si>
  <si>
    <t>46cm or 50cm</t>
  </si>
  <si>
    <t>46cm or 52cm</t>
  </si>
  <si>
    <t>154cm–168cm</t>
  </si>
  <si>
    <t>168cm–175cm</t>
  </si>
  <si>
    <t>173cm–185cm</t>
  </si>
  <si>
    <t>183cm–193cm</t>
  </si>
  <si>
    <t>CE</t>
  </si>
  <si>
    <t>CC</t>
  </si>
  <si>
    <t>A [°]</t>
  </si>
  <si>
    <t>B [°]</t>
  </si>
  <si>
    <t>P</t>
  </si>
  <si>
    <t>D</t>
  </si>
  <si>
    <t>G</t>
  </si>
  <si>
    <t>seat_tube_end</t>
  </si>
  <si>
    <t>sin (HTA) = V/HTL</t>
  </si>
  <si>
    <t>vertical height head tube (V)</t>
  </si>
  <si>
    <t>horizontal length head tube (H)</t>
  </si>
  <si>
    <t>cos(HTA) = H/HTL</t>
  </si>
  <si>
    <t>horizontal length fork (minus rake)</t>
  </si>
  <si>
    <t>horizontal rake</t>
  </si>
  <si>
    <t>horizontal rear center</t>
  </si>
  <si>
    <t>front-center horizontal</t>
  </si>
  <si>
    <t>rear-center horizontal</t>
  </si>
  <si>
    <t>CS^2 = RCH^2 + BBD^2</t>
  </si>
  <si>
    <t>computed below</t>
  </si>
  <si>
    <t>184 - 189</t>
  </si>
  <si>
    <t>189 - 194</t>
  </si>
  <si>
    <t>&gt; 189</t>
  </si>
  <si>
    <t>722 - 822</t>
  </si>
  <si>
    <t>Stem Length in mm</t>
  </si>
  <si>
    <t>Handlebar Width in mm</t>
  </si>
  <si>
    <t>Crank Length in mm</t>
  </si>
  <si>
    <t>3XS</t>
  </si>
  <si>
    <t>&lt; 158</t>
  </si>
  <si>
    <t>158 - 166</t>
  </si>
  <si>
    <t>&gt; 194</t>
  </si>
  <si>
    <t>593 - 693</t>
  </si>
  <si>
    <t>stack_plus</t>
  </si>
  <si>
    <t>reach_plus</t>
  </si>
  <si>
    <t>rake_h</t>
  </si>
  <si>
    <t>chainstay_length_h</t>
  </si>
  <si>
    <t>no geom pic</t>
  </si>
  <si>
    <t>horizontal</t>
  </si>
  <si>
    <t>to top of bar not head tube</t>
  </si>
  <si>
    <t>to bar not head tube</t>
  </si>
  <si>
    <t>one of these cannot be right given difference in BB drop</t>
  </si>
  <si>
    <t>horiz</t>
  </si>
  <si>
    <t>no pic</t>
  </si>
  <si>
    <t>to t-c of stem</t>
  </si>
  <si>
    <t>Spacer in mm</t>
  </si>
  <si>
    <t>stack_stem</t>
  </si>
  <si>
    <t>reach_stem</t>
  </si>
  <si>
    <t>stack computed</t>
  </si>
  <si>
    <t>chainstay length computed</t>
  </si>
  <si>
    <t>stem_spacers</t>
  </si>
  <si>
    <t>reach computed</t>
  </si>
  <si>
    <t>steering_h</t>
  </si>
  <si>
    <t>steering_h computed</t>
  </si>
  <si>
    <t>rake_h_computed</t>
  </si>
  <si>
    <t>rake computed</t>
  </si>
  <si>
    <t>computed</t>
  </si>
  <si>
    <t>c-t head tube</t>
  </si>
  <si>
    <t>stack_spec</t>
  </si>
  <si>
    <t>reach_spec</t>
  </si>
  <si>
    <t>EFFECTIVE TOP TUBE (CM)</t>
  </si>
  <si>
    <t>SEAT TUBE (C-T CM)</t>
  </si>
  <si>
    <t>HEAD TUBE (MM)</t>
  </si>
  <si>
    <t>BB DROP (CM)</t>
  </si>
  <si>
    <t>CHAIN STAY (CM)</t>
  </si>
  <si>
    <t>STAND OVER (IN)</t>
  </si>
  <si>
    <t>STANDOVER IS MEASURED TWO INCHES IN FRONT OF THE CENTER OF THE BB IN A VERTICAL PLANE FROM THE GROUND WITH A TIRE OUTSIDE DIAMETER OF 757MM/29.8''. DRAWN AROUND TITANIUM 420 X 51 BOOST FLAT MOUNT FORK. ONLY SOLD AS COMPLETE BIKE.</t>
  </si>
  <si>
    <r>
      <t>1044.3</t>
    </r>
    <r>
      <rPr>
        <sz val="11"/>
        <color rgb="FFAAAAAA"/>
        <rFont val="Helvetica Neue"/>
        <family val="2"/>
      </rPr>
      <t>mm</t>
    </r>
  </si>
  <si>
    <r>
      <t>1070.9</t>
    </r>
    <r>
      <rPr>
        <sz val="11"/>
        <color rgb="FFAAAAAA"/>
        <rFont val="Helvetica Neue"/>
        <family val="2"/>
      </rPr>
      <t>mm</t>
    </r>
  </si>
  <si>
    <r>
      <t>1095</t>
    </r>
    <r>
      <rPr>
        <sz val="11"/>
        <color rgb="FFAAAAAA"/>
        <rFont val="Helvetica Neue"/>
        <family val="2"/>
      </rPr>
      <t>mm</t>
    </r>
  </si>
  <si>
    <r>
      <t>1114.8</t>
    </r>
    <r>
      <rPr>
        <sz val="11"/>
        <color rgb="FFAAAAAA"/>
        <rFont val="Helvetica Neue"/>
        <family val="2"/>
      </rPr>
      <t>mm</t>
    </r>
  </si>
  <si>
    <t>ST SEAT TUBE [MM]</t>
  </si>
  <si>
    <t>TT TOP TUBE [MM]</t>
  </si>
  <si>
    <t>CS CHAIN STAY LENGTH [MM]</t>
  </si>
  <si>
    <t>HTA HEAD TUBE ANGLE [°]</t>
  </si>
  <si>
    <t>STA SEAT TUBE ANGLE [°]</t>
  </si>
  <si>
    <t>BD BOTTOM BRACKED DROP [MM]</t>
  </si>
  <si>
    <t>HT HEAD TUBE [MM]</t>
  </si>
  <si>
    <t>FL FORK LENGTH [MM]</t>
  </si>
  <si>
    <t>R REACH [MM]</t>
  </si>
  <si>
    <t>S STACK [MM]</t>
  </si>
  <si>
    <t>WB WHEEL BASE [MM]</t>
  </si>
  <si>
    <t>SH STAND OVER HEIGHT [MM]</t>
  </si>
  <si>
    <t>chainstay_length_h_computed</t>
  </si>
  <si>
    <t>ST</t>
  </si>
  <si>
    <t>HT angle</t>
  </si>
  <si>
    <t xml:space="preserve">&lt; 170 (cm) &lt; 5'5 (ft) </t>
  </si>
  <si>
    <t xml:space="preserve">167 - 180 (cm) 5'4 - 5'9 (ft) </t>
  </si>
  <si>
    <t xml:space="preserve">178 - 188 (cm) 5'8 - 6'1 (ft) </t>
  </si>
  <si>
    <t>Effective TT</t>
  </si>
  <si>
    <t>ST angle</t>
  </si>
  <si>
    <t>rear-center</t>
  </si>
  <si>
    <t>front center</t>
  </si>
  <si>
    <t>trail - low pos</t>
  </si>
  <si>
    <t>trail - high pos</t>
  </si>
  <si>
    <t>fork offset</t>
  </si>
  <si>
    <t>wheel size</t>
  </si>
  <si>
    <t>fork length</t>
  </si>
  <si>
    <t>trail_high</t>
  </si>
  <si>
    <t>trail_low</t>
  </si>
  <si>
    <t>trail computed</t>
  </si>
  <si>
    <t>HT Length</t>
  </si>
  <si>
    <t>rider height</t>
  </si>
  <si>
    <t>wheelbase_computed</t>
  </si>
  <si>
    <t>front_center_computed</t>
  </si>
  <si>
    <t xml:space="preserve">Small </t>
  </si>
  <si>
    <t xml:space="preserve">Effective Seat Tube </t>
  </si>
  <si>
    <t xml:space="preserve">Seat Angle </t>
  </si>
  <si>
    <t xml:space="preserve">Actual Top Tube </t>
  </si>
  <si>
    <t xml:space="preserve">Effective Top Tube </t>
  </si>
  <si>
    <t xml:space="preserve">Head Tube </t>
  </si>
  <si>
    <t xml:space="preserve">Head Angle </t>
  </si>
  <si>
    <t xml:space="preserve">Fork A-C </t>
  </si>
  <si>
    <t xml:space="preserve">Front Centre </t>
  </si>
  <si>
    <t xml:space="preserve">Chainstay* </t>
  </si>
  <si>
    <t xml:space="preserve">Wheelbase* </t>
  </si>
  <si>
    <t xml:space="preserve">Trail </t>
  </si>
  <si>
    <t xml:space="preserve">Standover </t>
  </si>
  <si>
    <t xml:space="preserve">Max Tyre (w Mudguards) </t>
  </si>
  <si>
    <t xml:space="preserve">Max Tyre (w/o Mudguards) </t>
  </si>
  <si>
    <t>Small/Medium</t>
  </si>
  <si>
    <t>Medium/Large</t>
  </si>
  <si>
    <t>seat_tube_effective</t>
  </si>
  <si>
    <t>tire_width_max_w_guards</t>
  </si>
  <si>
    <t>https://bikerumor.com/fiftyone-bikes-assassin-gravel-bike-takes-aim-at-versatility-w-adjustable-geometry-stock-sizing/</t>
  </si>
  <si>
    <t>geometry image in /data</t>
  </si>
  <si>
    <t>This is the posted pdf chart</t>
  </si>
  <si>
    <t>53/45</t>
  </si>
  <si>
    <t>seat tube h behind wheelbase</t>
  </si>
  <si>
    <t>seat tube v</t>
  </si>
  <si>
    <t>head tube h</t>
  </si>
  <si>
    <t>head tube v</t>
  </si>
  <si>
    <t>top tube L</t>
  </si>
  <si>
    <t>seat tube effective h</t>
  </si>
  <si>
    <t>top tube L effective</t>
  </si>
  <si>
    <t>diff</t>
  </si>
  <si>
    <t>use this</t>
  </si>
  <si>
    <t>*for small, spec is 456 which cannot be correct, see calcs below</t>
  </si>
  <si>
    <t>COMPONENT SIZING</t>
  </si>
  <si>
    <t>SMALL</t>
  </si>
  <si>
    <t>MEDIUM</t>
  </si>
  <si>
    <t>LARGE</t>
  </si>
  <si>
    <t>X-LARGE</t>
  </si>
  <si>
    <t>45mm-70mm</t>
  </si>
  <si>
    <t>Stem Rise</t>
  </si>
  <si>
    <t>0, +/- 7°</t>
  </si>
  <si>
    <t>Handlebar Reach</t>
  </si>
  <si>
    <t>80mm</t>
  </si>
  <si>
    <t>Handlebar Drop</t>
  </si>
  <si>
    <t>120mm</t>
  </si>
  <si>
    <t>Handlebar Flare</t>
  </si>
  <si>
    <t>16°</t>
  </si>
  <si>
    <t>172.5mm</t>
  </si>
  <si>
    <t>Sizing</t>
  </si>
  <si>
    <t>5'0" - 5'8"</t>
  </si>
  <si>
    <t>5'7" - 6'0"</t>
  </si>
  <si>
    <t>5'10" - 6'4"</t>
  </si>
  <si>
    <t>6'3" +</t>
  </si>
  <si>
    <t>Road Sizing</t>
  </si>
  <si>
    <t>43-52cm</t>
  </si>
  <si>
    <t>53-56cm</t>
  </si>
  <si>
    <t>57-60cm</t>
  </si>
  <si>
    <t>61+cm</t>
  </si>
  <si>
    <t>Rider Height CM</t>
  </si>
  <si>
    <t>&lt;170 </t>
  </si>
  <si>
    <t>172-180 </t>
  </si>
  <si>
    <t>178-188 </t>
  </si>
  <si>
    <t>186-196 </t>
  </si>
  <si>
    <t>538 </t>
  </si>
  <si>
    <t>569 </t>
  </si>
  <si>
    <t>603 </t>
  </si>
  <si>
    <t>641 </t>
  </si>
  <si>
    <t>403 </t>
  </si>
  <si>
    <t>415 </t>
  </si>
  <si>
    <t>419 </t>
  </si>
  <si>
    <t>429 </t>
  </si>
  <si>
    <t>431 </t>
  </si>
  <si>
    <t>459 </t>
  </si>
  <si>
    <t>492 </t>
  </si>
  <si>
    <t>527 </t>
  </si>
  <si>
    <t>557 </t>
  </si>
  <si>
    <t>578 </t>
  </si>
  <si>
    <t>591 </t>
  </si>
  <si>
    <t>612 </t>
  </si>
  <si>
    <t>113 </t>
  </si>
  <si>
    <t>146 </t>
  </si>
  <si>
    <t>172 </t>
  </si>
  <si>
    <t>207 </t>
  </si>
  <si>
    <t>74.0 </t>
  </si>
  <si>
    <t>70.0 </t>
  </si>
  <si>
    <t>425 </t>
  </si>
  <si>
    <t>625 </t>
  </si>
  <si>
    <t>648 </t>
  </si>
  <si>
    <t>665 </t>
  </si>
  <si>
    <t>700 </t>
  </si>
  <si>
    <t>1041 </t>
  </si>
  <si>
    <t>1064 </t>
  </si>
  <si>
    <t>1081 </t>
  </si>
  <si>
    <t>1105 </t>
  </si>
  <si>
    <t>69 </t>
  </si>
  <si>
    <t>407 </t>
  </si>
  <si>
    <t>45 </t>
  </si>
  <si>
    <t>77 </t>
  </si>
  <si>
    <t>170 </t>
  </si>
  <si>
    <t>172.5 </t>
  </si>
  <si>
    <t>175 </t>
  </si>
  <si>
    <t>70 </t>
  </si>
  <si>
    <t>80 </t>
  </si>
  <si>
    <t>90 </t>
  </si>
  <si>
    <t>42 </t>
  </si>
  <si>
    <t>44 </t>
  </si>
  <si>
    <t>120 </t>
  </si>
  <si>
    <t>748 </t>
  </si>
  <si>
    <t>778 </t>
  </si>
  <si>
    <t>810 </t>
  </si>
  <si>
    <t>846 </t>
  </si>
  <si>
    <t>330 </t>
  </si>
  <si>
    <t>380 </t>
  </si>
  <si>
    <t>430 </t>
  </si>
  <si>
    <t/>
  </si>
  <si>
    <t>1.42m+</t>
  </si>
  <si>
    <t>1.52m+</t>
  </si>
  <si>
    <t>1.65m+</t>
  </si>
  <si>
    <t>1.75m+</t>
  </si>
  <si>
    <t>1.85m+</t>
  </si>
  <si>
    <t>73.0°</t>
  </si>
  <si>
    <t>60 or 70</t>
  </si>
  <si>
    <t>6.0°</t>
  </si>
  <si>
    <t>*Standover is measured from the top of the TT, at the center, with a tire measuring approximately Ø714mm</t>
  </si>
  <si>
    <t>Rider Height </t>
  </si>
  <si>
    <t>Inseam </t>
  </si>
  <si>
    <t>156 - 163 cm</t>
  </si>
  <si>
    <t>5'1.4" - 5'4.2"</t>
  </si>
  <si>
    <t>74 - 77 cm</t>
  </si>
  <si>
    <t>29.1" - 30.3"</t>
  </si>
  <si>
    <t>163 - 168 cm</t>
  </si>
  <si>
    <t>5'4.2" - 5'6.1"</t>
  </si>
  <si>
    <t>76 - 79 cm</t>
  </si>
  <si>
    <t>29.9" - 31.1"</t>
  </si>
  <si>
    <t>168 - 174 cm</t>
  </si>
  <si>
    <t>5'6.1" - 5'8.5"</t>
  </si>
  <si>
    <t>78 - 82 cm</t>
  </si>
  <si>
    <t>30.7" - 32.3"</t>
  </si>
  <si>
    <t>174 - 180 cm</t>
  </si>
  <si>
    <t>5'8.5" - 5'10.9"</t>
  </si>
  <si>
    <t>81 - 85 cm</t>
  </si>
  <si>
    <t>31.9" - 33.5"</t>
  </si>
  <si>
    <t>180 - 185 cm</t>
  </si>
  <si>
    <t>5'10.9" - 6'0.8"</t>
  </si>
  <si>
    <t>84 - 87 cm</t>
  </si>
  <si>
    <t>33.1" - 34.3"</t>
  </si>
  <si>
    <t>185 - 191 cm</t>
  </si>
  <si>
    <t>6'0.8" - 6'3.2"</t>
  </si>
  <si>
    <t>86 - 90 cm</t>
  </si>
  <si>
    <t>33.9" - 35.4"</t>
  </si>
  <si>
    <t>GVR / Boundary / Baseline / Borough Size Chart</t>
  </si>
  <si>
    <t>5'1" - 5'6"</t>
  </si>
  <si>
    <t>5'4" - 5'9"</t>
  </si>
  <si>
    <t>5'7" - 5'11"</t>
  </si>
  <si>
    <t>L </t>
  </si>
  <si>
    <t>Top Tube Length (mm)</t>
  </si>
  <si>
    <t>Head Tube Length (mm)</t>
  </si>
  <si>
    <t>BB Drop (mm)</t>
  </si>
  <si>
    <t>Chainstay Length (mm)</t>
  </si>
  <si>
    <t>Wheelbase (mm)</t>
  </si>
  <si>
    <t>Front Center (mm)</t>
  </si>
  <si>
    <t>Standover Height (cm)</t>
  </si>
  <si>
    <t>Fork Axle to Crown (mm)</t>
  </si>
  <si>
    <t>Fork Rake (mm)</t>
  </si>
  <si>
    <t>Seat Tube Length (mm)</t>
  </si>
  <si>
    <r>
      <t> </t>
    </r>
    <r>
      <rPr>
        <b/>
        <sz val="14"/>
        <color rgb="FF333333"/>
        <rFont val="Futura Medium"/>
      </rPr>
      <t>XS</t>
    </r>
  </si>
  <si>
    <t xml:space="preserve"> </t>
  </si>
  <si>
    <t>2X Small (49)</t>
  </si>
  <si>
    <t>Extra Small (51)</t>
  </si>
  <si>
    <t>Small (53)</t>
  </si>
  <si>
    <t>Medium (55)</t>
  </si>
  <si>
    <t>Large (57)</t>
  </si>
  <si>
    <t>Extra Large (59)</t>
  </si>
  <si>
    <t>A. SEAT TUBE</t>
  </si>
  <si>
    <t>425mm</t>
  </si>
  <si>
    <t>445mm</t>
  </si>
  <si>
    <t>510mm</t>
  </si>
  <si>
    <t>B. EFFECTIVE TOP TUBE</t>
  </si>
  <si>
    <t>504mm</t>
  </si>
  <si>
    <t>517mm</t>
  </si>
  <si>
    <t>529mm</t>
  </si>
  <si>
    <t>550mm</t>
  </si>
  <si>
    <t>C. REACH</t>
  </si>
  <si>
    <t>355mm</t>
  </si>
  <si>
    <t>360mm</t>
  </si>
  <si>
    <t>376mm</t>
  </si>
  <si>
    <t>384mm</t>
  </si>
  <si>
    <t>D. STACK</t>
  </si>
  <si>
    <t>557mm</t>
  </si>
  <si>
    <t>567mm</t>
  </si>
  <si>
    <t>571mm</t>
  </si>
  <si>
    <t>587mm</t>
  </si>
  <si>
    <t>608mm</t>
  </si>
  <si>
    <t>622mm</t>
  </si>
  <si>
    <t>E. SEAT TUBE ANGLE</t>
  </si>
  <si>
    <t>75°</t>
  </si>
  <si>
    <t>74.25°</t>
  </si>
  <si>
    <t>F. HEAD TUBE ANGLE</t>
  </si>
  <si>
    <t>68°</t>
  </si>
  <si>
    <t>68.5°</t>
  </si>
  <si>
    <t>69°</t>
  </si>
  <si>
    <t>G. CHAIN STAY</t>
  </si>
  <si>
    <t>H. HEAD TUBE</t>
  </si>
  <si>
    <t>135mm</t>
  </si>
  <si>
    <t>170mm</t>
  </si>
  <si>
    <t>185mm</t>
  </si>
  <si>
    <t>I. AXLE TO CROWN</t>
  </si>
  <si>
    <t>415mm</t>
  </si>
  <si>
    <t>J. OFFSET</t>
  </si>
  <si>
    <t>51mm</t>
  </si>
  <si>
    <t>K. WHEELBASE</t>
  </si>
  <si>
    <t>1046mm</t>
  </si>
  <si>
    <t>1049mm</t>
  </si>
  <si>
    <t>1060mm</t>
  </si>
  <si>
    <t>1068mm</t>
  </si>
  <si>
    <t>1079mm</t>
  </si>
  <si>
    <t>1100mm</t>
  </si>
  <si>
    <t>L. BB DROP</t>
  </si>
  <si>
    <t>70mm</t>
  </si>
  <si>
    <t>M. STANDOVER</t>
  </si>
  <si>
    <t>728mm</t>
  </si>
  <si>
    <t>741mm</t>
  </si>
  <si>
    <t>759mm</t>
  </si>
  <si>
    <t>781mm</t>
  </si>
  <si>
    <t>801mm</t>
  </si>
  <si>
    <t>818mm</t>
  </si>
  <si>
    <t>412-430</t>
  </si>
  <si>
    <t>Whiskey MCX page</t>
  </si>
  <si>
    <t>fork angle relative to offset line</t>
  </si>
  <si>
    <t>beta</t>
  </si>
  <si>
    <t>angle rake-rake.h</t>
  </si>
  <si>
    <t>delta</t>
  </si>
  <si>
    <t>fork angle to h</t>
  </si>
  <si>
    <t>gamma</t>
  </si>
  <si>
    <t>stack.fork</t>
  </si>
  <si>
    <t>d</t>
  </si>
  <si>
    <t>stack.ht</t>
  </si>
  <si>
    <t>b</t>
  </si>
  <si>
    <t>ht.h</t>
  </si>
  <si>
    <t>f</t>
  </si>
  <si>
    <t>head tube length</t>
  </si>
  <si>
    <t>a</t>
  </si>
  <si>
    <t>chainstay.h</t>
  </si>
  <si>
    <t>wheelbase check</t>
  </si>
  <si>
    <t>wb.fork</t>
  </si>
  <si>
    <t>g + h</t>
  </si>
  <si>
    <t>fork_axle_crown</t>
  </si>
  <si>
    <t>wheelbase spec</t>
  </si>
  <si>
    <t>seattube.h</t>
  </si>
  <si>
    <t>top tube, effective</t>
  </si>
  <si>
    <t>b + reach</t>
  </si>
  <si>
    <t>Frame Seat Tube</t>
  </si>
  <si>
    <t>Frame Top Tube</t>
  </si>
  <si>
    <t>541mm</t>
  </si>
  <si>
    <t>Frame Reach</t>
  </si>
  <si>
    <t>Frame Stack</t>
  </si>
  <si>
    <t>589mm</t>
  </si>
  <si>
    <t>Frame Head Tube</t>
  </si>
  <si>
    <t>Frame Head Angle</t>
  </si>
  <si>
    <t>Frame Seat Angle</t>
  </si>
  <si>
    <t>Frame BB Drop</t>
  </si>
  <si>
    <t>73mm</t>
  </si>
  <si>
    <t>Frame Wheel Base</t>
  </si>
  <si>
    <t>1030mm</t>
  </si>
  <si>
    <t>775mm</t>
  </si>
  <si>
    <t>100mm</t>
  </si>
  <si>
    <t>Handle Bar Width</t>
  </si>
  <si>
    <t>566mm</t>
  </si>
  <si>
    <t>375mm</t>
  </si>
  <si>
    <t>1056mm</t>
  </si>
  <si>
    <t>796mm</t>
  </si>
  <si>
    <t>593mm</t>
  </si>
  <si>
    <t>1083mm</t>
  </si>
  <si>
    <t>830mm</t>
  </si>
  <si>
    <t>no geometry pic</t>
  </si>
  <si>
    <t>614mm</t>
  </si>
  <si>
    <t>410mm</t>
  </si>
  <si>
    <t>646mm</t>
  </si>
  <si>
    <t>180mm</t>
  </si>
  <si>
    <t>1104mm</t>
  </si>
  <si>
    <t>839mm</t>
  </si>
  <si>
    <t>480mm</t>
  </si>
  <si>
    <t>Extra-Large</t>
  </si>
  <si>
    <t>chainstay_computed</t>
  </si>
  <si>
    <t>Effect Top Tube Length</t>
  </si>
  <si>
    <t>Bottom Bracket Height</t>
  </si>
  <si>
    <t>X-Large</t>
  </si>
  <si>
    <t>XX-Large</t>
  </si>
  <si>
    <t>A</t>
  </si>
  <si>
    <t>B</t>
  </si>
  <si>
    <t>H</t>
  </si>
  <si>
    <t>I</t>
  </si>
  <si>
    <t>J</t>
  </si>
  <si>
    <t>seat_tube_effective_length</t>
  </si>
  <si>
    <t>bike.rumor</t>
  </si>
  <si>
    <t>Rear Center</t>
  </si>
  <si>
    <t>Top Tube Length</t>
  </si>
  <si>
    <t>*illustrating horizontal but their rear-center + front-center &gt; wheelbase</t>
  </si>
  <si>
    <t>160 - 168cm</t>
  </si>
  <si>
    <t>168 - 175cm</t>
  </si>
  <si>
    <t>175 - 183cm</t>
  </si>
  <si>
    <t>183 - 188cm</t>
  </si>
  <si>
    <t>188 - 196cm</t>
  </si>
  <si>
    <t>XXL</t>
  </si>
  <si>
    <t>165mm</t>
  </si>
  <si>
    <t>60mm</t>
  </si>
  <si>
    <t>90mm</t>
  </si>
  <si>
    <t>110mm</t>
  </si>
  <si>
    <t>Seatpost Length</t>
  </si>
  <si>
    <t>330mm</t>
  </si>
  <si>
    <t>Saddle Width</t>
  </si>
  <si>
    <t>155mm</t>
  </si>
  <si>
    <t>143mm</t>
  </si>
  <si>
    <t>577mm</t>
  </si>
  <si>
    <t>610mm</t>
  </si>
  <si>
    <t>634mm</t>
  </si>
  <si>
    <t>659mm</t>
  </si>
  <si>
    <t>684mm</t>
  </si>
  <si>
    <t>374mm</t>
  </si>
  <si>
    <t>383mm</t>
  </si>
  <si>
    <t>392mm</t>
  </si>
  <si>
    <t>401mm</t>
  </si>
  <si>
    <t>419mm</t>
  </si>
  <si>
    <t>99mm</t>
  </si>
  <si>
    <t>116mm</t>
  </si>
  <si>
    <t>209mm</t>
  </si>
  <si>
    <t>71.25°</t>
  </si>
  <si>
    <t>71.75°</t>
  </si>
  <si>
    <t>72.25°</t>
  </si>
  <si>
    <t>270mm</t>
  </si>
  <si>
    <t>61mm</t>
  </si>
  <si>
    <t>57mm</t>
  </si>
  <si>
    <t>54mm</t>
  </si>
  <si>
    <t>620mm</t>
  </si>
  <si>
    <t>647mm</t>
  </si>
  <si>
    <t>664mm</t>
  </si>
  <si>
    <t>675mm</t>
  </si>
  <si>
    <t>1019mm</t>
  </si>
  <si>
    <t>1026mm</t>
  </si>
  <si>
    <t>1032mm</t>
  </si>
  <si>
    <t>1042mm</t>
  </si>
  <si>
    <t>1076mm</t>
  </si>
  <si>
    <t>1088mm</t>
  </si>
  <si>
    <t>542mm</t>
  </si>
  <si>
    <t>573mm</t>
  </si>
  <si>
    <t>605mm</t>
  </si>
  <si>
    <t>628mm</t>
  </si>
  <si>
    <t>700mm</t>
  </si>
  <si>
    <t>725mm</t>
  </si>
  <si>
    <t>779mm</t>
  </si>
  <si>
    <t>805mm</t>
  </si>
  <si>
    <t>832mm</t>
  </si>
  <si>
    <t>859mm</t>
  </si>
  <si>
    <t>73.75°</t>
  </si>
  <si>
    <t>Geometry</t>
  </si>
  <si>
    <t>saddle_width</t>
  </si>
  <si>
    <t>seatpost_length</t>
  </si>
  <si>
    <t>handlebar style</t>
  </si>
  <si>
    <t>flat</t>
  </si>
  <si>
    <t>min_rider_height</t>
  </si>
  <si>
    <t>max_rider_height</t>
  </si>
  <si>
    <t>Top Tube effective</t>
  </si>
  <si>
    <t>Headtube</t>
  </si>
  <si>
    <t>Chainstay</t>
  </si>
  <si>
    <t>LRG</t>
  </si>
  <si>
    <t>WHEEL BASE</t>
  </si>
  <si>
    <t>SIZE GUIDE</t>
  </si>
  <si>
    <t>BB_height</t>
  </si>
  <si>
    <t>bottom_bracket_drop_computed</t>
  </si>
  <si>
    <t>compromise</t>
  </si>
  <si>
    <t>This is same geometry as Whyte Friston. And the geometry doesn't work out</t>
  </si>
  <si>
    <t>* bike insights uses 42 mm tire and gets 76 (same here). 99 Spokes has 72.</t>
  </si>
  <si>
    <t>* bike insights computes 36.5. Same fork as Friston and spec'd at 45 for that. Hmm.</t>
  </si>
  <si>
    <t>A - Styrhuvudets höjd</t>
  </si>
  <si>
    <t>B - Effektiv längd, överrör</t>
  </si>
  <si>
    <t>C - Reach</t>
  </si>
  <si>
    <t>D - Stack</t>
  </si>
  <si>
    <t>E - Styrhuvudets vinkel</t>
  </si>
  <si>
    <t>F - Sadelrör</t>
  </si>
  <si>
    <t>G - Kedjestagslängd</t>
  </si>
  <si>
    <t>H - Sadelrörets vinkel</t>
  </si>
  <si>
    <t>I - BB Drop</t>
  </si>
  <si>
    <t>J - Hjulbas</t>
  </si>
  <si>
    <t>K - Gaffellängd</t>
  </si>
  <si>
    <t>M - BB Höjd</t>
  </si>
  <si>
    <t>Bredd på styre</t>
  </si>
  <si>
    <t>Bottom_bracket_height</t>
  </si>
  <si>
    <t>Size recommendation for S 158 - 172 cm</t>
  </si>
  <si>
    <t>Size recommendation for M  168 - 178 cm</t>
  </si>
  <si>
    <t>Size recommendation for L  174 - 186 cm</t>
  </si>
  <si>
    <t>Size recommendation for XL 182-196 cm</t>
  </si>
  <si>
    <t>Stack to Reach Ratio</t>
  </si>
  <si>
    <t>1.44:1</t>
  </si>
  <si>
    <t>1.43:1</t>
  </si>
  <si>
    <t>1.4:1</t>
  </si>
  <si>
    <t>Top Tube Slope</t>
  </si>
  <si>
    <t>Effective Seat Tube Angle, ETT HT Top</t>
  </si>
  <si>
    <t>Chainstay Length Max</t>
  </si>
  <si>
    <t>Chainstay Length Horizontal</t>
  </si>
  <si>
    <t>Chainstay Length Horizontal Max</t>
  </si>
  <si>
    <t>Front-Center Horizontal</t>
  </si>
  <si>
    <t>Wheelbase Max</t>
  </si>
  <si>
    <t>Fork Length (Axle-To-Crown)</t>
  </si>
  <si>
    <t>Mechanical Trail</t>
  </si>
  <si>
    <t>Wheel Flop</t>
  </si>
  <si>
    <t>Amigos' site links to bikeinsights</t>
  </si>
  <si>
    <r>
      <t>577</t>
    </r>
    <r>
      <rPr>
        <sz val="14"/>
        <color rgb="FFAAAAAA"/>
        <rFont val="Futura Medium"/>
      </rPr>
      <t>mm</t>
    </r>
  </si>
  <si>
    <r>
      <t>593</t>
    </r>
    <r>
      <rPr>
        <sz val="14"/>
        <color rgb="FFAAAAAA"/>
        <rFont val="Futura Medium"/>
      </rPr>
      <t>mm</t>
    </r>
  </si>
  <si>
    <r>
      <t>616</t>
    </r>
    <r>
      <rPr>
        <sz val="14"/>
        <color rgb="FFAAAAAA"/>
        <rFont val="Futura Medium"/>
      </rPr>
      <t>mm</t>
    </r>
  </si>
  <si>
    <r>
      <t>635</t>
    </r>
    <r>
      <rPr>
        <sz val="14"/>
        <color rgb="FFAAAAAA"/>
        <rFont val="Futura Medium"/>
      </rPr>
      <t>mm</t>
    </r>
  </si>
  <si>
    <r>
      <t>401</t>
    </r>
    <r>
      <rPr>
        <sz val="14"/>
        <color rgb="FFAAAAAA"/>
        <rFont val="Futura Medium"/>
      </rPr>
      <t>mm</t>
    </r>
  </si>
  <si>
    <r>
      <t>414</t>
    </r>
    <r>
      <rPr>
        <sz val="14"/>
        <color rgb="FFAAAAAA"/>
        <rFont val="Futura Medium"/>
      </rPr>
      <t>mm</t>
    </r>
  </si>
  <si>
    <r>
      <t>431</t>
    </r>
    <r>
      <rPr>
        <sz val="14"/>
        <color rgb="FFAAAAAA"/>
        <rFont val="Futura Medium"/>
      </rPr>
      <t>mm</t>
    </r>
  </si>
  <si>
    <r>
      <t>453</t>
    </r>
    <r>
      <rPr>
        <sz val="14"/>
        <color rgb="FFAAAAAA"/>
        <rFont val="Futura Medium"/>
      </rPr>
      <t>mm</t>
    </r>
  </si>
  <si>
    <r>
      <t>410</t>
    </r>
    <r>
      <rPr>
        <sz val="14"/>
        <color rgb="FFAAAAAA"/>
        <rFont val="Futura Medium"/>
      </rPr>
      <t>mm</t>
    </r>
  </si>
  <si>
    <r>
      <t>460</t>
    </r>
    <r>
      <rPr>
        <sz val="14"/>
        <color rgb="FFAAAAAA"/>
        <rFont val="Futura Medium"/>
      </rPr>
      <t>mm</t>
    </r>
  </si>
  <si>
    <r>
      <t>480</t>
    </r>
    <r>
      <rPr>
        <sz val="14"/>
        <color rgb="FFAAAAAA"/>
        <rFont val="Futura Medium"/>
      </rPr>
      <t>mm</t>
    </r>
  </si>
  <si>
    <r>
      <t>500</t>
    </r>
    <r>
      <rPr>
        <sz val="14"/>
        <color rgb="FFAAAAAA"/>
        <rFont val="Futura Medium"/>
      </rPr>
      <t>mm</t>
    </r>
  </si>
  <si>
    <r>
      <t>19.5</t>
    </r>
    <r>
      <rPr>
        <sz val="14"/>
        <color rgb="FFAAAAAA"/>
        <rFont val="Futura Medium"/>
      </rPr>
      <t>deg</t>
    </r>
  </si>
  <si>
    <r>
      <t>15.6</t>
    </r>
    <r>
      <rPr>
        <sz val="14"/>
        <color rgb="FFAAAAAA"/>
        <rFont val="Futura Medium"/>
      </rPr>
      <t>deg</t>
    </r>
  </si>
  <si>
    <r>
      <t>15.4</t>
    </r>
    <r>
      <rPr>
        <sz val="14"/>
        <color rgb="FFAAAAAA"/>
        <rFont val="Futura Medium"/>
      </rPr>
      <t>deg</t>
    </r>
  </si>
  <si>
    <r>
      <t>14.7</t>
    </r>
    <r>
      <rPr>
        <sz val="14"/>
        <color rgb="FFAAAAAA"/>
        <rFont val="Futura Medium"/>
      </rPr>
      <t>deg</t>
    </r>
  </si>
  <si>
    <r>
      <t>68</t>
    </r>
    <r>
      <rPr>
        <sz val="14"/>
        <color rgb="FFAAAAAA"/>
        <rFont val="Futura Medium"/>
      </rPr>
      <t>deg</t>
    </r>
  </si>
  <si>
    <r>
      <t>68.5</t>
    </r>
    <r>
      <rPr>
        <sz val="14"/>
        <color rgb="FFAAAAAA"/>
        <rFont val="Futura Medium"/>
      </rPr>
      <t>deg</t>
    </r>
  </si>
  <si>
    <r>
      <t>72.5</t>
    </r>
    <r>
      <rPr>
        <sz val="14"/>
        <color rgb="FFAAAAAA"/>
        <rFont val="Futura Medium"/>
      </rPr>
      <t>deg</t>
    </r>
  </si>
  <si>
    <r>
      <t>74.6</t>
    </r>
    <r>
      <rPr>
        <sz val="14"/>
        <color rgb="FFAAAAAA"/>
        <rFont val="Futura Medium"/>
      </rPr>
      <t>deg</t>
    </r>
  </si>
  <si>
    <r>
      <t>74.4</t>
    </r>
    <r>
      <rPr>
        <sz val="14"/>
        <color rgb="FFAAAAAA"/>
        <rFont val="Futura Medium"/>
      </rPr>
      <t>deg</t>
    </r>
  </si>
  <si>
    <r>
      <t>74.3</t>
    </r>
    <r>
      <rPr>
        <sz val="14"/>
        <color rgb="FFAAAAAA"/>
        <rFont val="Futura Medium"/>
      </rPr>
      <t>deg</t>
    </r>
  </si>
  <si>
    <r>
      <t>74.2</t>
    </r>
    <r>
      <rPr>
        <sz val="14"/>
        <color rgb="FFAAAAAA"/>
        <rFont val="Futura Medium"/>
      </rPr>
      <t>deg</t>
    </r>
  </si>
  <si>
    <r>
      <t>160</t>
    </r>
    <r>
      <rPr>
        <sz val="14"/>
        <color rgb="FFAAAAAA"/>
        <rFont val="Futura Medium"/>
      </rPr>
      <t>mm</t>
    </r>
  </si>
  <si>
    <r>
      <t>180</t>
    </r>
    <r>
      <rPr>
        <sz val="14"/>
        <color rgb="FFAAAAAA"/>
        <rFont val="Futura Medium"/>
      </rPr>
      <t>mm</t>
    </r>
  </si>
  <si>
    <r>
      <t>200</t>
    </r>
    <r>
      <rPr>
        <sz val="14"/>
        <color rgb="FFAAAAAA"/>
        <rFont val="Futura Medium"/>
      </rPr>
      <t>mm</t>
    </r>
  </si>
  <si>
    <r>
      <t>220</t>
    </r>
    <r>
      <rPr>
        <sz val="14"/>
        <color rgb="FFAAAAAA"/>
        <rFont val="Futura Medium"/>
      </rPr>
      <t>mm</t>
    </r>
  </si>
  <si>
    <r>
      <t>77</t>
    </r>
    <r>
      <rPr>
        <sz val="14"/>
        <color rgb="FFAAAAAA"/>
        <rFont val="Futura Medium"/>
      </rPr>
      <t>mm</t>
    </r>
  </si>
  <si>
    <r>
      <t>284</t>
    </r>
    <r>
      <rPr>
        <sz val="14"/>
        <color rgb="FFAAAAAA"/>
        <rFont val="Futura Medium"/>
      </rPr>
      <t>mm</t>
    </r>
  </si>
  <si>
    <r>
      <t>420</t>
    </r>
    <r>
      <rPr>
        <sz val="14"/>
        <color rgb="FFAAAAAA"/>
        <rFont val="Futura Medium"/>
      </rPr>
      <t>mm</t>
    </r>
  </si>
  <si>
    <r>
      <t>440</t>
    </r>
    <r>
      <rPr>
        <sz val="14"/>
        <color rgb="FFAAAAAA"/>
        <rFont val="Futura Medium"/>
      </rPr>
      <t>mm</t>
    </r>
  </si>
  <si>
    <r>
      <t>412.9</t>
    </r>
    <r>
      <rPr>
        <sz val="14"/>
        <color rgb="FFAAAAAA"/>
        <rFont val="Futura Medium"/>
      </rPr>
      <t>mm</t>
    </r>
  </si>
  <si>
    <r>
      <t>433.2</t>
    </r>
    <r>
      <rPr>
        <sz val="14"/>
        <color rgb="FFAAAAAA"/>
        <rFont val="Futura Medium"/>
      </rPr>
      <t>mm</t>
    </r>
  </si>
  <si>
    <r>
      <t>655</t>
    </r>
    <r>
      <rPr>
        <sz val="14"/>
        <color rgb="FFAAAAAA"/>
        <rFont val="Futura Medium"/>
      </rPr>
      <t>mm</t>
    </r>
  </si>
  <si>
    <r>
      <t>680</t>
    </r>
    <r>
      <rPr>
        <sz val="14"/>
        <color rgb="FFAAAAAA"/>
        <rFont val="Futura Medium"/>
      </rPr>
      <t>mm</t>
    </r>
  </si>
  <si>
    <r>
      <t>700</t>
    </r>
    <r>
      <rPr>
        <sz val="14"/>
        <color rgb="FFAAAAAA"/>
        <rFont val="Futura Medium"/>
      </rPr>
      <t>mm</t>
    </r>
  </si>
  <si>
    <r>
      <t>730</t>
    </r>
    <r>
      <rPr>
        <sz val="14"/>
        <color rgb="FFAAAAAA"/>
        <rFont val="Futura Medium"/>
      </rPr>
      <t>mm</t>
    </r>
  </si>
  <si>
    <r>
      <t>648.1</t>
    </r>
    <r>
      <rPr>
        <sz val="14"/>
        <color rgb="FFAAAAAA"/>
        <rFont val="Futura Medium"/>
      </rPr>
      <t>mm</t>
    </r>
  </si>
  <si>
    <r>
      <t>673.1</t>
    </r>
    <r>
      <rPr>
        <sz val="14"/>
        <color rgb="FFAAAAAA"/>
        <rFont val="Futura Medium"/>
      </rPr>
      <t>mm</t>
    </r>
  </si>
  <si>
    <r>
      <t>693.1</t>
    </r>
    <r>
      <rPr>
        <sz val="14"/>
        <color rgb="FFAAAAAA"/>
        <rFont val="Futura Medium"/>
      </rPr>
      <t>mm</t>
    </r>
  </si>
  <si>
    <r>
      <t>728.1</t>
    </r>
    <r>
      <rPr>
        <sz val="14"/>
        <color rgb="FFAAAAAA"/>
        <rFont val="Futura Medium"/>
      </rPr>
      <t>mm</t>
    </r>
  </si>
  <si>
    <r>
      <t>1061</t>
    </r>
    <r>
      <rPr>
        <sz val="14"/>
        <color rgb="FFAAAAAA"/>
        <rFont val="Futura Medium"/>
      </rPr>
      <t>mm</t>
    </r>
  </si>
  <si>
    <r>
      <t>1086</t>
    </r>
    <r>
      <rPr>
        <sz val="14"/>
        <color rgb="FFAAAAAA"/>
        <rFont val="Futura Medium"/>
      </rPr>
      <t>mm</t>
    </r>
  </si>
  <si>
    <r>
      <t>1106</t>
    </r>
    <r>
      <rPr>
        <sz val="14"/>
        <color rgb="FFAAAAAA"/>
        <rFont val="Futura Medium"/>
      </rPr>
      <t>mm</t>
    </r>
  </si>
  <si>
    <r>
      <t>1141</t>
    </r>
    <r>
      <rPr>
        <sz val="14"/>
        <color rgb="FFAAAAAA"/>
        <rFont val="Futura Medium"/>
      </rPr>
      <t>mm</t>
    </r>
  </si>
  <si>
    <r>
      <t>1091</t>
    </r>
    <r>
      <rPr>
        <sz val="14"/>
        <color rgb="FFAAAAAA"/>
        <rFont val="Futura Medium"/>
      </rPr>
      <t>mm</t>
    </r>
  </si>
  <si>
    <r>
      <t>1111</t>
    </r>
    <r>
      <rPr>
        <sz val="14"/>
        <color rgb="FFAAAAAA"/>
        <rFont val="Futura Medium"/>
      </rPr>
      <t>mm</t>
    </r>
  </si>
  <si>
    <r>
      <t>1131</t>
    </r>
    <r>
      <rPr>
        <sz val="14"/>
        <color rgb="FFAAAAAA"/>
        <rFont val="Futura Medium"/>
      </rPr>
      <t>mm</t>
    </r>
  </si>
  <si>
    <r>
      <t>1166</t>
    </r>
    <r>
      <rPr>
        <sz val="14"/>
        <color rgb="FFAAAAAA"/>
        <rFont val="Futura Medium"/>
      </rPr>
      <t>mm</t>
    </r>
  </si>
  <si>
    <r>
      <t>49</t>
    </r>
    <r>
      <rPr>
        <sz val="14"/>
        <color rgb="FFAAAAAA"/>
        <rFont val="Futura Medium"/>
      </rPr>
      <t>mm</t>
    </r>
  </si>
  <si>
    <r>
      <t>400</t>
    </r>
    <r>
      <rPr>
        <sz val="14"/>
        <color rgb="FFAAAAAA"/>
        <rFont val="Futura Medium"/>
      </rPr>
      <t>mm</t>
    </r>
  </si>
  <si>
    <r>
      <t>93</t>
    </r>
    <r>
      <rPr>
        <sz val="14"/>
        <color rgb="FFAAAAAA"/>
        <rFont val="Futura Medium"/>
      </rPr>
      <t>mm</t>
    </r>
  </si>
  <si>
    <r>
      <t>89.5</t>
    </r>
    <r>
      <rPr>
        <sz val="14"/>
        <color rgb="FFAAAAAA"/>
        <rFont val="Futura Medium"/>
      </rPr>
      <t>mm</t>
    </r>
  </si>
  <si>
    <r>
      <t>86.2</t>
    </r>
    <r>
      <rPr>
        <sz val="14"/>
        <color rgb="FFAAAAAA"/>
        <rFont val="Futura Medium"/>
      </rPr>
      <t>mm</t>
    </r>
  </si>
  <si>
    <r>
      <t>83.3</t>
    </r>
    <r>
      <rPr>
        <sz val="14"/>
        <color rgb="FFAAAAAA"/>
        <rFont val="Futura Medium"/>
      </rPr>
      <t>mm</t>
    </r>
  </si>
  <si>
    <r>
      <t>32.3</t>
    </r>
    <r>
      <rPr>
        <sz val="14"/>
        <color rgb="FFAAAAAA"/>
        <rFont val="Futura Medium"/>
      </rPr>
      <t>mm</t>
    </r>
  </si>
  <si>
    <r>
      <t>30.5</t>
    </r>
    <r>
      <rPr>
        <sz val="14"/>
        <color rgb="FFAAAAAA"/>
        <rFont val="Futura Medium"/>
      </rPr>
      <t>mm</t>
    </r>
  </si>
  <si>
    <r>
      <t>733</t>
    </r>
    <r>
      <rPr>
        <sz val="14"/>
        <color rgb="FFAAAAAA"/>
        <rFont val="Futura Medium"/>
      </rPr>
      <t>mm</t>
    </r>
  </si>
  <si>
    <r>
      <t>761</t>
    </r>
    <r>
      <rPr>
        <sz val="14"/>
        <color rgb="FFAAAAAA"/>
        <rFont val="Futura Medium"/>
      </rPr>
      <t>mm</t>
    </r>
  </si>
  <si>
    <r>
      <t>781</t>
    </r>
    <r>
      <rPr>
        <sz val="14"/>
        <color rgb="FFAAAAAA"/>
        <rFont val="Futura Medium"/>
      </rPr>
      <t>mm</t>
    </r>
  </si>
  <si>
    <r>
      <t>800</t>
    </r>
    <r>
      <rPr>
        <sz val="14"/>
        <color rgb="FFAAAAAA"/>
        <rFont val="Futura Medium"/>
      </rPr>
      <t>mm</t>
    </r>
  </si>
  <si>
    <t>seat_tube_angle, actual</t>
  </si>
  <si>
    <t>top_tube_slope</t>
  </si>
  <si>
    <t>stack_reach</t>
  </si>
  <si>
    <t>bottom_bracket_ht</t>
  </si>
  <si>
    <t>chainstay_length_max</t>
  </si>
  <si>
    <t>chainstay_length_max_h</t>
  </si>
  <si>
    <t>front_center_horizontal</t>
  </si>
  <si>
    <t>wheelbase_max</t>
  </si>
  <si>
    <t>mechanical_trail</t>
  </si>
  <si>
    <t>flop</t>
  </si>
  <si>
    <t>AReach</t>
  </si>
  <si>
    <t>465mm</t>
  </si>
  <si>
    <t>BStack</t>
  </si>
  <si>
    <t>583mm</t>
  </si>
  <si>
    <t>633mm</t>
  </si>
  <si>
    <t>CHead Tube Length</t>
  </si>
  <si>
    <t>145mm</t>
  </si>
  <si>
    <t>205mm</t>
  </si>
  <si>
    <t>DHead Tube Angle</t>
  </si>
  <si>
    <t>67.5°</t>
  </si>
  <si>
    <t>ESeat Tube Length</t>
  </si>
  <si>
    <t>FTrail</t>
  </si>
  <si>
    <t>GFront Center</t>
  </si>
  <si>
    <t>668mm</t>
  </si>
  <si>
    <t>699mm</t>
  </si>
  <si>
    <t>735mm</t>
  </si>
  <si>
    <t>771mm</t>
  </si>
  <si>
    <t>HBB Drop</t>
  </si>
  <si>
    <t>81mm</t>
  </si>
  <si>
    <t>76mm</t>
  </si>
  <si>
    <t>IWheelbase</t>
  </si>
  <si>
    <t>1105mm</t>
  </si>
  <si>
    <t>1137mm</t>
  </si>
  <si>
    <t>1175mm</t>
  </si>
  <si>
    <t>1210mm</t>
  </si>
  <si>
    <t>JChain stay Length</t>
  </si>
  <si>
    <t>KTop Tube Length</t>
  </si>
  <si>
    <t>561mm</t>
  </si>
  <si>
    <t>617mm</t>
  </si>
  <si>
    <t>649mm</t>
  </si>
  <si>
    <t>LSeat Tube Angle</t>
  </si>
  <si>
    <t>MStand over Height</t>
  </si>
  <si>
    <t>680mm</t>
  </si>
  <si>
    <t>720mm</t>
  </si>
  <si>
    <t>760mm</t>
  </si>
  <si>
    <t>795mm</t>
  </si>
  <si>
    <t>NMinimum Saddle Height</t>
  </si>
  <si>
    <t>585mm</t>
  </si>
  <si>
    <t>689mm</t>
  </si>
  <si>
    <t>780mm</t>
  </si>
  <si>
    <t>40mm</t>
  </si>
  <si>
    <t>50mm</t>
  </si>
  <si>
    <t>OBB Height</t>
  </si>
  <si>
    <t>tbd</t>
  </si>
  <si>
    <t>Bar Width (can be cut)</t>
  </si>
  <si>
    <t>PFork offset</t>
  </si>
  <si>
    <t>44mm</t>
  </si>
  <si>
    <t>saddle_height</t>
  </si>
  <si>
    <t>obb_height</t>
  </si>
  <si>
    <t>PUBLISHED SIZING RECOMMENDATIONS</t>
  </si>
  <si>
    <t>Height</t>
  </si>
  <si>
    <r>
      <t>5 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0 </t>
    </r>
    <r>
      <rPr>
        <sz val="11"/>
        <color rgb="FFAAAAAA"/>
        <rFont val="Helvetica Neue"/>
        <family val="2"/>
      </rPr>
      <t>in</t>
    </r>
  </si>
  <si>
    <t>to</t>
  </si>
  <si>
    <r>
      <t>5 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7 </t>
    </r>
    <r>
      <rPr>
        <sz val="11"/>
        <color rgb="FFAAAAAA"/>
        <rFont val="Helvetica Neue"/>
        <family val="2"/>
      </rPr>
      <t>in</t>
    </r>
  </si>
  <si>
    <r>
      <t>5 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10 </t>
    </r>
    <r>
      <rPr>
        <sz val="11"/>
        <color rgb="FFAAAAAA"/>
        <rFont val="Helvetica Neue"/>
        <family val="2"/>
      </rPr>
      <t>in</t>
    </r>
  </si>
  <si>
    <r>
      <t>6 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2 </t>
    </r>
    <r>
      <rPr>
        <sz val="11"/>
        <color rgb="FFAAAAAA"/>
        <rFont val="Helvetica Neue"/>
        <family val="2"/>
      </rPr>
      <t>in</t>
    </r>
  </si>
  <si>
    <r>
      <t>6 </t>
    </r>
    <r>
      <rPr>
        <sz val="11"/>
        <color rgb="FFAAAAAA"/>
        <rFont val="Helvetica Neue"/>
        <family val="2"/>
      </rPr>
      <t>ft</t>
    </r>
    <r>
      <rPr>
        <sz val="12"/>
        <color rgb="FF222222"/>
        <rFont val="Helvetica Neue"/>
        <family val="2"/>
      </rPr>
      <t> 3 </t>
    </r>
    <r>
      <rPr>
        <sz val="11"/>
        <color rgb="FFAAAAAA"/>
        <rFont val="Helvetica Neue"/>
        <family val="2"/>
      </rPr>
      <t>in</t>
    </r>
  </si>
  <si>
    <t>PBH</t>
  </si>
  <si>
    <r>
      <t>25 </t>
    </r>
    <r>
      <rPr>
        <sz val="11"/>
        <color rgb="FFAAAAAA"/>
        <rFont val="Helvetica Neue"/>
        <family val="2"/>
      </rPr>
      <t>in</t>
    </r>
  </si>
  <si>
    <r>
      <t>28 </t>
    </r>
    <r>
      <rPr>
        <sz val="11"/>
        <color rgb="FFAAAAAA"/>
        <rFont val="Helvetica Neue"/>
        <family val="2"/>
      </rPr>
      <t>in</t>
    </r>
  </si>
  <si>
    <r>
      <t>27 </t>
    </r>
    <r>
      <rPr>
        <sz val="11"/>
        <color rgb="FFAAAAAA"/>
        <rFont val="Helvetica Neue"/>
        <family val="2"/>
      </rPr>
      <t>in</t>
    </r>
  </si>
  <si>
    <r>
      <t>32 </t>
    </r>
    <r>
      <rPr>
        <sz val="11"/>
        <color rgb="FFAAAAAA"/>
        <rFont val="Helvetica Neue"/>
        <family val="2"/>
      </rPr>
      <t>in</t>
    </r>
  </si>
  <si>
    <r>
      <t>29 </t>
    </r>
    <r>
      <rPr>
        <sz val="11"/>
        <color rgb="FFAAAAAA"/>
        <rFont val="Helvetica Neue"/>
        <family val="2"/>
      </rPr>
      <t>in</t>
    </r>
  </si>
  <si>
    <r>
      <t>34 </t>
    </r>
    <r>
      <rPr>
        <sz val="11"/>
        <color rgb="FFAAAAAA"/>
        <rFont val="Helvetica Neue"/>
        <family val="2"/>
      </rPr>
      <t>in</t>
    </r>
  </si>
  <si>
    <t>SEAT TUBE</t>
  </si>
  <si>
    <t>TOP TUBE</t>
  </si>
  <si>
    <t>HEAD TUBE</t>
  </si>
  <si>
    <t>FORK RAKE</t>
  </si>
  <si>
    <t>STEM LENGTH</t>
  </si>
  <si>
    <t>STEM ANGLE</t>
  </si>
  <si>
    <t>+-10º</t>
  </si>
  <si>
    <t>BAR WIDTH</t>
  </si>
  <si>
    <t>5'3" - 5'6"</t>
  </si>
  <si>
    <t>5'5" - 5' 8"</t>
  </si>
  <si>
    <t>5'7" - 5'10"</t>
  </si>
  <si>
    <t>5'9" - 6'</t>
  </si>
  <si>
    <t>5'11" - 6'2"</t>
  </si>
  <si>
    <t>6'1" - 6'4"</t>
  </si>
  <si>
    <t>6'3" - 6'6"</t>
  </si>
  <si>
    <t>6'5" - 6' 8"</t>
  </si>
  <si>
    <t>ST - Seat tube</t>
  </si>
  <si>
    <t>TT - Top tube</t>
  </si>
  <si>
    <t>HT - Head tube</t>
  </si>
  <si>
    <t>HA - Head angle</t>
  </si>
  <si>
    <t>SA - Seat angle</t>
  </si>
  <si>
    <t>CS - Chainstay</t>
  </si>
  <si>
    <t>BB - BB drop</t>
  </si>
  <si>
    <t>FO - Fork offset</t>
  </si>
  <si>
    <t>WB - Wheelbase</t>
  </si>
  <si>
    <t>SO - Stand over</t>
  </si>
  <si>
    <t>RE - Reach</t>
  </si>
  <si>
    <t>SK - Stack</t>
  </si>
  <si>
    <t>Small: Riders between 5ft 2in and 5ft 7in</t>
  </si>
  <si>
    <t>Medium: Riders between 5ft 6in and 5ft 10in</t>
  </si>
  <si>
    <t>Large: Riders between 5ft 9in and 6ft 2in</t>
  </si>
  <si>
    <t>X-Large: Riders 6ft 2in and over</t>
  </si>
  <si>
    <t>Chain Stay Length</t>
  </si>
  <si>
    <t>Wheel Base</t>
  </si>
  <si>
    <t>Offset</t>
  </si>
  <si>
    <t>Rider Size</t>
  </si>
  <si>
    <t>163-172</t>
  </si>
  <si>
    <t>170-180</t>
  </si>
  <si>
    <t>178-190</t>
  </si>
  <si>
    <t>188-200</t>
  </si>
  <si>
    <t>pic illustrates horizontal component</t>
  </si>
  <si>
    <t>Recommended rider height</t>
  </si>
  <si>
    <t>4'10"-5'4"</t>
  </si>
  <si>
    <t>5'2"-5'7"</t>
  </si>
  <si>
    <t>5'6"-5'11"</t>
  </si>
  <si>
    <t>5'10"-6'3"</t>
  </si>
  <si>
    <t>6'2"-6'6"</t>
  </si>
  <si>
    <t>Effective top tube</t>
  </si>
  <si>
    <t>547mm</t>
  </si>
  <si>
    <t>565mm</t>
  </si>
  <si>
    <t>618m</t>
  </si>
  <si>
    <t>Nominal head tube angle</t>
  </si>
  <si>
    <t>Tuning Chip induced head/seat tube angle change</t>
  </si>
  <si>
    <t>±0.2°</t>
  </si>
  <si>
    <t>Head tube length</t>
  </si>
  <si>
    <t>120m</t>
  </si>
  <si>
    <t>Nominal seat tube angle</t>
  </si>
  <si>
    <t>Seat tube length</t>
  </si>
  <si>
    <t>Bottom bracket drop</t>
  </si>
  <si>
    <t>68-72mm</t>
  </si>
  <si>
    <t>430-450mm</t>
  </si>
  <si>
    <t>1090-1110mm</t>
  </si>
  <si>
    <t>1110-1120mm</t>
  </si>
  <si>
    <t>1130-1150mm</t>
  </si>
  <si>
    <t>1150-1170mm</t>
  </si>
  <si>
    <t>1170-1190mm</t>
  </si>
  <si>
    <t>88mm</t>
  </si>
  <si>
    <t>Fork offset</t>
  </si>
  <si>
    <t>Rigid fork axle to crown length</t>
  </si>
  <si>
    <t>495mm</t>
  </si>
  <si>
    <t>623mm</t>
  </si>
  <si>
    <t>642mm</t>
  </si>
  <si>
    <t>660mm</t>
  </si>
  <si>
    <t>387mm</t>
  </si>
  <si>
    <t>416mm</t>
  </si>
  <si>
    <t>428mm</t>
  </si>
  <si>
    <t>441mm</t>
  </si>
  <si>
    <t>777mm</t>
  </si>
  <si>
    <t>810mm</t>
  </si>
  <si>
    <t>838mm</t>
  </si>
  <si>
    <t>866mm</t>
  </si>
  <si>
    <t>delta_head_angle</t>
  </si>
  <si>
    <t>Seat Tube Length C-T (mm)</t>
  </si>
  <si>
    <t>Effective Top Tube (mm)</t>
  </si>
  <si>
    <t>Head Tube Angle (deg)</t>
  </si>
  <si>
    <t>Seat Tube Angle (deg)</t>
  </si>
  <si>
    <t>Bottom Bracket Drop (mm)</t>
  </si>
  <si>
    <t>Chain Stay Length (mm)</t>
  </si>
  <si>
    <t>Stand Over (mm)</t>
  </si>
  <si>
    <t>Frame Stack (mm)</t>
  </si>
  <si>
    <t>Frame Reach (mm)</t>
  </si>
  <si>
    <t>Fork Axle To Crown (mm)</t>
  </si>
  <si>
    <t xml:space="preserve">HT Angle </t>
  </si>
  <si>
    <t xml:space="preserve">ST Angle </t>
  </si>
  <si>
    <t xml:space="preserve">ST Length (C-T) </t>
  </si>
  <si>
    <t xml:space="preserve">TT Length (eff) </t>
  </si>
  <si>
    <t xml:space="preserve">HT Length </t>
  </si>
  <si>
    <t xml:space="preserve">Chainstay Length </t>
  </si>
  <si>
    <t xml:space="preserve">BB Drop </t>
  </si>
  <si>
    <t xml:space="preserve">BB Height </t>
  </si>
  <si>
    <t xml:space="preserve">TT Angle </t>
  </si>
  <si>
    <t xml:space="preserve">Frame Stack </t>
  </si>
  <si>
    <t xml:space="preserve">Frame Reach </t>
  </si>
  <si>
    <t>top_tube_angle</t>
  </si>
  <si>
    <t>Flat bar geometry</t>
  </si>
  <si>
    <t>small</t>
  </si>
  <si>
    <t>medium</t>
  </si>
  <si>
    <t>large</t>
  </si>
  <si>
    <t>head tube angle</t>
  </si>
  <si>
    <t>seat tube angle</t>
  </si>
  <si>
    <t>seat tube length</t>
  </si>
  <si>
    <t>horizontal top tube length</t>
  </si>
  <si>
    <t>chain stay length</t>
  </si>
  <si>
    <t>bb drop</t>
  </si>
  <si>
    <t>stem length</t>
  </si>
  <si>
    <t>Seat Tube (centre-top)</t>
  </si>
  <si>
    <t>Top Tube Length (effective)</t>
  </si>
  <si>
    <t>Usual Height Range</t>
  </si>
  <si>
    <t>165cm - 172cm</t>
  </si>
  <si>
    <t>170cm - 180cm</t>
  </si>
  <si>
    <t>178cm - 188cm</t>
  </si>
  <si>
    <t>186cm - 195cm</t>
  </si>
  <si>
    <t>50-70</t>
  </si>
  <si>
    <t>60-70</t>
  </si>
  <si>
    <t>Cotic Alpaca fork included with frame:</t>
  </si>
  <si>
    <t>Rigid Fork Length</t>
  </si>
  <si>
    <t>Rear Axle Thread</t>
  </si>
  <si>
    <t>M12x1.75</t>
  </si>
  <si>
    <t>16.25"</t>
  </si>
  <si>
    <t>18.25"</t>
  </si>
  <si>
    <t>20.25"</t>
  </si>
  <si>
    <t>440-460</t>
  </si>
  <si>
    <t>1126-1146</t>
  </si>
  <si>
    <t>1147-1167</t>
  </si>
  <si>
    <t>1169-1189</t>
  </si>
  <si>
    <t>29.5"</t>
  </si>
  <si>
    <t>30.4"</t>
  </si>
  <si>
    <t>33.4"</t>
  </si>
  <si>
    <t>Enve MTN Boost Carbon</t>
  </si>
  <si>
    <t>60m</t>
  </si>
  <si>
    <t>5'0"-5'2"</t>
  </si>
  <si>
    <t>5'1-5'4"</t>
  </si>
  <si>
    <t>5'3"-5'8"</t>
  </si>
  <si>
    <t>5'7"-6'0"</t>
  </si>
  <si>
    <t>5'11"-6'2"</t>
  </si>
  <si>
    <t>6'1"-6'5"</t>
  </si>
  <si>
    <t>Recommended rider inseam</t>
  </si>
  <si>
    <t>27"-29"</t>
  </si>
  <si>
    <t>28"-30"</t>
  </si>
  <si>
    <t>30"-33"</t>
  </si>
  <si>
    <t>32"-34"</t>
  </si>
  <si>
    <t>33"-35"</t>
  </si>
  <si>
    <t>34"-37"</t>
  </si>
  <si>
    <t>87mm</t>
  </si>
  <si>
    <t>95mm</t>
  </si>
  <si>
    <t>505mm</t>
  </si>
  <si>
    <t>420-440mm</t>
  </si>
  <si>
    <t>1010 - 1030mm</t>
  </si>
  <si>
    <t>1017-1037mm</t>
  </si>
  <si>
    <t>1023-1043mm</t>
  </si>
  <si>
    <t>1028-1048mm</t>
  </si>
  <si>
    <t>1032-1052mm</t>
  </si>
  <si>
    <t>1046-1066mm</t>
  </si>
  <si>
    <t>71mm</t>
  </si>
  <si>
    <t>67.5mm</t>
  </si>
  <si>
    <t>65mm</t>
  </si>
  <si>
    <t>549mm</t>
  </si>
  <si>
    <t>596mm</t>
  </si>
  <si>
    <t>641mm</t>
  </si>
  <si>
    <t>370mm</t>
  </si>
  <si>
    <t>378mm</t>
  </si>
  <si>
    <t>381mm</t>
  </si>
  <si>
    <t>800mm</t>
  </si>
  <si>
    <t>820mm</t>
  </si>
  <si>
    <t>840 mm</t>
  </si>
  <si>
    <t>head_tube_angle_correction</t>
  </si>
  <si>
    <t>in rear position</t>
  </si>
  <si>
    <t>bmc urs one with 40 mm Fox TC.png</t>
  </si>
  <si>
    <t>&lt; 165 </t>
  </si>
  <si>
    <t>162-172 </t>
  </si>
  <si>
    <t>170-182 </t>
  </si>
  <si>
    <t>180-192 </t>
  </si>
  <si>
    <t>&gt;190 </t>
  </si>
  <si>
    <t>Post Offset MM</t>
  </si>
  <si>
    <t>seatpost_offset</t>
  </si>
  <si>
    <t>Front Ctr</t>
  </si>
  <si>
    <t>Rear Ctr</t>
  </si>
  <si>
    <t>Top Tube</t>
  </si>
  <si>
    <t>ML</t>
  </si>
  <si>
    <t>Ángulo de dirección</t>
  </si>
  <si>
    <t>Tubo de dirección</t>
  </si>
  <si>
    <t>Tubo horizontal (virtual)</t>
  </si>
  <si>
    <t>Ángulo de sillín</t>
  </si>
  <si>
    <t>Tubo de sillín</t>
  </si>
  <si>
    <t>Vainas</t>
  </si>
  <si>
    <t>Caída de pedalier</t>
  </si>
  <si>
    <t>Longitud base</t>
  </si>
  <si>
    <t>Longitud de horquilla</t>
  </si>
  <si>
    <t>Potencia</t>
  </si>
  <si>
    <t>Reach | mm</t>
  </si>
  <si>
    <t>Stack | mm</t>
  </si>
  <si>
    <t>Front Center | mm</t>
  </si>
  <si>
    <t>Bottom Bracket Drop | mm</t>
  </si>
  <si>
    <t>Head Tube Length | mm</t>
  </si>
  <si>
    <t>Top Tube Length | mm</t>
  </si>
  <si>
    <t>Standover Height | mm</t>
  </si>
  <si>
    <t>Trail | mm</t>
  </si>
  <si>
    <t>Fork Offset | mm</t>
  </si>
  <si>
    <t>52/57</t>
  </si>
  <si>
    <t>49/54</t>
  </si>
  <si>
    <t>46/51</t>
  </si>
  <si>
    <t>Wheelbase | mm</t>
  </si>
  <si>
    <t>Chainstay Length | mm</t>
  </si>
  <si>
    <t>&lt;5’5"</t>
  </si>
  <si>
    <t>5’3"-5’7"</t>
  </si>
  <si>
    <t>5’6"-5’11"</t>
  </si>
  <si>
    <t>6’2"-6’8"</t>
  </si>
  <si>
    <t>headtube angle</t>
  </si>
  <si>
    <t>headtube length</t>
  </si>
  <si>
    <t>seattube length</t>
  </si>
  <si>
    <t>seattube angle</t>
  </si>
  <si>
    <t>seattube angle (norm.³)</t>
  </si>
  <si>
    <t>toptube length</t>
  </si>
  <si>
    <t>toptube length (norm.³)</t>
  </si>
  <si>
    <t>rear center</t>
  </si>
  <si>
    <t>rider_min</t>
  </si>
  <si>
    <t>rider_max</t>
  </si>
  <si>
    <t>front)_center</t>
  </si>
  <si>
    <t>rider height min '</t>
  </si>
  <si>
    <t>rider height min "</t>
  </si>
  <si>
    <t>rider height max '</t>
  </si>
  <si>
    <t>rider height max "</t>
  </si>
  <si>
    <t>XS - 50cm</t>
  </si>
  <si>
    <t>S - 52cm</t>
  </si>
  <si>
    <t>M - 54cm</t>
  </si>
  <si>
    <t>L - 57cm</t>
  </si>
  <si>
    <t>XL - 60cm</t>
  </si>
  <si>
    <t>A - ST (MM)</t>
  </si>
  <si>
    <t>B - SA (DEG)</t>
  </si>
  <si>
    <t>C - HA (DEG)</t>
  </si>
  <si>
    <t>D - TT (MM)</t>
  </si>
  <si>
    <t>E - REACH (MM)</t>
  </si>
  <si>
    <t>F - CS (MM)</t>
  </si>
  <si>
    <t>G - WB (MM)</t>
  </si>
  <si>
    <t>H - BBH (MM)</t>
  </si>
  <si>
    <t>I - SOH (MM)</t>
  </si>
  <si>
    <t>J - STACK (MM)</t>
  </si>
  <si>
    <t>K - HT (MM)</t>
  </si>
  <si>
    <t>RIDER HEIGHT (CM)</t>
  </si>
  <si>
    <t>147-160</t>
  </si>
  <si>
    <t>157-171</t>
  </si>
  <si>
    <t>169-180</t>
  </si>
  <si>
    <t>178-187</t>
  </si>
  <si>
    <t>185-193</t>
  </si>
  <si>
    <t>hub height calculated</t>
  </si>
  <si>
    <t>https://cyclingtips.com/2020/10/devinci-hatchet-carbon-gravel-bike-review/</t>
  </si>
  <si>
    <t>top_tube_offset_corrected</t>
  </si>
  <si>
    <t>seat_tube_angle_actual</t>
  </si>
  <si>
    <t>DIMENSIONE</t>
  </si>
  <si>
    <t>C / C</t>
  </si>
  <si>
    <t>H1</t>
  </si>
  <si>
    <t>L1</t>
  </si>
  <si>
    <t>A1</t>
  </si>
  <si>
    <t>[Cm]</t>
  </si>
  <si>
    <t>[°]</t>
  </si>
  <si>
    <t>[Mm]</t>
  </si>
  <si>
    <t>https://www.cxmagazine.com/reviewed-wilier-triestina-jena-carbon-gravel-bike-ultegra-di2</t>
  </si>
  <si>
    <t>C/C</t>
  </si>
  <si>
    <t>FIND YOUR SIZE DOWNLOAD THE ACCU-FIT TABLE </t>
  </si>
  <si>
    <t xml:space="preserve">Top Tube Horizontal </t>
  </si>
  <si>
    <t>chainstay length</t>
  </si>
  <si>
    <t>bottom bracket drop</t>
  </si>
  <si>
    <t>bottom bracket height</t>
  </si>
  <si>
    <t>fork rake</t>
  </si>
  <si>
    <t>Top Tube actual</t>
  </si>
  <si>
    <t>Size*</t>
  </si>
  <si>
    <t>top tube length</t>
  </si>
  <si>
    <t>seat angle</t>
  </si>
  <si>
    <t>stand over height</t>
  </si>
  <si>
    <t>b.b. drop</t>
  </si>
  <si>
    <t>wheel base</t>
  </si>
  <si>
    <t>XS/49</t>
  </si>
  <si>
    <t>S/52</t>
  </si>
  <si>
    <t>M/54</t>
  </si>
  <si>
    <t>L/56</t>
  </si>
  <si>
    <t>XL/58</t>
  </si>
  <si>
    <t>70.0 °</t>
  </si>
  <si>
    <t>71.0 °</t>
  </si>
  <si>
    <t>95.0 MM</t>
  </si>
  <si>
    <t>122.0 MM</t>
  </si>
  <si>
    <t>140.0 MM</t>
  </si>
  <si>
    <t>166.0 MM</t>
  </si>
  <si>
    <t>187.0 MM</t>
  </si>
  <si>
    <t>518.0 MM</t>
  </si>
  <si>
    <t>534.5 MM</t>
  </si>
  <si>
    <t>554.5 MM</t>
  </si>
  <si>
    <t>578.5 MM</t>
  </si>
  <si>
    <t>592.5 MM</t>
  </si>
  <si>
    <t>STANDOVER HEIGHT</t>
  </si>
  <si>
    <t>759.0 MM</t>
  </si>
  <si>
    <t>786.0 MM</t>
  </si>
  <si>
    <t>807.0 MM</t>
  </si>
  <si>
    <t>828.0 MM</t>
  </si>
  <si>
    <t>847.0 MM</t>
  </si>
  <si>
    <t>BB OFFSET</t>
  </si>
  <si>
    <t>-71.0 MM</t>
  </si>
  <si>
    <t>283.0 MM</t>
  </si>
  <si>
    <t>1,009.4 MM</t>
  </si>
  <si>
    <t>1,022.9 MM</t>
  </si>
  <si>
    <t>1,029.2 MM</t>
  </si>
  <si>
    <t>1,048.7 MM</t>
  </si>
  <si>
    <t>1,063.5 MM</t>
  </si>
  <si>
    <t>BB CENTER TO TOPTUBE CENTER</t>
  </si>
  <si>
    <t>447.0 MM</t>
  </si>
  <si>
    <t>477.0 MM</t>
  </si>
  <si>
    <t>498.0 MM</t>
  </si>
  <si>
    <t>516.0 MM</t>
  </si>
  <si>
    <t>536.0 MM</t>
  </si>
  <si>
    <t>BB CENTER TO TOP OF SEATTUBE</t>
  </si>
  <si>
    <t>507.0 MM</t>
  </si>
  <si>
    <t>528.0 MM</t>
  </si>
  <si>
    <t>546.0 MM</t>
  </si>
  <si>
    <t>566.0 MM</t>
  </si>
  <si>
    <t>SEAT ANGLE</t>
  </si>
  <si>
    <t>74.5 °</t>
  </si>
  <si>
    <t>74.0 °</t>
  </si>
  <si>
    <t>73.5 °</t>
  </si>
  <si>
    <t>73.0 °</t>
  </si>
  <si>
    <t>K</t>
  </si>
  <si>
    <t>CHAINSTAY</t>
  </si>
  <si>
    <t>425.0 MM</t>
  </si>
  <si>
    <t>374.1 MM</t>
  </si>
  <si>
    <t>378.4 MM</t>
  </si>
  <si>
    <t>387.1 MM</t>
  </si>
  <si>
    <t>398.2 MM</t>
  </si>
  <si>
    <t>406.1 MM</t>
  </si>
  <si>
    <t>519.0 MM</t>
  </si>
  <si>
    <t>544.4 MM</t>
  </si>
  <si>
    <t>565.3 MM</t>
  </si>
  <si>
    <t>589.9 MM</t>
  </si>
  <si>
    <t>609.7 MM</t>
  </si>
  <si>
    <t>N</t>
  </si>
  <si>
    <t>83.0 MM</t>
  </si>
  <si>
    <t>93.0 MM</t>
  </si>
  <si>
    <t>103.0 MM</t>
  </si>
  <si>
    <t>113.0 MM</t>
  </si>
  <si>
    <t>bb_to_tt</t>
  </si>
  <si>
    <t>Top Tube, Effective</t>
  </si>
  <si>
    <t>Head tube Length</t>
  </si>
  <si>
    <r>
      <t>1065.4</t>
    </r>
    <r>
      <rPr>
        <sz val="14"/>
        <color rgb="FFAAAAAA"/>
        <rFont val="Futura Medium"/>
      </rPr>
      <t>mm</t>
    </r>
  </si>
  <si>
    <r>
      <t>1081.2</t>
    </r>
    <r>
      <rPr>
        <sz val="14"/>
        <color rgb="FFAAAAAA"/>
        <rFont val="Futura Medium"/>
      </rPr>
      <t>mm</t>
    </r>
  </si>
  <si>
    <r>
      <t>1103.9</t>
    </r>
    <r>
      <rPr>
        <sz val="14"/>
        <color rgb="FFAAAAAA"/>
        <rFont val="Futura Medium"/>
      </rPr>
      <t>mm</t>
    </r>
  </si>
  <si>
    <r>
      <t>1119.7</t>
    </r>
    <r>
      <rPr>
        <sz val="14"/>
        <color rgb="FFAAAAAA"/>
        <rFont val="Futura Medium"/>
      </rPr>
      <t>mm</t>
    </r>
  </si>
  <si>
    <r>
      <t>A</t>
    </r>
    <r>
      <rPr>
        <b/>
        <sz val="14"/>
        <color theme="1"/>
        <rFont val="Futura Medium"/>
      </rPr>
      <t>Top Tube</t>
    </r>
  </si>
  <si>
    <r>
      <t>B</t>
    </r>
    <r>
      <rPr>
        <b/>
        <sz val="14"/>
        <color theme="1"/>
        <rFont val="Futura Medium"/>
      </rPr>
      <t>Seat Tube</t>
    </r>
  </si>
  <si>
    <r>
      <t>C</t>
    </r>
    <r>
      <rPr>
        <b/>
        <sz val="14"/>
        <color theme="1"/>
        <rFont val="Futura Medium"/>
      </rPr>
      <t>Chainstay</t>
    </r>
  </si>
  <si>
    <r>
      <t>D</t>
    </r>
    <r>
      <rPr>
        <b/>
        <sz val="14"/>
        <color theme="1"/>
        <rFont val="Futura Medium"/>
      </rPr>
      <t>Head Angle</t>
    </r>
  </si>
  <si>
    <r>
      <t>E</t>
    </r>
    <r>
      <rPr>
        <b/>
        <sz val="14"/>
        <color theme="1"/>
        <rFont val="Futura Medium"/>
      </rPr>
      <t>Seat Angle (Effective)*</t>
    </r>
  </si>
  <si>
    <r>
      <t>F</t>
    </r>
    <r>
      <rPr>
        <b/>
        <sz val="14"/>
        <color theme="1"/>
        <rFont val="Futura Medium"/>
      </rPr>
      <t>Head Tube</t>
    </r>
  </si>
  <si>
    <r>
      <t>G</t>
    </r>
    <r>
      <rPr>
        <b/>
        <sz val="14"/>
        <color theme="1"/>
        <rFont val="Futura Medium"/>
      </rPr>
      <t>Bottom Bracket Height</t>
    </r>
  </si>
  <si>
    <r>
      <t>H</t>
    </r>
    <r>
      <rPr>
        <b/>
        <sz val="14"/>
        <color theme="1"/>
        <rFont val="Futura Medium"/>
      </rPr>
      <t>Bottom Bracket Drop</t>
    </r>
  </si>
  <si>
    <r>
      <t>I</t>
    </r>
    <r>
      <rPr>
        <b/>
        <sz val="14"/>
        <color theme="1"/>
        <rFont val="Futura Medium"/>
      </rPr>
      <t>Wheelbase</t>
    </r>
  </si>
  <si>
    <r>
      <t>J</t>
    </r>
    <r>
      <rPr>
        <b/>
        <sz val="14"/>
        <color theme="1"/>
        <rFont val="Futura Medium"/>
      </rPr>
      <t>Fork Offset</t>
    </r>
  </si>
  <si>
    <r>
      <t>K</t>
    </r>
    <r>
      <rPr>
        <b/>
        <sz val="14"/>
        <color theme="1"/>
        <rFont val="Futura Medium"/>
      </rPr>
      <t>Fork Axle to Crown</t>
    </r>
  </si>
  <si>
    <r>
      <t>L</t>
    </r>
    <r>
      <rPr>
        <b/>
        <sz val="14"/>
        <color theme="1"/>
        <rFont val="Futura Medium"/>
      </rPr>
      <t>Trail</t>
    </r>
  </si>
  <si>
    <r>
      <t>M</t>
    </r>
    <r>
      <rPr>
        <b/>
        <sz val="14"/>
        <color theme="1"/>
        <rFont val="Futura Medium"/>
      </rPr>
      <t>Standover Height</t>
    </r>
  </si>
  <si>
    <r>
      <t>N</t>
    </r>
    <r>
      <rPr>
        <b/>
        <sz val="14"/>
        <color theme="1"/>
        <rFont val="Futura Medium"/>
      </rPr>
      <t>Stack</t>
    </r>
  </si>
  <si>
    <r>
      <t>O</t>
    </r>
    <r>
      <rPr>
        <b/>
        <sz val="14"/>
        <color theme="1"/>
        <rFont val="Futura Medium"/>
      </rPr>
      <t>Reach</t>
    </r>
  </si>
  <si>
    <t>Axle position</t>
  </si>
  <si>
    <t>Front center</t>
  </si>
  <si>
    <t>Head Tube angle</t>
  </si>
  <si>
    <t>Seat tube angle</t>
  </si>
  <si>
    <t>Bar width</t>
  </si>
  <si>
    <t>LO</t>
  </si>
  <si>
    <t>HI</t>
  </si>
  <si>
    <t>165 - 173 CM</t>
  </si>
  <si>
    <t>172 - 180 CM</t>
  </si>
  <si>
    <t>179 - 187 CM</t>
  </si>
  <si>
    <t>186 - 194 CM</t>
  </si>
  <si>
    <t>chainstay_h</t>
  </si>
  <si>
    <t>front_center_h</t>
  </si>
  <si>
    <t>* was incorrect in original chart for S frame</t>
  </si>
  <si>
    <t>XS/SM</t>
  </si>
  <si>
    <t>SM/MD</t>
  </si>
  <si>
    <t>MD/LG</t>
  </si>
  <si>
    <t>LG/XL</t>
  </si>
  <si>
    <t>TOP TUBE LENGTH</t>
  </si>
  <si>
    <t>AXLE TO CROWN</t>
  </si>
  <si>
    <t>RAKE/OFFSET</t>
  </si>
  <si>
    <t>height min feet</t>
  </si>
  <si>
    <t>height min inches</t>
  </si>
  <si>
    <t>height max feet</t>
  </si>
  <si>
    <t>height max inches</t>
  </si>
  <si>
    <t>Frame size</t>
  </si>
  <si>
    <t>47cm</t>
  </si>
  <si>
    <t>53cm</t>
  </si>
  <si>
    <t>650B</t>
  </si>
  <si>
    <t>50 / 45c</t>
  </si>
  <si>
    <t>d-shape</t>
  </si>
  <si>
    <t>69-73</t>
  </si>
  <si>
    <t>73-77</t>
  </si>
  <si>
    <t>78-81</t>
  </si>
  <si>
    <t>82-84</t>
  </si>
  <si>
    <t>85-87</t>
  </si>
  <si>
    <t>88-90</t>
  </si>
  <si>
    <t>91-94</t>
  </si>
  <si>
    <t>seat tube length (mm)</t>
  </si>
  <si>
    <t>Top tube length (mm)</t>
  </si>
  <si>
    <t>head tube length (mm)</t>
  </si>
  <si>
    <t>head tube angle (°)</t>
  </si>
  <si>
    <t>seat angle (°)</t>
  </si>
  <si>
    <t>chainstay length (mm)</t>
  </si>
  <si>
    <t>wheelbase (mm)</t>
  </si>
  <si>
    <t>max. inside leg length limited by seat post length (cm)</t>
  </si>
  <si>
    <t>reach (mm)</t>
  </si>
  <si>
    <t>stack (mm)</t>
  </si>
  <si>
    <t>Standover height (100 mm in front of BB) (mm)</t>
  </si>
  <si>
    <t>stack to reach ratio (mm)</t>
  </si>
  <si>
    <t>Fork offset (mm)</t>
  </si>
  <si>
    <t>Wheel diameter (inches)</t>
  </si>
  <si>
    <t>Max. tyre width 27.5" / 28" (mm)</t>
  </si>
  <si>
    <t>fork length (mm)</t>
  </si>
  <si>
    <t>front centre (mm)</t>
  </si>
  <si>
    <t>necessary seat post diameter (mm)</t>
  </si>
  <si>
    <t>recommended inside leg length (cm)</t>
  </si>
  <si>
    <t>system weight (kg)</t>
  </si>
  <si>
    <t>inseam</t>
  </si>
  <si>
    <t>Max. tyre width spec wheel</t>
  </si>
  <si>
    <t>max_tire_width_650</t>
  </si>
  <si>
    <t>max_tire_width_700</t>
  </si>
  <si>
    <t>5'6-5'11"</t>
  </si>
  <si>
    <t>29"-32"</t>
  </si>
  <si>
    <t>30"-34"</t>
  </si>
  <si>
    <t>546mm</t>
  </si>
  <si>
    <t>94mm</t>
  </si>
  <si>
    <t>107mm</t>
  </si>
  <si>
    <t>149mm</t>
  </si>
  <si>
    <t>191mm</t>
  </si>
  <si>
    <t>475mm</t>
  </si>
  <si>
    <t>1008 - 1028mm</t>
  </si>
  <si>
    <t>1015-1035mm</t>
  </si>
  <si>
    <t>1039-1059mm</t>
  </si>
  <si>
    <t>1062-1082mm</t>
  </si>
  <si>
    <t>635mm</t>
  </si>
  <si>
    <t>385mm</t>
  </si>
  <si>
    <t>405mm</t>
  </si>
  <si>
    <t>737mm</t>
  </si>
  <si>
    <t>765mm</t>
  </si>
  <si>
    <t>798mm</t>
  </si>
  <si>
    <t>831mm</t>
  </si>
  <si>
    <t>Measure (mid)</t>
  </si>
  <si>
    <t>https://cyclingtips.com/2022/01/otso-waheela-c-gravel-bike-review-do-it-all-capability-bit-of-a-bruiser/</t>
  </si>
  <si>
    <t>tuning_chip_angle</t>
  </si>
  <si>
    <t>SIZE IN MM</t>
  </si>
  <si>
    <t>A HEAD TUBE ANGLE</t>
  </si>
  <si>
    <t>B SEAT TUBE ANGLE</t>
  </si>
  <si>
    <t>C CHAINSTAY</t>
  </si>
  <si>
    <t>D BB DROP</t>
  </si>
  <si>
    <t>E SEAT TUBE LENGTH</t>
  </si>
  <si>
    <t>F EFFECTIVE TOP TUBE</t>
  </si>
  <si>
    <t>G TOP TUBE ANGLE</t>
  </si>
  <si>
    <t>H HEAD TUBE LENGTH</t>
  </si>
  <si>
    <t>I STACK*</t>
  </si>
  <si>
    <t>J REACH*</t>
  </si>
  <si>
    <t>K FORK RAKE</t>
  </si>
  <si>
    <t xml:space="preserve"> FORK CTA</t>
  </si>
  <si>
    <t>s</t>
  </si>
  <si>
    <t>m</t>
  </si>
  <si>
    <t>l</t>
  </si>
  <si>
    <t>xl</t>
  </si>
  <si>
    <t>Toptube</t>
  </si>
  <si>
    <t>558 mm</t>
  </si>
  <si>
    <t>578 mm</t>
  </si>
  <si>
    <t>593 mm</t>
  </si>
  <si>
    <t>613 mm</t>
  </si>
  <si>
    <t>628 mm</t>
  </si>
  <si>
    <t>384 mm</t>
  </si>
  <si>
    <t>398 mm</t>
  </si>
  <si>
    <t>407 mm</t>
  </si>
  <si>
    <t>422 mm</t>
  </si>
  <si>
    <t>433 mm</t>
  </si>
  <si>
    <t>568 mm</t>
  </si>
  <si>
    <t>587 mm</t>
  </si>
  <si>
    <t>611 mm</t>
  </si>
  <si>
    <t>630 mm</t>
  </si>
  <si>
    <t>644 mm</t>
  </si>
  <si>
    <t>Seattube</t>
  </si>
  <si>
    <t>450 mm</t>
  </si>
  <si>
    <t>480 mm</t>
  </si>
  <si>
    <t>500 mm</t>
  </si>
  <si>
    <t>530 mm</t>
  </si>
  <si>
    <t>550 mm</t>
  </si>
  <si>
    <t>425 mm</t>
  </si>
  <si>
    <t>Headtube Angle</t>
  </si>
  <si>
    <t>Seattube Angle (Eff)</t>
  </si>
  <si>
    <t>Bb Drop</t>
  </si>
  <si>
    <t>61 mm</t>
  </si>
  <si>
    <t>62 mm</t>
  </si>
  <si>
    <t>1054 mm</t>
  </si>
  <si>
    <t>1076 mm</t>
  </si>
  <si>
    <t>1095 mm</t>
  </si>
  <si>
    <t>1115 mm</t>
  </si>
  <si>
    <t>1132 mm</t>
  </si>
  <si>
    <t>125 mm</t>
  </si>
  <si>
    <t>145 mm</t>
  </si>
  <si>
    <t>170 mm</t>
  </si>
  <si>
    <t>190 mm</t>
  </si>
  <si>
    <t>205 mm</t>
  </si>
  <si>
    <t>Bb Height</t>
  </si>
  <si>
    <t>290 mm</t>
  </si>
  <si>
    <t>740 mm</t>
  </si>
  <si>
    <t>764 mm</t>
  </si>
  <si>
    <t>779 mm</t>
  </si>
  <si>
    <t>796 mm</t>
  </si>
  <si>
    <t>809 mm</t>
  </si>
  <si>
    <t>Seatpost Insertion</t>
  </si>
  <si>
    <t>225 mm</t>
  </si>
  <si>
    <t>245 mm</t>
  </si>
  <si>
    <t>275 mm</t>
  </si>
  <si>
    <t>ssl</t>
  </si>
  <si>
    <t>Measure</t>
  </si>
  <si>
    <t>seatpost_insertion</t>
  </si>
  <si>
    <t>350mm</t>
  </si>
  <si>
    <t>569mm</t>
  </si>
  <si>
    <t>576mm</t>
  </si>
  <si>
    <t>609mm</t>
  </si>
  <si>
    <t>182mm</t>
  </si>
  <si>
    <t>612mm</t>
  </si>
  <si>
    <t>629mm</t>
  </si>
  <si>
    <t>645mm</t>
  </si>
  <si>
    <t>663mm</t>
  </si>
  <si>
    <t>429mm</t>
  </si>
  <si>
    <t>1023mm</t>
  </si>
  <si>
    <t>1034mm</t>
  </si>
  <si>
    <t>1044mm</t>
  </si>
  <si>
    <t>1078mm</t>
  </si>
  <si>
    <t>527mm</t>
  </si>
  <si>
    <t>556mm</t>
  </si>
  <si>
    <t>586mm</t>
  </si>
  <si>
    <t>602mm</t>
  </si>
  <si>
    <t>704mm</t>
  </si>
  <si>
    <t>730mm</t>
  </si>
  <si>
    <t>753mm</t>
  </si>
  <si>
    <t>778mm</t>
  </si>
  <si>
    <t>804mm</t>
  </si>
  <si>
    <t>833mm</t>
  </si>
  <si>
    <t>SHORT | LONG</t>
  </si>
  <si>
    <t>74.0° | 73.9°</t>
  </si>
  <si>
    <t>73.5° | 73.4°</t>
  </si>
  <si>
    <t>73.0° | 72.9°</t>
  </si>
  <si>
    <t>70.5° | 70.4°</t>
  </si>
  <si>
    <t>71.0° | 70.9°</t>
  </si>
  <si>
    <t>71.5° | 71.4°</t>
  </si>
  <si>
    <t>72.0° | 71.9°</t>
  </si>
  <si>
    <t>O</t>
  </si>
  <si>
    <t>Q</t>
  </si>
  <si>
    <t>SEAT TUBE LENGTH (mm)</t>
  </si>
  <si>
    <t>TOP TUBE LENGTH (mm)</t>
  </si>
  <si>
    <t>HEAD TUBE LENGTH (mm)</t>
  </si>
  <si>
    <t>FORK RAKE (mm)</t>
  </si>
  <si>
    <t>TRAIL (mm)</t>
  </si>
  <si>
    <t>80.3 | 83.7</t>
  </si>
  <si>
    <t>76.9 | 80.3</t>
  </si>
  <si>
    <t>73.5 | 76.8</t>
  </si>
  <si>
    <t>70.1 | 73.4</t>
  </si>
  <si>
    <t>WHEELBASE (mm)</t>
  </si>
  <si>
    <t>1023 | 1033</t>
  </si>
  <si>
    <t>1024 | 1034</t>
  </si>
  <si>
    <t>1026 | 1036</t>
  </si>
  <si>
    <t>1031 | 1041</t>
  </si>
  <si>
    <t>1041 | 1051</t>
  </si>
  <si>
    <t>1057 | 1067</t>
  </si>
  <si>
    <t>CHAIN STAY LENGTH (mm)</t>
  </si>
  <si>
    <t>425 | 435</t>
  </si>
  <si>
    <t>BOTTOM BRACKET DROP (mm)</t>
  </si>
  <si>
    <t>68 | 69</t>
  </si>
  <si>
    <t>STACK (mm)</t>
  </si>
  <si>
    <t>REACH (mm)</t>
  </si>
  <si>
    <t>STAND OVER HEIGHT (mm)</t>
  </si>
  <si>
    <t>720 | 726</t>
  </si>
  <si>
    <t>736 | 743</t>
  </si>
  <si>
    <t>755 | 761</t>
  </si>
  <si>
    <t>772 | 778</t>
  </si>
  <si>
    <t>790 | 796</t>
  </si>
  <si>
    <t>808 | 814</t>
  </si>
  <si>
    <t>HANDLEBAR WIDTH (mm)</t>
  </si>
  <si>
    <t>STEM LENGTH (mm)</t>
  </si>
  <si>
    <t>CRANK LENGTH (mm)</t>
  </si>
  <si>
    <t>frame size</t>
  </si>
  <si>
    <t>  155 cm </t>
  </si>
  <si>
    <t> 166 cm</t>
  </si>
  <si>
    <t>  159 cm </t>
  </si>
  <si>
    <t> 171 cm</t>
  </si>
  <si>
    <t>  169 cm </t>
  </si>
  <si>
    <t> 181 cm</t>
  </si>
  <si>
    <t>  174 cm </t>
  </si>
  <si>
    <t> 186 cm</t>
  </si>
  <si>
    <t>  179 cm </t>
  </si>
  <si>
    <t> 191 cm</t>
  </si>
  <si>
    <t>  189 cm </t>
  </si>
  <si>
    <t> 200 cm</t>
  </si>
  <si>
    <t>rider min</t>
  </si>
  <si>
    <t>rider max</t>
  </si>
  <si>
    <t> 155 cm </t>
  </si>
  <si>
    <t> 159 cm </t>
  </si>
  <si>
    <t> 169 cm </t>
  </si>
  <si>
    <t> 174 cm </t>
  </si>
  <si>
    <t> 179 cm </t>
  </si>
  <si>
    <t> 189 cm </t>
  </si>
  <si>
    <t>SIZE </t>
  </si>
  <si>
    <t>SIZE (MM) </t>
  </si>
  <si>
    <t>HANDLEBAR WIDTH </t>
  </si>
  <si>
    <t>STEM LENGTH (MM) </t>
  </si>
  <si>
    <t>CRANKARM LENGTH </t>
  </si>
  <si>
    <t>SEAT POST LENGTH (MM) </t>
  </si>
  <si>
    <t>A </t>
  </si>
  <si>
    <t>SEAT TUBE LENGTH (MM) </t>
  </si>
  <si>
    <t>B </t>
  </si>
  <si>
    <t>EFFECTIVE TOP TUBE (MM) </t>
  </si>
  <si>
    <t>C </t>
  </si>
  <si>
    <t>HEAD TUBE ANGLE (°) </t>
  </si>
  <si>
    <t>D </t>
  </si>
  <si>
    <t>EFFECTIVE SEAT TUBE ANGLE (°) </t>
  </si>
  <si>
    <t>E </t>
  </si>
  <si>
    <t>CHAINSTAY LENGTH (MM) </t>
  </si>
  <si>
    <t>F </t>
  </si>
  <si>
    <t>BOTTOM BRACKET DROP (MM) </t>
  </si>
  <si>
    <t>G </t>
  </si>
  <si>
    <t>HEAD TUBE LENGTH (MM) </t>
  </si>
  <si>
    <t>H </t>
  </si>
  <si>
    <t>FORK CONSTRUCTION HEIGHT (MM) </t>
  </si>
  <si>
    <t>I </t>
  </si>
  <si>
    <t>PRE-RAKED FORK (MM) </t>
  </si>
  <si>
    <t>J </t>
  </si>
  <si>
    <t>WHEELBASE LENGTH (MM) </t>
  </si>
  <si>
    <t>K </t>
  </si>
  <si>
    <t>STACK (MM) </t>
  </si>
  <si>
    <t>REACH (MM) </t>
  </si>
  <si>
    <t>seat_post</t>
  </si>
  <si>
    <t>size_a</t>
  </si>
  <si>
    <t>size_b</t>
  </si>
  <si>
    <t>tire width</t>
  </si>
  <si>
    <t>tire width max</t>
  </si>
  <si>
    <t>rider h min</t>
  </si>
  <si>
    <t>rider h max</t>
  </si>
  <si>
    <t>M/L</t>
  </si>
  <si>
    <t>506mm</t>
  </si>
  <si>
    <t>522mm</t>
  </si>
  <si>
    <t>604mm</t>
  </si>
  <si>
    <t>369mm</t>
  </si>
  <si>
    <t>393mm</t>
  </si>
  <si>
    <t>402mm</t>
  </si>
  <si>
    <t>411mm</t>
  </si>
  <si>
    <t>105mm</t>
  </si>
  <si>
    <t>128mm</t>
  </si>
  <si>
    <t>166mm</t>
  </si>
  <si>
    <t>594mm</t>
  </si>
  <si>
    <t>601mm</t>
  </si>
  <si>
    <t>636mm</t>
  </si>
  <si>
    <t>1004mm</t>
  </si>
  <si>
    <t>1012mm</t>
  </si>
  <si>
    <t>1024mm</t>
  </si>
  <si>
    <t>1037mm</t>
  </si>
  <si>
    <t>588mm</t>
  </si>
  <si>
    <t>485mm</t>
  </si>
  <si>
    <t>502mm</t>
  </si>
  <si>
    <t>525mm</t>
  </si>
  <si>
    <t>584mm</t>
  </si>
  <si>
    <t>769mm</t>
  </si>
  <si>
    <t>786mm</t>
  </si>
  <si>
    <t>808mm</t>
  </si>
  <si>
    <t>852mm</t>
  </si>
  <si>
    <t>87.9/83.3</t>
  </si>
  <si>
    <t>84.6/79.9</t>
  </si>
  <si>
    <t>81.2/76.5</t>
  </si>
  <si>
    <t>74.6/69.9</t>
  </si>
  <si>
    <t>68/63.3</t>
  </si>
  <si>
    <t>64.7/59.9</t>
  </si>
  <si>
    <t>trail 50</t>
  </si>
  <si>
    <t>offset 50</t>
  </si>
  <si>
    <t>trail_45</t>
  </si>
  <si>
    <t>trail_50</t>
  </si>
  <si>
    <t>fork_offset_rake_50</t>
  </si>
  <si>
    <t>crank length</t>
  </si>
  <si>
    <t>handlebar width</t>
  </si>
  <si>
    <t>tire width_spec</t>
  </si>
  <si>
    <t>tire width_max</t>
  </si>
  <si>
    <r>
      <t>(A)</t>
    </r>
    <r>
      <rPr>
        <b/>
        <sz val="14"/>
        <color rgb="FF000000"/>
        <rFont val="Montserrat"/>
      </rPr>
      <t> STACK </t>
    </r>
  </si>
  <si>
    <r>
      <t>(B)</t>
    </r>
    <r>
      <rPr>
        <b/>
        <sz val="14"/>
        <color rgb="FF000000"/>
        <rFont val="Montserrat"/>
      </rPr>
      <t> REACH </t>
    </r>
  </si>
  <si>
    <r>
      <t>(C)</t>
    </r>
    <r>
      <rPr>
        <b/>
        <sz val="14"/>
        <color rgb="FF000000"/>
        <rFont val="Montserrat"/>
      </rPr>
      <t> HEAD TUBE LENGTH </t>
    </r>
  </si>
  <si>
    <r>
      <t>(D)</t>
    </r>
    <r>
      <rPr>
        <b/>
        <sz val="14"/>
        <color rgb="FF000000"/>
        <rFont val="Montserrat"/>
      </rPr>
      <t> CHAINSTAY LENGTH </t>
    </r>
  </si>
  <si>
    <r>
      <t>(E)</t>
    </r>
    <r>
      <rPr>
        <b/>
        <sz val="14"/>
        <color rgb="FF000000"/>
        <rFont val="Montserrat"/>
      </rPr>
      <t> FRONT CENTER </t>
    </r>
  </si>
  <si>
    <r>
      <t>(F)</t>
    </r>
    <r>
      <rPr>
        <b/>
        <sz val="14"/>
        <color rgb="FF000000"/>
        <rFont val="Montserrat"/>
      </rPr>
      <t> WHEELBASE </t>
    </r>
  </si>
  <si>
    <r>
      <t>(G)</t>
    </r>
    <r>
      <rPr>
        <b/>
        <sz val="14"/>
        <color rgb="FF000000"/>
        <rFont val="Montserrat"/>
      </rPr>
      <t> BOTTOM BRACKET DROP </t>
    </r>
  </si>
  <si>
    <r>
      <t>(H)</t>
    </r>
    <r>
      <rPr>
        <b/>
        <sz val="14"/>
        <color rgb="FF000000"/>
        <rFont val="Montserrat"/>
      </rPr>
      <t> SEAT TUBE ANGLE </t>
    </r>
  </si>
  <si>
    <r>
      <t>(I)</t>
    </r>
    <r>
      <rPr>
        <b/>
        <sz val="14"/>
        <color rgb="FF000000"/>
        <rFont val="Montserrat"/>
      </rPr>
      <t> HEAD TUBE ANGLE </t>
    </r>
  </si>
  <si>
    <r>
      <t>(J)</t>
    </r>
    <r>
      <rPr>
        <b/>
        <sz val="14"/>
        <color rgb="FF000000"/>
        <rFont val="Montserrat"/>
      </rPr>
      <t> TOP TUBE LENGTH, Horizontal </t>
    </r>
  </si>
  <si>
    <r>
      <t>(K)</t>
    </r>
    <r>
      <rPr>
        <b/>
        <sz val="14"/>
        <color rgb="FF000000"/>
        <rFont val="Montserrat"/>
      </rPr>
      <t> SEAT TUBE LENGTH </t>
    </r>
  </si>
  <si>
    <r>
      <t>(L)</t>
    </r>
    <r>
      <rPr>
        <b/>
        <sz val="14"/>
        <color rgb="FF000000"/>
        <rFont val="Montserrat"/>
      </rPr>
      <t> STAND OVER HEIGHT </t>
    </r>
  </si>
  <si>
    <r>
      <t>(M)</t>
    </r>
    <r>
      <rPr>
        <b/>
        <sz val="14"/>
        <color rgb="FF000000"/>
        <rFont val="Montserrat"/>
      </rPr>
      <t> TRAIL </t>
    </r>
    <r>
      <rPr>
        <b/>
        <sz val="14"/>
        <color rgb="FFED3833"/>
        <rFont val="Montserrat"/>
      </rPr>
      <t>45</t>
    </r>
  </si>
  <si>
    <r>
      <t>(N)</t>
    </r>
    <r>
      <rPr>
        <b/>
        <sz val="14"/>
        <color rgb="FF000000"/>
        <rFont val="Montserrat"/>
      </rPr>
      <t> FORK LENGTH, FULL </t>
    </r>
  </si>
  <si>
    <r>
      <t>(O)</t>
    </r>
    <r>
      <rPr>
        <b/>
        <sz val="14"/>
        <color rgb="FF000000"/>
        <rFont val="Montserrat"/>
      </rPr>
      <t> FORK OFFSET 45</t>
    </r>
  </si>
  <si>
    <r>
      <t>(M)</t>
    </r>
    <r>
      <rPr>
        <b/>
        <sz val="14"/>
        <color rgb="FF000000"/>
        <rFont val="Montserrat"/>
      </rPr>
      <t> TRAIL </t>
    </r>
  </si>
  <si>
    <r>
      <t>(O)</t>
    </r>
    <r>
      <rPr>
        <b/>
        <sz val="14"/>
        <color rgb="FF000000"/>
        <rFont val="Montserrat"/>
      </rPr>
      <t> FORK OFFSET (Not Shown)</t>
    </r>
  </si>
  <si>
    <t>standover (mm)</t>
  </si>
  <si>
    <t>1 - Seat Tube (C-T)</t>
  </si>
  <si>
    <t>2 - Top Tube (EFF)</t>
  </si>
  <si>
    <t>3 - Head Tube</t>
  </si>
  <si>
    <t>4 - Chainstay</t>
  </si>
  <si>
    <t>5 - BB Height (30-622)</t>
  </si>
  <si>
    <t>5 - BB Height (40-622)</t>
  </si>
  <si>
    <t>6 - BB Drop</t>
  </si>
  <si>
    <t>7 - Wheelbase</t>
  </si>
  <si>
    <t>8 - Head Angle</t>
  </si>
  <si>
    <t>9 - Seat Angle</t>
  </si>
  <si>
    <t>10 - Standover (30-622)</t>
  </si>
  <si>
    <t>10 - Standover (40-622)</t>
  </si>
  <si>
    <t>11 - Reach</t>
  </si>
  <si>
    <t>12 - Stack</t>
  </si>
  <si>
    <t>13 - Fork Length</t>
  </si>
  <si>
    <t>Trail (30-622)</t>
  </si>
  <si>
    <t>Trail (40-622)</t>
  </si>
  <si>
    <t>Crank</t>
  </si>
  <si>
    <t>Handlebar</t>
  </si>
  <si>
    <t>* The handlebar size is centre-centre </t>
  </si>
  <si>
    <t>Height ( cm )</t>
  </si>
  <si>
    <t>Height ( in )</t>
  </si>
  <si>
    <t>155-166</t>
  </si>
  <si>
    <t>61.1"-65.4"</t>
  </si>
  <si>
    <t>167-172</t>
  </si>
  <si>
    <t>65.7"-67.7"</t>
  </si>
  <si>
    <t>173-179</t>
  </si>
  <si>
    <t>68.1"-70.5"</t>
  </si>
  <si>
    <t>180-185</t>
  </si>
  <si>
    <t>70.9"-72.8"</t>
  </si>
  <si>
    <t>186-191</t>
  </si>
  <si>
    <t>73.2"-75.2"</t>
  </si>
  <si>
    <t>192-207</t>
  </si>
  <si>
    <t>75.6"-81.5"</t>
  </si>
  <si>
    <t>bbheight_30</t>
  </si>
  <si>
    <t>bbheight_40</t>
  </si>
  <si>
    <t>standover-30</t>
  </si>
  <si>
    <t>trail_30</t>
  </si>
  <si>
    <t>trail_40</t>
  </si>
  <si>
    <t>Tp Tube Length</t>
  </si>
  <si>
    <t>Bttm Bracket Drp</t>
  </si>
  <si>
    <t>Standver Height</t>
  </si>
  <si>
    <t>Chart</t>
  </si>
  <si>
    <t>ENVE G Series Carbon Fiber Gravel Fork</t>
  </si>
  <si>
    <t>150–163CM</t>
  </si>
  <si>
    <t>160–173CM</t>
  </si>
  <si>
    <t>170–183CM</t>
  </si>
  <si>
    <t>180–188CM</t>
  </si>
  <si>
    <t>185–198CM</t>
  </si>
  <si>
    <t>4’11” </t>
  </si>
  <si>
    <t>5’2” </t>
  </si>
  <si>
    <t>5’5” </t>
  </si>
  <si>
    <t>5’7” </t>
  </si>
  <si>
    <t>5’4”</t>
  </si>
  <si>
    <t>5’7”</t>
  </si>
  <si>
    <t>5’9”</t>
  </si>
  <si>
    <t>5’11”</t>
  </si>
  <si>
    <t>75.0°</t>
  </si>
  <si>
    <t>reach_handlebar</t>
  </si>
  <si>
    <t>crank l</t>
  </si>
  <si>
    <t>stem l</t>
  </si>
  <si>
    <t>handlebar w</t>
  </si>
  <si>
    <t>tire spec</t>
  </si>
  <si>
    <t>tire max</t>
  </si>
  <si>
    <r>
      <t>SEAT TUBE LENGTH </t>
    </r>
    <r>
      <rPr>
        <sz val="11"/>
        <color rgb="FF474747"/>
        <rFont val="Helvetica"/>
        <family val="2"/>
      </rPr>
      <t>(mm)</t>
    </r>
  </si>
  <si>
    <t>SEAT TUBE ANGLE </t>
  </si>
  <si>
    <r>
      <t>TOP TUBE LENGTH </t>
    </r>
    <r>
      <rPr>
        <sz val="11"/>
        <color rgb="FF474747"/>
        <rFont val="Helvetica"/>
        <family val="2"/>
      </rPr>
      <t>(mm)</t>
    </r>
  </si>
  <si>
    <r>
      <t>HEAD TUBE LENGTH </t>
    </r>
    <r>
      <rPr>
        <sz val="11"/>
        <color rgb="FF474747"/>
        <rFont val="Helvetica"/>
        <family val="2"/>
      </rPr>
      <t>(mm)</t>
    </r>
  </si>
  <si>
    <t>HEAD TUBE ANGLE </t>
  </si>
  <si>
    <r>
      <t>FORK RAKE </t>
    </r>
    <r>
      <rPr>
        <sz val="11"/>
        <color rgb="FF474747"/>
        <rFont val="Helvetica"/>
        <family val="2"/>
      </rPr>
      <t>(mm)</t>
    </r>
  </si>
  <si>
    <r>
      <t>TRAIL </t>
    </r>
    <r>
      <rPr>
        <sz val="11"/>
        <color rgb="FF474747"/>
        <rFont val="Helvetica"/>
        <family val="2"/>
      </rPr>
      <t>(mm)</t>
    </r>
  </si>
  <si>
    <r>
      <t>WHEELBASE </t>
    </r>
    <r>
      <rPr>
        <sz val="11"/>
        <color rgb="FF474747"/>
        <rFont val="Helvetica"/>
        <family val="2"/>
      </rPr>
      <t>(mm)</t>
    </r>
  </si>
  <si>
    <r>
      <t>CHAIN STAY LENGTH </t>
    </r>
    <r>
      <rPr>
        <sz val="11"/>
        <color rgb="FF474747"/>
        <rFont val="Helvetica"/>
        <family val="2"/>
      </rPr>
      <t>(mm)</t>
    </r>
  </si>
  <si>
    <r>
      <t>BOTTOM BRACKET DROP </t>
    </r>
    <r>
      <rPr>
        <sz val="11"/>
        <color rgb="FF474747"/>
        <rFont val="Helvetica"/>
        <family val="2"/>
      </rPr>
      <t>(mm)</t>
    </r>
  </si>
  <si>
    <r>
      <t>STACK </t>
    </r>
    <r>
      <rPr>
        <sz val="11"/>
        <color rgb="FF474747"/>
        <rFont val="Helvetica"/>
        <family val="2"/>
      </rPr>
      <t>(mm)</t>
    </r>
  </si>
  <si>
    <r>
      <t>REACH </t>
    </r>
    <r>
      <rPr>
        <sz val="11"/>
        <color rgb="FF474747"/>
        <rFont val="Helvetica"/>
        <family val="2"/>
      </rPr>
      <t>(mm)</t>
    </r>
  </si>
  <si>
    <r>
      <t>REACHTOHANDLEBAR </t>
    </r>
    <r>
      <rPr>
        <sz val="11"/>
        <color rgb="FF474747"/>
        <rFont val="Helvetica"/>
        <family val="2"/>
      </rPr>
      <t>(mm)</t>
    </r>
  </si>
  <si>
    <r>
      <t>STAND OVER HEIGHT </t>
    </r>
    <r>
      <rPr>
        <sz val="11"/>
        <color rgb="FF474747"/>
        <rFont val="Helvetica"/>
        <family val="2"/>
      </rPr>
      <t>(mm)</t>
    </r>
  </si>
  <si>
    <r>
      <t>HANDLEBAR WIDTH </t>
    </r>
    <r>
      <rPr>
        <sz val="11"/>
        <color rgb="FF474747"/>
        <rFont val="Helvetica"/>
        <family val="2"/>
      </rPr>
      <t>(mm)</t>
    </r>
  </si>
  <si>
    <r>
      <t>STEM LENGTH </t>
    </r>
    <r>
      <rPr>
        <sz val="11"/>
        <color rgb="FF474747"/>
        <rFont val="Helvetica"/>
        <family val="2"/>
      </rPr>
      <t>(mm)</t>
    </r>
  </si>
  <si>
    <r>
      <t>CRANK LENGTH </t>
    </r>
    <r>
      <rPr>
        <sz val="11"/>
        <color rgb="FF474747"/>
        <rFont val="Helvetica"/>
        <family val="2"/>
      </rPr>
      <t>(mm)</t>
    </r>
  </si>
  <si>
    <t>headtube_extension</t>
  </si>
  <si>
    <t>154-165cm</t>
  </si>
  <si>
    <t>164-175cm</t>
  </si>
  <si>
    <t>174-184cm</t>
  </si>
  <si>
    <t>183-193cm</t>
  </si>
  <si>
    <t>192-202cm</t>
  </si>
  <si>
    <t>https://off.road.cc/content/feature/yt-szepter-first-ride-review-a-drop-bar-trail-slayer-11127#:~:text=YT%20Szepter%20%2D%20Build&amp;text=The%20drive%20ratio%20is%20governed,175%20(XL%2DXXL).</t>
  </si>
  <si>
    <t>jbar</t>
  </si>
  <si>
    <t>RIDER HEIGHT (in.)</t>
  </si>
  <si>
    <t>5'1"-5'6"</t>
  </si>
  <si>
    <t>5'5"-5'10"</t>
  </si>
  <si>
    <t>5'9"-6'1"</t>
  </si>
  <si>
    <t>6'0"-6'4"</t>
  </si>
  <si>
    <t>6'3"-6'8"</t>
  </si>
  <si>
    <t>RIDER HEIGHT (cm)</t>
  </si>
  <si>
    <t>155 -168cm</t>
  </si>
  <si>
    <t>165 - 178cm</t>
  </si>
  <si>
    <t>175 - 185cm</t>
  </si>
  <si>
    <t>183 - 193cm</t>
  </si>
  <si>
    <t>190 - 203cm</t>
  </si>
  <si>
    <t>SEAT TUBE ANGLE (EFFECTIVE/ACTUAL)</t>
  </si>
  <si>
    <t>75°/73°</t>
  </si>
  <si>
    <t>BOTTOM BRACKET HEIGHT</t>
  </si>
  <si>
    <t>285mm</t>
  </si>
  <si>
    <t>1016mm</t>
  </si>
  <si>
    <t>1064mm</t>
  </si>
  <si>
    <t>1082mm</t>
  </si>
  <si>
    <t>136mm</t>
  </si>
  <si>
    <t>157mm</t>
  </si>
  <si>
    <t>178mm</t>
  </si>
  <si>
    <t>625mm</t>
  </si>
  <si>
    <t>397mm</t>
  </si>
  <si>
    <t>407mm</t>
  </si>
  <si>
    <t>423mm</t>
  </si>
  <si>
    <t>433mm</t>
  </si>
  <si>
    <t>823mm</t>
  </si>
  <si>
    <t>standover_in</t>
  </si>
  <si>
    <t>148 cm160 cm</t>
  </si>
  <si>
    <t>158 cm170 cm</t>
  </si>
  <si>
    <t>168 cm180 cm</t>
  </si>
  <si>
    <t>178 cm190 cm</t>
  </si>
  <si>
    <t>188 cm200 cm</t>
  </si>
  <si>
    <t>We will provide our rouch size chart below. We will also attach our spec sheet, so you can take a look at the stock component sizes. Let us know how else we can help. </t>
  </si>
  <si>
    <t>GS1 size chart:</t>
  </si>
  <si>
    <t>4'11" - 5'4"</t>
  </si>
  <si>
    <t>150 cm - 162 cm</t>
  </si>
  <si>
    <t> X-Small</t>
  </si>
  <si>
    <t>5'4" - 5'7"</t>
  </si>
  <si>
    <t>162 cm - 170 cm</t>
  </si>
  <si>
    <t> Small</t>
  </si>
  <si>
    <t>170 cm - 177cm</t>
  </si>
  <si>
    <t> Medium</t>
  </si>
  <si>
    <t>5'9" - 6'1"</t>
  </si>
  <si>
    <t>177 cm -185 cm</t>
  </si>
  <si>
    <t> Medium/Large</t>
  </si>
  <si>
    <t>6'1" - 6'3"</t>
  </si>
  <si>
    <t>185cm - 190 cm  </t>
  </si>
  <si>
    <t> Large</t>
  </si>
  <si>
    <t>190 cm - 198 cm</t>
  </si>
  <si>
    <t> X-Large</t>
  </si>
  <si>
    <t>from an e-mail</t>
  </si>
  <si>
    <t>700C</t>
  </si>
  <si>
    <t>78 | 82</t>
  </si>
  <si>
    <t>72 | 75</t>
  </si>
  <si>
    <t>68 | 72</t>
  </si>
  <si>
    <t>65 | 68</t>
  </si>
  <si>
    <t>1020 | 1030</t>
  </si>
  <si>
    <t>1056 | 1066</t>
  </si>
  <si>
    <t>80 | 81</t>
  </si>
  <si>
    <t>724 | 731</t>
  </si>
  <si>
    <t>740 | 747</t>
  </si>
  <si>
    <t>757 | 764</t>
  </si>
  <si>
    <t>774 | 780</t>
  </si>
  <si>
    <t>791 | 797</t>
  </si>
  <si>
    <t>807 | 814</t>
  </si>
  <si>
    <t>155 cm </t>
  </si>
  <si>
    <t>166 cm</t>
  </si>
  <si>
    <t>159 cm </t>
  </si>
  <si>
    <t>171 cm</t>
  </si>
  <si>
    <t>181 cm</t>
  </si>
  <si>
    <t>169 cm </t>
  </si>
  <si>
    <t>174 cm </t>
  </si>
  <si>
    <t>186 cm</t>
  </si>
  <si>
    <t>191 cm</t>
  </si>
  <si>
    <t>179 cm </t>
  </si>
  <si>
    <t>189 cm </t>
  </si>
  <si>
    <t>200 cm</t>
  </si>
  <si>
    <t>seat tube angle effective</t>
  </si>
  <si>
    <t>seat tube angle actual</t>
  </si>
  <si>
    <t>xs</t>
  </si>
  <si>
    <t>Seat Tube L C-top</t>
  </si>
  <si>
    <t>max saddle rail height</t>
  </si>
  <si>
    <t>max saddle height</t>
  </si>
  <si>
    <t>Trail (40 mm tire)</t>
  </si>
  <si>
    <t>Standover (40 mm tire)</t>
  </si>
  <si>
    <t>max_saddle_rail_ht</t>
  </si>
  <si>
    <t>max_saddle_height</t>
  </si>
  <si>
    <t>rear_center</t>
  </si>
  <si>
    <t>chainstay</t>
  </si>
  <si>
    <t>model</t>
  </si>
  <si>
    <t>Date</t>
  </si>
  <si>
    <t>URL</t>
  </si>
  <si>
    <t>Material</t>
  </si>
  <si>
    <t>All-City Space Horse GRX</t>
  </si>
  <si>
    <t>https://allcitycycles.com/bikes/space_horse_grx</t>
  </si>
  <si>
    <t>axle-crown</t>
  </si>
  <si>
    <t>fits 700/45</t>
  </si>
  <si>
    <t>Wilde Earth Ship Steel Frameset</t>
  </si>
  <si>
    <t>recommended rider height</t>
  </si>
  <si>
    <t>https://www.wildebikes.com/collections/bikes/products/earth-ship-steel-frameset</t>
  </si>
  <si>
    <t>model year</t>
  </si>
  <si>
    <t>input date</t>
  </si>
  <si>
    <t>Wilde Rambler SL</t>
  </si>
  <si>
    <t>https://www.wildebikes.com/collections/bikes/products/rambler-sl</t>
  </si>
  <si>
    <t>*specs based on 2.4" tire</t>
  </si>
  <si>
    <t>Minimum Seat Height</t>
  </si>
  <si>
    <t>Maximum Seat Height</t>
  </si>
  <si>
    <t>Rider Height Range</t>
  </si>
  <si>
    <t>15”</t>
  </si>
  <si>
    <t>69cm</t>
  </si>
  <si>
    <t>5’0” – 5’5”</t>
  </si>
  <si>
    <t>16”</t>
  </si>
  <si>
    <t>71cm</t>
  </si>
  <si>
    <t>5’4” – 5’8”</t>
  </si>
  <si>
    <t>18”</t>
  </si>
  <si>
    <t>68cm</t>
  </si>
  <si>
    <t>77cm</t>
  </si>
  <si>
    <t>5’7” – 5’11”</t>
  </si>
  <si>
    <t>20”</t>
  </si>
  <si>
    <t>75cm</t>
  </si>
  <si>
    <t>82cm</t>
  </si>
  <si>
    <t>5’10” – 6’2”</t>
  </si>
  <si>
    <t>22”</t>
  </si>
  <si>
    <t>78cm</t>
  </si>
  <si>
    <t>87cm</t>
  </si>
  <si>
    <t>6’1” +</t>
  </si>
  <si>
    <t>max inches</t>
  </si>
  <si>
    <t>min inches</t>
  </si>
  <si>
    <t>Chiru Kegeti</t>
  </si>
  <si>
    <t>https://www.chirubikes.com/kit-cadre/kegeti/</t>
  </si>
  <si>
    <t>Parties</t>
  </si>
  <si>
    <t>TT (mm)</t>
  </si>
  <si>
    <t>S (mm)</t>
  </si>
  <si>
    <t>RC (mm)</t>
  </si>
  <si>
    <t>W (mm)</t>
  </si>
  <si>
    <t>BB (mm)</t>
  </si>
  <si>
    <t>HT (mm)</t>
  </si>
  <si>
    <t>SA (deg.)</t>
  </si>
  <si>
    <t>HA (deg.)</t>
  </si>
  <si>
    <t>AC (mm)</t>
  </si>
  <si>
    <t>O (mm)</t>
  </si>
  <si>
    <t>ST (mm)</t>
  </si>
  <si>
    <t>R (mm)</t>
  </si>
  <si>
    <t>*</t>
  </si>
  <si>
    <t>* frameset only so used the 2.2 Panaracer in the image</t>
  </si>
  <si>
    <t>ENVE gravel @ 47 offset, specified by website</t>
  </si>
  <si>
    <t>used for standover</t>
  </si>
  <si>
    <t>frame only</t>
  </si>
  <si>
    <t>Chumba Terlingua SL Titanium</t>
  </si>
  <si>
    <t>2020</t>
  </si>
  <si>
    <t>https://chumbausa.com/terlingua-titanium-sl-gravel-allroad-bike</t>
  </si>
  <si>
    <t>titanium</t>
  </si>
  <si>
    <t>1008-1028</t>
  </si>
  <si>
    <t>1019-1039</t>
  </si>
  <si>
    <t>1029-1049</t>
  </si>
  <si>
    <t>1045-1065</t>
  </si>
  <si>
    <t>1066-1086</t>
  </si>
  <si>
    <t>28.4"</t>
  </si>
  <si>
    <t>32.75"</t>
  </si>
  <si>
    <t>ENVE gravel @ 50 offset, specified by website</t>
  </si>
  <si>
    <t>late 2022</t>
  </si>
  <si>
    <t>https://chumbausa.com/yaupon-steel-mountain-bike-29er-27plus</t>
  </si>
  <si>
    <t>120 mm travel fork with 530 axle crown</t>
  </si>
  <si>
    <t>1106-1126</t>
  </si>
  <si>
    <t>With a Rigid ENVE MTN Fork</t>
  </si>
  <si>
    <t>69.9°</t>
  </si>
  <si>
    <t>76°</t>
  </si>
  <si>
    <t>75.4°</t>
  </si>
  <si>
    <t>1091-1111</t>
  </si>
  <si>
    <t>1112-1132</t>
  </si>
  <si>
    <t>1133-1153</t>
  </si>
  <si>
    <t>1155-1175</t>
  </si>
  <si>
    <t>29.25"</t>
  </si>
  <si>
    <t>30.66"</t>
  </si>
  <si>
    <t>32.25"</t>
  </si>
  <si>
    <t>With a 120mm Fork</t>
  </si>
  <si>
    <t>specified for geometry</t>
  </si>
  <si>
    <t>163 cm</t>
  </si>
  <si>
    <t>170 cm</t>
  </si>
  <si>
    <t>168 cm</t>
  </si>
  <si>
    <t>180 cm</t>
  </si>
  <si>
    <t>178 cm</t>
  </si>
  <si>
    <t>188 cm</t>
  </si>
  <si>
    <t>185 cm</t>
  </si>
  <si>
    <t>196 cm</t>
  </si>
  <si>
    <t>Chumba Yaupon Steel 120 mm Suspension</t>
  </si>
  <si>
    <t>Moots Routt ESC</t>
  </si>
  <si>
    <t>https://moots.com/bikes/gravel/routt-esc/</t>
  </si>
  <si>
    <t>frameset but this ships for reviews</t>
  </si>
  <si>
    <t>computed chainstay</t>
  </si>
  <si>
    <t>*gave it a typical size</t>
  </si>
  <si>
    <t>rider_optimal</t>
  </si>
  <si>
    <t>https://www.enigmabikes.com/products/escape-mk2-frame</t>
  </si>
  <si>
    <t>*adventure or gravel fork</t>
  </si>
  <si>
    <t>Enigma Escape MK2</t>
  </si>
  <si>
    <t>* pictured with Maxxis Rambler but not sure what size</t>
  </si>
  <si>
    <t>without mud guards</t>
  </si>
  <si>
    <t>*forced to have non-overlapping edges</t>
  </si>
  <si>
    <t>*this is wilde earthship sizing</t>
  </si>
  <si>
    <t xml:space="preserve">used Trek Book for all but 61 because very similar top-tube lengths and </t>
  </si>
  <si>
    <t>Rec. Height: Domestic</t>
  </si>
  <si>
    <t>5'0" - 5'2"</t>
  </si>
  <si>
    <t>5'3" - 5'5"</t>
  </si>
  <si>
    <t>5'6" - 5'8"</t>
  </si>
  <si>
    <t>5'9" - 5'11"</t>
  </si>
  <si>
    <t>6'0" - 6'2"</t>
  </si>
  <si>
    <t>Rec. Height: Int'l (cm)</t>
  </si>
  <si>
    <t>152 - 157</t>
  </si>
  <si>
    <t>160 - 165</t>
  </si>
  <si>
    <t>168 - 173</t>
  </si>
  <si>
    <t>175 - 180</t>
  </si>
  <si>
    <t>183 - 188</t>
  </si>
  <si>
    <t>190 +</t>
  </si>
  <si>
    <t>Seat Tube Length (A)</t>
  </si>
  <si>
    <t>Top Tube Length Effective (B)</t>
  </si>
  <si>
    <t>Head Tube Angle (C)</t>
  </si>
  <si>
    <t>Seat Tube Angle (D)</t>
  </si>
  <si>
    <t>Bottom Bracket Drop (E)</t>
  </si>
  <si>
    <t>Chain Stay Length (F)</t>
  </si>
  <si>
    <t>Head Tube Length (G)</t>
  </si>
  <si>
    <t>Rake (H)</t>
  </si>
  <si>
    <t>Stand Over Height (I)</t>
  </si>
  <si>
    <t>Wheelbase (J)</t>
  </si>
  <si>
    <t>Front Center (K)</t>
  </si>
  <si>
    <t>Stack (L)</t>
  </si>
  <si>
    <t>Reach (M)</t>
  </si>
  <si>
    <t>Frame Weight (lbs.)</t>
  </si>
  <si>
    <t>Specialized Crux Pro</t>
  </si>
  <si>
    <t>https://www.specialized.com/us/en/crux-pro/p/199960?color=322101-199960</t>
  </si>
  <si>
    <t>carbon</t>
  </si>
  <si>
    <t>https://lynskeyperformance.com/gr300-external-cable-routing-complete-bicycle/</t>
  </si>
  <si>
    <t>tire is not spec'd</t>
  </si>
  <si>
    <t>Lynskey GR300</t>
  </si>
  <si>
    <t>578mm</t>
  </si>
  <si>
    <t>598mm</t>
  </si>
  <si>
    <t>621mm</t>
  </si>
  <si>
    <t>388mm</t>
  </si>
  <si>
    <t>147mm</t>
  </si>
  <si>
    <t>167mm</t>
  </si>
  <si>
    <t>284mm</t>
  </si>
  <si>
    <t>286mm</t>
  </si>
  <si>
    <t>67mm</t>
  </si>
  <si>
    <t>64mm</t>
  </si>
  <si>
    <t>62mm</t>
  </si>
  <si>
    <t>644mm</t>
  </si>
  <si>
    <t>1008mm</t>
  </si>
  <si>
    <t>1014mm</t>
  </si>
  <si>
    <t>1033mm</t>
  </si>
  <si>
    <t>1045mm</t>
  </si>
  <si>
    <t>512mm</t>
  </si>
  <si>
    <t>539mm</t>
  </si>
  <si>
    <t>568mm</t>
  </si>
  <si>
    <t>599mm</t>
  </si>
  <si>
    <t>749mm</t>
  </si>
  <si>
    <t>772mm</t>
  </si>
  <si>
    <t>794mm</t>
  </si>
  <si>
    <t>816mm</t>
  </si>
  <si>
    <t>841mm</t>
  </si>
  <si>
    <t>466mm</t>
  </si>
  <si>
    <t>496mm</t>
  </si>
  <si>
    <t>521mm</t>
  </si>
  <si>
    <t>75.5°</t>
  </si>
  <si>
    <t>155 - 163</t>
  </si>
  <si>
    <t>163 - 168</t>
  </si>
  <si>
    <t>168 - 175</t>
  </si>
  <si>
    <t>175 - 183</t>
  </si>
  <si>
    <t>183 - 191</t>
  </si>
  <si>
    <t>191-198</t>
  </si>
  <si>
    <t>model_date</t>
  </si>
  <si>
    <t>input_date</t>
  </si>
  <si>
    <t>rider_min_spec</t>
  </si>
  <si>
    <t>rider_max_spec</t>
  </si>
  <si>
    <t>Curve GMX+ Steel</t>
  </si>
  <si>
    <t>https://www.curvecycling.com.au/products/gmx-steel</t>
  </si>
  <si>
    <t>XM</t>
  </si>
  <si>
    <t>Seat tube (C-T)</t>
  </si>
  <si>
    <t>Top tube length (effective)</t>
  </si>
  <si>
    <t>Chain stay length</t>
  </si>
  <si>
    <t>435 (variable)</t>
  </si>
  <si>
    <t>Head tube angle</t>
  </si>
  <si>
    <t>Fork length</t>
  </si>
  <si>
    <t>1022 (variable)</t>
  </si>
  <si>
    <t>1032 (variable)</t>
  </si>
  <si>
    <t>1036 (variable)</t>
  </si>
  <si>
    <t>1043 (variable)</t>
  </si>
  <si>
    <t>1067 (variable)</t>
  </si>
  <si>
    <t>Stand over height at center of top tube, 700 x 38mm &amp; 650b x 2.1″</t>
  </si>
  <si>
    <t>Stand over height at center of top tube, 650b x 47mm</t>
  </si>
  <si>
    <t>Dimensions listed in millimeters and degrees unless otherwise indicated.</t>
  </si>
  <si>
    <t>https://www.rodeo-labs.com/shop/framesets/td4/</t>
  </si>
  <si>
    <t>standover_650b</t>
  </si>
  <si>
    <t>Rider height</t>
  </si>
  <si>
    <t>5’4”-5’6”</t>
  </si>
  <si>
    <t>5’6”-5’9”</t>
  </si>
  <si>
    <t>5’9”-6’0”</t>
  </si>
  <si>
    <t>6’0”-6’2”</t>
  </si>
  <si>
    <t>6’2”-6’4”</t>
  </si>
  <si>
    <t>Rodeo TrailDonkey 4.0</t>
  </si>
  <si>
    <t> Frame Size XS(5’1”-5’4”) S(5’3”-5’8”) M (5’7-5’10”) L (5’10”-6’1”) XL (6’1”-6’3)</t>
  </si>
  <si>
    <t>https://www.reddit.com/r/gravelcycling/comments/x919wo/help_with_ritchey_outback_sizing/</t>
  </si>
  <si>
    <t>* no data, discontinued?</t>
  </si>
  <si>
    <t>no data</t>
  </si>
  <si>
    <t>GRAVEL / DROP BAR / URBAN</t>
  </si>
  <si>
    <t>HEIGHT/INCHES</t>
  </si>
  <si>
    <t>HEIGHT/METRIC</t>
  </si>
  <si>
    <t>INSEAM/INCHES</t>
  </si>
  <si>
    <t>INSEAM/METRIC</t>
  </si>
  <si>
    <t>ROVE/JAKE</t>
  </si>
  <si>
    <t>LIBRE</t>
  </si>
  <si>
    <t>SUTRA</t>
  </si>
  <si>
    <t>DEWS</t>
  </si>
  <si>
    <t>COCO</t>
  </si>
  <si>
    <t>4'10"-5'1"</t>
  </si>
  <si>
    <t>147-155cm</t>
  </si>
  <si>
    <t>24”-27”</t>
  </si>
  <si>
    <t>61-69cm</t>
  </si>
  <si>
    <t>N/A</t>
  </si>
  <si>
    <t>5'0"-5'3"</t>
  </si>
  <si>
    <t>152-160cm</t>
  </si>
  <si>
    <t>26"-29"</t>
  </si>
  <si>
    <t>66-74cm</t>
  </si>
  <si>
    <t>48-50cm</t>
  </si>
  <si>
    <t>157-170cm</t>
  </si>
  <si>
    <t>27"-30"</t>
  </si>
  <si>
    <t>69-76cm</t>
  </si>
  <si>
    <t>48-52cm</t>
  </si>
  <si>
    <t>50-52cm</t>
  </si>
  <si>
    <t>Small, Medium</t>
  </si>
  <si>
    <t>5'6"-5'10"</t>
  </si>
  <si>
    <t>168-178cm</t>
  </si>
  <si>
    <t>29"-31"</t>
  </si>
  <si>
    <t>74-79cm</t>
  </si>
  <si>
    <t>52-54cm</t>
  </si>
  <si>
    <t>5'9"-6'0"</t>
  </si>
  <si>
    <t>175-183cm</t>
  </si>
  <si>
    <t>76-84cm</t>
  </si>
  <si>
    <t>52-56cm</t>
  </si>
  <si>
    <t>54-56cm</t>
  </si>
  <si>
    <t>Medium, Large</t>
  </si>
  <si>
    <t>180-188cm</t>
  </si>
  <si>
    <t>32"-35"</t>
  </si>
  <si>
    <t>81-89cm</t>
  </si>
  <si>
    <t>54-58cm</t>
  </si>
  <si>
    <t>Large, XL</t>
  </si>
  <si>
    <t>185-196cm</t>
  </si>
  <si>
    <t>33"-36"</t>
  </si>
  <si>
    <t>84-91cm</t>
  </si>
  <si>
    <t>56-58cm</t>
  </si>
  <si>
    <t>ht</t>
  </si>
  <si>
    <t>ins</t>
  </si>
  <si>
    <t>XXS</t>
  </si>
  <si>
    <t>APPROXIMATIVE CYCLIST HEIGHT</t>
  </si>
  <si>
    <t>5’4’’ – 5’7’’</t>
  </si>
  <si>
    <t>5’7’’ – 5’10’’</t>
  </si>
  <si>
    <t>5’10’’ – 6’2’’</t>
  </si>
  <si>
    <t>745mm</t>
  </si>
  <si>
    <t>770mm</t>
  </si>
  <si>
    <t>790mm</t>
  </si>
  <si>
    <t>591mm</t>
  </si>
  <si>
    <t>611mm</t>
  </si>
  <si>
    <t>HORIZONTAL TOP TUBE LENGTH</t>
  </si>
  <si>
    <t>562mm</t>
  </si>
  <si>
    <t>75mm</t>
  </si>
  <si>
    <t>FORK RAKE/OFFSET</t>
  </si>
  <si>
    <t>1040mm</t>
  </si>
  <si>
    <t>1072mm</t>
  </si>
  <si>
    <t>Panorama Katahdin</t>
  </si>
  <si>
    <t>https://www.panoramacycles.com/en/product/katahdin-en/</t>
  </si>
  <si>
    <t>5’4’’ – 5’8’’</t>
  </si>
  <si>
    <t>5’8’’ – 5’11’’</t>
  </si>
  <si>
    <t>5’11’’ – 6’3’’</t>
  </si>
  <si>
    <t>860mm</t>
  </si>
  <si>
    <t>69.7°</t>
  </si>
  <si>
    <t>658mm</t>
  </si>
  <si>
    <t>373mm</t>
  </si>
  <si>
    <t>377mm</t>
  </si>
  <si>
    <t>92mm</t>
  </si>
  <si>
    <t>515mm</t>
  </si>
  <si>
    <t>450-465mm</t>
  </si>
  <si>
    <t>1052mm</t>
  </si>
  <si>
    <t>1095mm</t>
  </si>
  <si>
    <t>https://www.panoramacycles.com/en/product/taiga-exp-en/</t>
  </si>
  <si>
    <t>2022 model</t>
  </si>
  <si>
    <t>Panorama Taiga EXP GEVENALLE</t>
  </si>
  <si>
    <t>MODEL/SIZE</t>
  </si>
  <si>
    <t>REC RIDER HEIGHT</t>
  </si>
  <si>
    <t>172cm - 180cm</t>
  </si>
  <si>
    <t>180cm - 186cm</t>
  </si>
  <si>
    <t>186cm - 193cm</t>
  </si>
  <si>
    <t>REC RIDER INSIDE LEG</t>
  </si>
  <si>
    <t>74cm - 78cm</t>
  </si>
  <si>
    <t>78cm - 81cm</t>
  </si>
  <si>
    <t>81cm - 84cm</t>
  </si>
  <si>
    <t>84cm - 89cm</t>
  </si>
  <si>
    <t>(A) REACH</t>
  </si>
  <si>
    <t>404.3mm</t>
  </si>
  <si>
    <t>443.6mm</t>
  </si>
  <si>
    <t>458.3mm</t>
  </si>
  <si>
    <t>(B) STACK</t>
  </si>
  <si>
    <t>542.9mm</t>
  </si>
  <si>
    <t>561.6mm</t>
  </si>
  <si>
    <t>580.3mm</t>
  </si>
  <si>
    <t>598.9mm</t>
  </si>
  <si>
    <t>(C) EFFECTIVE TOP TUBE LENGTH</t>
  </si>
  <si>
    <t>(D) SEAT TUBE LENGTH</t>
  </si>
  <si>
    <t>(F) SEAT TUBE ANGLE (ACTUAL)</t>
  </si>
  <si>
    <t>(G) SADDLE HEIGHT AT SADDLE OFFSET</t>
  </si>
  <si>
    <t>650mm</t>
  </si>
  <si>
    <t>(H) SADDLE OFFSET AT SADDLE HEIGHT</t>
  </si>
  <si>
    <t>179.16mm</t>
  </si>
  <si>
    <t>192.95mm</t>
  </si>
  <si>
    <t>206.73mm</t>
  </si>
  <si>
    <t>220.51mm</t>
  </si>
  <si>
    <t>(I) HEAD TUBE LENGTH</t>
  </si>
  <si>
    <t>(J) HEAD TUBE ANGLE</t>
  </si>
  <si>
    <t>(K) CHAINSTAY LENGTH</t>
  </si>
  <si>
    <t>(L) FRONT CENTER</t>
  </si>
  <si>
    <t>641.1mm</t>
  </si>
  <si>
    <t>662.8mm</t>
  </si>
  <si>
    <t>694.4mm</t>
  </si>
  <si>
    <t>716.1mm</t>
  </si>
  <si>
    <t>(M) WHEELBASE</t>
  </si>
  <si>
    <t>1061.5mm</t>
  </si>
  <si>
    <t>1083.4mm</t>
  </si>
  <si>
    <t>1115.2mm</t>
  </si>
  <si>
    <t>(N) BOTTOM BRACKET DROP</t>
  </si>
  <si>
    <t>-70mm</t>
  </si>
  <si>
    <t>(O) BOTTOM BRACKET HEIGHT</t>
  </si>
  <si>
    <t>650b-279.75mm/700c-288.5mm</t>
  </si>
  <si>
    <t>(P) STAND OVER HEIGHT</t>
  </si>
  <si>
    <t>650b-729.66mm / 700c-738.41mm</t>
  </si>
  <si>
    <t>650b-748.79mm / 700c-757.54mm</t>
  </si>
  <si>
    <t>650b-767.46mm / 700c-776.21mm</t>
  </si>
  <si>
    <t>650b-786.34mm / 700c-795.09mm</t>
  </si>
  <si>
    <t>(Q) FORK TRAVEL</t>
  </si>
  <si>
    <t>-</t>
  </si>
  <si>
    <t>(R) TRAIL</t>
  </si>
  <si>
    <t>(650b-82.84mm / 700c-86.2mm)</t>
  </si>
  <si>
    <t>(S) FORK OFFSET</t>
  </si>
  <si>
    <t>48mm</t>
  </si>
  <si>
    <t>(T) AXLE TO CROWN</t>
  </si>
  <si>
    <t>(U) MAXIMUM SEATPOST INSERT</t>
  </si>
  <si>
    <t>240mm</t>
  </si>
  <si>
    <t>260mm</t>
  </si>
  <si>
    <t>280mm</t>
  </si>
  <si>
    <t>300mm</t>
  </si>
  <si>
    <t>Nukeproof Digger</t>
  </si>
  <si>
    <t>https://us.nukeproof.com/collections/digger/products/2022-digger-rs</t>
  </si>
  <si>
    <t>aluminum</t>
  </si>
  <si>
    <t>seat_post_length</t>
  </si>
  <si>
    <t>saddle_height_1</t>
  </si>
  <si>
    <t>saddle_height_2</t>
  </si>
  <si>
    <t>fork_travel</t>
  </si>
  <si>
    <t>Santa Cruz Stigmata</t>
  </si>
  <si>
    <t>https://www.santacruzbicycles.com/en-US/bikes/stigmata</t>
  </si>
  <si>
    <t xml:space="preserve">*illustrating horizontal </t>
  </si>
  <si>
    <t>* reported but not on chart</t>
  </si>
  <si>
    <t>rear_+_front</t>
  </si>
  <si>
    <t>rear + front</t>
  </si>
  <si>
    <t>rc^2 + bbd^2 = cs^2</t>
  </si>
  <si>
    <t>wb_if_rc_is_cs</t>
  </si>
  <si>
    <t>chainstay_length_computed</t>
  </si>
  <si>
    <t>* reported by grand fondo</t>
  </si>
  <si>
    <t>* FAQ</t>
  </si>
  <si>
    <t>Salsa Journeyer 700c Apex</t>
  </si>
  <si>
    <t>51cm</t>
  </si>
  <si>
    <t>142 - 152cm</t>
  </si>
  <si>
    <t>150 - 160cm</t>
  </si>
  <si>
    <t>157 - 170cm</t>
  </si>
  <si>
    <t>173 - 185cm</t>
  </si>
  <si>
    <t>183 - 196cm</t>
  </si>
  <si>
    <t>Measurements based on:</t>
  </si>
  <si>
    <t>a fork measuring 405mm with 50mm offset</t>
  </si>
  <si>
    <t>a 700 x 38mm tire measuring 706 mm in diameter</t>
  </si>
  <si>
    <t>Stand over measured vertically to top of top tube from a position 50mm forward of BB center</t>
  </si>
  <si>
    <t>https://blackheartbikeco.com/products/gravel-al</t>
  </si>
  <si>
    <t>Blackheart Gravel AL</t>
  </si>
  <si>
    <t>Virtual Seat Tube (C-T)</t>
  </si>
  <si>
    <t>Seat Tube (C-T)</t>
  </si>
  <si>
    <t>Top Tube (effective)</t>
  </si>
  <si>
    <t>Chain Stay (actual)</t>
  </si>
  <si>
    <t>Stand over height, at center of top tube,</t>
  </si>
  <si>
    <t>700 x 38mm or 650b x 2.1″ tire</t>
  </si>
  <si>
    <t>650b x 48mm tire</t>
  </si>
  <si>
    <t>https://www.rodeo-labs.com/shop/framesets/flaanimal-ti</t>
  </si>
  <si>
    <t>5’2”-5’4”</t>
  </si>
  <si>
    <t>6’1”-6’4”</t>
  </si>
  <si>
    <t>Rodeo Flaanimal 5.0</t>
  </si>
  <si>
    <t>virtual_seat_tube</t>
  </si>
  <si>
    <t>Sklar Super Something Ti</t>
  </si>
  <si>
    <t>https://sklarbikes.com/collections/bikes/products/super-something-titanium-all-road-gravel-bike</t>
  </si>
  <si>
    <t>eff top tube</t>
  </si>
  <si>
    <t>bb height (42 c)</t>
  </si>
  <si>
    <t>eff seat tube angle</t>
  </si>
  <si>
    <t>axle to crown</t>
  </si>
  <si>
    <t>trail_speced</t>
  </si>
  <si>
    <t>M w Lauf Fork</t>
  </si>
  <si>
    <t>M with spec fork</t>
  </si>
  <si>
    <t>M-L</t>
  </si>
  <si>
    <t>EFF. TOP TUBE</t>
  </si>
  <si>
    <t>BB HEIGHT (42C Tire)</t>
  </si>
  <si>
    <t>EFF. SEAT TUBE ANGLE</t>
  </si>
  <si>
    <t>M-L w Rudy 30 mm travel /51 mm offset</t>
  </si>
  <si>
    <t>using the calculator</t>
  </si>
  <si>
    <t>2023?</t>
  </si>
  <si>
    <t>geometry geeks for 2022 model</t>
  </si>
  <si>
    <t>5'7"-5'11"</t>
  </si>
  <si>
    <t>5'11"-6'3"</t>
  </si>
  <si>
    <t>6'3"-6'6"</t>
  </si>
  <si>
    <t>Tuning Chip-induced head/seat tube angle change from middle position</t>
  </si>
  <si>
    <t>±0.25°</t>
  </si>
  <si>
    <t>in front pos BB drops more</t>
  </si>
  <si>
    <t>avg_head_tube_angle</t>
  </si>
  <si>
    <t>avg_seat_tube_angle</t>
  </si>
  <si>
    <t>in front, head tube less slack</t>
  </si>
  <si>
    <t>in front, seat tube less steep</t>
  </si>
  <si>
    <t>in rear, head tube more slack</t>
  </si>
  <si>
    <t>in rear, seat tube more steep</t>
  </si>
  <si>
    <t>in rear pos BB drops less</t>
  </si>
  <si>
    <t>#shifted left because of weired sizing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</si>
  <si>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</si>
  <si>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</si>
  <si>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</si>
  <si>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</si>
  <si>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</si>
  <si>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</si>
  <si>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</si>
  <si>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</si>
  <si>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</si>
  <si>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</si>
  <si>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</si>
  <si>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</si>
  <si>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</si>
  <si>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</si>
  <si>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</si>
  <si>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</si>
  <si>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1136-1156</t>
  </si>
  <si>
    <t>1158-1178</t>
  </si>
  <si>
    <t>28.8"</t>
  </si>
  <si>
    <t>31.3"</t>
  </si>
  <si>
    <t>31.4"</t>
  </si>
  <si>
    <t>32.9"</t>
  </si>
  <si>
    <t>Max Seatpost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</si>
</sst>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5">
    <font>
      <sz val="12"/>
      <color theme="1"/>
      <name val="Calibri"/>
      <family val="2"/>
      <scheme val="minor"/>
    </font>
    <font>
      <b/>
      <sz val="14"/>
      <color theme="1"/>
      <name val="Helvetica Neue"/>
      <family val="2"/>
    </font>
    <font>
      <sz val="11"/>
      <color rgb="FFAAAAAA"/>
      <name val="Helvetica Neue"/>
      <family val="2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20203"/>
      <name val="Helvetica Neue"/>
      <family val="2"/>
    </font>
    <font>
      <sz val="12"/>
      <color rgb="FFFD4722"/>
      <name val="Helvetica Neue"/>
      <family val="2"/>
    </font>
    <font>
      <sz val="12"/>
      <color rgb="FF020203"/>
      <name val="Helvetica Neue"/>
      <family val="2"/>
    </font>
    <font>
      <sz val="14"/>
      <color rgb="FF222222"/>
      <name val="Helvetica Neue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sz val="14"/>
      <color theme="1"/>
      <name val="Arial"/>
      <family val="2"/>
    </font>
    <font>
      <sz val="12"/>
      <color theme="1"/>
      <name val="Helvetica Neue"/>
      <family val="2"/>
    </font>
    <font>
      <b/>
      <sz val="14"/>
      <color theme="1"/>
      <name val="Calibri"/>
      <family val="2"/>
      <scheme val="minor"/>
    </font>
    <font>
      <sz val="16"/>
      <color rgb="FF333333"/>
      <name val="Arial"/>
      <family val="2"/>
    </font>
    <font>
      <sz val="14"/>
      <color rgb="FF333333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3.5"/>
      <color rgb="FFFFFFFF"/>
      <name val="Helvetica Neue"/>
      <family val="2"/>
    </font>
    <font>
      <b/>
      <sz val="12"/>
      <color theme="1"/>
      <name val="Helvetica Neue"/>
      <family val="2"/>
    </font>
    <font>
      <sz val="14"/>
      <color rgb="FF46475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4"/>
      <color rgb="FF333333"/>
      <name val="Calibri"/>
      <family val="2"/>
      <scheme val="minor"/>
    </font>
    <font>
      <sz val="14"/>
      <color theme="1"/>
      <name val="Futura Medium"/>
    </font>
    <font>
      <b/>
      <sz val="14"/>
      <color rgb="FF222222"/>
      <name val="Futura Medium"/>
    </font>
    <font>
      <sz val="14"/>
      <color rgb="FF222222"/>
      <name val="Futura Medium"/>
    </font>
    <font>
      <b/>
      <sz val="14"/>
      <color rgb="FF414141"/>
      <name val="Futura Medium"/>
    </font>
    <font>
      <sz val="14"/>
      <color rgb="FF414141"/>
      <name val="Futura Medium"/>
    </font>
    <font>
      <b/>
      <sz val="14"/>
      <color theme="1"/>
      <name val="Futura Medium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2"/>
      <color theme="1"/>
      <name val="Calibri"/>
      <family val="2"/>
      <scheme val="minor"/>
    </font>
    <font>
      <b/>
      <sz val="14"/>
      <color rgb="FF9E9E9E"/>
      <name val="Futura Medium"/>
    </font>
    <font>
      <b/>
      <sz val="14"/>
      <color rgb="FF181818"/>
      <name val="Futura Medium"/>
    </font>
    <font>
      <sz val="14"/>
      <color rgb="FF181818"/>
      <name val="Futura Medium"/>
    </font>
    <font>
      <sz val="14"/>
      <color rgb="FF333333"/>
      <name val="Futura Medium"/>
    </font>
    <font>
      <b/>
      <sz val="14"/>
      <color rgb="FF6D7175"/>
      <name val="Futura Medium"/>
    </font>
    <font>
      <sz val="14"/>
      <color rgb="FF6D7175"/>
      <name val="Futura Medium"/>
    </font>
    <font>
      <sz val="14"/>
      <color rgb="FF91CE4F"/>
      <name val="Futura Medium"/>
    </font>
    <font>
      <sz val="8"/>
      <name val="Calibri"/>
      <family val="2"/>
      <scheme val="minor"/>
    </font>
    <font>
      <sz val="10.5"/>
      <color rgb="FFFAFAFA"/>
      <name val="Arial"/>
      <family val="2"/>
    </font>
    <font>
      <b/>
      <sz val="14"/>
      <color rgb="FF313131"/>
      <name val="Arial"/>
      <family val="2"/>
    </font>
    <font>
      <b/>
      <sz val="14"/>
      <color rgb="FF333333"/>
      <name val="Futura Medium"/>
    </font>
    <font>
      <b/>
      <sz val="14"/>
      <color rgb="FF191919"/>
      <name val="Futura Medium"/>
    </font>
    <font>
      <b/>
      <sz val="14"/>
      <color rgb="FF888888"/>
      <name val="Futura Medium"/>
    </font>
    <font>
      <sz val="12"/>
      <color theme="1"/>
      <name val="Calibri"/>
      <family val="2"/>
      <scheme val="minor"/>
    </font>
    <font>
      <sz val="18"/>
      <color rgb="FFFFFFFF"/>
      <name val="Calibri"/>
      <family val="2"/>
      <scheme val="minor"/>
    </font>
    <font>
      <sz val="14"/>
      <color theme="1"/>
      <name val="Futura Medium"/>
    </font>
    <font>
      <u/>
      <sz val="12"/>
      <color theme="10"/>
      <name val="Calibri"/>
      <family val="2"/>
      <scheme val="minor"/>
    </font>
    <font>
      <sz val="14"/>
      <color rgb="FF000000"/>
      <name val="Futura Medium"/>
      <charset val="1"/>
    </font>
    <font>
      <sz val="14"/>
      <color rgb="FFAAAAAA"/>
      <name val="Futura Medium"/>
    </font>
    <font>
      <b/>
      <sz val="14"/>
      <color rgb="FF363636"/>
      <name val="Futura Medium"/>
    </font>
    <font>
      <u/>
      <sz val="14"/>
      <color theme="10"/>
      <name val="Futura Medium"/>
    </font>
    <font>
      <b/>
      <sz val="18"/>
      <color theme="1"/>
      <name val="Helvetica Neue"/>
      <family val="2"/>
    </font>
    <font>
      <sz val="12"/>
      <color rgb="FF222222"/>
      <name val="Helvetica Neue"/>
      <family val="2"/>
    </font>
    <font>
      <sz val="12"/>
      <color rgb="FF555555"/>
      <name val="Helvetica Neue"/>
      <family val="2"/>
    </font>
    <font>
      <sz val="18"/>
      <color rgb="FF777777"/>
      <name val="Helvetica"/>
      <family val="2"/>
    </font>
    <font>
      <b/>
      <sz val="14"/>
      <color rgb="FF4F4F4F"/>
      <name val="Futura Medium"/>
    </font>
    <font>
      <sz val="14"/>
      <color rgb="FF4F4F4F"/>
      <name val="Futura Medium"/>
    </font>
    <font>
      <sz val="14"/>
      <color rgb="FF242729"/>
      <name val="Futura Medium"/>
    </font>
    <font>
      <b/>
      <sz val="14"/>
      <color rgb="FF353535"/>
      <name val="Futura Medium"/>
    </font>
    <font>
      <sz val="14"/>
      <color rgb="FF353535"/>
      <name val="Futura Medium"/>
    </font>
    <font>
      <b/>
      <sz val="14"/>
      <color rgb="FF171717"/>
      <name val="Futura Medium"/>
    </font>
    <font>
      <sz val="14"/>
      <color rgb="FF171717"/>
      <name val="Futura Medium"/>
    </font>
    <font>
      <i/>
      <sz val="14"/>
      <color theme="1"/>
      <name val="Futura Medium"/>
    </font>
    <font>
      <b/>
      <sz val="14"/>
      <color rgb="FF1B1B1B"/>
      <name val="Futura Medium"/>
    </font>
    <font>
      <i/>
      <sz val="14"/>
      <color rgb="FF444444"/>
      <name val="Futura Medium"/>
    </font>
    <font>
      <sz val="14"/>
      <color rgb="FF1B1B1B"/>
      <name val="Futura Medium"/>
    </font>
    <font>
      <b/>
      <sz val="14"/>
      <color rgb="FFEEEEEE"/>
      <name val="Futura Medium"/>
    </font>
    <font>
      <sz val="14"/>
      <color rgb="FFFFFFFF"/>
      <name val="Futura Medium"/>
    </font>
    <font>
      <b/>
      <sz val="16"/>
      <color rgb="FF414141"/>
      <name val="DIN W01 Medium"/>
    </font>
    <font>
      <sz val="16"/>
      <color rgb="FF414141"/>
      <name val="DIN W01 Medium"/>
    </font>
    <font>
      <sz val="16"/>
      <color rgb="FF414141"/>
      <name val="DIN W01 Regular"/>
    </font>
    <font>
      <b/>
      <sz val="14"/>
      <color rgb="FF333333"/>
      <name val="Arial"/>
      <family val="2"/>
    </font>
    <font>
      <sz val="16"/>
      <color rgb="FF666666"/>
      <name val="Arial"/>
      <family val="2"/>
    </font>
    <font>
      <sz val="14"/>
      <color rgb="FF000000"/>
      <name val="Futura Medium"/>
    </font>
    <font>
      <b/>
      <sz val="14"/>
      <color rgb="FF000000"/>
      <name val="Arial"/>
      <family val="2"/>
    </font>
    <font>
      <b/>
      <sz val="14"/>
      <color rgb="FFED3833"/>
      <name val="Montserrat"/>
    </font>
    <font>
      <b/>
      <sz val="14"/>
      <color rgb="FF000000"/>
      <name val="Montserrat"/>
    </font>
    <font>
      <sz val="14"/>
      <color rgb="FF000000"/>
      <name val="Arial"/>
      <family val="2"/>
    </font>
    <font>
      <sz val="16"/>
      <color rgb="FF1B1B1B"/>
      <name val="Arial Narrow"/>
      <family val="2"/>
    </font>
    <font>
      <b/>
      <sz val="16"/>
      <color rgb="FF212529"/>
      <name val="Arial"/>
      <family val="2"/>
    </font>
    <font>
      <sz val="16"/>
      <color rgb="FF212529"/>
      <name val="Arial"/>
      <family val="2"/>
    </font>
    <font>
      <b/>
      <i/>
      <sz val="16"/>
      <color theme="1"/>
      <name val="Arial"/>
      <family val="2"/>
    </font>
    <font>
      <sz val="14"/>
      <color rgb="FF333333"/>
      <name val="Helvetica"/>
      <family val="2"/>
    </font>
    <font>
      <b/>
      <sz val="14"/>
      <color rgb="FF333333"/>
      <name val="Helvetica"/>
      <family val="2"/>
    </font>
    <font>
      <i/>
      <sz val="16"/>
      <color theme="1"/>
      <name val="Arial"/>
      <family val="2"/>
    </font>
    <font>
      <sz val="14"/>
      <color rgb="FF474747"/>
      <name val="Helvetica"/>
      <family val="2"/>
    </font>
    <font>
      <b/>
      <sz val="12"/>
      <color rgb="FFFFFFFF"/>
      <name val="Helvetica"/>
      <family val="2"/>
    </font>
    <font>
      <b/>
      <sz val="16"/>
      <color rgb="FF333333"/>
      <name val="Helvetica"/>
      <family val="2"/>
    </font>
    <font>
      <sz val="11"/>
      <color rgb="FF474747"/>
      <name val="Helvetica"/>
      <family val="2"/>
    </font>
    <font>
      <sz val="14"/>
      <color rgb="FF4D4D4D"/>
      <name val="Arial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  <font>
      <sz val="10"/>
      <color theme="1"/>
      <name val="Futura Medium"/>
    </font>
    <font>
      <b/>
      <sz val="12"/>
      <color rgb="FF000000"/>
      <name val="Arial"/>
      <family val="2"/>
    </font>
    <font>
      <sz val="12"/>
      <color rgb="FFCCCCCC"/>
      <name val="Arial"/>
      <family val="2"/>
    </font>
    <font>
      <sz val="12"/>
      <color rgb="FF222222"/>
      <name val="Arial"/>
      <family val="2"/>
    </font>
    <font>
      <sz val="16"/>
      <color rgb="FF222222"/>
      <name val="Helvetica"/>
      <family val="2"/>
    </font>
    <font>
      <b/>
      <sz val="16"/>
      <color rgb="FF222222"/>
      <name val="Helvetica"/>
      <family val="2"/>
    </font>
    <font>
      <u/>
      <sz val="14"/>
      <color theme="1"/>
      <name val="Futura Medium"/>
    </font>
    <font>
      <b/>
      <sz val="14"/>
      <color rgb="FF222222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212529"/>
      <name val="Futura Medium"/>
    </font>
    <font>
      <sz val="22"/>
      <color rgb="FF000000"/>
      <name val="Times New Roman"/>
      <family val="1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b/>
      <sz val="18"/>
      <color rgb="FF242729"/>
      <name val="Arial"/>
      <family val="2"/>
    </font>
    <font>
      <sz val="15"/>
      <color rgb="FF333333"/>
      <name val="Arial"/>
      <family val="2"/>
    </font>
    <font>
      <b/>
      <sz val="14"/>
      <color rgb="FFFFFFFF"/>
      <name val="Futura Medium"/>
    </font>
    <font>
      <sz val="14"/>
      <color theme="1"/>
      <name val="Inherit"/>
    </font>
    <font>
      <sz val="16"/>
      <color rgb="FF7A7A7A"/>
      <name val="Roboto"/>
    </font>
    <font>
      <b/>
      <sz val="16"/>
      <color rgb="FF7A7A7A"/>
      <name val="Roboto"/>
    </font>
    <font>
      <b/>
      <sz val="16"/>
      <color rgb="FF7A7A7A"/>
      <name val="HelveticaNeueLT Std"/>
    </font>
    <font>
      <sz val="14"/>
      <color rgb="FF131313"/>
      <name val="Helvetica Neue"/>
      <family val="2"/>
    </font>
    <font>
      <b/>
      <sz val="14"/>
      <color theme="1"/>
      <name val="Helvetica"/>
      <family val="2"/>
    </font>
    <font>
      <sz val="14"/>
      <color theme="1"/>
      <name val="Helvetica Neue"/>
      <family val="2"/>
    </font>
    <font>
      <b/>
      <sz val="14"/>
      <color rgb="FF272727"/>
      <name val="Arial"/>
      <family val="2"/>
    </font>
    <font>
      <b/>
      <sz val="14"/>
      <color rgb="FF444444"/>
      <name val="Karla"/>
    </font>
    <font>
      <sz val="14"/>
      <color rgb="FF444444"/>
      <name val="Karla"/>
    </font>
    <font>
      <b/>
      <sz val="11"/>
      <color theme="1"/>
      <name val="Futura Medium"/>
    </font>
    <font>
      <sz val="11"/>
      <color theme="1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sz val="12"/>
      <color theme="1"/>
      <name val="Futura Medium"/>
    </font>
    <font>
      <sz val="18"/>
      <color rgb="FF000000"/>
      <name val="Arial"/>
      <family val="2"/>
    </font>
    <font>
      <sz val="18"/>
      <color rgb="FF000000"/>
      <name val="Arial"/>
      <family val="2"/>
    </font>
    <font>
      <sz val="21"/>
      <color rgb="FF636569"/>
      <name val="Arial"/>
      <family val="2"/>
    </font>
    <font>
      <sz val="21"/>
      <color rgb="FF636569"/>
      <name val="Arial"/>
      <family val="2"/>
    </font>
    <font>
      <sz val="14"/>
      <color rgb="FF7A7A7A"/>
      <name val="HelveticaNeueLT Std"/>
    </font>
    <font>
      <sz val="16"/>
      <color rgb="FF7A7A7A"/>
      <name val="HelveticaNeueLT Std"/>
    </font>
    <font>
      <sz val="14"/>
      <color rgb="FFFF0000"/>
      <name val="Futura Medium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8" fillId="0" borderId="0" applyNumberForma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2" fontId="23" fillId="0" borderId="0" xfId="0" applyNumberFormat="1" applyFont="1"/>
    <xf numFmtId="164" fontId="23" fillId="0" borderId="0" xfId="0" applyNumberFormat="1" applyFont="1"/>
    <xf numFmtId="0" fontId="36" fillId="0" borderId="0" xfId="0" applyFont="1"/>
    <xf numFmtId="0" fontId="37" fillId="0" borderId="0" xfId="0" applyFont="1"/>
    <xf numFmtId="164" fontId="0" fillId="0" borderId="0" xfId="0" applyNumberFormat="1"/>
    <xf numFmtId="1" fontId="0" fillId="0" borderId="0" xfId="0" applyNumberFormat="1"/>
    <xf numFmtId="1" fontId="23" fillId="0" borderId="0" xfId="0" applyNumberFormat="1" applyFont="1"/>
    <xf numFmtId="0" fontId="38" fillId="0" borderId="0" xfId="0" applyFont="1"/>
    <xf numFmtId="0" fontId="40" fillId="0" borderId="0" xfId="0" applyFont="1"/>
    <xf numFmtId="0" fontId="31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49" fontId="23" fillId="0" borderId="0" xfId="0" applyNumberFormat="1" applyFont="1"/>
    <xf numFmtId="0" fontId="51" fillId="0" borderId="0" xfId="0" applyFont="1"/>
    <xf numFmtId="49" fontId="52" fillId="0" borderId="0" xfId="1" applyNumberFormat="1" applyFont="1"/>
    <xf numFmtId="49" fontId="28" fillId="0" borderId="0" xfId="0" applyNumberFormat="1" applyFont="1"/>
    <xf numFmtId="49" fontId="51" fillId="0" borderId="0" xfId="0" applyNumberFormat="1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23" fillId="2" borderId="0" xfId="0" applyFont="1" applyFill="1"/>
    <xf numFmtId="0" fontId="60" fillId="0" borderId="0" xfId="0" applyFont="1"/>
    <xf numFmtId="0" fontId="61" fillId="0" borderId="0" xfId="0" applyFont="1"/>
    <xf numFmtId="1" fontId="61" fillId="0" borderId="0" xfId="0" applyNumberFormat="1" applyFont="1"/>
    <xf numFmtId="164" fontId="61" fillId="0" borderId="0" xfId="0" applyNumberFormat="1" applyFont="1"/>
    <xf numFmtId="0" fontId="23" fillId="0" borderId="0" xfId="0" quotePrefix="1" applyFont="1"/>
    <xf numFmtId="0" fontId="62" fillId="0" borderId="0" xfId="0" applyFont="1"/>
    <xf numFmtId="0" fontId="63" fillId="0" borderId="0" xfId="0" applyFont="1"/>
    <xf numFmtId="0" fontId="52" fillId="0" borderId="0" xfId="1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84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15" fontId="3" fillId="0" borderId="0" xfId="0" applyNumberFormat="1" applyFont="1"/>
    <xf numFmtId="0" fontId="105" fillId="0" borderId="0" xfId="0" applyFont="1"/>
    <xf numFmtId="15" fontId="23" fillId="0" borderId="0" xfId="0" applyNumberFormat="1" applyFont="1"/>
    <xf numFmtId="0" fontId="106" fillId="0" borderId="0" xfId="0" applyFont="1"/>
    <xf numFmtId="14" fontId="3" fillId="0" borderId="0" xfId="0" applyNumberFormat="1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4" fillId="0" borderId="0" xfId="0" applyFont="1"/>
    <xf numFmtId="0" fontId="113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23" fillId="0" borderId="0" xfId="0" applyFont="1" applyAlignment="1">
      <alignment horizontal="center"/>
    </xf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48" fillId="0" borderId="0" xfId="1"/>
    <xf numFmtId="46" fontId="23" fillId="0" borderId="0" xfId="0" applyNumberFormat="1" applyFont="1"/>
    <xf numFmtId="0" fontId="133" fillId="0" borderId="0" xfId="0" applyFont="1"/>
    <xf numFmtId="0" fontId="19" fillId="0" borderId="0" xfId="0" applyFont="1"/>
    <xf numFmtId="0" fontId="11" fillId="0" borderId="0" xfId="0" applyFont="1"/>
    <xf numFmtId="0" fontId="132" fillId="0" borderId="0" xfId="0" applyFont="1"/>
    <xf numFmtId="0" fontId="13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heetMetadata" Target="metadata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5.png"/><Relationship Id="rId13" Type="http://schemas.openxmlformats.org/officeDocument/2006/relationships/image" Target="../media/image50.png"/><Relationship Id="rId3" Type="http://schemas.openxmlformats.org/officeDocument/2006/relationships/image" Target="../media/image40.png"/><Relationship Id="rId7" Type="http://schemas.openxmlformats.org/officeDocument/2006/relationships/image" Target="../media/image44.png"/><Relationship Id="rId12" Type="http://schemas.openxmlformats.org/officeDocument/2006/relationships/image" Target="../media/image49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11" Type="http://schemas.openxmlformats.org/officeDocument/2006/relationships/image" Target="../media/image48.png"/><Relationship Id="rId5" Type="http://schemas.openxmlformats.org/officeDocument/2006/relationships/image" Target="../media/image42.png"/><Relationship Id="rId10" Type="http://schemas.openxmlformats.org/officeDocument/2006/relationships/image" Target="../media/image47.png"/><Relationship Id="rId4" Type="http://schemas.openxmlformats.org/officeDocument/2006/relationships/image" Target="../media/image41.png"/><Relationship Id="rId9" Type="http://schemas.openxmlformats.org/officeDocument/2006/relationships/image" Target="../media/image46.png"/><Relationship Id="rId14" Type="http://schemas.openxmlformats.org/officeDocument/2006/relationships/image" Target="../media/image5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33</xdr:col>
      <xdr:colOff>50800</xdr:colOff>
      <xdr:row>64</xdr:row>
      <xdr:rowOff>177800</xdr:rowOff>
    </xdr:to>
    <xdr:sp macro="" textlink="">
      <xdr:nvSpPr>
        <xdr:cNvPr id="108545" name="AutoShape 1" descr="LYCOS">
          <a:extLst>
            <a:ext uri="{FF2B5EF4-FFF2-40B4-BE49-F238E27FC236}">
              <a16:creationId xmlns:a16="http://schemas.microsoft.com/office/drawing/2014/main" id="{58308C6F-8971-1EFC-E7EE-15B23D8AEE8E}"/>
            </a:ext>
          </a:extLst>
        </xdr:cNvPr>
        <xdr:cNvSpPr>
          <a:spLocks noChangeAspect="1" noChangeArrowheads="1"/>
        </xdr:cNvSpPr>
      </xdr:nvSpPr>
      <xdr:spPr bwMode="auto">
        <a:xfrm>
          <a:off x="2235200" y="7366000"/>
          <a:ext cx="27940000" cy="906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939800</xdr:colOff>
      <xdr:row>29</xdr:row>
      <xdr:rowOff>101600</xdr:rowOff>
    </xdr:from>
    <xdr:to>
      <xdr:col>11</xdr:col>
      <xdr:colOff>559370</xdr:colOff>
      <xdr:row>44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BCB71-8538-40D1-3485-5E3C4550D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7467600"/>
          <a:ext cx="11582970" cy="3759200"/>
        </a:xfrm>
        <a:prstGeom prst="rect">
          <a:avLst/>
        </a:prstGeom>
      </xdr:spPr>
    </xdr:pic>
    <xdr:clientData/>
  </xdr:twoCellAnchor>
  <xdr:twoCellAnchor editAs="oneCell">
    <xdr:from>
      <xdr:col>13</xdr:col>
      <xdr:colOff>520700</xdr:colOff>
      <xdr:row>28</xdr:row>
      <xdr:rowOff>127000</xdr:rowOff>
    </xdr:from>
    <xdr:to>
      <xdr:col>22</xdr:col>
      <xdr:colOff>698500</xdr:colOff>
      <xdr:row>52</xdr:row>
      <xdr:rowOff>177698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7D8D40-8A31-4225-43B5-4A53F5B82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35100" y="7239000"/>
          <a:ext cx="7607300" cy="6146698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0</xdr:row>
      <xdr:rowOff>63499</xdr:rowOff>
    </xdr:from>
    <xdr:to>
      <xdr:col>17</xdr:col>
      <xdr:colOff>266700</xdr:colOff>
      <xdr:row>29</xdr:row>
      <xdr:rowOff>21970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6865EA-EBDB-3FCB-21C8-30AB044BC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7800" y="63499"/>
          <a:ext cx="6845300" cy="73244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16</xdr:row>
      <xdr:rowOff>50800</xdr:rowOff>
    </xdr:to>
    <xdr:sp macro="" textlink="">
      <xdr:nvSpPr>
        <xdr:cNvPr id="61441" name="AutoShape 1" descr="Geometrischema MB31 Gravel">
          <a:extLst>
            <a:ext uri="{FF2B5EF4-FFF2-40B4-BE49-F238E27FC236}">
              <a16:creationId xmlns:a16="http://schemas.microsoft.com/office/drawing/2014/main" id="{9B3F0884-B752-6652-3BB9-CF0B3B75AC32}"/>
            </a:ext>
          </a:extLst>
        </xdr:cNvPr>
        <xdr:cNvSpPr>
          <a:spLocks noChangeAspect="1" noChangeArrowheads="1"/>
        </xdr:cNvSpPr>
      </xdr:nvSpPr>
      <xdr:spPr bwMode="auto">
        <a:xfrm>
          <a:off x="7467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304800</xdr:colOff>
      <xdr:row>16</xdr:row>
      <xdr:rowOff>50800</xdr:rowOff>
    </xdr:to>
    <xdr:sp macro="" textlink="">
      <xdr:nvSpPr>
        <xdr:cNvPr id="61442" name="AutoShape 2" descr="Geometrischema MB31 Gravel">
          <a:extLst>
            <a:ext uri="{FF2B5EF4-FFF2-40B4-BE49-F238E27FC236}">
              <a16:creationId xmlns:a16="http://schemas.microsoft.com/office/drawing/2014/main" id="{553F9790-3E9E-F76D-1019-355428F4C9A5}"/>
            </a:ext>
          </a:extLst>
        </xdr:cNvPr>
        <xdr:cNvSpPr>
          <a:spLocks noChangeAspect="1" noChangeArrowheads="1"/>
        </xdr:cNvSpPr>
      </xdr:nvSpPr>
      <xdr:spPr bwMode="auto">
        <a:xfrm>
          <a:off x="746760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50800</xdr:rowOff>
    </xdr:to>
    <xdr:sp macro="" textlink="">
      <xdr:nvSpPr>
        <xdr:cNvPr id="61443" name="AutoShape 3" descr="Geometrischema MB31 Gravel">
          <a:extLst>
            <a:ext uri="{FF2B5EF4-FFF2-40B4-BE49-F238E27FC236}">
              <a16:creationId xmlns:a16="http://schemas.microsoft.com/office/drawing/2014/main" id="{A9F31D62-5496-350D-9FC3-A858A74061F3}"/>
            </a:ext>
          </a:extLst>
        </xdr:cNvPr>
        <xdr:cNvSpPr>
          <a:spLocks noChangeAspect="1" noChangeArrowheads="1"/>
        </xdr:cNvSpPr>
      </xdr:nvSpPr>
      <xdr:spPr bwMode="auto">
        <a:xfrm>
          <a:off x="9118600" y="426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2019300</xdr:colOff>
      <xdr:row>31</xdr:row>
      <xdr:rowOff>38100</xdr:rowOff>
    </xdr:from>
    <xdr:to>
      <xdr:col>11</xdr:col>
      <xdr:colOff>139700</xdr:colOff>
      <xdr:row>51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7F2922-10DD-A546-9D69-2A6AAD9C2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4500" y="6896100"/>
          <a:ext cx="9474200" cy="5194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571500</xdr:colOff>
      <xdr:row>0</xdr:row>
      <xdr:rowOff>0</xdr:rowOff>
    </xdr:from>
    <xdr:to>
      <xdr:col>23</xdr:col>
      <xdr:colOff>711200</xdr:colOff>
      <xdr:row>35</xdr:row>
      <xdr:rowOff>150575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66B29-4D24-AF74-B2C6-489FF1DC0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0"/>
          <a:ext cx="11696700" cy="904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</xdr:col>
      <xdr:colOff>304800</xdr:colOff>
      <xdr:row>28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DB1E28E-CAE5-3248-A352-1D60FDE2F5A2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4008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4C62935-D08D-224B-B489-A7C6A64C217D}"/>
            </a:ext>
          </a:extLst>
        </xdr:cNvPr>
        <xdr:cNvSpPr>
          <a:spLocks noChangeAspect="1" noChangeArrowheads="1"/>
        </xdr:cNvSpPr>
      </xdr:nvSpPr>
      <xdr:spPr bwMode="auto">
        <a:xfrm>
          <a:off x="3708400" y="5334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215900</xdr:colOff>
      <xdr:row>30</xdr:row>
      <xdr:rowOff>76200</xdr:rowOff>
    </xdr:from>
    <xdr:to>
      <xdr:col>22</xdr:col>
      <xdr:colOff>177800</xdr:colOff>
      <xdr:row>51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65C33A-0E2E-8545-B8C8-D2AC564F7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8300" y="6743700"/>
          <a:ext cx="9867900" cy="554990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484936B-ED50-AD4C-BBD0-5C72B2AF2725}"/>
            </a:ext>
          </a:extLst>
        </xdr:cNvPr>
        <xdr:cNvSpPr>
          <a:spLocks noChangeAspect="1" noChangeArrowheads="1"/>
        </xdr:cNvSpPr>
      </xdr:nvSpPr>
      <xdr:spPr bwMode="auto">
        <a:xfrm>
          <a:off x="5359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61D1950-641B-FD40-8388-D2AE1407D37B}"/>
            </a:ext>
          </a:extLst>
        </xdr:cNvPr>
        <xdr:cNvSpPr>
          <a:spLocks noChangeAspect="1" noChangeArrowheads="1"/>
        </xdr:cNvSpPr>
      </xdr:nvSpPr>
      <xdr:spPr bwMode="auto">
        <a:xfrm>
          <a:off x="61849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E55B1BE1-B595-864F-A022-BE32D4A9BB16}"/>
            </a:ext>
          </a:extLst>
        </xdr:cNvPr>
        <xdr:cNvSpPr>
          <a:spLocks noChangeAspect="1" noChangeArrowheads="1"/>
        </xdr:cNvSpPr>
      </xdr:nvSpPr>
      <xdr:spPr bwMode="auto">
        <a:xfrm>
          <a:off x="7010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5065296F-126E-0A41-BC1F-CC6FD77C11B4}"/>
            </a:ext>
          </a:extLst>
        </xdr:cNvPr>
        <xdr:cNvSpPr>
          <a:spLocks noChangeAspect="1" noChangeArrowheads="1"/>
        </xdr:cNvSpPr>
      </xdr:nvSpPr>
      <xdr:spPr bwMode="auto">
        <a:xfrm>
          <a:off x="78359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B3966B29-7C90-0D4A-85A7-CCFB7E90F839}"/>
            </a:ext>
          </a:extLst>
        </xdr:cNvPr>
        <xdr:cNvSpPr>
          <a:spLocks noChangeAspect="1" noChangeArrowheads="1"/>
        </xdr:cNvSpPr>
      </xdr:nvSpPr>
      <xdr:spPr bwMode="auto">
        <a:xfrm>
          <a:off x="86614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C1FC7B86-9F56-B047-937E-CE90A1D6D5F8}"/>
            </a:ext>
          </a:extLst>
        </xdr:cNvPr>
        <xdr:cNvSpPr>
          <a:spLocks noChangeAspect="1" noChangeArrowheads="1"/>
        </xdr:cNvSpPr>
      </xdr:nvSpPr>
      <xdr:spPr bwMode="auto">
        <a:xfrm>
          <a:off x="948690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13</xdr:col>
      <xdr:colOff>0</xdr:colOff>
      <xdr:row>24</xdr:row>
      <xdr:rowOff>0</xdr:rowOff>
    </xdr:from>
    <xdr:to>
      <xdr:col>13</xdr:col>
      <xdr:colOff>304800</xdr:colOff>
      <xdr:row>25</xdr:row>
      <xdr:rowOff>38100</xdr:rowOff>
    </xdr:to>
    <xdr:sp macro="" textlink="">
      <xdr:nvSpPr>
        <xdr:cNvPr id="48130" name="AutoShape 2">
          <a:extLst>
            <a:ext uri="{FF2B5EF4-FFF2-40B4-BE49-F238E27FC236}">
              <a16:creationId xmlns:a16="http://schemas.microsoft.com/office/drawing/2014/main" id="{C339D841-A078-EA46-B6A2-7DCA35C9D465}"/>
            </a:ext>
          </a:extLst>
        </xdr:cNvPr>
        <xdr:cNvSpPr>
          <a:spLocks noChangeAspect="1" noChangeArrowheads="1"/>
        </xdr:cNvSpPr>
      </xdr:nvSpPr>
      <xdr:spPr bwMode="auto">
        <a:xfrm>
          <a:off x="1278890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23</xdr:row>
      <xdr:rowOff>0</xdr:rowOff>
    </xdr:from>
    <xdr:to>
      <xdr:col>21</xdr:col>
      <xdr:colOff>190500</xdr:colOff>
      <xdr:row>39</xdr:row>
      <xdr:rowOff>177800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4EFF95-45D1-4241-8BB6-D26A7485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63400" y="6134100"/>
          <a:ext cx="7620000" cy="4445000"/>
        </a:xfrm>
        <a:prstGeom prst="rect">
          <a:avLst/>
        </a:prstGeom>
      </xdr:spPr>
    </xdr:pic>
    <xdr:clientData/>
  </xdr:twoCellAnchor>
  <xdr:twoCellAnchor editAs="oneCell">
    <xdr:from>
      <xdr:col>10</xdr:col>
      <xdr:colOff>584200</xdr:colOff>
      <xdr:row>4</xdr:row>
      <xdr:rowOff>127000</xdr:rowOff>
    </xdr:from>
    <xdr:to>
      <xdr:col>21</xdr:col>
      <xdr:colOff>41916</xdr:colOff>
      <xdr:row>21</xdr:row>
      <xdr:rowOff>139700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CB4BC1-8FF1-F246-8F05-495B54FB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6600" y="1193800"/>
          <a:ext cx="8538216" cy="4546600"/>
        </a:xfrm>
        <a:prstGeom prst="rect">
          <a:avLst/>
        </a:prstGeom>
      </xdr:spPr>
    </xdr:pic>
    <xdr:clientData/>
  </xdr:twoCellAnchor>
  <xdr:oneCellAnchor>
    <xdr:from>
      <xdr:col>9</xdr:col>
      <xdr:colOff>88900</xdr:colOff>
      <xdr:row>24</xdr:row>
      <xdr:rowOff>114300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D32B1B3-34AB-8541-B6BE-2F3BDD32CDCC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175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CC40BA65-39CF-BE42-869E-8F906F439295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F0E5F2D2-B5E9-FE49-9F5D-03D521507BE7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C39D9650-C192-984D-9075-F7ED3C695472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175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0D417161-23C5-AB4A-BEE3-412876DF6B77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175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29448E8E-F432-F54E-B26C-084D79849327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175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2A6B92D6-0047-6D4E-9FA9-64643C8AA470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6675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622300</xdr:colOff>
      <xdr:row>33</xdr:row>
      <xdr:rowOff>114300</xdr:rowOff>
    </xdr:from>
    <xdr:to>
      <xdr:col>10</xdr:col>
      <xdr:colOff>469900</xdr:colOff>
      <xdr:row>42</xdr:row>
      <xdr:rowOff>215900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A8743CF-0C5D-6846-8F9E-084E3B9E2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2300" y="8915400"/>
          <a:ext cx="10160000" cy="25019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25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140081AA-D4B8-6A48-A2CB-90ECC9BE122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25</xdr:row>
      <xdr:rowOff>0</xdr:rowOff>
    </xdr:from>
    <xdr:ext cx="304800" cy="3048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7E12E1FA-1BFE-B54D-B543-9EC2595C1AF5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9DE8CD0-5B0C-024C-9278-D022D8E039D1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273E37E0-2A3F-3343-BB42-AEDF3B2DB3C0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25</xdr:row>
      <xdr:rowOff>0</xdr:rowOff>
    </xdr:from>
    <xdr:ext cx="304800" cy="304800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AE0E0774-B91F-AC47-9FE6-F743CA1C11F9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25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51916B2C-B45A-6646-8F64-4D4334EC9E4F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25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F33A71D4-02FE-DA48-B540-ACCEA95FF1E8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304800</xdr:colOff>
      <xdr:row>25</xdr:row>
      <xdr:rowOff>50800</xdr:rowOff>
    </xdr:to>
    <xdr:sp macro="" textlink="">
      <xdr:nvSpPr>
        <xdr:cNvPr id="76801" name="AutoShape 1">
          <a:extLst>
            <a:ext uri="{FF2B5EF4-FFF2-40B4-BE49-F238E27FC236}">
              <a16:creationId xmlns:a16="http://schemas.microsoft.com/office/drawing/2014/main" id="{C2E71D61-6EC1-2975-CDDB-06D667405825}"/>
            </a:ext>
          </a:extLst>
        </xdr:cNvPr>
        <xdr:cNvSpPr>
          <a:spLocks noChangeAspect="1" noChangeArrowheads="1"/>
        </xdr:cNvSpPr>
      </xdr:nvSpPr>
      <xdr:spPr bwMode="auto">
        <a:xfrm>
          <a:off x="1651000" y="48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21</xdr:row>
      <xdr:rowOff>50800</xdr:rowOff>
    </xdr:to>
    <xdr:sp macro="" textlink="">
      <xdr:nvSpPr>
        <xdr:cNvPr id="76802" name="AutoShape 2">
          <a:extLst>
            <a:ext uri="{FF2B5EF4-FFF2-40B4-BE49-F238E27FC236}">
              <a16:creationId xmlns:a16="http://schemas.microsoft.com/office/drawing/2014/main" id="{875A68AF-BC8B-0753-C546-4319D291C520}"/>
            </a:ext>
          </a:extLst>
        </xdr:cNvPr>
        <xdr:cNvSpPr>
          <a:spLocks noChangeAspect="1" noChangeArrowheads="1"/>
        </xdr:cNvSpPr>
      </xdr:nvSpPr>
      <xdr:spPr bwMode="auto">
        <a:xfrm>
          <a:off x="2476500" y="4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215900</xdr:colOff>
      <xdr:row>25</xdr:row>
      <xdr:rowOff>76200</xdr:rowOff>
    </xdr:from>
    <xdr:to>
      <xdr:col>22</xdr:col>
      <xdr:colOff>177800</xdr:colOff>
      <xdr:row>46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C2D29-9411-1715-196E-0840821C7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6426200"/>
          <a:ext cx="9867900" cy="5283200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C3738F7-BE70-C042-9E36-F0EA6A2CA4A5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20</xdr:row>
      <xdr:rowOff>0</xdr:rowOff>
    </xdr:from>
    <xdr:ext cx="304800" cy="3048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21CECC27-AF29-5C43-A809-9DBC4F463B10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1296442-2241-B54F-B1D3-2953AB0BDB51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A73B91D2-87C9-B148-9DFC-DE1C972A74B7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13D06A7-A281-8846-A452-42B5196F94CA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20</xdr:row>
      <xdr:rowOff>0</xdr:rowOff>
    </xdr:from>
    <xdr:ext cx="304800" cy="3048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229C509B-106D-7C42-A77D-931F459D8151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41AA1E4A-F26F-CC47-A106-7B65D72F4B9D}"/>
            </a:ext>
          </a:extLst>
        </xdr:cNvPr>
        <xdr:cNvSpPr>
          <a:spLocks noChangeAspect="1" noChangeArrowheads="1"/>
        </xdr:cNvSpPr>
      </xdr:nvSpPr>
      <xdr:spPr bwMode="auto">
        <a:xfrm>
          <a:off x="4102100" y="50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1358899</xdr:colOff>
      <xdr:row>27</xdr:row>
      <xdr:rowOff>139700</xdr:rowOff>
    </xdr:from>
    <xdr:to>
      <xdr:col>9</xdr:col>
      <xdr:colOff>506352</xdr:colOff>
      <xdr:row>36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C6229F5-3BC9-D950-5412-7BE1C9BF2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899" y="6997700"/>
          <a:ext cx="8634353" cy="2260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749300</xdr:colOff>
      <xdr:row>28</xdr:row>
      <xdr:rowOff>115902</xdr:rowOff>
    </xdr:from>
    <xdr:to>
      <xdr:col>6</xdr:col>
      <xdr:colOff>571500</xdr:colOff>
      <xdr:row>50</xdr:row>
      <xdr:rowOff>165099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501F3-0556-EDD3-1A09-ABCF34B7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" y="6719902"/>
          <a:ext cx="7594600" cy="56371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25401</xdr:colOff>
      <xdr:row>23</xdr:row>
      <xdr:rowOff>76200</xdr:rowOff>
    </xdr:from>
    <xdr:to>
      <xdr:col>7</xdr:col>
      <xdr:colOff>76039</xdr:colOff>
      <xdr:row>40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829A8-C22E-1AC0-D81A-39ADCD89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0601" y="6210300"/>
          <a:ext cx="7823038" cy="4533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37</xdr:row>
      <xdr:rowOff>101600</xdr:rowOff>
    </xdr:from>
    <xdr:to>
      <xdr:col>8</xdr:col>
      <xdr:colOff>304800</xdr:colOff>
      <xdr:row>57</xdr:row>
      <xdr:rowOff>203200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42B66-6650-194D-BD16-B7B030BBD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8483600"/>
          <a:ext cx="9169400" cy="5181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279400</xdr:colOff>
      <xdr:row>0</xdr:row>
      <xdr:rowOff>25400</xdr:rowOff>
    </xdr:from>
    <xdr:to>
      <xdr:col>15</xdr:col>
      <xdr:colOff>368300</xdr:colOff>
      <xdr:row>20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CC004-3446-EBD5-8880-C80BE47A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0" y="25400"/>
          <a:ext cx="9169400" cy="5181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57</xdr:row>
      <xdr:rowOff>63500</xdr:rowOff>
    </xdr:from>
    <xdr:to>
      <xdr:col>8</xdr:col>
      <xdr:colOff>812800</xdr:colOff>
      <xdr:row>77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F8982-0A77-C957-5DB1-E1E2607F6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300" y="14033500"/>
          <a:ext cx="10147300" cy="51689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88899</xdr:colOff>
      <xdr:row>28</xdr:row>
      <xdr:rowOff>152400</xdr:rowOff>
    </xdr:from>
    <xdr:to>
      <xdr:col>11</xdr:col>
      <xdr:colOff>514208</xdr:colOff>
      <xdr:row>58</xdr:row>
      <xdr:rowOff>0</xdr:rowOff>
    </xdr:to>
    <xdr:pic>
      <xdr:nvPicPr>
        <xdr:cNvPr id="2" name="Picture 1" descr="Radar Size Guide">
          <a:extLst>
            <a:ext uri="{FF2B5EF4-FFF2-40B4-BE49-F238E27FC236}">
              <a16:creationId xmlns:a16="http://schemas.microsoft.com/office/drawing/2014/main" id="{CD2724D6-A9FD-537D-28A7-2F3B4843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4599" y="7264400"/>
          <a:ext cx="7854809" cy="746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444500</xdr:colOff>
      <xdr:row>0</xdr:row>
      <xdr:rowOff>0</xdr:rowOff>
    </xdr:from>
    <xdr:ext cx="11268092" cy="16852057"/>
    <xdr:pic>
      <xdr:nvPicPr>
        <xdr:cNvPr id="2" name="Picture 1">
          <a:extLst>
            <a:ext uri="{FF2B5EF4-FFF2-40B4-BE49-F238E27FC236}">
              <a16:creationId xmlns:a16="http://schemas.microsoft.com/office/drawing/2014/main" id="{A1318F99-CE39-CF47-BE5B-6AB152CC5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0"/>
          <a:ext cx="11268092" cy="16852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508000</xdr:colOff>
      <xdr:row>0</xdr:row>
      <xdr:rowOff>63501</xdr:rowOff>
    </xdr:from>
    <xdr:to>
      <xdr:col>21</xdr:col>
      <xdr:colOff>322730</xdr:colOff>
      <xdr:row>56</xdr:row>
      <xdr:rowOff>184609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8E8F1D-14BF-A7A9-C526-D67280E6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0300" y="63501"/>
          <a:ext cx="11371730" cy="17012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139700</xdr:colOff>
      <xdr:row>6</xdr:row>
      <xdr:rowOff>2698</xdr:rowOff>
    </xdr:from>
    <xdr:to>
      <xdr:col>17</xdr:col>
      <xdr:colOff>508000</xdr:colOff>
      <xdr:row>30</xdr:row>
      <xdr:rowOff>50799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60E728-F936-F526-72DE-12DACDF56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9900" y="1526698"/>
          <a:ext cx="8623300" cy="6144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111836</xdr:rowOff>
    </xdr:from>
    <xdr:to>
      <xdr:col>10</xdr:col>
      <xdr:colOff>152400</xdr:colOff>
      <xdr:row>49</xdr:row>
      <xdr:rowOff>215900</xdr:rowOff>
    </xdr:to>
    <xdr:pic>
      <xdr:nvPicPr>
        <xdr:cNvPr id="2" name="yui_3_17_2_1_1657795444631_882" descr="GEometry kegeti.png">
          <a:extLst>
            <a:ext uri="{FF2B5EF4-FFF2-40B4-BE49-F238E27FC236}">
              <a16:creationId xmlns:a16="http://schemas.microsoft.com/office/drawing/2014/main" id="{8F116CCE-0C29-F0BC-7B51-818D27C8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200" y="6461836"/>
          <a:ext cx="10579100" cy="4422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749300</xdr:colOff>
      <xdr:row>28</xdr:row>
      <xdr:rowOff>88900</xdr:rowOff>
    </xdr:from>
    <xdr:to>
      <xdr:col>14</xdr:col>
      <xdr:colOff>704494</xdr:colOff>
      <xdr:row>50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700B3-51A5-9E21-C200-8133F931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6946900"/>
          <a:ext cx="7486294" cy="55372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167851</xdr:colOff>
      <xdr:row>0</xdr:row>
      <xdr:rowOff>177800</xdr:rowOff>
    </xdr:from>
    <xdr:to>
      <xdr:col>18</xdr:col>
      <xdr:colOff>446298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ADF55-3685-F3F9-8317-722C32A0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5951" y="177800"/>
          <a:ext cx="8533447" cy="1062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431800</xdr:colOff>
      <xdr:row>0</xdr:row>
      <xdr:rowOff>50800</xdr:rowOff>
    </xdr:from>
    <xdr:to>
      <xdr:col>16</xdr:col>
      <xdr:colOff>649206</xdr:colOff>
      <xdr:row>17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94DEF2-3FE9-EF51-E9B4-6A20D8C5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3600" y="50800"/>
          <a:ext cx="6821406" cy="4356100"/>
        </a:xfrm>
        <a:prstGeom prst="rect">
          <a:avLst/>
        </a:prstGeom>
      </xdr:spPr>
    </xdr:pic>
    <xdr:clientData/>
  </xdr:twoCellAnchor>
  <xdr:twoCellAnchor editAs="oneCell">
    <xdr:from>
      <xdr:col>9</xdr:col>
      <xdr:colOff>698500</xdr:colOff>
      <xdr:row>17</xdr:row>
      <xdr:rowOff>8827</xdr:rowOff>
    </xdr:from>
    <xdr:to>
      <xdr:col>16</xdr:col>
      <xdr:colOff>647700</xdr:colOff>
      <xdr:row>30</xdr:row>
      <xdr:rowOff>40101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69E5A9-F51D-A970-2469-1298F5814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85800" y="4326827"/>
          <a:ext cx="5727700" cy="33332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139700</xdr:rowOff>
    </xdr:from>
    <xdr:to>
      <xdr:col>8</xdr:col>
      <xdr:colOff>381000</xdr:colOff>
      <xdr:row>45</xdr:row>
      <xdr:rowOff>229576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20CAB3-712F-8D84-C9CD-D1525B44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0400" y="6743700"/>
          <a:ext cx="7772400" cy="49158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600535</xdr:colOff>
      <xdr:row>32</xdr:row>
      <xdr:rowOff>38100</xdr:rowOff>
    </xdr:from>
    <xdr:to>
      <xdr:col>18</xdr:col>
      <xdr:colOff>50800</xdr:colOff>
      <xdr:row>75</xdr:row>
      <xdr:rowOff>203199</xdr:rowOff>
    </xdr:to>
    <xdr:pic>
      <xdr:nvPicPr>
        <xdr:cNvPr id="2" name="Picture 1" descr="Frame Sizing Chart">
          <a:extLst>
            <a:ext uri="{FF2B5EF4-FFF2-40B4-BE49-F238E27FC236}">
              <a16:creationId xmlns:a16="http://schemas.microsoft.com/office/drawing/2014/main" id="{B19E37C0-AF91-49E8-80A2-E2EC678A3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4135" y="8166100"/>
          <a:ext cx="12658265" cy="11087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431800</xdr:colOff>
      <xdr:row>0</xdr:row>
      <xdr:rowOff>0</xdr:rowOff>
    </xdr:from>
    <xdr:to>
      <xdr:col>20</xdr:col>
      <xdr:colOff>736600</xdr:colOff>
      <xdr:row>29</xdr:row>
      <xdr:rowOff>53443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8C26FA-AC23-6FDE-B1AD-C7707EFDE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9700" y="0"/>
          <a:ext cx="11036300" cy="74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50800</xdr:rowOff>
    </xdr:to>
    <xdr:sp macro="" textlink="">
      <xdr:nvSpPr>
        <xdr:cNvPr id="26625" name="AutoShape 1">
          <a:extLst>
            <a:ext uri="{FF2B5EF4-FFF2-40B4-BE49-F238E27FC236}">
              <a16:creationId xmlns:a16="http://schemas.microsoft.com/office/drawing/2014/main" id="{9A4092AA-0CC4-12ED-502D-DD68D68BD52E}"/>
            </a:ext>
          </a:extLst>
        </xdr:cNvPr>
        <xdr:cNvSpPr>
          <a:spLocks noChangeAspect="1" noChangeArrowheads="1"/>
        </xdr:cNvSpPr>
      </xdr:nvSpPr>
      <xdr:spPr bwMode="auto">
        <a:xfrm>
          <a:off x="112141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444500</xdr:colOff>
      <xdr:row>19</xdr:row>
      <xdr:rowOff>12700</xdr:rowOff>
    </xdr:from>
    <xdr:to>
      <xdr:col>23</xdr:col>
      <xdr:colOff>241300</xdr:colOff>
      <xdr:row>51</xdr:row>
      <xdr:rowOff>76200</xdr:rowOff>
    </xdr:to>
    <xdr:pic>
      <xdr:nvPicPr>
        <xdr:cNvPr id="2" name="diagram-A">
          <a:extLst>
            <a:ext uri="{FF2B5EF4-FFF2-40B4-BE49-F238E27FC236}">
              <a16:creationId xmlns:a16="http://schemas.microsoft.com/office/drawing/2014/main" id="{814C30D6-1D44-4B00-3A87-455892743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0" y="5080000"/>
          <a:ext cx="13004800" cy="819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25400</xdr:rowOff>
    </xdr:to>
    <xdr:sp macro="" textlink="">
      <xdr:nvSpPr>
        <xdr:cNvPr id="104449" name="AutoShape 1" descr="Hakka MX geo 3">
          <a:extLst>
            <a:ext uri="{FF2B5EF4-FFF2-40B4-BE49-F238E27FC236}">
              <a16:creationId xmlns:a16="http://schemas.microsoft.com/office/drawing/2014/main" id="{E543D2B8-FDF8-3A34-FC60-5F53A09B7217}"/>
            </a:ext>
          </a:extLst>
        </xdr:cNvPr>
        <xdr:cNvSpPr>
          <a:spLocks noChangeAspect="1" noChangeArrowheads="1"/>
        </xdr:cNvSpPr>
      </xdr:nvSpPr>
      <xdr:spPr bwMode="auto">
        <a:xfrm>
          <a:off x="101981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25400</xdr:rowOff>
    </xdr:to>
    <xdr:sp macro="" textlink="">
      <xdr:nvSpPr>
        <xdr:cNvPr id="104450" name="AutoShape 2" descr="Hakka MX geo 3">
          <a:extLst>
            <a:ext uri="{FF2B5EF4-FFF2-40B4-BE49-F238E27FC236}">
              <a16:creationId xmlns:a16="http://schemas.microsoft.com/office/drawing/2014/main" id="{1AE46C9E-92FF-821C-086A-2121F4C8DA4D}"/>
            </a:ext>
          </a:extLst>
        </xdr:cNvPr>
        <xdr:cNvSpPr>
          <a:spLocks noChangeAspect="1" noChangeArrowheads="1"/>
        </xdr:cNvSpPr>
      </xdr:nvSpPr>
      <xdr:spPr bwMode="auto">
        <a:xfrm>
          <a:off x="101981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25400</xdr:rowOff>
    </xdr:to>
    <xdr:sp macro="" textlink="">
      <xdr:nvSpPr>
        <xdr:cNvPr id="104451" name="AutoShape 3" descr="Hakka MX geo 3">
          <a:extLst>
            <a:ext uri="{FF2B5EF4-FFF2-40B4-BE49-F238E27FC236}">
              <a16:creationId xmlns:a16="http://schemas.microsoft.com/office/drawing/2014/main" id="{EA8275A7-491E-64DF-24DB-B042D7B1BED4}"/>
            </a:ext>
          </a:extLst>
        </xdr:cNvPr>
        <xdr:cNvSpPr>
          <a:spLocks noChangeAspect="1" noChangeArrowheads="1"/>
        </xdr:cNvSpPr>
      </xdr:nvSpPr>
      <xdr:spPr bwMode="auto">
        <a:xfrm>
          <a:off x="101981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16</xdr:col>
      <xdr:colOff>787400</xdr:colOff>
      <xdr:row>22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FDEA86-2E1D-C55C-00BA-F42888463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8100" y="558800"/>
          <a:ext cx="7391400" cy="53848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190500</xdr:rowOff>
    </xdr:from>
    <xdr:to>
      <xdr:col>13</xdr:col>
      <xdr:colOff>812800</xdr:colOff>
      <xdr:row>46</xdr:row>
      <xdr:rowOff>101598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5360A-1F80-8AD5-6E7B-DE440261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800" y="5524500"/>
          <a:ext cx="13931900" cy="604519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304800</xdr:colOff>
      <xdr:row>2</xdr:row>
      <xdr:rowOff>25400</xdr:rowOff>
    </xdr:to>
    <xdr:sp macro="" textlink="">
      <xdr:nvSpPr>
        <xdr:cNvPr id="2" name="AutoShape 1" descr="Hakka MX geo 3">
          <a:extLst>
            <a:ext uri="{FF2B5EF4-FFF2-40B4-BE49-F238E27FC236}">
              <a16:creationId xmlns:a16="http://schemas.microsoft.com/office/drawing/2014/main" id="{2B001C92-1BDD-3845-A33A-6A41CC6AD9F2}"/>
            </a:ext>
          </a:extLst>
        </xdr:cNvPr>
        <xdr:cNvSpPr>
          <a:spLocks noChangeAspect="1" noChangeArrowheads="1"/>
        </xdr:cNvSpPr>
      </xdr:nvSpPr>
      <xdr:spPr bwMode="auto">
        <a:xfrm>
          <a:off x="93726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3</xdr:row>
      <xdr:rowOff>25400</xdr:rowOff>
    </xdr:to>
    <xdr:sp macro="" textlink="">
      <xdr:nvSpPr>
        <xdr:cNvPr id="3" name="AutoShape 2" descr="Hakka MX geo 3">
          <a:extLst>
            <a:ext uri="{FF2B5EF4-FFF2-40B4-BE49-F238E27FC236}">
              <a16:creationId xmlns:a16="http://schemas.microsoft.com/office/drawing/2014/main" id="{280BB796-E8D9-D24F-8F7C-18FCB4CA6023}"/>
            </a:ext>
          </a:extLst>
        </xdr:cNvPr>
        <xdr:cNvSpPr>
          <a:spLocks noChangeAspect="1" noChangeArrowheads="1"/>
        </xdr:cNvSpPr>
      </xdr:nvSpPr>
      <xdr:spPr bwMode="auto">
        <a:xfrm>
          <a:off x="9372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304800</xdr:colOff>
      <xdr:row>3</xdr:row>
      <xdr:rowOff>25400</xdr:rowOff>
    </xdr:to>
    <xdr:sp macro="" textlink="">
      <xdr:nvSpPr>
        <xdr:cNvPr id="4" name="AutoShape 3" descr="Hakka MX geo 3">
          <a:extLst>
            <a:ext uri="{FF2B5EF4-FFF2-40B4-BE49-F238E27FC236}">
              <a16:creationId xmlns:a16="http://schemas.microsoft.com/office/drawing/2014/main" id="{442E3C75-EFAE-9E41-83B9-129DB4CBBE06}"/>
            </a:ext>
          </a:extLst>
        </xdr:cNvPr>
        <xdr:cNvSpPr>
          <a:spLocks noChangeAspect="1" noChangeArrowheads="1"/>
        </xdr:cNvSpPr>
      </xdr:nvSpPr>
      <xdr:spPr bwMode="auto">
        <a:xfrm>
          <a:off x="9372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22</xdr:col>
      <xdr:colOff>317500</xdr:colOff>
      <xdr:row>26</xdr:row>
      <xdr:rowOff>0</xdr:rowOff>
    </xdr:to>
    <xdr:pic>
      <xdr:nvPicPr>
        <xdr:cNvPr id="10" name="Picture 9" descr="bike diagram with measurements referenced in table that follows">
          <a:extLst>
            <a:ext uri="{FF2B5EF4-FFF2-40B4-BE49-F238E27FC236}">
              <a16:creationId xmlns:a16="http://schemas.microsoft.com/office/drawing/2014/main" id="{1B416114-97F4-A7ED-F424-80DEF441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49100" y="279400"/>
          <a:ext cx="12700000" cy="680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25400</xdr:rowOff>
    </xdr:to>
    <xdr:sp macro="" textlink="">
      <xdr:nvSpPr>
        <xdr:cNvPr id="2" name="AutoShape 1" descr="Hakka MX geo 3">
          <a:extLst>
            <a:ext uri="{FF2B5EF4-FFF2-40B4-BE49-F238E27FC236}">
              <a16:creationId xmlns:a16="http://schemas.microsoft.com/office/drawing/2014/main" id="{221DA6E5-C485-B344-A0E2-85DEA3615C2C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25400</xdr:rowOff>
    </xdr:to>
    <xdr:sp macro="" textlink="">
      <xdr:nvSpPr>
        <xdr:cNvPr id="3" name="AutoShape 2" descr="Hakka MX geo 3">
          <a:extLst>
            <a:ext uri="{FF2B5EF4-FFF2-40B4-BE49-F238E27FC236}">
              <a16:creationId xmlns:a16="http://schemas.microsoft.com/office/drawing/2014/main" id="{FF72BBC4-3086-F54F-8AEB-B33E8E192532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25400</xdr:rowOff>
    </xdr:to>
    <xdr:sp macro="" textlink="">
      <xdr:nvSpPr>
        <xdr:cNvPr id="4" name="AutoShape 3" descr="Hakka MX geo 3">
          <a:extLst>
            <a:ext uri="{FF2B5EF4-FFF2-40B4-BE49-F238E27FC236}">
              <a16:creationId xmlns:a16="http://schemas.microsoft.com/office/drawing/2014/main" id="{C932320A-8E42-E945-BD09-F5FE4229DE06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6" name="AutoShape 2" descr="Hakka MX geo 3">
          <a:extLst>
            <a:ext uri="{FF2B5EF4-FFF2-40B4-BE49-F238E27FC236}">
              <a16:creationId xmlns:a16="http://schemas.microsoft.com/office/drawing/2014/main" id="{CABED113-3F59-1243-BA4E-0CA7A845B1D4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7" name="AutoShape 3" descr="Hakka MX geo 3">
          <a:extLst>
            <a:ext uri="{FF2B5EF4-FFF2-40B4-BE49-F238E27FC236}">
              <a16:creationId xmlns:a16="http://schemas.microsoft.com/office/drawing/2014/main" id="{9565013E-B51B-D242-8374-36269A5C2763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</xdr:row>
      <xdr:rowOff>0</xdr:rowOff>
    </xdr:from>
    <xdr:ext cx="304800" cy="304800"/>
    <xdr:sp macro="" textlink="">
      <xdr:nvSpPr>
        <xdr:cNvPr id="8" name="AutoShape 1" descr="Hakka MX geo 3">
          <a:extLst>
            <a:ext uri="{FF2B5EF4-FFF2-40B4-BE49-F238E27FC236}">
              <a16:creationId xmlns:a16="http://schemas.microsoft.com/office/drawing/2014/main" id="{B8CD8611-D97D-554C-BCF9-04DDD5CCC4D0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9" name="AutoShape 2" descr="Hakka MX geo 3">
          <a:extLst>
            <a:ext uri="{FF2B5EF4-FFF2-40B4-BE49-F238E27FC236}">
              <a16:creationId xmlns:a16="http://schemas.microsoft.com/office/drawing/2014/main" id="{7022A267-753D-2440-8481-136EE2580A99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10" name="AutoShape 3" descr="Hakka MX geo 3">
          <a:extLst>
            <a:ext uri="{FF2B5EF4-FFF2-40B4-BE49-F238E27FC236}">
              <a16:creationId xmlns:a16="http://schemas.microsoft.com/office/drawing/2014/main" id="{89BE96B1-1CA0-364A-A067-74F6C4E9E3AC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1" name="AutoShape 2" descr="Hakka MX geo 3">
          <a:extLst>
            <a:ext uri="{FF2B5EF4-FFF2-40B4-BE49-F238E27FC236}">
              <a16:creationId xmlns:a16="http://schemas.microsoft.com/office/drawing/2014/main" id="{BE5401E1-3D36-EC40-8FF4-6E4E9065CF02}"/>
            </a:ext>
          </a:extLst>
        </xdr:cNvPr>
        <xdr:cNvSpPr>
          <a:spLocks noChangeAspect="1" noChangeArrowheads="1"/>
        </xdr:cNvSpPr>
      </xdr:nvSpPr>
      <xdr:spPr bwMode="auto">
        <a:xfrm>
          <a:off x="88646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12" name="AutoShape 3" descr="Hakka MX geo 3">
          <a:extLst>
            <a:ext uri="{FF2B5EF4-FFF2-40B4-BE49-F238E27FC236}">
              <a16:creationId xmlns:a16="http://schemas.microsoft.com/office/drawing/2014/main" id="{B1C46427-00D9-5E43-BF28-1693F682CAC8}"/>
            </a:ext>
          </a:extLst>
        </xdr:cNvPr>
        <xdr:cNvSpPr>
          <a:spLocks noChangeAspect="1" noChangeArrowheads="1"/>
        </xdr:cNvSpPr>
      </xdr:nvSpPr>
      <xdr:spPr bwMode="auto">
        <a:xfrm>
          <a:off x="8864600" y="8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10000</xdr:colOff>
      <xdr:row>34</xdr:row>
      <xdr:rowOff>186969</xdr:rowOff>
    </xdr:from>
    <xdr:to>
      <xdr:col>9</xdr:col>
      <xdr:colOff>433199</xdr:colOff>
      <xdr:row>59</xdr:row>
      <xdr:rowOff>28199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BD1B09-AF69-34FE-98C7-6D81F6A45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0000" y="6786969"/>
          <a:ext cx="7793199" cy="484123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1308100</xdr:colOff>
      <xdr:row>21</xdr:row>
      <xdr:rowOff>215900</xdr:rowOff>
    </xdr:from>
    <xdr:to>
      <xdr:col>8</xdr:col>
      <xdr:colOff>50800</xdr:colOff>
      <xdr:row>34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C4438-140E-BE4F-F70B-F55EDB04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549900"/>
          <a:ext cx="6731000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685800</xdr:colOff>
      <xdr:row>0</xdr:row>
      <xdr:rowOff>0</xdr:rowOff>
    </xdr:from>
    <xdr:to>
      <xdr:col>17</xdr:col>
      <xdr:colOff>50800</xdr:colOff>
      <xdr:row>22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44184-FD8B-4A48-B4CE-75D29679F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7500" y="0"/>
          <a:ext cx="7620000" cy="574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812800</xdr:colOff>
      <xdr:row>30</xdr:row>
      <xdr:rowOff>152400</xdr:rowOff>
    </xdr:from>
    <xdr:to>
      <xdr:col>16</xdr:col>
      <xdr:colOff>114300</xdr:colOff>
      <xdr:row>47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62C26F-3035-634A-91B9-6560E2FC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7772400"/>
          <a:ext cx="8382000" cy="425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774700</xdr:colOff>
      <xdr:row>20</xdr:row>
      <xdr:rowOff>25400</xdr:rowOff>
    </xdr:from>
    <xdr:to>
      <xdr:col>8</xdr:col>
      <xdr:colOff>584200</xdr:colOff>
      <xdr:row>36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69895-5E67-3E51-ACDC-04F24F8F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5105400"/>
          <a:ext cx="8382000" cy="425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292100</xdr:colOff>
      <xdr:row>21</xdr:row>
      <xdr:rowOff>63500</xdr:rowOff>
    </xdr:from>
    <xdr:to>
      <xdr:col>23</xdr:col>
      <xdr:colOff>152400</xdr:colOff>
      <xdr:row>36</xdr:row>
      <xdr:rowOff>241300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68DB52-57E6-7E8E-D73E-0AF2B219C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8100" y="5295900"/>
          <a:ext cx="8940800" cy="398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139700</xdr:rowOff>
    </xdr:from>
    <xdr:to>
      <xdr:col>17</xdr:col>
      <xdr:colOff>503568</xdr:colOff>
      <xdr:row>49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4BC95-F123-E1E6-FE83-A839D84D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97700"/>
          <a:ext cx="17038968" cy="5524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165100</xdr:colOff>
      <xdr:row>0</xdr:row>
      <xdr:rowOff>88900</xdr:rowOff>
    </xdr:from>
    <xdr:to>
      <xdr:col>16</xdr:col>
      <xdr:colOff>698500</xdr:colOff>
      <xdr:row>21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EBDEE7-8116-4624-A980-E4BA945C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5300" y="88900"/>
          <a:ext cx="7137400" cy="55245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40</xdr:row>
      <xdr:rowOff>114300</xdr:rowOff>
    </xdr:from>
    <xdr:to>
      <xdr:col>3</xdr:col>
      <xdr:colOff>0</xdr:colOff>
      <xdr:row>43</xdr:row>
      <xdr:rowOff>0</xdr:rowOff>
    </xdr:to>
    <xdr:pic>
      <xdr:nvPicPr>
        <xdr:cNvPr id="22" name="Picture 21" descr="page1image33834496">
          <a:extLst>
            <a:ext uri="{FF2B5EF4-FFF2-40B4-BE49-F238E27FC236}">
              <a16:creationId xmlns:a16="http://schemas.microsoft.com/office/drawing/2014/main" id="{A56443A6-611B-C959-F77D-7220BB79C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945600"/>
          <a:ext cx="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</xdr:colOff>
      <xdr:row>40</xdr:row>
      <xdr:rowOff>114300</xdr:rowOff>
    </xdr:from>
    <xdr:to>
      <xdr:col>4</xdr:col>
      <xdr:colOff>431800</xdr:colOff>
      <xdr:row>40</xdr:row>
      <xdr:rowOff>114300</xdr:rowOff>
    </xdr:to>
    <xdr:pic>
      <xdr:nvPicPr>
        <xdr:cNvPr id="23" name="Picture 22" descr="page1image33835072">
          <a:extLst>
            <a:ext uri="{FF2B5EF4-FFF2-40B4-BE49-F238E27FC236}">
              <a16:creationId xmlns:a16="http://schemas.microsoft.com/office/drawing/2014/main" id="{DE36D6AE-D4C9-0171-0E12-33AD9C32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21945600"/>
          <a:ext cx="12446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558800</xdr:colOff>
      <xdr:row>40</xdr:row>
      <xdr:rowOff>114300</xdr:rowOff>
    </xdr:from>
    <xdr:to>
      <xdr:col>10</xdr:col>
      <xdr:colOff>762000</xdr:colOff>
      <xdr:row>48</xdr:row>
      <xdr:rowOff>76200</xdr:rowOff>
    </xdr:to>
    <xdr:pic>
      <xdr:nvPicPr>
        <xdr:cNvPr id="27" name="Picture 26" descr="page1image65161968">
          <a:extLst>
            <a:ext uri="{FF2B5EF4-FFF2-40B4-BE49-F238E27FC236}">
              <a16:creationId xmlns:a16="http://schemas.microsoft.com/office/drawing/2014/main" id="{427AA77B-EB39-44CA-1B4D-DC2058EFB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7300" y="21945600"/>
          <a:ext cx="3505200" cy="199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774700</xdr:colOff>
      <xdr:row>40</xdr:row>
      <xdr:rowOff>114300</xdr:rowOff>
    </xdr:from>
    <xdr:to>
      <xdr:col>13</xdr:col>
      <xdr:colOff>495300</xdr:colOff>
      <xdr:row>40</xdr:row>
      <xdr:rowOff>114300</xdr:rowOff>
    </xdr:to>
    <xdr:pic>
      <xdr:nvPicPr>
        <xdr:cNvPr id="28" name="Picture 27" descr="page1image33837184">
          <a:extLst>
            <a:ext uri="{FF2B5EF4-FFF2-40B4-BE49-F238E27FC236}">
              <a16:creationId xmlns:a16="http://schemas.microsoft.com/office/drawing/2014/main" id="{450C297D-8C24-8DC0-6F2D-B4C7563F7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200" y="21945600"/>
          <a:ext cx="2197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0</xdr:colOff>
      <xdr:row>49</xdr:row>
      <xdr:rowOff>63500</xdr:rowOff>
    </xdr:to>
    <xdr:pic>
      <xdr:nvPicPr>
        <xdr:cNvPr id="29" name="Picture 28" descr="page1image33837376">
          <a:extLst>
            <a:ext uri="{FF2B5EF4-FFF2-40B4-BE49-F238E27FC236}">
              <a16:creationId xmlns:a16="http://schemas.microsoft.com/office/drawing/2014/main" id="{BF384835-19A5-8DF8-2FBC-85E086652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237700"/>
          <a:ext cx="0" cy="184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12700</xdr:colOff>
      <xdr:row>42</xdr:row>
      <xdr:rowOff>0</xdr:rowOff>
    </xdr:from>
    <xdr:to>
      <xdr:col>3</xdr:col>
      <xdr:colOff>12700</xdr:colOff>
      <xdr:row>52</xdr:row>
      <xdr:rowOff>88900</xdr:rowOff>
    </xdr:to>
    <xdr:pic>
      <xdr:nvPicPr>
        <xdr:cNvPr id="30" name="Picture 29" descr="page1image33837568">
          <a:extLst>
            <a:ext uri="{FF2B5EF4-FFF2-40B4-BE49-F238E27FC236}">
              <a16:creationId xmlns:a16="http://schemas.microsoft.com/office/drawing/2014/main" id="{CE5613CB-D7FE-D5A7-3F96-6D172692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22237700"/>
          <a:ext cx="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25400</xdr:colOff>
      <xdr:row>42</xdr:row>
      <xdr:rowOff>0</xdr:rowOff>
    </xdr:from>
    <xdr:to>
      <xdr:col>3</xdr:col>
      <xdr:colOff>736600</xdr:colOff>
      <xdr:row>42</xdr:row>
      <xdr:rowOff>0</xdr:rowOff>
    </xdr:to>
    <xdr:pic>
      <xdr:nvPicPr>
        <xdr:cNvPr id="31" name="Picture 30" descr="page1image33838144">
          <a:extLst>
            <a:ext uri="{FF2B5EF4-FFF2-40B4-BE49-F238E27FC236}">
              <a16:creationId xmlns:a16="http://schemas.microsoft.com/office/drawing/2014/main" id="{A4873784-3244-07B4-BC2A-1F59727E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7400" y="22237700"/>
          <a:ext cx="711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5</xdr:col>
      <xdr:colOff>622300</xdr:colOff>
      <xdr:row>62</xdr:row>
      <xdr:rowOff>241300</xdr:rowOff>
    </xdr:to>
    <xdr:pic>
      <xdr:nvPicPr>
        <xdr:cNvPr id="32" name="Picture 31" descr="page1image65169136">
          <a:extLst>
            <a:ext uri="{FF2B5EF4-FFF2-40B4-BE49-F238E27FC236}">
              <a16:creationId xmlns:a16="http://schemas.microsoft.com/office/drawing/2014/main" id="{B1C83916-DD2E-FDA0-F4B1-65A6E210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676100"/>
          <a:ext cx="2273300" cy="227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635000</xdr:colOff>
      <xdr:row>54</xdr:row>
      <xdr:rowOff>0</xdr:rowOff>
    </xdr:from>
    <xdr:to>
      <xdr:col>8</xdr:col>
      <xdr:colOff>431800</xdr:colOff>
      <xdr:row>62</xdr:row>
      <xdr:rowOff>241300</xdr:rowOff>
    </xdr:to>
    <xdr:pic>
      <xdr:nvPicPr>
        <xdr:cNvPr id="33" name="Picture 32" descr="page1image65170256">
          <a:extLst>
            <a:ext uri="{FF2B5EF4-FFF2-40B4-BE49-F238E27FC236}">
              <a16:creationId xmlns:a16="http://schemas.microsoft.com/office/drawing/2014/main" id="{5C693D84-7A81-E183-DCEE-42A82377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24676100"/>
          <a:ext cx="2273300" cy="2273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4</xdr:col>
      <xdr:colOff>508000</xdr:colOff>
      <xdr:row>75</xdr:row>
      <xdr:rowOff>190500</xdr:rowOff>
    </xdr:to>
    <xdr:pic>
      <xdr:nvPicPr>
        <xdr:cNvPr id="34" name="Picture 33" descr="page1image33846016">
          <a:extLst>
            <a:ext uri="{FF2B5EF4-FFF2-40B4-BE49-F238E27FC236}">
              <a16:creationId xmlns:a16="http://schemas.microsoft.com/office/drawing/2014/main" id="{C08835A8-90CC-DA56-8EAE-3461E5D80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9019500"/>
          <a:ext cx="1333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520700</xdr:colOff>
      <xdr:row>75</xdr:row>
      <xdr:rowOff>0</xdr:rowOff>
    </xdr:from>
    <xdr:to>
      <xdr:col>7</xdr:col>
      <xdr:colOff>736600</xdr:colOff>
      <xdr:row>75</xdr:row>
      <xdr:rowOff>0</xdr:rowOff>
    </xdr:to>
    <xdr:pic>
      <xdr:nvPicPr>
        <xdr:cNvPr id="35" name="Picture 34" descr="page1image33846208">
          <a:extLst>
            <a:ext uri="{FF2B5EF4-FFF2-40B4-BE49-F238E27FC236}">
              <a16:creationId xmlns:a16="http://schemas.microsoft.com/office/drawing/2014/main" id="{96F68451-38AA-C1B5-6EF0-7CA92B2F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29019500"/>
          <a:ext cx="35179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0</xdr:colOff>
      <xdr:row>83</xdr:row>
      <xdr:rowOff>50800</xdr:rowOff>
    </xdr:to>
    <xdr:pic>
      <xdr:nvPicPr>
        <xdr:cNvPr id="36" name="Picture 35" descr="page1image33846784">
          <a:extLst>
            <a:ext uri="{FF2B5EF4-FFF2-40B4-BE49-F238E27FC236}">
              <a16:creationId xmlns:a16="http://schemas.microsoft.com/office/drawing/2014/main" id="{E19915A0-1B75-C0FC-AB7B-0D8DC4A1F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0314900"/>
          <a:ext cx="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0</xdr:colOff>
      <xdr:row>83</xdr:row>
      <xdr:rowOff>50800</xdr:rowOff>
    </xdr:to>
    <xdr:pic>
      <xdr:nvPicPr>
        <xdr:cNvPr id="37" name="Picture 36" descr="page1image33846976">
          <a:extLst>
            <a:ext uri="{FF2B5EF4-FFF2-40B4-BE49-F238E27FC236}">
              <a16:creationId xmlns:a16="http://schemas.microsoft.com/office/drawing/2014/main" id="{12C921CE-EB36-2D91-766E-8D161DC7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30314900"/>
          <a:ext cx="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0</xdr:colOff>
      <xdr:row>81</xdr:row>
      <xdr:rowOff>0</xdr:rowOff>
    </xdr:to>
    <xdr:pic>
      <xdr:nvPicPr>
        <xdr:cNvPr id="38" name="Picture 37" descr="page1image33847552">
          <a:extLst>
            <a:ext uri="{FF2B5EF4-FFF2-40B4-BE49-F238E27FC236}">
              <a16:creationId xmlns:a16="http://schemas.microsoft.com/office/drawing/2014/main" id="{801190F5-AF73-3476-4999-F2A68F74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7400" y="30314900"/>
          <a:ext cx="3302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</xdr:colOff>
      <xdr:row>81</xdr:row>
      <xdr:rowOff>0</xdr:rowOff>
    </xdr:from>
    <xdr:to>
      <xdr:col>12</xdr:col>
      <xdr:colOff>749300</xdr:colOff>
      <xdr:row>81</xdr:row>
      <xdr:rowOff>0</xdr:rowOff>
    </xdr:to>
    <xdr:pic>
      <xdr:nvPicPr>
        <xdr:cNvPr id="39" name="Picture 38" descr="page1image33847744">
          <a:extLst>
            <a:ext uri="{FF2B5EF4-FFF2-40B4-BE49-F238E27FC236}">
              <a16:creationId xmlns:a16="http://schemas.microsoft.com/office/drawing/2014/main" id="{503ECCBB-973F-1F4B-DF28-D70A3C6E9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30314900"/>
          <a:ext cx="56642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36</xdr:row>
      <xdr:rowOff>0</xdr:rowOff>
    </xdr:from>
    <xdr:to>
      <xdr:col>18</xdr:col>
      <xdr:colOff>342900</xdr:colOff>
      <xdr:row>56</xdr:row>
      <xdr:rowOff>14840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186723-136F-4A7F-D8BD-2ADEA55F9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0300" y="7924800"/>
          <a:ext cx="7772400" cy="529804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109843</xdr:colOff>
      <xdr:row>1</xdr:row>
      <xdr:rowOff>177768</xdr:rowOff>
    </xdr:from>
    <xdr:to>
      <xdr:col>83</xdr:col>
      <xdr:colOff>109088</xdr:colOff>
      <xdr:row>11</xdr:row>
      <xdr:rowOff>239059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D1DAAD-725B-E8C7-699C-088D417FD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3019" y="431768"/>
          <a:ext cx="26893363" cy="260129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25400</xdr:rowOff>
    </xdr:from>
    <xdr:to>
      <xdr:col>9</xdr:col>
      <xdr:colOff>681322</xdr:colOff>
      <xdr:row>103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C6675-1A0B-1174-F0CF-0D6FFC475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7137400"/>
          <a:ext cx="11133422" cy="1903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25400</xdr:rowOff>
    </xdr:to>
    <xdr:sp macro="" textlink="">
      <xdr:nvSpPr>
        <xdr:cNvPr id="2" name="AutoShape 1" descr="Size Chart">
          <a:extLst>
            <a:ext uri="{FF2B5EF4-FFF2-40B4-BE49-F238E27FC236}">
              <a16:creationId xmlns:a16="http://schemas.microsoft.com/office/drawing/2014/main" id="{F4008AA4-3CF3-A940-A6A9-2FED1B2FB1F7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304800</xdr:colOff>
      <xdr:row>36</xdr:row>
      <xdr:rowOff>25400</xdr:rowOff>
    </xdr:to>
    <xdr:sp macro="" textlink="">
      <xdr:nvSpPr>
        <xdr:cNvPr id="3" name="AutoShape 2" descr="Size Chart">
          <a:extLst>
            <a:ext uri="{FF2B5EF4-FFF2-40B4-BE49-F238E27FC236}">
              <a16:creationId xmlns:a16="http://schemas.microsoft.com/office/drawing/2014/main" id="{334782AE-952C-4047-93B5-09C0BC0E3C22}"/>
            </a:ext>
          </a:extLst>
        </xdr:cNvPr>
        <xdr:cNvSpPr>
          <a:spLocks noChangeAspect="1" noChangeArrowheads="1"/>
        </xdr:cNvSpPr>
      </xdr:nvSpPr>
      <xdr:spPr bwMode="auto">
        <a:xfrm>
          <a:off x="106934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469900</xdr:colOff>
      <xdr:row>0</xdr:row>
      <xdr:rowOff>25400</xdr:rowOff>
    </xdr:from>
    <xdr:to>
      <xdr:col>15</xdr:col>
      <xdr:colOff>381000</xdr:colOff>
      <xdr:row>54</xdr:row>
      <xdr:rowOff>197686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45CF4-CA69-BA17-4E2B-E34B4454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3300" y="25400"/>
          <a:ext cx="4864100" cy="13888286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787400</xdr:colOff>
      <xdr:row>0</xdr:row>
      <xdr:rowOff>0</xdr:rowOff>
    </xdr:from>
    <xdr:to>
      <xdr:col>14</xdr:col>
      <xdr:colOff>442496</xdr:colOff>
      <xdr:row>57</xdr:row>
      <xdr:rowOff>129668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D309B-6820-7855-4009-50CBA856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10900" y="0"/>
          <a:ext cx="4608096" cy="1460766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25400</xdr:rowOff>
    </xdr:to>
    <xdr:sp macro="" textlink="">
      <xdr:nvSpPr>
        <xdr:cNvPr id="97281" name="AutoShape 1" descr="Size Chart">
          <a:extLst>
            <a:ext uri="{FF2B5EF4-FFF2-40B4-BE49-F238E27FC236}">
              <a16:creationId xmlns:a16="http://schemas.microsoft.com/office/drawing/2014/main" id="{272E02C8-5E86-29DD-7B8A-E10D57AAF5D8}"/>
            </a:ext>
          </a:extLst>
        </xdr:cNvPr>
        <xdr:cNvSpPr>
          <a:spLocks noChangeAspect="1" noChangeArrowheads="1"/>
        </xdr:cNvSpPr>
      </xdr:nvSpPr>
      <xdr:spPr bwMode="auto">
        <a:xfrm>
          <a:off x="129286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304800</xdr:colOff>
      <xdr:row>30</xdr:row>
      <xdr:rowOff>25400</xdr:rowOff>
    </xdr:to>
    <xdr:sp macro="" textlink="">
      <xdr:nvSpPr>
        <xdr:cNvPr id="97282" name="AutoShape 2" descr="Size Chart">
          <a:extLst>
            <a:ext uri="{FF2B5EF4-FFF2-40B4-BE49-F238E27FC236}">
              <a16:creationId xmlns:a16="http://schemas.microsoft.com/office/drawing/2014/main" id="{A1897FB0-DAD3-7F74-90F2-6E60192E2932}"/>
            </a:ext>
          </a:extLst>
        </xdr:cNvPr>
        <xdr:cNvSpPr>
          <a:spLocks noChangeAspect="1" noChangeArrowheads="1"/>
        </xdr:cNvSpPr>
      </xdr:nvSpPr>
      <xdr:spPr bwMode="auto">
        <a:xfrm>
          <a:off x="12928600" y="78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508000</xdr:colOff>
      <xdr:row>0</xdr:row>
      <xdr:rowOff>0</xdr:rowOff>
    </xdr:from>
    <xdr:to>
      <xdr:col>13</xdr:col>
      <xdr:colOff>469900</xdr:colOff>
      <xdr:row>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63AF3-341E-B226-F6C0-D8575DB20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5700" y="0"/>
          <a:ext cx="4114800" cy="1181100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127000</xdr:rowOff>
    </xdr:from>
    <xdr:to>
      <xdr:col>12</xdr:col>
      <xdr:colOff>330200</xdr:colOff>
      <xdr:row>42</xdr:row>
      <xdr:rowOff>215900</xdr:rowOff>
    </xdr:to>
    <xdr:pic>
      <xdr:nvPicPr>
        <xdr:cNvPr id="2" name="Picture 1" descr="Gravtron - Gravel">
          <a:extLst>
            <a:ext uri="{FF2B5EF4-FFF2-40B4-BE49-F238E27FC236}">
              <a16:creationId xmlns:a16="http://schemas.microsoft.com/office/drawing/2014/main" id="{088433BA-B051-31BF-7646-869D0528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0" y="6223000"/>
          <a:ext cx="11684000" cy="466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653944</xdr:colOff>
      <xdr:row>0</xdr:row>
      <xdr:rowOff>63500</xdr:rowOff>
    </xdr:from>
    <xdr:to>
      <xdr:col>22</xdr:col>
      <xdr:colOff>684492</xdr:colOff>
      <xdr:row>34</xdr:row>
      <xdr:rowOff>12539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12A33-31E3-8B59-2D43-D1A299C88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3244" y="63500"/>
          <a:ext cx="12413048" cy="8585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304799</xdr:colOff>
      <xdr:row>5</xdr:row>
      <xdr:rowOff>88900</xdr:rowOff>
    </xdr:from>
    <xdr:to>
      <xdr:col>20</xdr:col>
      <xdr:colOff>696896</xdr:colOff>
      <xdr:row>22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7BCF8F-CB9E-C0D5-095C-09E20EF2F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199" y="1104900"/>
          <a:ext cx="10298097" cy="441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101600</xdr:rowOff>
    </xdr:to>
    <xdr:sp macro="" textlink="">
      <xdr:nvSpPr>
        <xdr:cNvPr id="3" name="AutoShape 1" descr="Hakka MX geo 3">
          <a:extLst>
            <a:ext uri="{FF2B5EF4-FFF2-40B4-BE49-F238E27FC236}">
              <a16:creationId xmlns:a16="http://schemas.microsoft.com/office/drawing/2014/main" id="{03587637-DA64-F849-B73B-A011E9E67987}"/>
            </a:ext>
          </a:extLst>
        </xdr:cNvPr>
        <xdr:cNvSpPr>
          <a:spLocks noChangeAspect="1" noChangeArrowheads="1"/>
        </xdr:cNvSpPr>
      </xdr:nvSpPr>
      <xdr:spPr bwMode="auto">
        <a:xfrm>
          <a:off x="8115300" y="2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101600</xdr:rowOff>
    </xdr:to>
    <xdr:sp macro="" textlink="">
      <xdr:nvSpPr>
        <xdr:cNvPr id="4" name="AutoShape 2" descr="Hakka MX geo 3">
          <a:extLst>
            <a:ext uri="{FF2B5EF4-FFF2-40B4-BE49-F238E27FC236}">
              <a16:creationId xmlns:a16="http://schemas.microsoft.com/office/drawing/2014/main" id="{BFF539F6-23C1-2246-9524-087528A66666}"/>
            </a:ext>
          </a:extLst>
        </xdr:cNvPr>
        <xdr:cNvSpPr>
          <a:spLocks noChangeAspect="1" noChangeArrowheads="1"/>
        </xdr:cNvSpPr>
      </xdr:nvSpPr>
      <xdr:spPr bwMode="auto">
        <a:xfrm>
          <a:off x="8115300" y="5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50800</xdr:rowOff>
    </xdr:to>
    <xdr:sp macro="" textlink="">
      <xdr:nvSpPr>
        <xdr:cNvPr id="2" name="AutoShape 1" descr="Hakka MX geo 3">
          <a:extLst>
            <a:ext uri="{FF2B5EF4-FFF2-40B4-BE49-F238E27FC236}">
              <a16:creationId xmlns:a16="http://schemas.microsoft.com/office/drawing/2014/main" id="{D599CCBB-B065-AE4C-B5CF-D2AC3C22F2F6}"/>
            </a:ext>
          </a:extLst>
        </xdr:cNvPr>
        <xdr:cNvSpPr>
          <a:spLocks noChangeAspect="1" noChangeArrowheads="1"/>
        </xdr:cNvSpPr>
      </xdr:nvSpPr>
      <xdr:spPr bwMode="auto">
        <a:xfrm>
          <a:off x="8864600" y="2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50800</xdr:rowOff>
    </xdr:to>
    <xdr:sp macro="" textlink="">
      <xdr:nvSpPr>
        <xdr:cNvPr id="3" name="AutoShape 2" descr="Hakka MX geo 3">
          <a:extLst>
            <a:ext uri="{FF2B5EF4-FFF2-40B4-BE49-F238E27FC236}">
              <a16:creationId xmlns:a16="http://schemas.microsoft.com/office/drawing/2014/main" id="{A1E42B55-FB54-AD43-A79C-AD65714F2F8B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50800</xdr:rowOff>
    </xdr:to>
    <xdr:sp macro="" textlink="">
      <xdr:nvSpPr>
        <xdr:cNvPr id="4" name="AutoShape 3" descr="Hakka MX geo 3">
          <a:extLst>
            <a:ext uri="{FF2B5EF4-FFF2-40B4-BE49-F238E27FC236}">
              <a16:creationId xmlns:a16="http://schemas.microsoft.com/office/drawing/2014/main" id="{639A8AEE-C0F7-554E-B7DA-19BCF05CC59C}"/>
            </a:ext>
          </a:extLst>
        </xdr:cNvPr>
        <xdr:cNvSpPr>
          <a:spLocks noChangeAspect="1" noChangeArrowheads="1"/>
        </xdr:cNvSpPr>
      </xdr:nvSpPr>
      <xdr:spPr bwMode="auto">
        <a:xfrm>
          <a:off x="8864600" y="5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203200</xdr:colOff>
      <xdr:row>5</xdr:row>
      <xdr:rowOff>151032</xdr:rowOff>
    </xdr:from>
    <xdr:to>
      <xdr:col>21</xdr:col>
      <xdr:colOff>495300</xdr:colOff>
      <xdr:row>30</xdr:row>
      <xdr:rowOff>234031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F83391-C92B-0406-4179-B50BD1348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8800" y="151032"/>
          <a:ext cx="11849100" cy="6483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355601</xdr:colOff>
      <xdr:row>2</xdr:row>
      <xdr:rowOff>152400</xdr:rowOff>
    </xdr:from>
    <xdr:to>
      <xdr:col>16</xdr:col>
      <xdr:colOff>101601</xdr:colOff>
      <xdr:row>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852F64-41AA-1655-F8D3-953E2B8E9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2201" y="660400"/>
          <a:ext cx="6350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660400</xdr:colOff>
      <xdr:row>0</xdr:row>
      <xdr:rowOff>12700</xdr:rowOff>
    </xdr:from>
    <xdr:to>
      <xdr:col>16</xdr:col>
      <xdr:colOff>406400</xdr:colOff>
      <xdr:row>16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44B862-0DEB-0B5E-FE96-9C14DC2E9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9600" y="12700"/>
          <a:ext cx="635000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52.xml.rels><?xml version="1.0" encoding="UTF-8" standalone="yes"?>
<Relationships xmlns="http://schemas.openxmlformats.org/package/2006/relationships"><Relationship Id="rId13" Type="http://schemas.openxmlformats.org/officeDocument/2006/relationships/hyperlink" Target="https://hudskibikes.com/products/doggler-gravel-bike" TargetMode="External"/><Relationship Id="rId18" Type="http://schemas.openxmlformats.org/officeDocument/2006/relationships/hyperlink" Target="https://hudskibikes.com/products/doggler-gravel-bike" TargetMode="External"/><Relationship Id="rId26" Type="http://schemas.openxmlformats.org/officeDocument/2006/relationships/hyperlink" Target="https://hudskibikes.com/products/doggler-gravel-bike" TargetMode="External"/><Relationship Id="rId3" Type="http://schemas.openxmlformats.org/officeDocument/2006/relationships/hyperlink" Target="https://hudskibikes.com/products/doggler-gravel-bike" TargetMode="External"/><Relationship Id="rId21" Type="http://schemas.openxmlformats.org/officeDocument/2006/relationships/hyperlink" Target="https://hudskibikes.com/products/doggler-gravel-bike" TargetMode="External"/><Relationship Id="rId7" Type="http://schemas.openxmlformats.org/officeDocument/2006/relationships/hyperlink" Target="https://hudskibikes.com/products/doggler-gravel-bike" TargetMode="External"/><Relationship Id="rId12" Type="http://schemas.openxmlformats.org/officeDocument/2006/relationships/hyperlink" Target="https://hudskibikes.com/products/doggler-gravel-bike" TargetMode="External"/><Relationship Id="rId17" Type="http://schemas.openxmlformats.org/officeDocument/2006/relationships/hyperlink" Target="https://hudskibikes.com/products/doggler-gravel-bike" TargetMode="External"/><Relationship Id="rId25" Type="http://schemas.openxmlformats.org/officeDocument/2006/relationships/hyperlink" Target="https://hudskibikes.com/products/doggler-gravel-bike" TargetMode="External"/><Relationship Id="rId33" Type="http://schemas.openxmlformats.org/officeDocument/2006/relationships/drawing" Target="../drawings/drawing22.xml"/><Relationship Id="rId2" Type="http://schemas.openxmlformats.org/officeDocument/2006/relationships/hyperlink" Target="https://hudskibikes.com/products/doggler-gravel-bike" TargetMode="External"/><Relationship Id="rId16" Type="http://schemas.openxmlformats.org/officeDocument/2006/relationships/hyperlink" Target="https://hudskibikes.com/products/doggler-gravel-bike" TargetMode="External"/><Relationship Id="rId20" Type="http://schemas.openxmlformats.org/officeDocument/2006/relationships/hyperlink" Target="https://hudskibikes.com/products/doggler-gravel-bike" TargetMode="External"/><Relationship Id="rId29" Type="http://schemas.openxmlformats.org/officeDocument/2006/relationships/hyperlink" Target="https://hudskibikes.com/products/doggler-gravel-bike" TargetMode="External"/><Relationship Id="rId1" Type="http://schemas.openxmlformats.org/officeDocument/2006/relationships/hyperlink" Target="https://hudskibikes.com/products/doggler-gravel-bike" TargetMode="External"/><Relationship Id="rId6" Type="http://schemas.openxmlformats.org/officeDocument/2006/relationships/hyperlink" Target="https://hudskibikes.com/products/doggler-gravel-bike" TargetMode="External"/><Relationship Id="rId11" Type="http://schemas.openxmlformats.org/officeDocument/2006/relationships/hyperlink" Target="https://hudskibikes.com/products/doggler-gravel-bike" TargetMode="External"/><Relationship Id="rId24" Type="http://schemas.openxmlformats.org/officeDocument/2006/relationships/hyperlink" Target="https://hudskibikes.com/products/doggler-gravel-bike" TargetMode="External"/><Relationship Id="rId32" Type="http://schemas.openxmlformats.org/officeDocument/2006/relationships/hyperlink" Target="https://hudskibikes.com/products/doggler-gravel-bike" TargetMode="External"/><Relationship Id="rId5" Type="http://schemas.openxmlformats.org/officeDocument/2006/relationships/hyperlink" Target="https://hudskibikes.com/products/doggler-gravel-bike" TargetMode="External"/><Relationship Id="rId15" Type="http://schemas.openxmlformats.org/officeDocument/2006/relationships/hyperlink" Target="https://hudskibikes.com/products/doggler-gravel-bike" TargetMode="External"/><Relationship Id="rId23" Type="http://schemas.openxmlformats.org/officeDocument/2006/relationships/hyperlink" Target="https://hudskibikes.com/products/doggler-gravel-bike" TargetMode="External"/><Relationship Id="rId28" Type="http://schemas.openxmlformats.org/officeDocument/2006/relationships/hyperlink" Target="https://hudskibikes.com/products/doggler-gravel-bike" TargetMode="External"/><Relationship Id="rId10" Type="http://schemas.openxmlformats.org/officeDocument/2006/relationships/hyperlink" Target="https://hudskibikes.com/products/doggler-gravel-bike" TargetMode="External"/><Relationship Id="rId19" Type="http://schemas.openxmlformats.org/officeDocument/2006/relationships/hyperlink" Target="https://hudskibikes.com/products/doggler-gravel-bike" TargetMode="External"/><Relationship Id="rId31" Type="http://schemas.openxmlformats.org/officeDocument/2006/relationships/hyperlink" Target="https://hudskibikes.com/products/doggler-gravel-bike" TargetMode="External"/><Relationship Id="rId4" Type="http://schemas.openxmlformats.org/officeDocument/2006/relationships/hyperlink" Target="https://hudskibikes.com/products/doggler-gravel-bike" TargetMode="External"/><Relationship Id="rId9" Type="http://schemas.openxmlformats.org/officeDocument/2006/relationships/hyperlink" Target="https://hudskibikes.com/products/doggler-gravel-bike" TargetMode="External"/><Relationship Id="rId14" Type="http://schemas.openxmlformats.org/officeDocument/2006/relationships/hyperlink" Target="https://hudskibikes.com/products/doggler-gravel-bike" TargetMode="External"/><Relationship Id="rId22" Type="http://schemas.openxmlformats.org/officeDocument/2006/relationships/hyperlink" Target="https://hudskibikes.com/products/doggler-gravel-bike" TargetMode="External"/><Relationship Id="rId27" Type="http://schemas.openxmlformats.org/officeDocument/2006/relationships/hyperlink" Target="https://hudskibikes.com/products/doggler-gravel-bike" TargetMode="External"/><Relationship Id="rId30" Type="http://schemas.openxmlformats.org/officeDocument/2006/relationships/hyperlink" Target="https://hudskibikes.com/products/doggler-gravel-bike" TargetMode="External"/><Relationship Id="rId8" Type="http://schemas.openxmlformats.org/officeDocument/2006/relationships/hyperlink" Target="https://hudskibikes.com/products/doggler-gravel-bike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deo-labs.com/shop/framesets/flaanimal-ti" TargetMode="Externa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hyperlink" Target="https://cdn.wilier.com/sites/default/files/accufit-rave_eng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DFAD-7753-494D-9508-FDAAC37E477B}">
  <dimension ref="A1:H30"/>
  <sheetViews>
    <sheetView workbookViewId="0">
      <selection activeCell="C22" sqref="C22"/>
    </sheetView>
  </sheetViews>
  <sheetFormatPr baseColWidth="10" defaultRowHeight="20"/>
  <cols>
    <col min="1" max="1" width="29.33203125" style="22" bestFit="1" customWidth="1"/>
    <col min="2" max="2" width="30.16406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1289</v>
      </c>
    </row>
    <row r="2" spans="1:8">
      <c r="A2" s="22" t="s">
        <v>60</v>
      </c>
      <c r="B2" s="22" t="s">
        <v>1609</v>
      </c>
      <c r="C2" s="22">
        <v>460</v>
      </c>
      <c r="D2" s="22">
        <v>500</v>
      </c>
      <c r="E2" s="22">
        <v>520</v>
      </c>
      <c r="F2" s="22">
        <v>545</v>
      </c>
      <c r="G2" s="22">
        <v>560</v>
      </c>
      <c r="H2" s="22">
        <v>570</v>
      </c>
    </row>
    <row r="3" spans="1:8">
      <c r="A3" s="22" t="s">
        <v>73</v>
      </c>
      <c r="B3" s="22" t="s">
        <v>1610</v>
      </c>
      <c r="C3" s="22">
        <v>515</v>
      </c>
      <c r="D3" s="22">
        <v>538</v>
      </c>
      <c r="E3" s="22">
        <v>558</v>
      </c>
      <c r="F3" s="22">
        <v>575</v>
      </c>
      <c r="G3" s="22">
        <v>591</v>
      </c>
      <c r="H3" s="22">
        <v>615</v>
      </c>
    </row>
    <row r="4" spans="1:8">
      <c r="A4" s="22" t="s">
        <v>62</v>
      </c>
      <c r="B4" s="22" t="s">
        <v>1611</v>
      </c>
      <c r="C4" s="22">
        <v>70</v>
      </c>
      <c r="D4" s="22">
        <v>70.25</v>
      </c>
      <c r="E4" s="22">
        <v>70.5</v>
      </c>
      <c r="F4" s="22">
        <v>71.25</v>
      </c>
      <c r="G4" s="22">
        <v>71.5</v>
      </c>
      <c r="H4" s="22">
        <v>71.5</v>
      </c>
    </row>
    <row r="5" spans="1:8">
      <c r="A5" s="22" t="s">
        <v>63</v>
      </c>
      <c r="B5" s="22" t="s">
        <v>1612</v>
      </c>
      <c r="C5" s="22">
        <v>73.5</v>
      </c>
      <c r="D5" s="22">
        <v>73.5</v>
      </c>
      <c r="E5" s="22">
        <v>73.5</v>
      </c>
      <c r="F5" s="22">
        <v>73.5</v>
      </c>
      <c r="G5" s="22">
        <v>73.5</v>
      </c>
      <c r="H5" s="22">
        <v>73.5</v>
      </c>
    </row>
    <row r="6" spans="1:8">
      <c r="A6" s="22" t="s">
        <v>65</v>
      </c>
      <c r="B6" s="22" t="s">
        <v>1613</v>
      </c>
      <c r="C6" s="22">
        <v>72.5</v>
      </c>
      <c r="D6" s="22">
        <v>72.5</v>
      </c>
      <c r="E6" s="22">
        <v>72.5</v>
      </c>
      <c r="F6" s="22">
        <v>72.5</v>
      </c>
      <c r="G6" s="22">
        <v>72.5</v>
      </c>
      <c r="H6" s="22">
        <v>72.5</v>
      </c>
    </row>
    <row r="7" spans="1:8">
      <c r="A7" s="22" t="s">
        <v>56</v>
      </c>
      <c r="B7" s="22" t="s">
        <v>1145</v>
      </c>
      <c r="C7" s="22">
        <v>1001</v>
      </c>
      <c r="D7" s="22">
        <v>1022</v>
      </c>
      <c r="E7" s="22">
        <v>1040</v>
      </c>
      <c r="F7" s="22">
        <v>1051</v>
      </c>
      <c r="G7" s="22">
        <v>1067</v>
      </c>
      <c r="H7" s="22">
        <v>1080</v>
      </c>
    </row>
    <row r="8" spans="1:8">
      <c r="A8" s="22" t="s">
        <v>64</v>
      </c>
      <c r="B8" s="22" t="s">
        <v>1142</v>
      </c>
      <c r="C8" s="22">
        <v>120</v>
      </c>
      <c r="D8" s="22">
        <v>135</v>
      </c>
      <c r="E8" s="22">
        <v>150</v>
      </c>
      <c r="F8" s="22">
        <v>170</v>
      </c>
      <c r="G8" s="22">
        <v>185</v>
      </c>
      <c r="H8" s="22">
        <v>200</v>
      </c>
    </row>
    <row r="9" spans="1:8">
      <c r="A9" s="22" t="s">
        <v>66</v>
      </c>
      <c r="B9" s="22" t="s">
        <v>1614</v>
      </c>
      <c r="C9" s="22">
        <v>430</v>
      </c>
      <c r="D9" s="22">
        <v>430</v>
      </c>
      <c r="E9" s="22">
        <v>430</v>
      </c>
      <c r="F9" s="22">
        <v>430</v>
      </c>
      <c r="G9" s="22">
        <v>430</v>
      </c>
      <c r="H9" s="22">
        <v>430</v>
      </c>
    </row>
    <row r="10" spans="1:8">
      <c r="A10" s="22" t="s">
        <v>134</v>
      </c>
      <c r="B10" s="22" t="s">
        <v>1146</v>
      </c>
      <c r="C10" s="22">
        <v>581</v>
      </c>
      <c r="D10" s="22">
        <v>602</v>
      </c>
      <c r="E10" s="22">
        <v>621</v>
      </c>
      <c r="F10" s="22">
        <v>631</v>
      </c>
      <c r="G10" s="22">
        <v>647</v>
      </c>
      <c r="H10" s="22">
        <v>660</v>
      </c>
    </row>
    <row r="11" spans="1:8">
      <c r="A11" s="22" t="s">
        <v>57</v>
      </c>
      <c r="B11" s="22" t="s">
        <v>1615</v>
      </c>
      <c r="C11" s="22">
        <v>748</v>
      </c>
      <c r="D11" s="22">
        <v>775</v>
      </c>
      <c r="E11" s="22">
        <v>792</v>
      </c>
      <c r="F11" s="22">
        <v>815</v>
      </c>
      <c r="G11" s="22">
        <v>830</v>
      </c>
      <c r="H11" s="22">
        <v>842</v>
      </c>
    </row>
    <row r="12" spans="1:8">
      <c r="A12" s="22" t="s">
        <v>54</v>
      </c>
      <c r="B12" s="22" t="s">
        <v>1616</v>
      </c>
      <c r="C12" s="22">
        <v>540</v>
      </c>
      <c r="D12" s="22">
        <v>555</v>
      </c>
      <c r="E12" s="22">
        <v>570</v>
      </c>
      <c r="F12" s="22">
        <v>592</v>
      </c>
      <c r="G12" s="22">
        <v>607</v>
      </c>
      <c r="H12" s="22">
        <v>622</v>
      </c>
    </row>
    <row r="13" spans="1:8">
      <c r="A13" s="22" t="s">
        <v>55</v>
      </c>
      <c r="B13" s="22" t="s">
        <v>1617</v>
      </c>
      <c r="C13" s="22">
        <v>353</v>
      </c>
      <c r="D13" s="22">
        <v>371</v>
      </c>
      <c r="E13" s="22">
        <v>387</v>
      </c>
      <c r="F13" s="22">
        <v>398</v>
      </c>
      <c r="G13" s="22">
        <v>411</v>
      </c>
      <c r="H13" s="22">
        <v>420</v>
      </c>
    </row>
    <row r="14" spans="1:8">
      <c r="A14" s="22" t="s">
        <v>495</v>
      </c>
      <c r="B14" s="22" t="s">
        <v>1618</v>
      </c>
      <c r="C14" s="22">
        <v>395</v>
      </c>
      <c r="D14" s="22">
        <v>395</v>
      </c>
      <c r="E14" s="22">
        <v>395</v>
      </c>
      <c r="F14" s="22">
        <v>395</v>
      </c>
      <c r="G14" s="22">
        <v>395</v>
      </c>
      <c r="H14" s="22">
        <v>395</v>
      </c>
    </row>
    <row r="15" spans="1:8">
      <c r="A15" s="22" t="s">
        <v>67</v>
      </c>
      <c r="B15" s="22" t="s">
        <v>67</v>
      </c>
    </row>
    <row r="16" spans="1:8">
      <c r="A16" s="22" t="s">
        <v>69</v>
      </c>
      <c r="B16" s="22" t="s">
        <v>69</v>
      </c>
    </row>
    <row r="17" spans="1:8">
      <c r="A17" s="22" t="s">
        <v>70</v>
      </c>
      <c r="B17" s="22" t="s">
        <v>70</v>
      </c>
    </row>
    <row r="18" spans="1:8">
      <c r="A18" s="22" t="s">
        <v>71</v>
      </c>
      <c r="B18" s="22" t="s">
        <v>71</v>
      </c>
    </row>
    <row r="19" spans="1:8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A20" s="22" t="s">
        <v>139</v>
      </c>
      <c r="B20" s="22" t="s">
        <v>139</v>
      </c>
      <c r="C20" s="22">
        <v>50</v>
      </c>
      <c r="D20" s="22">
        <v>50</v>
      </c>
      <c r="E20" s="22">
        <v>50</v>
      </c>
      <c r="F20" s="22">
        <v>50</v>
      </c>
      <c r="G20" s="22">
        <v>50</v>
      </c>
      <c r="H20" s="22">
        <v>50</v>
      </c>
    </row>
    <row r="21" spans="1:8">
      <c r="A21" s="22" t="s">
        <v>140</v>
      </c>
      <c r="B21" s="22" t="s">
        <v>140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  <c r="H21" s="22">
        <v>50</v>
      </c>
    </row>
    <row r="22" spans="1:8">
      <c r="A22" s="22" t="s">
        <v>1752</v>
      </c>
      <c r="B22" s="22" t="s">
        <v>1752</v>
      </c>
      <c r="C22" s="22">
        <f>C26*2.54</f>
        <v>139.69999999999999</v>
      </c>
      <c r="D22" s="22">
        <f>D26*2.54</f>
        <v>154.94</v>
      </c>
      <c r="E22" s="22">
        <f t="shared" ref="E22:H23" si="0">E26*2.54</f>
        <v>165.1</v>
      </c>
      <c r="F22" s="22">
        <f t="shared" si="0"/>
        <v>177.8</v>
      </c>
      <c r="G22" s="22">
        <f t="shared" si="0"/>
        <v>185.42000000000002</v>
      </c>
      <c r="H22" s="22">
        <f t="shared" si="0"/>
        <v>190.5</v>
      </c>
    </row>
    <row r="23" spans="1:8">
      <c r="A23" s="22" t="s">
        <v>1753</v>
      </c>
      <c r="B23" s="22" t="s">
        <v>1753</v>
      </c>
      <c r="C23" s="22">
        <f>C27*2.54</f>
        <v>154.94</v>
      </c>
      <c r="D23" s="22">
        <f>D27*2.54</f>
        <v>167.64000000000001</v>
      </c>
      <c r="E23" s="22">
        <f t="shared" si="0"/>
        <v>177.8</v>
      </c>
      <c r="F23" s="22">
        <f t="shared" si="0"/>
        <v>185.42000000000002</v>
      </c>
      <c r="G23" s="22">
        <f t="shared" si="0"/>
        <v>190.5</v>
      </c>
      <c r="H23" s="22">
        <f t="shared" si="0"/>
        <v>203.2</v>
      </c>
    </row>
    <row r="24" spans="1:8">
      <c r="B24" s="145" t="s">
        <v>2827</v>
      </c>
      <c r="C24" s="22">
        <v>58</v>
      </c>
      <c r="D24" s="22">
        <v>61</v>
      </c>
      <c r="E24" s="22">
        <v>64.5</v>
      </c>
      <c r="F24" s="22">
        <v>68.5</v>
      </c>
      <c r="G24" s="22">
        <v>70.5</v>
      </c>
      <c r="H24" s="22">
        <v>73</v>
      </c>
    </row>
    <row r="25" spans="1:8">
      <c r="C25" s="22">
        <v>61</v>
      </c>
      <c r="D25" s="22">
        <v>64.5</v>
      </c>
      <c r="E25" s="22">
        <v>68.5</v>
      </c>
      <c r="F25" s="22">
        <v>70.5</v>
      </c>
      <c r="G25" s="22">
        <v>73</v>
      </c>
      <c r="H25" s="22">
        <v>76</v>
      </c>
    </row>
    <row r="26" spans="1:8">
      <c r="B26" s="22">
        <v>2025</v>
      </c>
      <c r="C26" s="146">
        <v>55</v>
      </c>
      <c r="D26" s="22">
        <v>61</v>
      </c>
      <c r="E26" s="22">
        <v>65</v>
      </c>
      <c r="F26" s="22">
        <v>70</v>
      </c>
      <c r="G26" s="22">
        <v>73</v>
      </c>
      <c r="H26" s="22">
        <v>75</v>
      </c>
    </row>
    <row r="27" spans="1:8">
      <c r="C27" s="146">
        <v>61</v>
      </c>
      <c r="D27" s="22">
        <v>66</v>
      </c>
      <c r="E27" s="22">
        <v>70</v>
      </c>
      <c r="F27" s="22">
        <v>73</v>
      </c>
      <c r="G27" s="22">
        <v>75</v>
      </c>
      <c r="H27" s="22">
        <v>80</v>
      </c>
    </row>
    <row r="30" spans="1:8">
      <c r="B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0891-AB6F-AD48-B6CC-E9808396E909}">
  <dimension ref="A1:H23"/>
  <sheetViews>
    <sheetView workbookViewId="0">
      <selection activeCell="B22" sqref="B22:B23"/>
    </sheetView>
  </sheetViews>
  <sheetFormatPr baseColWidth="10" defaultRowHeight="20"/>
  <cols>
    <col min="1" max="1" width="29.33203125" style="22" bestFit="1" customWidth="1"/>
    <col min="2" max="2" width="30.16406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1289</v>
      </c>
    </row>
    <row r="2" spans="1:8">
      <c r="A2" s="22" t="s">
        <v>60</v>
      </c>
      <c r="B2" s="22" t="s">
        <v>1609</v>
      </c>
      <c r="C2" s="22">
        <v>515</v>
      </c>
      <c r="D2" s="22">
        <v>538</v>
      </c>
      <c r="E2" s="22">
        <v>558</v>
      </c>
      <c r="F2" s="22">
        <v>575</v>
      </c>
      <c r="G2" s="22">
        <v>591</v>
      </c>
      <c r="H2" s="22">
        <v>615</v>
      </c>
    </row>
    <row r="3" spans="1:8">
      <c r="A3" s="22" t="s">
        <v>73</v>
      </c>
      <c r="B3" s="22" t="s">
        <v>1610</v>
      </c>
      <c r="C3" s="22">
        <v>460</v>
      </c>
      <c r="D3" s="22">
        <v>500</v>
      </c>
      <c r="E3" s="22">
        <v>520</v>
      </c>
      <c r="F3" s="22">
        <v>545</v>
      </c>
      <c r="G3" s="22">
        <v>560</v>
      </c>
      <c r="H3" s="22">
        <v>570</v>
      </c>
    </row>
    <row r="4" spans="1:8">
      <c r="A4" s="22" t="s">
        <v>62</v>
      </c>
      <c r="B4" s="22" t="s">
        <v>1611</v>
      </c>
      <c r="C4" s="22">
        <v>70</v>
      </c>
      <c r="D4" s="22">
        <v>70.25</v>
      </c>
      <c r="E4" s="22">
        <v>70.5</v>
      </c>
      <c r="F4" s="22">
        <v>71.25</v>
      </c>
      <c r="G4" s="22">
        <v>71.5</v>
      </c>
      <c r="H4" s="22">
        <v>71.5</v>
      </c>
    </row>
    <row r="5" spans="1:8">
      <c r="A5" s="22" t="s">
        <v>63</v>
      </c>
      <c r="B5" s="22" t="s">
        <v>1612</v>
      </c>
      <c r="C5" s="22">
        <v>73.5</v>
      </c>
      <c r="D5" s="22">
        <v>73.5</v>
      </c>
      <c r="E5" s="22">
        <v>73.5</v>
      </c>
      <c r="F5" s="22">
        <v>73.5</v>
      </c>
      <c r="G5" s="22">
        <v>73.5</v>
      </c>
      <c r="H5" s="22">
        <v>73.5</v>
      </c>
    </row>
    <row r="6" spans="1:8">
      <c r="A6" s="22" t="s">
        <v>65</v>
      </c>
      <c r="B6" s="22" t="s">
        <v>1613</v>
      </c>
      <c r="C6" s="22">
        <v>72.5</v>
      </c>
      <c r="D6" s="22">
        <v>72.5</v>
      </c>
      <c r="E6" s="22">
        <v>72.5</v>
      </c>
      <c r="F6" s="22">
        <v>72.5</v>
      </c>
      <c r="G6" s="22">
        <v>72.5</v>
      </c>
      <c r="H6" s="22">
        <v>72.5</v>
      </c>
    </row>
    <row r="7" spans="1:8">
      <c r="A7" s="22" t="s">
        <v>56</v>
      </c>
      <c r="B7" s="22" t="s">
        <v>1145</v>
      </c>
      <c r="C7" s="22">
        <v>1001</v>
      </c>
      <c r="D7" s="22">
        <v>1022</v>
      </c>
      <c r="E7" s="22">
        <v>1040</v>
      </c>
      <c r="F7" s="22">
        <v>1051</v>
      </c>
      <c r="G7" s="22">
        <v>1067</v>
      </c>
      <c r="H7" s="22">
        <v>1080</v>
      </c>
    </row>
    <row r="8" spans="1:8">
      <c r="A8" s="22" t="s">
        <v>64</v>
      </c>
      <c r="B8" s="22" t="s">
        <v>1142</v>
      </c>
      <c r="C8" s="22">
        <v>120</v>
      </c>
      <c r="D8" s="22">
        <v>135</v>
      </c>
      <c r="E8" s="22">
        <v>150</v>
      </c>
      <c r="F8" s="22">
        <v>170</v>
      </c>
      <c r="G8" s="22">
        <v>185</v>
      </c>
      <c r="H8" s="22">
        <v>200</v>
      </c>
    </row>
    <row r="9" spans="1:8">
      <c r="A9" s="22" t="s">
        <v>66</v>
      </c>
      <c r="B9" s="22" t="s">
        <v>1614</v>
      </c>
      <c r="C9" s="22">
        <v>430</v>
      </c>
      <c r="D9" s="22">
        <v>430</v>
      </c>
      <c r="E9" s="22">
        <v>430</v>
      </c>
      <c r="F9" s="22">
        <v>430</v>
      </c>
      <c r="G9" s="22">
        <v>430</v>
      </c>
      <c r="H9" s="22">
        <v>430</v>
      </c>
    </row>
    <row r="10" spans="1:8">
      <c r="A10" s="22" t="s">
        <v>134</v>
      </c>
      <c r="B10" s="22" t="s">
        <v>1146</v>
      </c>
      <c r="C10" s="22">
        <v>581</v>
      </c>
      <c r="D10" s="22">
        <v>602</v>
      </c>
      <c r="E10" s="22">
        <v>621</v>
      </c>
      <c r="F10" s="22">
        <v>631</v>
      </c>
      <c r="G10" s="22">
        <v>647</v>
      </c>
      <c r="H10" s="22">
        <v>660</v>
      </c>
    </row>
    <row r="11" spans="1:8">
      <c r="A11" s="22" t="s">
        <v>57</v>
      </c>
      <c r="B11" s="22" t="s">
        <v>1615</v>
      </c>
      <c r="C11" s="22">
        <v>748</v>
      </c>
      <c r="D11" s="22">
        <v>775</v>
      </c>
      <c r="E11" s="22">
        <v>792</v>
      </c>
      <c r="F11" s="22">
        <v>815</v>
      </c>
      <c r="G11" s="22">
        <v>830</v>
      </c>
      <c r="H11" s="22">
        <v>842</v>
      </c>
    </row>
    <row r="12" spans="1:8">
      <c r="A12" s="22" t="s">
        <v>54</v>
      </c>
      <c r="B12" s="22" t="s">
        <v>1616</v>
      </c>
      <c r="C12" s="22">
        <v>540</v>
      </c>
      <c r="D12" s="22">
        <v>555</v>
      </c>
      <c r="E12" s="22">
        <v>570</v>
      </c>
      <c r="F12" s="22">
        <v>592</v>
      </c>
      <c r="G12" s="22">
        <v>607</v>
      </c>
      <c r="H12" s="22">
        <v>622</v>
      </c>
    </row>
    <row r="13" spans="1:8">
      <c r="A13" s="22" t="s">
        <v>55</v>
      </c>
      <c r="B13" s="22" t="s">
        <v>1617</v>
      </c>
      <c r="C13" s="22">
        <v>353</v>
      </c>
      <c r="D13" s="22">
        <v>371</v>
      </c>
      <c r="E13" s="22">
        <v>387</v>
      </c>
      <c r="F13" s="22">
        <v>398</v>
      </c>
      <c r="G13" s="22">
        <v>411</v>
      </c>
      <c r="H13" s="22">
        <v>420</v>
      </c>
    </row>
    <row r="14" spans="1:8">
      <c r="A14" s="22" t="s">
        <v>495</v>
      </c>
      <c r="B14" s="22" t="s">
        <v>1618</v>
      </c>
      <c r="C14" s="22">
        <v>395</v>
      </c>
      <c r="D14" s="22">
        <v>395</v>
      </c>
      <c r="E14" s="22">
        <v>395</v>
      </c>
      <c r="F14" s="22">
        <v>395</v>
      </c>
      <c r="G14" s="22">
        <v>395</v>
      </c>
      <c r="H14" s="22">
        <v>395</v>
      </c>
    </row>
    <row r="15" spans="1:8">
      <c r="A15" s="22" t="s">
        <v>67</v>
      </c>
      <c r="B15" s="22" t="s">
        <v>67</v>
      </c>
    </row>
    <row r="16" spans="1:8">
      <c r="A16" s="22" t="s">
        <v>69</v>
      </c>
      <c r="B16" s="22" t="s">
        <v>69</v>
      </c>
    </row>
    <row r="17" spans="1:8">
      <c r="A17" s="22" t="s">
        <v>70</v>
      </c>
      <c r="B17" s="22" t="s">
        <v>70</v>
      </c>
    </row>
    <row r="18" spans="1:8">
      <c r="A18" s="22" t="s">
        <v>71</v>
      </c>
      <c r="B18" s="22" t="s">
        <v>71</v>
      </c>
    </row>
    <row r="19" spans="1:8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A20" s="22" t="s">
        <v>139</v>
      </c>
      <c r="B20" s="22" t="s">
        <v>139</v>
      </c>
      <c r="C20" s="22">
        <v>50</v>
      </c>
      <c r="D20" s="22">
        <v>50</v>
      </c>
      <c r="E20" s="22">
        <v>50</v>
      </c>
      <c r="F20" s="22">
        <v>50</v>
      </c>
      <c r="G20" s="22">
        <v>50</v>
      </c>
      <c r="H20" s="22">
        <v>50</v>
      </c>
    </row>
    <row r="21" spans="1:8">
      <c r="A21" s="22" t="s">
        <v>140</v>
      </c>
      <c r="B21" s="22" t="s">
        <v>140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  <c r="H21" s="22">
        <v>50</v>
      </c>
    </row>
    <row r="22" spans="1:8">
      <c r="A22" s="22" t="s">
        <v>1752</v>
      </c>
      <c r="B22" s="22" t="s">
        <v>1752</v>
      </c>
    </row>
    <row r="23" spans="1:8">
      <c r="A23" s="22" t="s">
        <v>1753</v>
      </c>
      <c r="B23" s="22" t="s">
        <v>1753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6CAB-B79D-5F40-96EE-C10BF8FD9FF7}">
  <dimension ref="A1:I26"/>
  <sheetViews>
    <sheetView workbookViewId="0">
      <selection activeCell="C21" sqref="C21:I26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16384" width="10.83203125" style="22"/>
  </cols>
  <sheetData>
    <row r="1" spans="1:8">
      <c r="A1" s="22" t="s">
        <v>72</v>
      </c>
      <c r="B1" s="23" t="s">
        <v>141</v>
      </c>
      <c r="C1" s="23" t="s">
        <v>539</v>
      </c>
      <c r="D1" s="23" t="s">
        <v>601</v>
      </c>
      <c r="E1" s="23" t="s">
        <v>413</v>
      </c>
      <c r="F1" s="23" t="s">
        <v>519</v>
      </c>
      <c r="G1" s="23" t="s">
        <v>415</v>
      </c>
      <c r="H1" s="23" t="s">
        <v>602</v>
      </c>
    </row>
    <row r="2" spans="1:8">
      <c r="A2" s="22" t="s">
        <v>62</v>
      </c>
      <c r="B2" s="23" t="s">
        <v>3</v>
      </c>
      <c r="C2" s="24">
        <v>70</v>
      </c>
      <c r="D2" s="24">
        <v>71</v>
      </c>
      <c r="E2" s="24">
        <v>71.5</v>
      </c>
      <c r="F2" s="24">
        <v>72</v>
      </c>
      <c r="G2" s="24">
        <v>72.2</v>
      </c>
      <c r="H2" s="24">
        <v>72.2</v>
      </c>
    </row>
    <row r="3" spans="1:8">
      <c r="A3" s="22" t="s">
        <v>63</v>
      </c>
      <c r="B3" s="23" t="s">
        <v>603</v>
      </c>
      <c r="C3" s="24">
        <v>75</v>
      </c>
      <c r="D3" s="24">
        <v>74.5</v>
      </c>
      <c r="E3" s="24">
        <v>74</v>
      </c>
      <c r="F3" s="24">
        <v>73.5</v>
      </c>
      <c r="G3" s="24">
        <v>73.5</v>
      </c>
      <c r="H3" s="24">
        <v>72.5</v>
      </c>
    </row>
    <row r="4" spans="1:8">
      <c r="A4" s="22" t="s">
        <v>73</v>
      </c>
      <c r="B4" s="23" t="s">
        <v>604</v>
      </c>
      <c r="C4" s="24">
        <v>510</v>
      </c>
      <c r="D4" s="24">
        <v>530</v>
      </c>
      <c r="E4" s="24">
        <v>545</v>
      </c>
      <c r="F4" s="24">
        <v>560</v>
      </c>
      <c r="G4" s="24">
        <v>580</v>
      </c>
      <c r="H4" s="24">
        <v>610</v>
      </c>
    </row>
    <row r="5" spans="1:8">
      <c r="A5" s="22" t="s">
        <v>60</v>
      </c>
      <c r="B5" s="23" t="s">
        <v>173</v>
      </c>
      <c r="C5" s="24">
        <v>450</v>
      </c>
      <c r="D5" s="24">
        <v>480</v>
      </c>
      <c r="E5" s="24">
        <v>510</v>
      </c>
      <c r="F5" s="24">
        <v>540</v>
      </c>
      <c r="G5" s="24">
        <v>570</v>
      </c>
      <c r="H5" s="24">
        <v>600</v>
      </c>
    </row>
    <row r="6" spans="1:8">
      <c r="A6" s="22" t="s">
        <v>66</v>
      </c>
      <c r="B6" s="23" t="s">
        <v>7</v>
      </c>
      <c r="C6" s="24">
        <v>430</v>
      </c>
      <c r="D6" s="24">
        <v>435</v>
      </c>
      <c r="E6" s="24">
        <v>440</v>
      </c>
      <c r="F6" s="24">
        <v>440</v>
      </c>
      <c r="G6" s="24">
        <v>440</v>
      </c>
      <c r="H6" s="24">
        <v>440</v>
      </c>
    </row>
    <row r="7" spans="1:8">
      <c r="A7" s="22" t="s">
        <v>65</v>
      </c>
      <c r="B7" s="23" t="s">
        <v>6</v>
      </c>
      <c r="C7" s="24">
        <v>73.5</v>
      </c>
      <c r="D7" s="24">
        <v>73.5</v>
      </c>
      <c r="E7" s="24">
        <v>73.5</v>
      </c>
      <c r="F7" s="24">
        <v>73.5</v>
      </c>
      <c r="G7" s="24">
        <v>73</v>
      </c>
      <c r="H7" s="24">
        <v>73</v>
      </c>
    </row>
    <row r="8" spans="1:8">
      <c r="A8" s="22" t="s">
        <v>67</v>
      </c>
      <c r="B8" s="23" t="s">
        <v>247</v>
      </c>
      <c r="C8" s="24">
        <v>47</v>
      </c>
      <c r="D8" s="24">
        <v>47</v>
      </c>
      <c r="E8" s="24">
        <v>47</v>
      </c>
      <c r="F8" s="24">
        <v>47</v>
      </c>
      <c r="G8" s="24">
        <v>47</v>
      </c>
      <c r="H8" s="24">
        <v>47</v>
      </c>
    </row>
    <row r="9" spans="1:8">
      <c r="A9" s="22" t="s">
        <v>163</v>
      </c>
      <c r="B9" s="23" t="s">
        <v>605</v>
      </c>
      <c r="C9" s="24">
        <v>395</v>
      </c>
      <c r="D9" s="24">
        <v>395</v>
      </c>
      <c r="E9" s="24">
        <v>395</v>
      </c>
      <c r="F9" s="24">
        <v>395</v>
      </c>
      <c r="G9" s="24">
        <v>395</v>
      </c>
      <c r="H9" s="24">
        <v>395</v>
      </c>
    </row>
    <row r="10" spans="1:8">
      <c r="A10" s="22" t="s">
        <v>64</v>
      </c>
      <c r="B10" s="23" t="s">
        <v>5</v>
      </c>
      <c r="C10" s="24">
        <v>95</v>
      </c>
      <c r="D10" s="24">
        <v>110</v>
      </c>
      <c r="E10" s="24">
        <v>124</v>
      </c>
      <c r="F10" s="24">
        <v>149</v>
      </c>
      <c r="G10" s="24">
        <v>173</v>
      </c>
      <c r="H10" s="24">
        <v>198</v>
      </c>
    </row>
    <row r="11" spans="1:8">
      <c r="A11" s="22" t="s">
        <v>57</v>
      </c>
      <c r="B11" s="23" t="s">
        <v>14</v>
      </c>
      <c r="C11" s="24">
        <v>743</v>
      </c>
      <c r="D11" s="24">
        <v>766</v>
      </c>
      <c r="E11" s="24">
        <v>790</v>
      </c>
      <c r="F11" s="24">
        <v>818</v>
      </c>
      <c r="G11" s="24">
        <v>844</v>
      </c>
      <c r="H11" s="24">
        <v>870</v>
      </c>
    </row>
    <row r="12" spans="1:8">
      <c r="A12" s="22" t="s">
        <v>56</v>
      </c>
      <c r="B12" s="23" t="s">
        <v>9</v>
      </c>
      <c r="C12" s="24">
        <v>1008</v>
      </c>
      <c r="D12" s="24">
        <v>1020</v>
      </c>
      <c r="E12" s="24">
        <v>1030</v>
      </c>
      <c r="F12" s="24">
        <v>1034</v>
      </c>
      <c r="G12" s="24">
        <v>1049</v>
      </c>
      <c r="H12" s="24">
        <v>1073</v>
      </c>
    </row>
    <row r="13" spans="1:8">
      <c r="A13" s="22" t="s">
        <v>54</v>
      </c>
      <c r="B13" s="23" t="s">
        <v>0</v>
      </c>
      <c r="C13" s="24">
        <v>528</v>
      </c>
      <c r="D13" s="24">
        <v>546</v>
      </c>
      <c r="E13" s="24">
        <v>560</v>
      </c>
      <c r="F13" s="24">
        <v>587</v>
      </c>
      <c r="G13" s="24">
        <v>610</v>
      </c>
      <c r="H13" s="24">
        <v>634</v>
      </c>
    </row>
    <row r="14" spans="1:8">
      <c r="A14" s="22" t="s">
        <v>55</v>
      </c>
      <c r="B14" s="23" t="s">
        <v>1</v>
      </c>
      <c r="C14" s="24">
        <v>369</v>
      </c>
      <c r="D14" s="24">
        <v>379</v>
      </c>
      <c r="E14" s="24">
        <v>382</v>
      </c>
      <c r="F14" s="24">
        <v>386</v>
      </c>
      <c r="G14" s="24">
        <v>394</v>
      </c>
      <c r="H14" s="24">
        <v>410</v>
      </c>
    </row>
    <row r="15" spans="1:8">
      <c r="A15" s="22" t="s">
        <v>70</v>
      </c>
      <c r="B15" s="23" t="s">
        <v>12</v>
      </c>
      <c r="C15" s="24">
        <v>400</v>
      </c>
      <c r="D15" s="24">
        <v>420</v>
      </c>
      <c r="E15" s="24">
        <v>420</v>
      </c>
      <c r="F15" s="24">
        <v>440</v>
      </c>
      <c r="G15" s="24">
        <v>440</v>
      </c>
      <c r="H15" s="24">
        <v>460</v>
      </c>
    </row>
    <row r="16" spans="1:8">
      <c r="A16" s="22" t="s">
        <v>71</v>
      </c>
      <c r="B16" s="23" t="s">
        <v>13</v>
      </c>
      <c r="C16" s="24">
        <v>60</v>
      </c>
      <c r="D16" s="24">
        <v>70</v>
      </c>
      <c r="E16" s="24">
        <v>80</v>
      </c>
      <c r="F16" s="24">
        <v>90</v>
      </c>
      <c r="G16" s="24">
        <v>110</v>
      </c>
      <c r="H16" s="24">
        <v>110</v>
      </c>
    </row>
    <row r="17" spans="1:9">
      <c r="A17" s="22" t="s">
        <v>69</v>
      </c>
      <c r="B17" s="23" t="s">
        <v>534</v>
      </c>
      <c r="C17" s="24">
        <v>165</v>
      </c>
      <c r="D17" s="24">
        <v>170</v>
      </c>
      <c r="E17" s="24">
        <v>172.5</v>
      </c>
      <c r="F17" s="24">
        <v>172.5</v>
      </c>
      <c r="G17" s="24">
        <v>175</v>
      </c>
      <c r="H17" s="24">
        <v>175</v>
      </c>
    </row>
    <row r="18" spans="1:9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</row>
    <row r="19" spans="1:9">
      <c r="A19" s="22" t="s">
        <v>139</v>
      </c>
      <c r="B19" s="22" t="s">
        <v>139</v>
      </c>
      <c r="C19" s="22">
        <v>38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</row>
    <row r="20" spans="1:9">
      <c r="A20" s="22" t="s">
        <v>140</v>
      </c>
      <c r="B20" s="22" t="s">
        <v>140</v>
      </c>
      <c r="C20" s="22">
        <v>47</v>
      </c>
      <c r="D20" s="22">
        <v>47</v>
      </c>
      <c r="E20" s="22">
        <v>47</v>
      </c>
      <c r="F20" s="22">
        <v>47</v>
      </c>
      <c r="G20" s="22">
        <v>47</v>
      </c>
      <c r="H20" s="22">
        <v>47</v>
      </c>
    </row>
    <row r="21" spans="1:9">
      <c r="A21" s="22" t="s">
        <v>1752</v>
      </c>
      <c r="C21" s="22">
        <v>157</v>
      </c>
      <c r="D21" s="22">
        <v>165</v>
      </c>
      <c r="E21" s="22">
        <v>171</v>
      </c>
      <c r="F21" s="22">
        <v>176</v>
      </c>
      <c r="G21" s="22">
        <v>181</v>
      </c>
      <c r="H21" s="22">
        <v>186</v>
      </c>
      <c r="I21" s="22" t="s">
        <v>2520</v>
      </c>
    </row>
    <row r="22" spans="1:9">
      <c r="A22" s="22" t="s">
        <v>1753</v>
      </c>
      <c r="C22" s="22">
        <v>165</v>
      </c>
      <c r="D22" s="22">
        <v>171</v>
      </c>
      <c r="E22" s="22">
        <v>176</v>
      </c>
      <c r="F22" s="22">
        <v>181</v>
      </c>
      <c r="G22" s="22">
        <v>186</v>
      </c>
      <c r="H22" s="22">
        <v>193</v>
      </c>
    </row>
    <row r="25" spans="1:9">
      <c r="C25" s="22">
        <v>157.47999999999999</v>
      </c>
      <c r="D25" s="22">
        <v>165.1</v>
      </c>
      <c r="E25" s="22">
        <v>170.18</v>
      </c>
      <c r="F25" s="22">
        <v>175.26</v>
      </c>
      <c r="G25" s="22">
        <v>180.34</v>
      </c>
      <c r="H25" s="22">
        <v>185.42000000000002</v>
      </c>
      <c r="I25" s="22" t="s">
        <v>2521</v>
      </c>
    </row>
    <row r="26" spans="1:9">
      <c r="C26" s="22">
        <v>165.1</v>
      </c>
      <c r="D26" s="22">
        <v>172.72</v>
      </c>
      <c r="E26" s="22">
        <v>177.8</v>
      </c>
      <c r="F26" s="22">
        <v>182.88</v>
      </c>
      <c r="G26" s="22">
        <v>187.96</v>
      </c>
      <c r="H26" s="22">
        <v>193.04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87A0-A416-7B46-82CF-0B8D47A869F1}">
  <dimension ref="A1:J26"/>
  <sheetViews>
    <sheetView workbookViewId="0">
      <selection activeCell="C21" sqref="C21:J26"/>
    </sheetView>
  </sheetViews>
  <sheetFormatPr baseColWidth="10" defaultRowHeight="16"/>
  <cols>
    <col min="1" max="1" width="23.1640625" bestFit="1" customWidth="1"/>
    <col min="2" max="2" width="31.5" bestFit="1" customWidth="1"/>
  </cols>
  <sheetData>
    <row r="1" spans="1:9" ht="20">
      <c r="A1" s="22" t="s">
        <v>72</v>
      </c>
      <c r="B1" s="23" t="s">
        <v>141</v>
      </c>
      <c r="C1" s="23" t="s">
        <v>600</v>
      </c>
      <c r="D1" s="23" t="s">
        <v>539</v>
      </c>
      <c r="E1" s="23" t="s">
        <v>601</v>
      </c>
      <c r="F1" s="23" t="s">
        <v>413</v>
      </c>
      <c r="G1" s="23" t="s">
        <v>519</v>
      </c>
      <c r="H1" s="23" t="s">
        <v>415</v>
      </c>
      <c r="I1" s="23" t="s">
        <v>602</v>
      </c>
    </row>
    <row r="2" spans="1:9" ht="20">
      <c r="A2" s="22" t="s">
        <v>62</v>
      </c>
      <c r="B2" s="23" t="s">
        <v>3</v>
      </c>
      <c r="C2" s="24">
        <v>70</v>
      </c>
      <c r="D2" s="24">
        <v>71</v>
      </c>
      <c r="E2" s="24">
        <v>71</v>
      </c>
      <c r="F2" s="24">
        <v>71.5</v>
      </c>
      <c r="G2" s="24">
        <v>71.5</v>
      </c>
      <c r="H2" s="24">
        <v>71.5</v>
      </c>
      <c r="I2" s="24">
        <v>71.5</v>
      </c>
    </row>
    <row r="3" spans="1:9" ht="20">
      <c r="A3" s="22" t="s">
        <v>63</v>
      </c>
      <c r="B3" s="23" t="s">
        <v>603</v>
      </c>
      <c r="C3" s="24">
        <v>74.5</v>
      </c>
      <c r="D3" s="24">
        <v>74</v>
      </c>
      <c r="E3" s="24">
        <v>74</v>
      </c>
      <c r="F3" s="24">
        <v>73.5</v>
      </c>
      <c r="G3" s="24">
        <v>73</v>
      </c>
      <c r="H3" s="24">
        <v>72.5</v>
      </c>
      <c r="I3" s="24">
        <v>72.5</v>
      </c>
    </row>
    <row r="4" spans="1:9" ht="20">
      <c r="A4" s="22" t="s">
        <v>73</v>
      </c>
      <c r="B4" s="23" t="s">
        <v>604</v>
      </c>
      <c r="C4" s="24">
        <v>505</v>
      </c>
      <c r="D4" s="24">
        <v>520</v>
      </c>
      <c r="E4" s="24">
        <v>528</v>
      </c>
      <c r="F4" s="24">
        <v>545</v>
      </c>
      <c r="G4" s="24">
        <v>565</v>
      </c>
      <c r="H4" s="24">
        <v>585</v>
      </c>
      <c r="I4" s="24">
        <v>605</v>
      </c>
    </row>
    <row r="5" spans="1:9" ht="20">
      <c r="A5" s="22" t="s">
        <v>60</v>
      </c>
      <c r="B5" s="23" t="s">
        <v>173</v>
      </c>
      <c r="C5" s="24">
        <v>415</v>
      </c>
      <c r="D5" s="24">
        <v>445</v>
      </c>
      <c r="E5" s="24">
        <v>475</v>
      </c>
      <c r="F5" s="24">
        <v>510</v>
      </c>
      <c r="G5" s="24">
        <v>540</v>
      </c>
      <c r="H5" s="24">
        <v>570</v>
      </c>
      <c r="I5" s="24">
        <v>600</v>
      </c>
    </row>
    <row r="6" spans="1:9" ht="20">
      <c r="A6" s="22" t="s">
        <v>66</v>
      </c>
      <c r="B6" s="23" t="s">
        <v>7</v>
      </c>
      <c r="C6" s="24">
        <v>430</v>
      </c>
      <c r="D6" s="24">
        <v>430</v>
      </c>
      <c r="E6" s="24">
        <v>430</v>
      </c>
      <c r="F6" s="24">
        <v>430</v>
      </c>
      <c r="G6" s="24">
        <v>430</v>
      </c>
      <c r="H6" s="24">
        <v>430</v>
      </c>
      <c r="I6" s="24">
        <v>430</v>
      </c>
    </row>
    <row r="7" spans="1:9" ht="20">
      <c r="A7" s="22" t="s">
        <v>65</v>
      </c>
      <c r="B7" s="23" t="s">
        <v>6</v>
      </c>
      <c r="C7" s="24">
        <v>62.5</v>
      </c>
      <c r="D7" s="24">
        <v>62.5</v>
      </c>
      <c r="E7" s="24">
        <v>62.5</v>
      </c>
      <c r="F7" s="24">
        <v>62.5</v>
      </c>
      <c r="G7" s="24">
        <v>62.5</v>
      </c>
      <c r="H7" s="24">
        <v>62.5</v>
      </c>
      <c r="I7" s="24">
        <v>62.5</v>
      </c>
    </row>
    <row r="8" spans="1:9" ht="20">
      <c r="A8" s="22" t="s">
        <v>67</v>
      </c>
      <c r="B8" s="23" t="s">
        <v>247</v>
      </c>
      <c r="C8" s="24">
        <v>50</v>
      </c>
      <c r="D8" s="24">
        <v>50</v>
      </c>
      <c r="E8" s="24">
        <v>50</v>
      </c>
      <c r="F8" s="24">
        <v>47</v>
      </c>
      <c r="G8" s="24">
        <v>47</v>
      </c>
      <c r="H8" s="24">
        <v>47</v>
      </c>
      <c r="I8" s="24">
        <v>47</v>
      </c>
    </row>
    <row r="9" spans="1:9" ht="20">
      <c r="A9" s="22" t="s">
        <v>163</v>
      </c>
      <c r="B9" s="23" t="s">
        <v>605</v>
      </c>
      <c r="C9" s="24">
        <v>395</v>
      </c>
      <c r="D9" s="24">
        <v>395</v>
      </c>
      <c r="E9" s="24">
        <v>395</v>
      </c>
      <c r="F9" s="24">
        <v>395</v>
      </c>
      <c r="G9" s="24">
        <v>395</v>
      </c>
      <c r="H9" s="24">
        <v>395</v>
      </c>
      <c r="I9" s="24">
        <v>395</v>
      </c>
    </row>
    <row r="10" spans="1:9" ht="20">
      <c r="A10" s="22" t="s">
        <v>64</v>
      </c>
      <c r="B10" s="23" t="s">
        <v>5</v>
      </c>
      <c r="C10" s="24">
        <v>115</v>
      </c>
      <c r="D10" s="24">
        <v>125</v>
      </c>
      <c r="E10" s="24">
        <v>135</v>
      </c>
      <c r="F10" s="24">
        <v>155</v>
      </c>
      <c r="G10" s="24">
        <v>175</v>
      </c>
      <c r="H10" s="24">
        <v>200</v>
      </c>
      <c r="I10" s="24">
        <v>225</v>
      </c>
    </row>
    <row r="11" spans="1:9" ht="20">
      <c r="A11" s="22" t="s">
        <v>57</v>
      </c>
      <c r="B11" s="23" t="s">
        <v>14</v>
      </c>
      <c r="C11" s="24">
        <v>711</v>
      </c>
      <c r="D11" s="24">
        <v>735.5</v>
      </c>
      <c r="E11" s="24">
        <v>758.2</v>
      </c>
      <c r="F11" s="24">
        <v>788.3</v>
      </c>
      <c r="G11" s="24">
        <v>813.4</v>
      </c>
      <c r="H11" s="24">
        <v>840.1</v>
      </c>
      <c r="I11" s="24">
        <v>866.8</v>
      </c>
    </row>
    <row r="12" spans="1:9" ht="20">
      <c r="A12" s="22" t="s">
        <v>56</v>
      </c>
      <c r="B12" s="23" t="s">
        <v>9</v>
      </c>
      <c r="C12" s="24">
        <v>1007</v>
      </c>
      <c r="D12" s="24">
        <v>1008</v>
      </c>
      <c r="E12" s="24">
        <v>1017</v>
      </c>
      <c r="F12" s="24">
        <v>1021</v>
      </c>
      <c r="G12" s="24">
        <v>1036</v>
      </c>
      <c r="H12" s="24">
        <v>1051</v>
      </c>
      <c r="I12" s="24">
        <v>1072</v>
      </c>
    </row>
    <row r="13" spans="1:9" ht="20">
      <c r="A13" s="22" t="s">
        <v>54</v>
      </c>
      <c r="B13" s="23" t="s">
        <v>0</v>
      </c>
      <c r="C13" s="24">
        <v>534</v>
      </c>
      <c r="D13" s="24">
        <v>547</v>
      </c>
      <c r="E13" s="24">
        <v>557</v>
      </c>
      <c r="F13" s="24">
        <v>579</v>
      </c>
      <c r="G13" s="24">
        <v>598</v>
      </c>
      <c r="H13" s="24">
        <v>622</v>
      </c>
      <c r="I13" s="24">
        <v>645</v>
      </c>
    </row>
    <row r="14" spans="1:9" ht="20">
      <c r="A14" s="22" t="s">
        <v>55</v>
      </c>
      <c r="B14" s="23" t="s">
        <v>1</v>
      </c>
      <c r="C14" s="24">
        <v>357</v>
      </c>
      <c r="D14" s="24">
        <v>363</v>
      </c>
      <c r="E14" s="24">
        <v>368</v>
      </c>
      <c r="F14" s="24">
        <v>374</v>
      </c>
      <c r="G14" s="24">
        <v>382</v>
      </c>
      <c r="H14" s="24">
        <v>389</v>
      </c>
      <c r="I14" s="24">
        <v>402</v>
      </c>
    </row>
    <row r="15" spans="1:9" ht="20">
      <c r="A15" s="22" t="s">
        <v>70</v>
      </c>
      <c r="B15" s="23" t="s">
        <v>12</v>
      </c>
      <c r="C15" s="24">
        <v>400</v>
      </c>
      <c r="D15" s="24">
        <v>400</v>
      </c>
      <c r="E15" s="24">
        <v>420</v>
      </c>
      <c r="F15" s="24">
        <v>440</v>
      </c>
      <c r="G15" s="24">
        <v>440</v>
      </c>
      <c r="H15" s="24">
        <v>460</v>
      </c>
      <c r="I15" s="24">
        <v>460</v>
      </c>
    </row>
    <row r="16" spans="1:9" ht="20">
      <c r="A16" s="22" t="s">
        <v>71</v>
      </c>
      <c r="B16" s="23" t="s">
        <v>13</v>
      </c>
      <c r="C16" s="24">
        <v>70</v>
      </c>
      <c r="D16" s="24">
        <v>80</v>
      </c>
      <c r="E16" s="24">
        <v>90</v>
      </c>
      <c r="F16" s="24">
        <v>100</v>
      </c>
      <c r="G16" s="24">
        <v>100</v>
      </c>
      <c r="H16" s="24">
        <v>110</v>
      </c>
      <c r="I16" s="24">
        <v>120</v>
      </c>
    </row>
    <row r="17" spans="1:10" ht="20">
      <c r="A17" s="22" t="s">
        <v>69</v>
      </c>
      <c r="B17" s="23" t="s">
        <v>534</v>
      </c>
      <c r="C17" s="24">
        <v>165</v>
      </c>
      <c r="D17" s="24">
        <v>165</v>
      </c>
      <c r="E17" s="24">
        <v>170</v>
      </c>
      <c r="F17" s="24">
        <v>170</v>
      </c>
      <c r="G17" s="24">
        <v>170</v>
      </c>
      <c r="H17" s="24">
        <v>175</v>
      </c>
      <c r="I17" s="24">
        <v>175</v>
      </c>
    </row>
    <row r="18" spans="1:10" ht="20">
      <c r="A18" s="22" t="s">
        <v>68</v>
      </c>
      <c r="B18" s="22" t="s">
        <v>68</v>
      </c>
      <c r="C18" s="24">
        <v>650</v>
      </c>
      <c r="D18" s="24">
        <v>651</v>
      </c>
      <c r="E18" s="24">
        <v>652</v>
      </c>
      <c r="F18" s="24">
        <v>653</v>
      </c>
      <c r="G18" s="24">
        <v>654</v>
      </c>
      <c r="H18" s="24">
        <v>655</v>
      </c>
      <c r="I18" s="24">
        <v>656</v>
      </c>
    </row>
    <row r="19" spans="1:10" ht="20">
      <c r="A19" s="22" t="s">
        <v>139</v>
      </c>
      <c r="B19" s="22" t="s">
        <v>139</v>
      </c>
      <c r="C19" s="22">
        <f>2.4*25.4</f>
        <v>60.959999999999994</v>
      </c>
      <c r="D19" s="22">
        <f t="shared" ref="D19:I19" si="0">2.4*25.4</f>
        <v>60.959999999999994</v>
      </c>
      <c r="E19" s="22">
        <f t="shared" si="0"/>
        <v>60.959999999999994</v>
      </c>
      <c r="F19" s="22">
        <f t="shared" si="0"/>
        <v>60.959999999999994</v>
      </c>
      <c r="G19" s="22">
        <f t="shared" si="0"/>
        <v>60.959999999999994</v>
      </c>
      <c r="H19" s="22">
        <f t="shared" si="0"/>
        <v>60.959999999999994</v>
      </c>
      <c r="I19" s="22">
        <f t="shared" si="0"/>
        <v>60.959999999999994</v>
      </c>
    </row>
    <row r="20" spans="1:10" ht="20">
      <c r="A20" s="22" t="s">
        <v>140</v>
      </c>
      <c r="B20" s="22" t="s">
        <v>140</v>
      </c>
      <c r="C20" s="24">
        <v>42</v>
      </c>
      <c r="D20" s="24">
        <v>43</v>
      </c>
      <c r="E20" s="24">
        <v>44</v>
      </c>
      <c r="F20" s="24">
        <v>45</v>
      </c>
      <c r="G20" s="24">
        <v>46</v>
      </c>
      <c r="H20" s="24">
        <v>47</v>
      </c>
      <c r="I20" s="24">
        <v>48</v>
      </c>
    </row>
    <row r="21" spans="1:10" ht="20">
      <c r="A21" s="22" t="s">
        <v>1752</v>
      </c>
      <c r="C21" s="24">
        <v>155</v>
      </c>
      <c r="D21" s="22">
        <v>160</v>
      </c>
      <c r="E21" s="22">
        <v>165</v>
      </c>
      <c r="F21" s="22">
        <v>171</v>
      </c>
      <c r="G21" s="22">
        <v>176</v>
      </c>
      <c r="H21" s="22">
        <v>181</v>
      </c>
      <c r="I21" s="22">
        <v>186</v>
      </c>
      <c r="J21" s="22" t="s">
        <v>2520</v>
      </c>
    </row>
    <row r="22" spans="1:10" ht="20">
      <c r="A22" s="22" t="s">
        <v>1753</v>
      </c>
      <c r="C22" s="24">
        <v>160</v>
      </c>
      <c r="D22" s="22">
        <v>165</v>
      </c>
      <c r="E22" s="22">
        <v>171</v>
      </c>
      <c r="F22" s="22">
        <v>176</v>
      </c>
      <c r="G22" s="22">
        <v>181</v>
      </c>
      <c r="H22" s="22">
        <v>186</v>
      </c>
      <c r="I22" s="22">
        <v>193</v>
      </c>
      <c r="J22" s="22"/>
    </row>
    <row r="23" spans="1:10" ht="20">
      <c r="D23" s="22"/>
      <c r="E23" s="22"/>
      <c r="F23" s="22"/>
      <c r="G23" s="22"/>
      <c r="H23" s="22"/>
      <c r="I23" s="22"/>
      <c r="J23" s="22"/>
    </row>
    <row r="24" spans="1:10" ht="20">
      <c r="D24" s="22"/>
      <c r="E24" s="22"/>
      <c r="F24" s="22"/>
      <c r="G24" s="22"/>
      <c r="H24" s="22"/>
      <c r="I24" s="22"/>
      <c r="J24" s="22"/>
    </row>
    <row r="25" spans="1:10" ht="20">
      <c r="D25" s="22">
        <v>157.47999999999999</v>
      </c>
      <c r="E25" s="22">
        <v>165.1</v>
      </c>
      <c r="F25" s="22">
        <v>170.18</v>
      </c>
      <c r="G25" s="22">
        <v>175.26</v>
      </c>
      <c r="H25" s="22">
        <v>180.34</v>
      </c>
      <c r="I25" s="22">
        <v>185.42000000000002</v>
      </c>
      <c r="J25" s="22" t="s">
        <v>2521</v>
      </c>
    </row>
    <row r="26" spans="1:10" ht="20">
      <c r="D26" s="22">
        <v>165.1</v>
      </c>
      <c r="E26" s="22">
        <v>172.72</v>
      </c>
      <c r="F26" s="22">
        <v>177.8</v>
      </c>
      <c r="G26" s="22">
        <v>182.88</v>
      </c>
      <c r="H26" s="22">
        <v>187.96</v>
      </c>
      <c r="I26" s="22">
        <v>193.04</v>
      </c>
      <c r="J26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7D92-85B7-F74E-8E28-97CC8CDA2A6B}">
  <dimension ref="A1:J30"/>
  <sheetViews>
    <sheetView workbookViewId="0">
      <selection sqref="A1:B4"/>
    </sheetView>
  </sheetViews>
  <sheetFormatPr baseColWidth="10" defaultRowHeight="19"/>
  <cols>
    <col min="1" max="1" width="29.33203125" style="2" bestFit="1" customWidth="1"/>
    <col min="2" max="2" width="22.5" style="2" bestFit="1" customWidth="1"/>
    <col min="3" max="16384" width="10.83203125" style="2"/>
  </cols>
  <sheetData>
    <row r="1" spans="1:9">
      <c r="A1" s="2" t="s">
        <v>2412</v>
      </c>
      <c r="B1" s="2" t="s">
        <v>2416</v>
      </c>
    </row>
    <row r="2" spans="1:9">
      <c r="A2" s="2" t="s">
        <v>2413</v>
      </c>
      <c r="B2" s="112">
        <v>45107</v>
      </c>
    </row>
    <row r="3" spans="1:9">
      <c r="A3" s="2" t="s">
        <v>2414</v>
      </c>
      <c r="B3" s="2" t="s">
        <v>2417</v>
      </c>
    </row>
    <row r="4" spans="1:9">
      <c r="A4" s="2" t="s">
        <v>2415</v>
      </c>
      <c r="B4" s="2" t="s">
        <v>76</v>
      </c>
    </row>
    <row r="5" spans="1:9" ht="20">
      <c r="A5" s="22" t="s">
        <v>72</v>
      </c>
      <c r="B5" s="110" t="s">
        <v>141</v>
      </c>
      <c r="C5" s="110" t="s">
        <v>600</v>
      </c>
      <c r="D5" s="110" t="s">
        <v>539</v>
      </c>
      <c r="E5" s="110" t="s">
        <v>601</v>
      </c>
      <c r="F5" s="110" t="s">
        <v>413</v>
      </c>
      <c r="G5" s="110" t="s">
        <v>519</v>
      </c>
      <c r="H5" s="110" t="s">
        <v>415</v>
      </c>
      <c r="I5" s="110" t="s">
        <v>602</v>
      </c>
    </row>
    <row r="6" spans="1:9" ht="20">
      <c r="A6" s="22" t="s">
        <v>62</v>
      </c>
      <c r="B6" s="110" t="s">
        <v>3</v>
      </c>
      <c r="C6" s="111">
        <v>70</v>
      </c>
      <c r="D6" s="111">
        <v>70.5</v>
      </c>
      <c r="E6" s="111">
        <v>71</v>
      </c>
      <c r="F6" s="111">
        <v>71</v>
      </c>
      <c r="G6" s="111">
        <v>72</v>
      </c>
      <c r="H6" s="111">
        <v>72</v>
      </c>
      <c r="I6" s="111">
        <v>72</v>
      </c>
    </row>
    <row r="7" spans="1:9" ht="20">
      <c r="A7" s="22" t="s">
        <v>63</v>
      </c>
      <c r="B7" s="110" t="s">
        <v>603</v>
      </c>
      <c r="C7" s="111">
        <v>75</v>
      </c>
      <c r="D7" s="111">
        <v>74.5</v>
      </c>
      <c r="E7" s="111">
        <v>74.2</v>
      </c>
      <c r="F7" s="111">
        <v>73.5</v>
      </c>
      <c r="G7" s="111">
        <v>73</v>
      </c>
      <c r="H7" s="111">
        <v>72.5</v>
      </c>
      <c r="I7" s="111">
        <v>72</v>
      </c>
    </row>
    <row r="8" spans="1:9" ht="20">
      <c r="A8" s="22" t="s">
        <v>73</v>
      </c>
      <c r="B8" s="110" t="s">
        <v>604</v>
      </c>
      <c r="C8" s="111">
        <v>495</v>
      </c>
      <c r="D8" s="111">
        <v>515</v>
      </c>
      <c r="E8" s="111">
        <v>530</v>
      </c>
      <c r="F8" s="111">
        <v>545</v>
      </c>
      <c r="G8" s="111">
        <v>560</v>
      </c>
      <c r="H8" s="111">
        <v>580</v>
      </c>
      <c r="I8" s="111">
        <v>610</v>
      </c>
    </row>
    <row r="9" spans="1:9" ht="20">
      <c r="A9" s="22" t="s">
        <v>60</v>
      </c>
      <c r="B9" s="110" t="s">
        <v>173</v>
      </c>
      <c r="C9" s="111">
        <v>420</v>
      </c>
      <c r="D9" s="111">
        <v>450</v>
      </c>
      <c r="E9" s="111">
        <v>480</v>
      </c>
      <c r="F9" s="111">
        <v>510</v>
      </c>
      <c r="G9" s="111">
        <v>540</v>
      </c>
      <c r="H9" s="111">
        <v>570</v>
      </c>
      <c r="I9" s="111">
        <v>600</v>
      </c>
    </row>
    <row r="10" spans="1:9" ht="20">
      <c r="A10" s="22" t="s">
        <v>66</v>
      </c>
      <c r="B10" s="110" t="s">
        <v>7</v>
      </c>
      <c r="C10" s="111">
        <v>420</v>
      </c>
      <c r="D10" s="111">
        <v>420</v>
      </c>
      <c r="E10" s="111">
        <v>435</v>
      </c>
      <c r="F10" s="111">
        <v>440</v>
      </c>
      <c r="G10" s="111">
        <v>440</v>
      </c>
      <c r="H10" s="111">
        <v>445</v>
      </c>
      <c r="I10" s="111">
        <v>445</v>
      </c>
    </row>
    <row r="11" spans="1:9" ht="20">
      <c r="A11" s="22" t="s">
        <v>65</v>
      </c>
      <c r="B11" s="110" t="s">
        <v>6</v>
      </c>
      <c r="C11" s="111">
        <v>58</v>
      </c>
      <c r="D11" s="111">
        <v>58</v>
      </c>
      <c r="E11" s="111">
        <v>75</v>
      </c>
      <c r="F11" s="111">
        <v>75</v>
      </c>
      <c r="G11" s="111">
        <v>75</v>
      </c>
      <c r="H11" s="111">
        <v>75</v>
      </c>
      <c r="I11" s="111">
        <v>75</v>
      </c>
    </row>
    <row r="12" spans="1:9" ht="20">
      <c r="A12" s="22" t="s">
        <v>67</v>
      </c>
      <c r="B12" s="110" t="s">
        <v>247</v>
      </c>
      <c r="C12" s="111">
        <v>49</v>
      </c>
      <c r="D12" s="111">
        <v>49</v>
      </c>
      <c r="E12" s="111">
        <v>52</v>
      </c>
      <c r="F12" s="111">
        <v>52</v>
      </c>
      <c r="G12" s="111">
        <v>47</v>
      </c>
      <c r="H12" s="111">
        <v>47</v>
      </c>
      <c r="I12" s="111">
        <v>47</v>
      </c>
    </row>
    <row r="13" spans="1:9">
      <c r="A13" s="2" t="s">
        <v>2418</v>
      </c>
      <c r="B13" s="110" t="s">
        <v>605</v>
      </c>
      <c r="C13" s="111">
        <v>376</v>
      </c>
      <c r="D13" s="111">
        <v>376</v>
      </c>
      <c r="E13" s="111">
        <v>395</v>
      </c>
      <c r="F13" s="111">
        <v>395</v>
      </c>
      <c r="G13" s="111">
        <v>395</v>
      </c>
      <c r="H13" s="111">
        <v>395</v>
      </c>
      <c r="I13" s="111">
        <v>395</v>
      </c>
    </row>
    <row r="14" spans="1:9" ht="20">
      <c r="A14" s="22" t="s">
        <v>64</v>
      </c>
      <c r="B14" s="110" t="s">
        <v>5</v>
      </c>
      <c r="C14" s="111">
        <v>95</v>
      </c>
      <c r="D14" s="111">
        <v>105</v>
      </c>
      <c r="E14" s="111">
        <v>110</v>
      </c>
      <c r="F14" s="111">
        <v>125</v>
      </c>
      <c r="G14" s="111">
        <v>150</v>
      </c>
      <c r="H14" s="111">
        <v>175</v>
      </c>
      <c r="I14" s="111">
        <v>200</v>
      </c>
    </row>
    <row r="15" spans="1:9" ht="20">
      <c r="A15" s="22" t="s">
        <v>57</v>
      </c>
      <c r="B15" s="110" t="s">
        <v>14</v>
      </c>
      <c r="C15" s="111">
        <v>725.3</v>
      </c>
      <c r="D15" s="111">
        <v>747.2</v>
      </c>
      <c r="E15" s="111">
        <v>779</v>
      </c>
      <c r="F15" s="111">
        <v>802</v>
      </c>
      <c r="G15" s="111">
        <v>831</v>
      </c>
      <c r="H15" s="111">
        <v>857.3</v>
      </c>
      <c r="I15" s="111">
        <v>883.1</v>
      </c>
    </row>
    <row r="16" spans="1:9" ht="20">
      <c r="A16" s="22" t="s">
        <v>56</v>
      </c>
      <c r="B16" s="110" t="s">
        <v>9</v>
      </c>
      <c r="C16" s="111">
        <v>989.4</v>
      </c>
      <c r="D16" s="111">
        <v>1001.1</v>
      </c>
      <c r="E16" s="111">
        <v>1021.1</v>
      </c>
      <c r="F16" s="111">
        <v>1034.5999999999999</v>
      </c>
      <c r="G16" s="111">
        <v>1029.9000000000001</v>
      </c>
      <c r="H16" s="111">
        <v>1049.5999999999999</v>
      </c>
      <c r="I16" s="111">
        <v>1073.7</v>
      </c>
    </row>
    <row r="17" spans="1:10" ht="20">
      <c r="A17" s="22" t="s">
        <v>54</v>
      </c>
      <c r="B17" s="110" t="s">
        <v>0</v>
      </c>
      <c r="C17" s="111">
        <v>493</v>
      </c>
      <c r="D17" s="111">
        <v>504</v>
      </c>
      <c r="E17" s="111">
        <v>545</v>
      </c>
      <c r="F17" s="111">
        <v>559</v>
      </c>
      <c r="G17" s="111">
        <v>589</v>
      </c>
      <c r="H17" s="111">
        <v>612</v>
      </c>
      <c r="I17" s="111">
        <v>636</v>
      </c>
    </row>
    <row r="18" spans="1:10" ht="20">
      <c r="A18" s="22" t="s">
        <v>55</v>
      </c>
      <c r="B18" s="110" t="s">
        <v>1</v>
      </c>
      <c r="C18" s="111">
        <v>363</v>
      </c>
      <c r="D18" s="111">
        <v>375</v>
      </c>
      <c r="E18" s="111">
        <v>376</v>
      </c>
      <c r="F18" s="111">
        <v>380</v>
      </c>
      <c r="G18" s="111">
        <v>380</v>
      </c>
      <c r="H18" s="111">
        <v>387</v>
      </c>
      <c r="I18" s="111">
        <v>403</v>
      </c>
    </row>
    <row r="19" spans="1:10" ht="20">
      <c r="A19" s="22" t="s">
        <v>70</v>
      </c>
      <c r="B19" s="110" t="s">
        <v>12</v>
      </c>
      <c r="C19" s="111">
        <v>380</v>
      </c>
      <c r="D19" s="111">
        <v>380</v>
      </c>
      <c r="E19" s="111">
        <v>400</v>
      </c>
      <c r="F19" s="111">
        <v>420</v>
      </c>
      <c r="G19" s="111">
        <v>420</v>
      </c>
      <c r="H19" s="111">
        <v>440</v>
      </c>
      <c r="I19" s="111">
        <v>460</v>
      </c>
    </row>
    <row r="20" spans="1:10" ht="20">
      <c r="A20" s="22" t="s">
        <v>71</v>
      </c>
      <c r="B20" s="110" t="s">
        <v>13</v>
      </c>
      <c r="C20" s="111">
        <v>70</v>
      </c>
      <c r="D20" s="111">
        <v>80</v>
      </c>
      <c r="E20" s="111">
        <v>90</v>
      </c>
      <c r="F20" s="111">
        <v>100</v>
      </c>
      <c r="G20" s="111">
        <v>100</v>
      </c>
      <c r="H20" s="111">
        <v>110</v>
      </c>
      <c r="I20" s="111">
        <v>120</v>
      </c>
    </row>
    <row r="21" spans="1:10" ht="20">
      <c r="A21" s="22" t="s">
        <v>69</v>
      </c>
      <c r="B21" s="110" t="s">
        <v>534</v>
      </c>
      <c r="C21" s="111">
        <v>165</v>
      </c>
      <c r="D21" s="111">
        <v>165</v>
      </c>
      <c r="E21" s="111">
        <v>170</v>
      </c>
      <c r="F21" s="111">
        <v>170</v>
      </c>
      <c r="G21" s="111">
        <v>172.5</v>
      </c>
      <c r="H21" s="111">
        <v>175</v>
      </c>
      <c r="I21" s="111">
        <v>175</v>
      </c>
    </row>
    <row r="22" spans="1:10" ht="20">
      <c r="A22" s="22" t="s">
        <v>68</v>
      </c>
      <c r="B22" s="22" t="s">
        <v>68</v>
      </c>
      <c r="C22" s="2">
        <v>650</v>
      </c>
      <c r="D22" s="2">
        <v>650</v>
      </c>
      <c r="E22" s="2">
        <v>650</v>
      </c>
      <c r="F22" s="2">
        <v>650</v>
      </c>
      <c r="G22" s="2">
        <v>650</v>
      </c>
      <c r="H22" s="2">
        <v>650</v>
      </c>
      <c r="I22" s="2">
        <v>650</v>
      </c>
    </row>
    <row r="23" spans="1:10" ht="20">
      <c r="A23" s="22" t="s">
        <v>139</v>
      </c>
      <c r="B23" s="22" t="s">
        <v>139</v>
      </c>
      <c r="C23" s="2">
        <v>47</v>
      </c>
      <c r="D23" s="2">
        <v>47</v>
      </c>
      <c r="E23" s="2">
        <v>47</v>
      </c>
      <c r="F23" s="2">
        <v>47</v>
      </c>
      <c r="G23" s="2">
        <v>47</v>
      </c>
      <c r="H23" s="2">
        <v>47</v>
      </c>
      <c r="I23" s="2">
        <v>47</v>
      </c>
    </row>
    <row r="24" spans="1:10" ht="20">
      <c r="A24" s="22" t="s">
        <v>140</v>
      </c>
      <c r="B24" s="22" t="s">
        <v>140</v>
      </c>
      <c r="C24" s="2">
        <v>47</v>
      </c>
      <c r="D24" s="2">
        <v>47</v>
      </c>
      <c r="E24" s="2">
        <v>47</v>
      </c>
      <c r="F24" s="2">
        <v>47</v>
      </c>
      <c r="G24" s="2">
        <v>47</v>
      </c>
      <c r="H24" s="2">
        <v>47</v>
      </c>
      <c r="I24" s="2">
        <v>47</v>
      </c>
      <c r="J24" s="2" t="s">
        <v>2419</v>
      </c>
    </row>
    <row r="25" spans="1:10" ht="20">
      <c r="A25" s="22" t="s">
        <v>1752</v>
      </c>
      <c r="B25" s="22" t="s">
        <v>1752</v>
      </c>
      <c r="C25" s="24">
        <v>155</v>
      </c>
      <c r="D25" s="22">
        <v>160</v>
      </c>
      <c r="E25" s="22">
        <v>165</v>
      </c>
      <c r="F25" s="22">
        <v>171</v>
      </c>
      <c r="G25" s="22">
        <v>176</v>
      </c>
      <c r="H25" s="22">
        <v>181</v>
      </c>
      <c r="I25" s="22">
        <v>186</v>
      </c>
      <c r="J25" s="22" t="s">
        <v>2520</v>
      </c>
    </row>
    <row r="26" spans="1:10" ht="20">
      <c r="A26" s="22" t="s">
        <v>1753</v>
      </c>
      <c r="B26" s="22" t="s">
        <v>1753</v>
      </c>
      <c r="C26" s="24">
        <v>160</v>
      </c>
      <c r="D26" s="22">
        <v>165</v>
      </c>
      <c r="E26" s="22">
        <v>171</v>
      </c>
      <c r="F26" s="22">
        <v>176</v>
      </c>
      <c r="G26" s="22">
        <v>181</v>
      </c>
      <c r="H26" s="22">
        <v>186</v>
      </c>
      <c r="I26" s="22">
        <v>193</v>
      </c>
      <c r="J26" s="22"/>
    </row>
    <row r="27" spans="1:10" ht="20">
      <c r="C27"/>
      <c r="D27" s="22"/>
      <c r="E27" s="22"/>
      <c r="F27" s="22"/>
      <c r="G27" s="22"/>
      <c r="H27" s="22"/>
      <c r="I27" s="22"/>
      <c r="J27" s="22"/>
    </row>
    <row r="28" spans="1:10" ht="20">
      <c r="C28"/>
      <c r="D28" s="22"/>
      <c r="E28" s="22"/>
      <c r="F28" s="22"/>
      <c r="G28" s="22"/>
      <c r="H28" s="22"/>
      <c r="I28" s="22"/>
      <c r="J28" s="22"/>
    </row>
    <row r="29" spans="1:10" ht="20">
      <c r="C29"/>
      <c r="D29" s="22">
        <v>157.47999999999999</v>
      </c>
      <c r="E29" s="22">
        <v>165.1</v>
      </c>
      <c r="F29" s="22">
        <v>170.18</v>
      </c>
      <c r="G29" s="22">
        <v>175.26</v>
      </c>
      <c r="H29" s="22">
        <v>180.34</v>
      </c>
      <c r="I29" s="22">
        <v>185.42000000000002</v>
      </c>
      <c r="J29" s="22" t="s">
        <v>2521</v>
      </c>
    </row>
    <row r="30" spans="1:10" ht="20">
      <c r="C30"/>
      <c r="D30" s="22">
        <v>165.1</v>
      </c>
      <c r="E30" s="22">
        <v>172.72</v>
      </c>
      <c r="F30" s="22">
        <v>177.8</v>
      </c>
      <c r="G30" s="22">
        <v>182.88</v>
      </c>
      <c r="H30" s="22">
        <v>187.96</v>
      </c>
      <c r="I30" s="22">
        <v>193.04</v>
      </c>
      <c r="J30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B211-9C37-3740-922D-642DAE3A0B6B}">
  <dimension ref="A1:F30"/>
  <sheetViews>
    <sheetView workbookViewId="0">
      <selection activeCell="A2" sqref="A1:A1048576"/>
    </sheetView>
  </sheetViews>
  <sheetFormatPr baseColWidth="10" defaultRowHeight="20"/>
  <cols>
    <col min="1" max="1" width="29.33203125" style="22" bestFit="1" customWidth="1"/>
    <col min="2" max="2" width="22.1640625" style="22" bestFit="1" customWidth="1"/>
    <col min="3" max="16384" width="10.83203125" style="22"/>
  </cols>
  <sheetData>
    <row r="1" spans="1:6">
      <c r="A1" s="22" t="s">
        <v>72</v>
      </c>
      <c r="B1" s="22" t="s">
        <v>138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6">
      <c r="A2" s="22" t="s">
        <v>64</v>
      </c>
      <c r="B2" s="22" t="s">
        <v>1359</v>
      </c>
      <c r="C2" s="22">
        <v>121</v>
      </c>
      <c r="D2" s="22">
        <v>154</v>
      </c>
      <c r="E2" s="22">
        <v>190</v>
      </c>
      <c r="F2" s="22">
        <v>231</v>
      </c>
    </row>
    <row r="3" spans="1:6">
      <c r="A3" s="22" t="s">
        <v>73</v>
      </c>
      <c r="B3" s="22" t="s">
        <v>1360</v>
      </c>
      <c r="C3" s="22">
        <v>557</v>
      </c>
      <c r="D3" s="22">
        <v>578</v>
      </c>
      <c r="E3" s="22">
        <v>591</v>
      </c>
      <c r="F3" s="22">
        <v>612</v>
      </c>
    </row>
    <row r="4" spans="1:6">
      <c r="A4" s="22" t="s">
        <v>55</v>
      </c>
      <c r="B4" s="22" t="s">
        <v>1361</v>
      </c>
      <c r="C4" s="22">
        <v>403</v>
      </c>
      <c r="D4" s="22">
        <v>415</v>
      </c>
      <c r="E4" s="22">
        <v>418</v>
      </c>
      <c r="F4" s="22">
        <v>428</v>
      </c>
    </row>
    <row r="5" spans="1:6">
      <c r="A5" s="22" t="s">
        <v>54</v>
      </c>
      <c r="B5" s="22" t="s">
        <v>1362</v>
      </c>
      <c r="C5" s="22">
        <v>538</v>
      </c>
      <c r="D5" s="22">
        <v>569</v>
      </c>
      <c r="E5" s="22">
        <v>603</v>
      </c>
      <c r="F5" s="22">
        <v>641</v>
      </c>
    </row>
    <row r="6" spans="1:6">
      <c r="A6" s="22" t="s">
        <v>62</v>
      </c>
      <c r="B6" s="22" t="s">
        <v>1363</v>
      </c>
      <c r="C6" s="22">
        <v>70</v>
      </c>
      <c r="D6" s="22">
        <v>70</v>
      </c>
      <c r="E6" s="22">
        <v>70</v>
      </c>
      <c r="F6" s="22">
        <v>70</v>
      </c>
    </row>
    <row r="7" spans="1:6">
      <c r="A7" s="22" t="s">
        <v>60</v>
      </c>
      <c r="B7" s="22" t="s">
        <v>1364</v>
      </c>
      <c r="C7" s="22">
        <v>466</v>
      </c>
      <c r="D7" s="22">
        <v>494</v>
      </c>
      <c r="E7" s="22">
        <v>527</v>
      </c>
      <c r="F7" s="22">
        <v>562</v>
      </c>
    </row>
    <row r="8" spans="1:6">
      <c r="A8" s="22" t="s">
        <v>917</v>
      </c>
      <c r="B8" s="22" t="s">
        <v>1365</v>
      </c>
      <c r="C8" s="22">
        <v>427</v>
      </c>
      <c r="D8" s="22">
        <v>427</v>
      </c>
      <c r="E8" s="22">
        <v>427</v>
      </c>
      <c r="F8" s="22">
        <v>427</v>
      </c>
    </row>
    <row r="9" spans="1:6">
      <c r="A9" s="22" t="s">
        <v>63</v>
      </c>
      <c r="B9" s="22" t="s">
        <v>1366</v>
      </c>
      <c r="C9" s="22">
        <v>74</v>
      </c>
      <c r="D9" s="22">
        <v>74</v>
      </c>
      <c r="E9" s="22">
        <v>74</v>
      </c>
      <c r="F9" s="22">
        <v>74</v>
      </c>
    </row>
    <row r="10" spans="1:6">
      <c r="A10" s="22" t="s">
        <v>65</v>
      </c>
      <c r="B10" s="22" t="s">
        <v>1367</v>
      </c>
      <c r="C10" s="22">
        <v>75</v>
      </c>
      <c r="D10" s="22">
        <v>75</v>
      </c>
      <c r="E10" s="22">
        <v>75</v>
      </c>
      <c r="F10" s="22">
        <v>75</v>
      </c>
    </row>
    <row r="11" spans="1:6">
      <c r="A11" s="22" t="s">
        <v>56</v>
      </c>
      <c r="B11" s="22" t="s">
        <v>1368</v>
      </c>
      <c r="C11" s="22">
        <v>1048</v>
      </c>
      <c r="D11" s="22">
        <v>1071</v>
      </c>
      <c r="E11" s="22">
        <v>1087</v>
      </c>
      <c r="F11" s="22">
        <v>1111</v>
      </c>
    </row>
    <row r="12" spans="1:6">
      <c r="A12" s="22" t="s">
        <v>495</v>
      </c>
      <c r="B12" s="22" t="s">
        <v>1369</v>
      </c>
      <c r="C12" s="22">
        <v>395</v>
      </c>
      <c r="D12" s="22">
        <v>395</v>
      </c>
      <c r="E12" s="22">
        <v>395</v>
      </c>
      <c r="F12" s="22">
        <v>395</v>
      </c>
    </row>
    <row r="13" spans="1:6">
      <c r="A13" s="22" t="s">
        <v>1372</v>
      </c>
      <c r="B13" s="22" t="s">
        <v>1370</v>
      </c>
      <c r="C13" s="22" t="s">
        <v>1152</v>
      </c>
      <c r="D13" s="22" t="s">
        <v>1152</v>
      </c>
      <c r="E13" s="22" t="s">
        <v>1152</v>
      </c>
      <c r="F13" s="22" t="s">
        <v>1152</v>
      </c>
    </row>
    <row r="14" spans="1:6">
      <c r="A14" s="22" t="s">
        <v>70</v>
      </c>
      <c r="B14" s="22" t="s">
        <v>1371</v>
      </c>
      <c r="C14" s="22">
        <v>420</v>
      </c>
      <c r="D14" s="22">
        <v>420</v>
      </c>
      <c r="E14" s="22">
        <v>440</v>
      </c>
      <c r="F14" s="22">
        <v>440</v>
      </c>
    </row>
    <row r="15" spans="1:6">
      <c r="A15" s="22" t="s">
        <v>67</v>
      </c>
      <c r="B15" s="22" t="s">
        <v>67</v>
      </c>
    </row>
    <row r="16" spans="1:6">
      <c r="A16" s="22" t="s">
        <v>69</v>
      </c>
      <c r="B16" s="22" t="s">
        <v>69</v>
      </c>
    </row>
    <row r="17" spans="1:6">
      <c r="A17" s="22" t="s">
        <v>70</v>
      </c>
      <c r="B17" s="22" t="s">
        <v>70</v>
      </c>
    </row>
    <row r="18" spans="1:6">
      <c r="A18" s="22" t="s">
        <v>71</v>
      </c>
      <c r="B18" s="22" t="s">
        <v>71</v>
      </c>
    </row>
    <row r="19" spans="1:6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</row>
    <row r="20" spans="1:6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</row>
    <row r="21" spans="1:6">
      <c r="A21" s="22" t="s">
        <v>140</v>
      </c>
      <c r="B21" s="22" t="s">
        <v>140</v>
      </c>
      <c r="C21" s="22">
        <v>47</v>
      </c>
      <c r="D21" s="22">
        <v>47</v>
      </c>
      <c r="E21" s="22">
        <v>47</v>
      </c>
      <c r="F21" s="22">
        <v>47</v>
      </c>
    </row>
    <row r="22" spans="1:6">
      <c r="A22" s="22" t="s">
        <v>1752</v>
      </c>
      <c r="C22" s="22">
        <v>158</v>
      </c>
      <c r="D22" s="22">
        <v>168</v>
      </c>
      <c r="E22" s="22">
        <v>174</v>
      </c>
      <c r="F22" s="22">
        <v>182</v>
      </c>
    </row>
    <row r="23" spans="1:6">
      <c r="A23" s="22" t="s">
        <v>1753</v>
      </c>
      <c r="C23" s="22">
        <v>172</v>
      </c>
      <c r="D23" s="22">
        <v>178</v>
      </c>
      <c r="E23" s="22">
        <v>186</v>
      </c>
      <c r="F23" s="22">
        <v>196</v>
      </c>
    </row>
    <row r="27" spans="1:6">
      <c r="B27" s="22" t="s">
        <v>1373</v>
      </c>
    </row>
    <row r="28" spans="1:6">
      <c r="B28" s="22" t="s">
        <v>1374</v>
      </c>
    </row>
    <row r="29" spans="1:6">
      <c r="B29" s="22" t="s">
        <v>1375</v>
      </c>
    </row>
    <row r="30" spans="1:6">
      <c r="B30" s="22" t="s">
        <v>1376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EB98-0176-DF4E-A2A8-2E1B6AC9D67D}">
  <dimension ref="A1:K76"/>
  <sheetViews>
    <sheetView workbookViewId="0">
      <selection activeCell="C19" sqref="C19"/>
    </sheetView>
  </sheetViews>
  <sheetFormatPr baseColWidth="10" defaultRowHeight="20"/>
  <cols>
    <col min="1" max="1" width="27.1640625" style="22" bestFit="1" customWidth="1"/>
    <col min="2" max="2" width="46" style="22" bestFit="1" customWidth="1"/>
    <col min="3" max="16384" width="10.83203125" style="22"/>
  </cols>
  <sheetData>
    <row r="1" spans="1:11">
      <c r="A1" s="22" t="s">
        <v>72</v>
      </c>
      <c r="B1" s="22" t="s">
        <v>141</v>
      </c>
      <c r="C1" s="23" t="s">
        <v>220</v>
      </c>
      <c r="D1" s="23" t="s">
        <v>221</v>
      </c>
      <c r="E1" s="23" t="s">
        <v>223</v>
      </c>
      <c r="F1" s="23" t="s">
        <v>224</v>
      </c>
    </row>
    <row r="2" spans="1:11">
      <c r="A2" s="22" t="s">
        <v>54</v>
      </c>
      <c r="B2" s="27" t="s">
        <v>0</v>
      </c>
      <c r="C2" s="24">
        <f t="shared" ref="C2:F3" si="0">VALUE(LEFT(C52,3))</f>
        <v>577</v>
      </c>
      <c r="D2" s="24">
        <f t="shared" si="0"/>
        <v>593</v>
      </c>
      <c r="E2" s="24">
        <f t="shared" si="0"/>
        <v>616</v>
      </c>
      <c r="F2" s="24">
        <f t="shared" si="0"/>
        <v>635</v>
      </c>
      <c r="G2" s="22" t="s">
        <v>1391</v>
      </c>
      <c r="K2"/>
    </row>
    <row r="3" spans="1:11">
      <c r="A3" s="22" t="s">
        <v>55</v>
      </c>
      <c r="B3" s="27" t="s">
        <v>1</v>
      </c>
      <c r="C3" s="24">
        <f t="shared" si="0"/>
        <v>401</v>
      </c>
      <c r="D3" s="24">
        <f t="shared" si="0"/>
        <v>414</v>
      </c>
      <c r="E3" s="24">
        <f t="shared" si="0"/>
        <v>431</v>
      </c>
      <c r="F3" s="24">
        <f t="shared" si="0"/>
        <v>453</v>
      </c>
    </row>
    <row r="4" spans="1:11">
      <c r="A4" s="22" t="s">
        <v>1455</v>
      </c>
      <c r="B4" s="27" t="s">
        <v>1377</v>
      </c>
      <c r="C4" s="24">
        <f>VALUE(LEFT(C54,4))</f>
        <v>1.44</v>
      </c>
      <c r="D4" s="24">
        <f>VALUE(LEFT(D54,4))</f>
        <v>1.43</v>
      </c>
      <c r="E4" s="24">
        <f>VALUE(LEFT(E54,4))</f>
        <v>1.43</v>
      </c>
      <c r="F4" s="24">
        <f>VALUE(LEFT(F54,3))</f>
        <v>1.4</v>
      </c>
    </row>
    <row r="5" spans="1:11">
      <c r="A5" s="22" t="s">
        <v>60</v>
      </c>
      <c r="B5" s="27" t="s">
        <v>2</v>
      </c>
      <c r="C5" s="24">
        <f>VALUE(LEFT(C55,3))</f>
        <v>410</v>
      </c>
      <c r="D5" s="24">
        <f>VALUE(LEFT(D55,3))</f>
        <v>460</v>
      </c>
      <c r="E5" s="24">
        <f>VALUE(LEFT(E55,3))</f>
        <v>480</v>
      </c>
      <c r="F5" s="24">
        <f>VALUE(LEFT(F55,3))</f>
        <v>500</v>
      </c>
    </row>
    <row r="6" spans="1:11">
      <c r="A6" s="22" t="s">
        <v>73</v>
      </c>
      <c r="B6" s="22" t="s">
        <v>73</v>
      </c>
      <c r="C6" s="24"/>
      <c r="D6" s="24"/>
      <c r="E6" s="24"/>
      <c r="F6" s="24"/>
    </row>
    <row r="7" spans="1:11">
      <c r="A7" s="22" t="s">
        <v>1454</v>
      </c>
      <c r="B7" s="27" t="s">
        <v>1381</v>
      </c>
      <c r="C7" s="24">
        <f>VALUE(LEFT(C56,4))</f>
        <v>19.5</v>
      </c>
      <c r="D7" s="24">
        <f>VALUE(LEFT(D56,4))</f>
        <v>15.6</v>
      </c>
      <c r="E7" s="24">
        <f>VALUE(LEFT(E56,4))</f>
        <v>15.4</v>
      </c>
      <c r="F7" s="24">
        <f>VALUE(LEFT(F56,4))</f>
        <v>14.7</v>
      </c>
    </row>
    <row r="8" spans="1:11">
      <c r="A8" s="22" t="s">
        <v>62</v>
      </c>
      <c r="B8" s="27" t="s">
        <v>3</v>
      </c>
      <c r="C8" s="24">
        <f>VALUE(LEFT(C57,2))</f>
        <v>68</v>
      </c>
      <c r="D8" s="24">
        <f>VALUE(LEFT(D57,2))</f>
        <v>68</v>
      </c>
      <c r="E8" s="24">
        <f t="shared" ref="E8:F10" si="1">VALUE(LEFT(E57,4))</f>
        <v>68.5</v>
      </c>
      <c r="F8" s="24">
        <f t="shared" si="1"/>
        <v>68.5</v>
      </c>
    </row>
    <row r="9" spans="1:11">
      <c r="A9" s="22" t="s">
        <v>1453</v>
      </c>
      <c r="B9" s="27" t="s">
        <v>4</v>
      </c>
      <c r="C9" s="24">
        <f>VALUE(LEFT(C58,4))</f>
        <v>72.5</v>
      </c>
      <c r="D9" s="24">
        <f>VALUE(LEFT(D58,4))</f>
        <v>72.5</v>
      </c>
      <c r="E9" s="24">
        <f t="shared" si="1"/>
        <v>72.5</v>
      </c>
      <c r="F9" s="24">
        <f t="shared" si="1"/>
        <v>72.5</v>
      </c>
    </row>
    <row r="10" spans="1:11">
      <c r="A10" s="22" t="s">
        <v>63</v>
      </c>
      <c r="B10" s="27" t="s">
        <v>1382</v>
      </c>
      <c r="C10" s="24">
        <f>VALUE(LEFT(C59,4))</f>
        <v>74.599999999999994</v>
      </c>
      <c r="D10" s="24">
        <f>VALUE(LEFT(D59,4))</f>
        <v>74.400000000000006</v>
      </c>
      <c r="E10" s="24">
        <f t="shared" si="1"/>
        <v>74.3</v>
      </c>
      <c r="F10" s="24">
        <f t="shared" si="1"/>
        <v>74.2</v>
      </c>
    </row>
    <row r="11" spans="1:11">
      <c r="A11" s="22" t="s">
        <v>64</v>
      </c>
      <c r="B11" s="27" t="s">
        <v>5</v>
      </c>
      <c r="C11" s="24">
        <f>VALUE(LEFT(C60,3))</f>
        <v>160</v>
      </c>
      <c r="D11" s="24">
        <f>VALUE(LEFT(D60,3))</f>
        <v>180</v>
      </c>
      <c r="E11" s="24">
        <f>VALUE(LEFT(E60,3))</f>
        <v>200</v>
      </c>
      <c r="F11" s="24">
        <f>VALUE(LEFT(F60,3))</f>
        <v>220</v>
      </c>
    </row>
    <row r="12" spans="1:11">
      <c r="A12" s="22" t="s">
        <v>65</v>
      </c>
      <c r="B12" s="27" t="s">
        <v>6</v>
      </c>
      <c r="C12" s="24">
        <f>VALUE(LEFT(C61,2))</f>
        <v>77</v>
      </c>
      <c r="D12" s="24">
        <f>VALUE(LEFT(D61,2))</f>
        <v>77</v>
      </c>
      <c r="E12" s="24">
        <f>VALUE(LEFT(E61,2))</f>
        <v>77</v>
      </c>
      <c r="F12" s="24">
        <f>VALUE(LEFT(F61,2))</f>
        <v>77</v>
      </c>
    </row>
    <row r="13" spans="1:11">
      <c r="A13" s="22" t="s">
        <v>1456</v>
      </c>
      <c r="B13" s="27" t="s">
        <v>1271</v>
      </c>
      <c r="C13" s="24">
        <f t="shared" ref="C13:F15" si="2">VALUE(LEFT(C62,3))</f>
        <v>284</v>
      </c>
      <c r="D13" s="24">
        <f t="shared" si="2"/>
        <v>284</v>
      </c>
      <c r="E13" s="24">
        <f t="shared" si="2"/>
        <v>284</v>
      </c>
      <c r="F13" s="24">
        <f t="shared" si="2"/>
        <v>284</v>
      </c>
    </row>
    <row r="14" spans="1:11">
      <c r="A14" s="22" t="s">
        <v>66</v>
      </c>
      <c r="B14" s="27" t="s">
        <v>7</v>
      </c>
      <c r="C14" s="24">
        <f t="shared" si="2"/>
        <v>420</v>
      </c>
      <c r="D14" s="24">
        <f t="shared" si="2"/>
        <v>420</v>
      </c>
      <c r="E14" s="24">
        <f t="shared" si="2"/>
        <v>420</v>
      </c>
      <c r="F14" s="24">
        <f t="shared" si="2"/>
        <v>420</v>
      </c>
    </row>
    <row r="15" spans="1:11">
      <c r="A15" s="22" t="s">
        <v>1457</v>
      </c>
      <c r="B15" s="27" t="s">
        <v>1383</v>
      </c>
      <c r="C15" s="24">
        <f t="shared" si="2"/>
        <v>440</v>
      </c>
      <c r="D15" s="24">
        <f t="shared" si="2"/>
        <v>440</v>
      </c>
      <c r="E15" s="24">
        <f t="shared" si="2"/>
        <v>440</v>
      </c>
      <c r="F15" s="24">
        <f t="shared" si="2"/>
        <v>440</v>
      </c>
    </row>
    <row r="16" spans="1:11">
      <c r="A16" s="51" t="s">
        <v>917</v>
      </c>
      <c r="B16" s="27" t="s">
        <v>1384</v>
      </c>
      <c r="C16" s="24">
        <f t="shared" ref="C16:F17" si="3">VALUE(LEFT(C65,5))</f>
        <v>412.9</v>
      </c>
      <c r="D16" s="24">
        <f t="shared" si="3"/>
        <v>412.9</v>
      </c>
      <c r="E16" s="24">
        <f t="shared" si="3"/>
        <v>412.9</v>
      </c>
      <c r="F16" s="24">
        <f t="shared" si="3"/>
        <v>412.9</v>
      </c>
    </row>
    <row r="17" spans="1:6">
      <c r="A17" s="51" t="s">
        <v>1458</v>
      </c>
      <c r="B17" s="27" t="s">
        <v>1385</v>
      </c>
      <c r="C17" s="24">
        <f t="shared" si="3"/>
        <v>433.2</v>
      </c>
      <c r="D17" s="24">
        <f t="shared" si="3"/>
        <v>433.2</v>
      </c>
      <c r="E17" s="24">
        <f t="shared" si="3"/>
        <v>433.2</v>
      </c>
      <c r="F17" s="24">
        <f t="shared" si="3"/>
        <v>433.2</v>
      </c>
    </row>
    <row r="18" spans="1:6">
      <c r="A18" s="22" t="s">
        <v>134</v>
      </c>
      <c r="B18" s="27" t="s">
        <v>8</v>
      </c>
      <c r="C18" s="24">
        <f>VALUE(LEFT(C67,3))</f>
        <v>655</v>
      </c>
      <c r="D18" s="24">
        <f>VALUE(LEFT(D67,3))</f>
        <v>680</v>
      </c>
      <c r="E18" s="24">
        <f>VALUE(LEFT(E67,3))</f>
        <v>700</v>
      </c>
      <c r="F18" s="24">
        <f>VALUE(LEFT(F67,3))</f>
        <v>730</v>
      </c>
    </row>
    <row r="19" spans="1:6">
      <c r="A19" s="22" t="s">
        <v>1459</v>
      </c>
      <c r="B19" s="27" t="s">
        <v>1386</v>
      </c>
      <c r="C19" s="24">
        <f>VALUE(LEFT(C68,5))</f>
        <v>648.1</v>
      </c>
      <c r="D19" s="24">
        <f>VALUE(LEFT(D68,5))</f>
        <v>673.1</v>
      </c>
      <c r="E19" s="24">
        <f>VALUE(LEFT(E68,5))</f>
        <v>693.1</v>
      </c>
      <c r="F19" s="24">
        <f>VALUE(LEFT(F68,5))</f>
        <v>728.1</v>
      </c>
    </row>
    <row r="20" spans="1:6">
      <c r="A20" s="22" t="s">
        <v>56</v>
      </c>
      <c r="B20" s="27" t="s">
        <v>9</v>
      </c>
      <c r="C20" s="24">
        <f t="shared" ref="C20:F21" si="4">VALUE(LEFT(C69,4))</f>
        <v>1061</v>
      </c>
      <c r="D20" s="24">
        <f t="shared" si="4"/>
        <v>1086</v>
      </c>
      <c r="E20" s="24">
        <f t="shared" si="4"/>
        <v>1106</v>
      </c>
      <c r="F20" s="24">
        <f t="shared" si="4"/>
        <v>1141</v>
      </c>
    </row>
    <row r="21" spans="1:6">
      <c r="A21" s="22" t="s">
        <v>1460</v>
      </c>
      <c r="B21" s="27" t="s">
        <v>1387</v>
      </c>
      <c r="C21" s="24">
        <f t="shared" si="4"/>
        <v>1091</v>
      </c>
      <c r="D21" s="24">
        <f t="shared" si="4"/>
        <v>1111</v>
      </c>
      <c r="E21" s="24">
        <f t="shared" si="4"/>
        <v>1131</v>
      </c>
      <c r="F21" s="24">
        <f t="shared" si="4"/>
        <v>1166</v>
      </c>
    </row>
    <row r="22" spans="1:6">
      <c r="A22" s="22" t="s">
        <v>67</v>
      </c>
      <c r="B22" s="27" t="s">
        <v>10</v>
      </c>
      <c r="C22" s="24">
        <f>VALUE(LEFT(C71,2))</f>
        <v>49</v>
      </c>
      <c r="D22" s="24">
        <f>VALUE(LEFT(D71,2))</f>
        <v>49</v>
      </c>
      <c r="E22" s="24">
        <f>VALUE(LEFT(E71,2))</f>
        <v>49</v>
      </c>
      <c r="F22" s="24">
        <f>VALUE(LEFT(F71,2))</f>
        <v>49</v>
      </c>
    </row>
    <row r="23" spans="1:6">
      <c r="A23" s="22" t="s">
        <v>495</v>
      </c>
      <c r="B23" s="27" t="s">
        <v>1388</v>
      </c>
      <c r="C23" s="24">
        <f>VALUE(LEFT(C72,3))</f>
        <v>400</v>
      </c>
      <c r="D23" s="24">
        <f>VALUE(LEFT(D72,3))</f>
        <v>400</v>
      </c>
      <c r="E23" s="24">
        <f>VALUE(LEFT(E72,3))</f>
        <v>400</v>
      </c>
      <c r="F23" s="24">
        <f>VALUE(LEFT(F72,3))</f>
        <v>400</v>
      </c>
    </row>
    <row r="24" spans="1:6">
      <c r="A24" s="22" t="s">
        <v>135</v>
      </c>
      <c r="B24" s="27" t="s">
        <v>133</v>
      </c>
      <c r="C24" s="24">
        <f>VALUE(LEFT(C73,2))</f>
        <v>93</v>
      </c>
      <c r="D24" s="24">
        <f>VALUE(LEFT(D73,2))</f>
        <v>93</v>
      </c>
      <c r="E24" s="24">
        <f t="shared" ref="E24:F26" si="5">VALUE(LEFT(E73,4))</f>
        <v>89.5</v>
      </c>
      <c r="F24" s="24">
        <f t="shared" si="5"/>
        <v>89.5</v>
      </c>
    </row>
    <row r="25" spans="1:6">
      <c r="A25" s="22" t="s">
        <v>1461</v>
      </c>
      <c r="B25" s="27" t="s">
        <v>1389</v>
      </c>
      <c r="C25" s="24">
        <f>VALUE(LEFT(C74,4))</f>
        <v>86.2</v>
      </c>
      <c r="D25" s="24">
        <f>VALUE(LEFT(D74,4))</f>
        <v>86.2</v>
      </c>
      <c r="E25" s="24">
        <f t="shared" si="5"/>
        <v>83.3</v>
      </c>
      <c r="F25" s="24">
        <f t="shared" si="5"/>
        <v>83.3</v>
      </c>
    </row>
    <row r="26" spans="1:6">
      <c r="A26" s="22" t="s">
        <v>1462</v>
      </c>
      <c r="B26" s="27" t="s">
        <v>1390</v>
      </c>
      <c r="C26" s="24">
        <f>VALUE(LEFT(C75,4))</f>
        <v>32.299999999999997</v>
      </c>
      <c r="D26" s="24">
        <f>VALUE(LEFT(D75,4))</f>
        <v>32.299999999999997</v>
      </c>
      <c r="E26" s="24">
        <f t="shared" si="5"/>
        <v>30.5</v>
      </c>
      <c r="F26" s="24">
        <f t="shared" si="5"/>
        <v>30.5</v>
      </c>
    </row>
    <row r="27" spans="1:6">
      <c r="A27" s="22" t="s">
        <v>57</v>
      </c>
      <c r="B27" s="27" t="s">
        <v>176</v>
      </c>
      <c r="C27" s="24">
        <f>VALUE(LEFT(C76,3))</f>
        <v>733</v>
      </c>
      <c r="D27" s="24">
        <f>VALUE(LEFT(D76,3))</f>
        <v>761</v>
      </c>
      <c r="E27" s="24">
        <f>VALUE(LEFT(E76,3))</f>
        <v>781</v>
      </c>
      <c r="F27" s="24">
        <f>VALUE(LEFT(F76,3))</f>
        <v>800</v>
      </c>
    </row>
    <row r="28" spans="1:6">
      <c r="A28" s="22" t="s">
        <v>69</v>
      </c>
      <c r="B28" s="22" t="s">
        <v>69</v>
      </c>
    </row>
    <row r="29" spans="1:6">
      <c r="A29" s="22" t="s">
        <v>70</v>
      </c>
      <c r="B29" s="22" t="s">
        <v>70</v>
      </c>
    </row>
    <row r="30" spans="1:6">
      <c r="A30" s="22" t="s">
        <v>71</v>
      </c>
      <c r="B30" s="22" t="s">
        <v>71</v>
      </c>
      <c r="C30" s="22">
        <v>50</v>
      </c>
      <c r="D30" s="22">
        <v>50</v>
      </c>
      <c r="E30" s="22">
        <v>50</v>
      </c>
      <c r="F30" s="22">
        <v>50</v>
      </c>
    </row>
    <row r="31" spans="1:6">
      <c r="A31" s="22" t="s">
        <v>68</v>
      </c>
      <c r="B31" s="22" t="s">
        <v>68</v>
      </c>
      <c r="C31" s="22">
        <v>700</v>
      </c>
      <c r="D31" s="22">
        <v>700</v>
      </c>
      <c r="E31" s="22">
        <v>700</v>
      </c>
      <c r="F31" s="22">
        <v>700</v>
      </c>
    </row>
    <row r="32" spans="1:6">
      <c r="A32" s="22" t="s">
        <v>139</v>
      </c>
      <c r="B32" s="22" t="s">
        <v>139</v>
      </c>
      <c r="C32" s="22">
        <v>50</v>
      </c>
      <c r="D32" s="22">
        <v>50</v>
      </c>
      <c r="E32" s="22">
        <v>50</v>
      </c>
      <c r="F32" s="22">
        <v>50</v>
      </c>
    </row>
    <row r="33" spans="1:6">
      <c r="A33" s="22" t="s">
        <v>140</v>
      </c>
      <c r="B33" s="22" t="s">
        <v>140</v>
      </c>
      <c r="C33" s="22">
        <v>50</v>
      </c>
      <c r="D33" s="22">
        <v>50</v>
      </c>
      <c r="E33" s="22">
        <v>50</v>
      </c>
      <c r="F33" s="22">
        <v>50</v>
      </c>
    </row>
    <row r="34" spans="1:6">
      <c r="A34" s="22" t="s">
        <v>1752</v>
      </c>
      <c r="B34" s="22" t="s">
        <v>1752</v>
      </c>
      <c r="C34" s="22">
        <f>C36*2.54</f>
        <v>152.4</v>
      </c>
      <c r="D34" s="22">
        <f t="shared" ref="D34:F34" si="6">D36*2.54</f>
        <v>170.18</v>
      </c>
      <c r="E34" s="22">
        <f t="shared" si="6"/>
        <v>177.8</v>
      </c>
      <c r="F34" s="22">
        <f t="shared" si="6"/>
        <v>187.96</v>
      </c>
    </row>
    <row r="35" spans="1:6">
      <c r="A35" s="22" t="s">
        <v>1753</v>
      </c>
      <c r="B35" s="22" t="s">
        <v>1753</v>
      </c>
      <c r="C35" s="22">
        <f>C37*2.54</f>
        <v>170.18</v>
      </c>
      <c r="D35" s="22">
        <f t="shared" ref="D35:F35" si="7">D37*2.54</f>
        <v>177.8</v>
      </c>
      <c r="E35" s="22">
        <f t="shared" si="7"/>
        <v>187.96</v>
      </c>
      <c r="F35" s="22">
        <f t="shared" si="7"/>
        <v>198.12</v>
      </c>
    </row>
    <row r="36" spans="1:6">
      <c r="C36" s="22">
        <v>60</v>
      </c>
      <c r="D36" s="22">
        <v>67</v>
      </c>
      <c r="E36" s="22">
        <v>70</v>
      </c>
      <c r="F36" s="22">
        <v>74</v>
      </c>
    </row>
    <row r="37" spans="1:6">
      <c r="C37" s="22">
        <v>67</v>
      </c>
      <c r="D37" s="22">
        <v>70</v>
      </c>
      <c r="E37" s="22">
        <v>74</v>
      </c>
      <c r="F37" s="22">
        <v>78</v>
      </c>
    </row>
    <row r="41" spans="1:6" ht="24">
      <c r="B41" s="57" t="s">
        <v>1512</v>
      </c>
      <c r="C41"/>
      <c r="D41"/>
      <c r="E41"/>
      <c r="F41"/>
    </row>
    <row r="42" spans="1:6">
      <c r="B42"/>
      <c r="C42"/>
      <c r="D42"/>
      <c r="E42"/>
      <c r="F42"/>
    </row>
    <row r="43" spans="1:6">
      <c r="B43" s="147" t="s">
        <v>1513</v>
      </c>
      <c r="C43" s="58" t="s">
        <v>1514</v>
      </c>
      <c r="D43" s="58" t="s">
        <v>1516</v>
      </c>
      <c r="E43" s="58" t="s">
        <v>1517</v>
      </c>
      <c r="F43" s="58" t="s">
        <v>1519</v>
      </c>
    </row>
    <row r="44" spans="1:6">
      <c r="B44" s="147"/>
      <c r="C44" s="59" t="s">
        <v>1515</v>
      </c>
      <c r="D44" s="59" t="s">
        <v>1515</v>
      </c>
      <c r="E44" s="59" t="s">
        <v>1515</v>
      </c>
      <c r="F44" s="59" t="s">
        <v>1515</v>
      </c>
    </row>
    <row r="45" spans="1:6">
      <c r="B45" s="147"/>
      <c r="C45" s="58" t="s">
        <v>1516</v>
      </c>
      <c r="D45" s="58" t="s">
        <v>1517</v>
      </c>
      <c r="E45" s="58" t="s">
        <v>1518</v>
      </c>
      <c r="F45"/>
    </row>
    <row r="46" spans="1:6">
      <c r="B46" s="147" t="s">
        <v>1520</v>
      </c>
      <c r="C46" s="58" t="s">
        <v>1521</v>
      </c>
      <c r="D46" s="58" t="s">
        <v>1523</v>
      </c>
      <c r="E46" s="58" t="s">
        <v>1525</v>
      </c>
      <c r="F46" s="58" t="s">
        <v>1526</v>
      </c>
    </row>
    <row r="47" spans="1:6">
      <c r="B47" s="147"/>
      <c r="C47" s="59" t="s">
        <v>1515</v>
      </c>
      <c r="D47" s="59" t="s">
        <v>1515</v>
      </c>
      <c r="E47" s="59" t="s">
        <v>1515</v>
      </c>
      <c r="F47" s="59" t="s">
        <v>1515</v>
      </c>
    </row>
    <row r="48" spans="1:6">
      <c r="B48" s="147"/>
      <c r="C48" s="58" t="s">
        <v>1522</v>
      </c>
      <c r="D48" s="58" t="s">
        <v>1524</v>
      </c>
      <c r="E48" s="58" t="s">
        <v>1526</v>
      </c>
      <c r="F48"/>
    </row>
    <row r="51" spans="2:6">
      <c r="C51" s="23" t="s">
        <v>220</v>
      </c>
      <c r="D51" s="23" t="s">
        <v>221</v>
      </c>
      <c r="E51" s="23" t="s">
        <v>223</v>
      </c>
      <c r="F51" s="23" t="s">
        <v>224</v>
      </c>
    </row>
    <row r="52" spans="2:6">
      <c r="B52" s="27" t="s">
        <v>0</v>
      </c>
      <c r="C52" s="24" t="s">
        <v>1392</v>
      </c>
      <c r="D52" s="24" t="s">
        <v>1393</v>
      </c>
      <c r="E52" s="24" t="s">
        <v>1394</v>
      </c>
      <c r="F52" s="24" t="s">
        <v>1395</v>
      </c>
    </row>
    <row r="53" spans="2:6">
      <c r="B53" s="27" t="s">
        <v>1</v>
      </c>
      <c r="C53" s="24" t="s">
        <v>1396</v>
      </c>
      <c r="D53" s="24" t="s">
        <v>1397</v>
      </c>
      <c r="E53" s="24" t="s">
        <v>1398</v>
      </c>
      <c r="F53" s="24" t="s">
        <v>1399</v>
      </c>
    </row>
    <row r="54" spans="2:6">
      <c r="B54" s="27" t="s">
        <v>1377</v>
      </c>
      <c r="C54" s="24" t="s">
        <v>1378</v>
      </c>
      <c r="D54" s="24" t="s">
        <v>1379</v>
      </c>
      <c r="E54" s="24" t="s">
        <v>1379</v>
      </c>
      <c r="F54" s="24" t="s">
        <v>1380</v>
      </c>
    </row>
    <row r="55" spans="2:6">
      <c r="B55" s="27" t="s">
        <v>2</v>
      </c>
      <c r="C55" s="24" t="s">
        <v>1400</v>
      </c>
      <c r="D55" s="24" t="s">
        <v>1401</v>
      </c>
      <c r="E55" s="24" t="s">
        <v>1402</v>
      </c>
      <c r="F55" s="24" t="s">
        <v>1403</v>
      </c>
    </row>
    <row r="56" spans="2:6">
      <c r="B56" s="27" t="s">
        <v>1381</v>
      </c>
      <c r="C56" s="24" t="s">
        <v>1404</v>
      </c>
      <c r="D56" s="24" t="s">
        <v>1405</v>
      </c>
      <c r="E56" s="24" t="s">
        <v>1406</v>
      </c>
      <c r="F56" s="24" t="s">
        <v>1407</v>
      </c>
    </row>
    <row r="57" spans="2:6">
      <c r="B57" s="27" t="s">
        <v>3</v>
      </c>
      <c r="C57" s="24" t="s">
        <v>1408</v>
      </c>
      <c r="D57" s="24" t="s">
        <v>1408</v>
      </c>
      <c r="E57" s="24" t="s">
        <v>1409</v>
      </c>
      <c r="F57" s="24" t="s">
        <v>1409</v>
      </c>
    </row>
    <row r="58" spans="2:6">
      <c r="B58" s="27" t="s">
        <v>4</v>
      </c>
      <c r="C58" s="24" t="s">
        <v>1410</v>
      </c>
      <c r="D58" s="24" t="s">
        <v>1410</v>
      </c>
      <c r="E58" s="24" t="s">
        <v>1410</v>
      </c>
      <c r="F58" s="24" t="s">
        <v>1410</v>
      </c>
    </row>
    <row r="59" spans="2:6">
      <c r="B59" s="27" t="s">
        <v>1382</v>
      </c>
      <c r="C59" s="24" t="s">
        <v>1411</v>
      </c>
      <c r="D59" s="24" t="s">
        <v>1412</v>
      </c>
      <c r="E59" s="24" t="s">
        <v>1413</v>
      </c>
      <c r="F59" s="24" t="s">
        <v>1414</v>
      </c>
    </row>
    <row r="60" spans="2:6">
      <c r="B60" s="27" t="s">
        <v>5</v>
      </c>
      <c r="C60" s="24" t="s">
        <v>1415</v>
      </c>
      <c r="D60" s="24" t="s">
        <v>1416</v>
      </c>
      <c r="E60" s="24" t="s">
        <v>1417</v>
      </c>
      <c r="F60" s="24" t="s">
        <v>1418</v>
      </c>
    </row>
    <row r="61" spans="2:6">
      <c r="B61" s="27" t="s">
        <v>6</v>
      </c>
      <c r="C61" s="24" t="s">
        <v>1419</v>
      </c>
      <c r="D61" s="24" t="s">
        <v>1419</v>
      </c>
      <c r="E61" s="24" t="s">
        <v>1419</v>
      </c>
      <c r="F61" s="24" t="s">
        <v>1419</v>
      </c>
    </row>
    <row r="62" spans="2:6">
      <c r="B62" s="27" t="s">
        <v>1271</v>
      </c>
      <c r="C62" s="24" t="s">
        <v>1420</v>
      </c>
      <c r="D62" s="24" t="s">
        <v>1420</v>
      </c>
      <c r="E62" s="24" t="s">
        <v>1420</v>
      </c>
      <c r="F62" s="24" t="s">
        <v>1420</v>
      </c>
    </row>
    <row r="63" spans="2:6">
      <c r="B63" s="27" t="s">
        <v>7</v>
      </c>
      <c r="C63" s="24" t="s">
        <v>1421</v>
      </c>
      <c r="D63" s="24" t="s">
        <v>1421</v>
      </c>
      <c r="E63" s="24" t="s">
        <v>1421</v>
      </c>
      <c r="F63" s="24" t="s">
        <v>1421</v>
      </c>
    </row>
    <row r="64" spans="2:6">
      <c r="B64" s="27" t="s">
        <v>1383</v>
      </c>
      <c r="C64" s="24" t="s">
        <v>1422</v>
      </c>
      <c r="D64" s="24" t="s">
        <v>1422</v>
      </c>
      <c r="E64" s="24" t="s">
        <v>1422</v>
      </c>
      <c r="F64" s="24" t="s">
        <v>1422</v>
      </c>
    </row>
    <row r="65" spans="2:6">
      <c r="B65" s="27" t="s">
        <v>1384</v>
      </c>
      <c r="C65" s="24" t="s">
        <v>1423</v>
      </c>
      <c r="D65" s="24" t="s">
        <v>1423</v>
      </c>
      <c r="E65" s="24" t="s">
        <v>1423</v>
      </c>
      <c r="F65" s="24" t="s">
        <v>1423</v>
      </c>
    </row>
    <row r="66" spans="2:6">
      <c r="B66" s="27" t="s">
        <v>1385</v>
      </c>
      <c r="C66" s="24" t="s">
        <v>1424</v>
      </c>
      <c r="D66" s="24" t="s">
        <v>1424</v>
      </c>
      <c r="E66" s="24" t="s">
        <v>1424</v>
      </c>
      <c r="F66" s="24" t="s">
        <v>1424</v>
      </c>
    </row>
    <row r="67" spans="2:6" ht="18" customHeight="1">
      <c r="B67" s="27" t="s">
        <v>8</v>
      </c>
      <c r="C67" s="24" t="s">
        <v>1425</v>
      </c>
      <c r="D67" s="24" t="s">
        <v>1426</v>
      </c>
      <c r="E67" s="24" t="s">
        <v>1427</v>
      </c>
      <c r="F67" s="24" t="s">
        <v>1428</v>
      </c>
    </row>
    <row r="68" spans="2:6">
      <c r="B68" s="27" t="s">
        <v>1386</v>
      </c>
      <c r="C68" s="24" t="s">
        <v>1429</v>
      </c>
      <c r="D68" s="24" t="s">
        <v>1430</v>
      </c>
      <c r="E68" s="24" t="s">
        <v>1431</v>
      </c>
      <c r="F68" s="24" t="s">
        <v>1432</v>
      </c>
    </row>
    <row r="69" spans="2:6">
      <c r="B69" s="27" t="s">
        <v>9</v>
      </c>
      <c r="C69" s="24" t="s">
        <v>1433</v>
      </c>
      <c r="D69" s="24" t="s">
        <v>1434</v>
      </c>
      <c r="E69" s="24" t="s">
        <v>1435</v>
      </c>
      <c r="F69" s="24" t="s">
        <v>1436</v>
      </c>
    </row>
    <row r="70" spans="2:6">
      <c r="B70" s="27" t="s">
        <v>1387</v>
      </c>
      <c r="C70" s="24" t="s">
        <v>1437</v>
      </c>
      <c r="D70" s="24" t="s">
        <v>1438</v>
      </c>
      <c r="E70" s="24" t="s">
        <v>1439</v>
      </c>
      <c r="F70" s="24" t="s">
        <v>1440</v>
      </c>
    </row>
    <row r="71" spans="2:6">
      <c r="B71" s="27" t="s">
        <v>10</v>
      </c>
      <c r="C71" s="24" t="s">
        <v>1441</v>
      </c>
      <c r="D71" s="24" t="s">
        <v>1441</v>
      </c>
      <c r="E71" s="24" t="s">
        <v>1441</v>
      </c>
      <c r="F71" s="24" t="s">
        <v>1441</v>
      </c>
    </row>
    <row r="72" spans="2:6">
      <c r="B72" s="27" t="s">
        <v>1388</v>
      </c>
      <c r="C72" s="24" t="s">
        <v>1442</v>
      </c>
      <c r="D72" s="24" t="s">
        <v>1442</v>
      </c>
      <c r="E72" s="24" t="s">
        <v>1442</v>
      </c>
      <c r="F72" s="24" t="s">
        <v>1442</v>
      </c>
    </row>
    <row r="73" spans="2:6">
      <c r="B73" s="27" t="s">
        <v>133</v>
      </c>
      <c r="C73" s="24" t="s">
        <v>1443</v>
      </c>
      <c r="D73" s="24" t="s">
        <v>1443</v>
      </c>
      <c r="E73" s="24" t="s">
        <v>1444</v>
      </c>
      <c r="F73" s="24" t="s">
        <v>1444</v>
      </c>
    </row>
    <row r="74" spans="2:6">
      <c r="B74" s="27" t="s">
        <v>1389</v>
      </c>
      <c r="C74" s="24" t="s">
        <v>1445</v>
      </c>
      <c r="D74" s="24" t="s">
        <v>1445</v>
      </c>
      <c r="E74" s="24" t="s">
        <v>1446</v>
      </c>
      <c r="F74" s="24" t="s">
        <v>1446</v>
      </c>
    </row>
    <row r="75" spans="2:6">
      <c r="B75" s="27" t="s">
        <v>1390</v>
      </c>
      <c r="C75" s="24" t="s">
        <v>1447</v>
      </c>
      <c r="D75" s="24" t="s">
        <v>1447</v>
      </c>
      <c r="E75" s="24" t="s">
        <v>1448</v>
      </c>
      <c r="F75" s="24" t="s">
        <v>1448</v>
      </c>
    </row>
    <row r="76" spans="2:6">
      <c r="B76" s="27" t="s">
        <v>176</v>
      </c>
      <c r="C76" s="24" t="s">
        <v>1449</v>
      </c>
      <c r="D76" s="24" t="s">
        <v>1450</v>
      </c>
      <c r="E76" s="24" t="s">
        <v>1451</v>
      </c>
      <c r="F76" s="24" t="s">
        <v>1452</v>
      </c>
    </row>
  </sheetData>
  <mergeCells count="2">
    <mergeCell ref="B43:B45"/>
    <mergeCell ref="B46:B4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9919-6692-3D4A-900F-A57172FFC894}">
  <dimension ref="A1:J23"/>
  <sheetViews>
    <sheetView workbookViewId="0">
      <selection activeCell="H27" sqref="H27"/>
    </sheetView>
  </sheetViews>
  <sheetFormatPr baseColWidth="10" defaultRowHeight="19"/>
  <cols>
    <col min="1" max="1" width="29.33203125" style="2" bestFit="1" customWidth="1"/>
    <col min="2" max="2" width="20.33203125" style="2" bestFit="1" customWidth="1"/>
    <col min="3" max="16384" width="10.83203125" style="2"/>
  </cols>
  <sheetData>
    <row r="1" spans="1:9" ht="20">
      <c r="A1" s="22" t="s">
        <v>72</v>
      </c>
      <c r="B1" s="2" t="s">
        <v>1980</v>
      </c>
      <c r="C1" s="2">
        <v>515</v>
      </c>
      <c r="D1" s="2">
        <v>530</v>
      </c>
      <c r="E1" s="2">
        <v>545</v>
      </c>
      <c r="F1" s="2">
        <v>560</v>
      </c>
      <c r="G1" s="2">
        <v>575</v>
      </c>
      <c r="H1" s="2">
        <v>590</v>
      </c>
      <c r="I1" s="2">
        <v>605</v>
      </c>
    </row>
    <row r="2" spans="1:9" ht="20">
      <c r="A2" s="22" t="s">
        <v>62</v>
      </c>
      <c r="B2" s="2" t="s">
        <v>1981</v>
      </c>
      <c r="C2" s="2">
        <v>68.5</v>
      </c>
      <c r="D2" s="2">
        <v>68.5</v>
      </c>
      <c r="E2" s="2">
        <v>68.5</v>
      </c>
      <c r="F2" s="2">
        <v>68.5</v>
      </c>
      <c r="G2" s="2">
        <v>68.5</v>
      </c>
      <c r="H2" s="2">
        <v>68.5</v>
      </c>
      <c r="I2" s="2">
        <v>68.5</v>
      </c>
    </row>
    <row r="3" spans="1:9" ht="20">
      <c r="A3" s="22" t="s">
        <v>63</v>
      </c>
      <c r="B3" s="2" t="s">
        <v>1982</v>
      </c>
      <c r="C3" s="2">
        <v>74</v>
      </c>
      <c r="D3" s="2">
        <v>74</v>
      </c>
      <c r="E3" s="2">
        <v>73.5</v>
      </c>
      <c r="F3" s="2">
        <v>73</v>
      </c>
      <c r="G3" s="2">
        <v>73</v>
      </c>
      <c r="H3" s="2">
        <v>73</v>
      </c>
      <c r="I3" s="2">
        <v>73</v>
      </c>
    </row>
    <row r="4" spans="1:9" ht="20">
      <c r="A4" s="22" t="s">
        <v>66</v>
      </c>
      <c r="B4" s="2" t="s">
        <v>1983</v>
      </c>
      <c r="C4" s="2">
        <v>415</v>
      </c>
      <c r="D4" s="2">
        <v>415</v>
      </c>
      <c r="E4" s="2">
        <v>415</v>
      </c>
      <c r="F4" s="2">
        <v>415</v>
      </c>
      <c r="G4" s="2">
        <v>415</v>
      </c>
      <c r="H4" s="2">
        <v>415</v>
      </c>
      <c r="I4" s="2">
        <v>415</v>
      </c>
    </row>
    <row r="5" spans="1:9" ht="20">
      <c r="A5" s="22" t="s">
        <v>65</v>
      </c>
      <c r="B5" s="2" t="s">
        <v>1984</v>
      </c>
      <c r="C5" s="2">
        <v>77</v>
      </c>
      <c r="D5" s="2">
        <v>77</v>
      </c>
      <c r="E5" s="2">
        <v>75</v>
      </c>
      <c r="F5" s="2">
        <v>75</v>
      </c>
      <c r="G5" s="2">
        <v>75</v>
      </c>
      <c r="H5" s="2">
        <v>73</v>
      </c>
      <c r="I5" s="2">
        <v>73</v>
      </c>
    </row>
    <row r="6" spans="1:9" ht="20">
      <c r="A6" s="22" t="s">
        <v>60</v>
      </c>
      <c r="B6" s="2" t="s">
        <v>1985</v>
      </c>
      <c r="C6" s="2">
        <v>427.1</v>
      </c>
      <c r="D6" s="2">
        <v>428</v>
      </c>
      <c r="E6" s="2">
        <v>445.6</v>
      </c>
      <c r="F6" s="2">
        <v>469</v>
      </c>
      <c r="G6" s="2">
        <v>477.5</v>
      </c>
      <c r="H6" s="2">
        <v>519.20000000000005</v>
      </c>
      <c r="I6" s="2">
        <v>541.20000000000005</v>
      </c>
    </row>
    <row r="7" spans="1:9" ht="20">
      <c r="A7" s="22" t="s">
        <v>73</v>
      </c>
      <c r="B7" s="2" t="s">
        <v>1986</v>
      </c>
      <c r="C7" s="2">
        <v>515</v>
      </c>
      <c r="D7" s="2">
        <v>530</v>
      </c>
      <c r="E7" s="2">
        <v>545</v>
      </c>
      <c r="F7" s="2">
        <v>560</v>
      </c>
      <c r="G7" s="2">
        <v>575</v>
      </c>
      <c r="H7" s="2">
        <v>590</v>
      </c>
      <c r="I7" s="2">
        <v>605</v>
      </c>
    </row>
    <row r="8" spans="1:9">
      <c r="A8" s="2" t="s">
        <v>1630</v>
      </c>
      <c r="B8" s="2" t="s">
        <v>1987</v>
      </c>
      <c r="C8" s="2">
        <v>10</v>
      </c>
      <c r="D8" s="2">
        <v>10</v>
      </c>
      <c r="E8" s="2">
        <v>10</v>
      </c>
      <c r="F8" s="2">
        <v>10</v>
      </c>
      <c r="G8" s="2">
        <v>10</v>
      </c>
      <c r="H8" s="2">
        <v>9</v>
      </c>
      <c r="I8" s="2">
        <v>9</v>
      </c>
    </row>
    <row r="9" spans="1:9" ht="20">
      <c r="A9" s="22" t="s">
        <v>64</v>
      </c>
      <c r="B9" s="2" t="s">
        <v>1988</v>
      </c>
      <c r="C9" s="2">
        <v>110</v>
      </c>
      <c r="D9" s="2">
        <v>130</v>
      </c>
      <c r="E9" s="2">
        <v>150</v>
      </c>
      <c r="F9" s="2">
        <v>160</v>
      </c>
      <c r="G9" s="2">
        <v>170</v>
      </c>
      <c r="H9" s="2">
        <v>205</v>
      </c>
      <c r="I9" s="2">
        <v>230</v>
      </c>
    </row>
    <row r="10" spans="1:9" ht="20">
      <c r="A10" s="22" t="s">
        <v>54</v>
      </c>
      <c r="B10" s="2" t="s">
        <v>1989</v>
      </c>
      <c r="C10" s="2">
        <v>526.9</v>
      </c>
      <c r="D10" s="2">
        <v>545.5</v>
      </c>
      <c r="E10" s="2">
        <v>562.1</v>
      </c>
      <c r="F10" s="2">
        <v>571.4</v>
      </c>
      <c r="G10" s="2">
        <v>580.70000000000005</v>
      </c>
      <c r="H10" s="2">
        <v>613.70000000000005</v>
      </c>
      <c r="I10" s="2">
        <v>637</v>
      </c>
    </row>
    <row r="11" spans="1:9" ht="20">
      <c r="A11" s="22" t="s">
        <v>55</v>
      </c>
      <c r="B11" s="2" t="s">
        <v>1990</v>
      </c>
      <c r="C11" s="2">
        <v>363.9</v>
      </c>
      <c r="D11" s="2">
        <v>373.6</v>
      </c>
      <c r="E11" s="2">
        <v>378.5</v>
      </c>
      <c r="F11" s="2">
        <v>385.3</v>
      </c>
      <c r="G11" s="2">
        <v>397.5</v>
      </c>
      <c r="H11" s="2">
        <v>400.2</v>
      </c>
      <c r="I11" s="2">
        <v>408</v>
      </c>
    </row>
    <row r="12" spans="1:9" ht="20">
      <c r="A12" s="22" t="s">
        <v>67</v>
      </c>
      <c r="B12" s="2" t="s">
        <v>1991</v>
      </c>
      <c r="C12" s="2">
        <v>57</v>
      </c>
      <c r="D12" s="2">
        <v>57</v>
      </c>
      <c r="E12" s="2">
        <v>57</v>
      </c>
      <c r="F12" s="2">
        <v>57</v>
      </c>
      <c r="G12" s="2">
        <v>57</v>
      </c>
      <c r="H12" s="2">
        <v>57</v>
      </c>
      <c r="I12" s="2">
        <v>57</v>
      </c>
    </row>
    <row r="13" spans="1:9" ht="20">
      <c r="A13" s="22" t="s">
        <v>495</v>
      </c>
      <c r="B13" s="2" t="s">
        <v>1992</v>
      </c>
      <c r="C13" s="2">
        <v>395</v>
      </c>
      <c r="D13" s="2">
        <v>395</v>
      </c>
      <c r="E13" s="2">
        <v>395</v>
      </c>
      <c r="F13" s="2">
        <v>395</v>
      </c>
      <c r="G13" s="2">
        <v>395</v>
      </c>
      <c r="H13" s="2">
        <v>395</v>
      </c>
      <c r="I13" s="2">
        <v>395</v>
      </c>
    </row>
    <row r="14" spans="1:9" ht="20">
      <c r="A14" s="22" t="s">
        <v>56</v>
      </c>
      <c r="B14" s="22" t="s">
        <v>56</v>
      </c>
    </row>
    <row r="15" spans="1:9" ht="20">
      <c r="A15" s="22" t="s">
        <v>57</v>
      </c>
      <c r="B15" s="22" t="s">
        <v>57</v>
      </c>
    </row>
    <row r="16" spans="1:9" ht="20">
      <c r="A16" s="22" t="s">
        <v>69</v>
      </c>
      <c r="B16" s="22" t="s">
        <v>69</v>
      </c>
    </row>
    <row r="17" spans="1:10" ht="20">
      <c r="A17" s="22" t="s">
        <v>70</v>
      </c>
      <c r="B17" s="22" t="s">
        <v>70</v>
      </c>
    </row>
    <row r="18" spans="1:10" ht="20">
      <c r="A18" s="22" t="s">
        <v>71</v>
      </c>
      <c r="B18" s="22" t="s">
        <v>71</v>
      </c>
    </row>
    <row r="19" spans="1:10" ht="20">
      <c r="A19" s="22" t="s">
        <v>68</v>
      </c>
      <c r="B19" s="22" t="s">
        <v>68</v>
      </c>
      <c r="C19" s="2">
        <v>700</v>
      </c>
      <c r="D19" s="2">
        <v>700</v>
      </c>
      <c r="E19" s="2">
        <v>700</v>
      </c>
      <c r="F19" s="2">
        <v>700</v>
      </c>
      <c r="G19" s="2">
        <v>700</v>
      </c>
      <c r="H19" s="2">
        <v>700</v>
      </c>
      <c r="I19" s="2">
        <v>700</v>
      </c>
    </row>
    <row r="20" spans="1:10" ht="20">
      <c r="A20" s="22" t="s">
        <v>139</v>
      </c>
      <c r="B20" s="22" t="s">
        <v>139</v>
      </c>
      <c r="C20" s="2">
        <v>40</v>
      </c>
      <c r="D20" s="2">
        <v>40</v>
      </c>
      <c r="E20" s="2">
        <v>40</v>
      </c>
      <c r="F20" s="2">
        <v>40</v>
      </c>
      <c r="G20" s="2">
        <v>40</v>
      </c>
      <c r="H20" s="2">
        <v>40</v>
      </c>
      <c r="I20" s="2">
        <v>40</v>
      </c>
    </row>
    <row r="21" spans="1:10" ht="20">
      <c r="A21" s="22" t="s">
        <v>140</v>
      </c>
      <c r="B21" s="22" t="s">
        <v>140</v>
      </c>
      <c r="C21" s="2">
        <v>50</v>
      </c>
      <c r="D21" s="2">
        <v>50</v>
      </c>
      <c r="E21" s="2">
        <v>50</v>
      </c>
      <c r="F21" s="2">
        <v>50</v>
      </c>
      <c r="G21" s="2">
        <v>50</v>
      </c>
      <c r="H21" s="2">
        <v>50</v>
      </c>
      <c r="I21" s="2">
        <v>50</v>
      </c>
    </row>
    <row r="22" spans="1:10" ht="20">
      <c r="A22" s="22" t="s">
        <v>1752</v>
      </c>
      <c r="B22" s="22" t="s">
        <v>1752</v>
      </c>
      <c r="C22" s="2">
        <v>156</v>
      </c>
      <c r="D22" s="2">
        <v>163</v>
      </c>
      <c r="E22" s="2">
        <v>168</v>
      </c>
      <c r="F22" s="2">
        <v>174</v>
      </c>
      <c r="G22" s="2">
        <v>180</v>
      </c>
      <c r="H22" s="2">
        <v>185</v>
      </c>
      <c r="I22" s="2">
        <v>190</v>
      </c>
      <c r="J22" s="2" t="s">
        <v>2522</v>
      </c>
    </row>
    <row r="23" spans="1:10" ht="20">
      <c r="A23" s="22" t="s">
        <v>1753</v>
      </c>
      <c r="B23" s="22" t="s">
        <v>1753</v>
      </c>
      <c r="C23" s="2">
        <v>163</v>
      </c>
      <c r="D23" s="2">
        <v>168</v>
      </c>
      <c r="E23" s="2">
        <v>174</v>
      </c>
      <c r="F23" s="2">
        <v>180</v>
      </c>
      <c r="G23" s="2">
        <v>185</v>
      </c>
      <c r="H23" s="2">
        <v>190</v>
      </c>
      <c r="I23" s="2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19A2-2C23-C745-B09E-8A95E536CFC5}">
  <dimension ref="A1:J28"/>
  <sheetViews>
    <sheetView workbookViewId="0">
      <selection sqref="A1:A1048576"/>
    </sheetView>
  </sheetViews>
  <sheetFormatPr baseColWidth="10" defaultRowHeight="20"/>
  <cols>
    <col min="1" max="1" width="29.33203125" style="22" bestFit="1" customWidth="1"/>
    <col min="2" max="2" width="24.83203125" style="22" bestFit="1" customWidth="1"/>
    <col min="3" max="3" width="12.33203125" style="22" bestFit="1" customWidth="1"/>
    <col min="4" max="4" width="13" style="22" bestFit="1" customWidth="1"/>
    <col min="5" max="5" width="13.83203125" style="22" bestFit="1" customWidth="1"/>
    <col min="6" max="6" width="10.5" style="22" bestFit="1" customWidth="1"/>
    <col min="7" max="7" width="13.83203125" style="22" bestFit="1" customWidth="1"/>
    <col min="8" max="9" width="12.33203125" style="22" bestFit="1" customWidth="1"/>
    <col min="10" max="10" width="13" style="22" bestFit="1" customWidth="1"/>
    <col min="11" max="16384" width="10.83203125" style="22"/>
  </cols>
  <sheetData>
    <row r="1" spans="1:10">
      <c r="A1" s="22" t="s">
        <v>72</v>
      </c>
      <c r="B1" s="22" t="s">
        <v>141</v>
      </c>
      <c r="C1" s="22">
        <v>51</v>
      </c>
      <c r="D1" s="22">
        <v>52.5</v>
      </c>
      <c r="E1" s="22">
        <v>54</v>
      </c>
      <c r="F1" s="22">
        <v>55.5</v>
      </c>
      <c r="G1" s="22">
        <v>57</v>
      </c>
      <c r="H1" s="22">
        <v>58.5</v>
      </c>
      <c r="I1" s="22">
        <v>60</v>
      </c>
      <c r="J1" s="22">
        <v>62</v>
      </c>
    </row>
    <row r="2" spans="1:10">
      <c r="A2" s="22" t="s">
        <v>60</v>
      </c>
      <c r="B2" s="22" t="s">
        <v>1527</v>
      </c>
      <c r="C2" s="22">
        <v>510</v>
      </c>
      <c r="D2" s="22">
        <v>525</v>
      </c>
      <c r="E2" s="22">
        <v>540</v>
      </c>
      <c r="F2" s="22">
        <v>555</v>
      </c>
      <c r="G2" s="22">
        <v>570</v>
      </c>
      <c r="H2" s="22">
        <v>585</v>
      </c>
      <c r="I2" s="22">
        <v>600</v>
      </c>
      <c r="J2" s="22">
        <v>620</v>
      </c>
    </row>
    <row r="3" spans="1:10">
      <c r="A3" s="22" t="s">
        <v>73</v>
      </c>
      <c r="B3" s="22" t="s">
        <v>1528</v>
      </c>
      <c r="C3" s="22">
        <v>545</v>
      </c>
      <c r="D3" s="22">
        <v>555</v>
      </c>
      <c r="E3" s="22">
        <v>565</v>
      </c>
      <c r="F3" s="22">
        <v>575</v>
      </c>
      <c r="G3" s="22">
        <v>585</v>
      </c>
      <c r="H3" s="22">
        <v>595</v>
      </c>
      <c r="I3" s="22">
        <v>605</v>
      </c>
      <c r="J3" s="22">
        <v>633</v>
      </c>
    </row>
    <row r="4" spans="1:10">
      <c r="A4" s="22" t="s">
        <v>64</v>
      </c>
      <c r="B4" s="22" t="s">
        <v>1529</v>
      </c>
      <c r="C4" s="22">
        <v>130</v>
      </c>
      <c r="D4" s="22">
        <v>140</v>
      </c>
      <c r="E4" s="22">
        <v>150</v>
      </c>
      <c r="F4" s="22">
        <v>160</v>
      </c>
      <c r="G4" s="22">
        <v>170</v>
      </c>
      <c r="H4" s="22">
        <v>180</v>
      </c>
      <c r="I4" s="22">
        <v>190</v>
      </c>
      <c r="J4" s="22">
        <v>210</v>
      </c>
    </row>
    <row r="5" spans="1:10">
      <c r="A5" s="22" t="s">
        <v>63</v>
      </c>
      <c r="B5" s="22" t="s">
        <v>31</v>
      </c>
      <c r="C5" s="22">
        <v>73.5</v>
      </c>
      <c r="D5" s="22">
        <v>73</v>
      </c>
      <c r="E5" s="22">
        <v>73</v>
      </c>
      <c r="F5" s="22">
        <v>73</v>
      </c>
      <c r="G5" s="22">
        <v>73</v>
      </c>
      <c r="H5" s="22">
        <v>73</v>
      </c>
      <c r="I5" s="22">
        <v>73</v>
      </c>
      <c r="J5" s="22">
        <v>73</v>
      </c>
    </row>
    <row r="6" spans="1:10">
      <c r="A6" s="22" t="s">
        <v>62</v>
      </c>
      <c r="B6" s="22" t="s">
        <v>34</v>
      </c>
      <c r="C6" s="22">
        <v>69.5</v>
      </c>
      <c r="D6" s="22">
        <v>70</v>
      </c>
      <c r="E6" s="22">
        <v>70</v>
      </c>
      <c r="F6" s="22">
        <v>70</v>
      </c>
      <c r="G6" s="22">
        <v>70</v>
      </c>
      <c r="H6" s="22">
        <v>70</v>
      </c>
      <c r="I6" s="22">
        <v>70</v>
      </c>
      <c r="J6" s="22">
        <v>70</v>
      </c>
    </row>
    <row r="7" spans="1:10">
      <c r="A7" s="22" t="s">
        <v>66</v>
      </c>
      <c r="B7" s="22" t="s">
        <v>35</v>
      </c>
      <c r="C7" s="22">
        <v>445</v>
      </c>
      <c r="D7" s="22">
        <v>445</v>
      </c>
      <c r="E7" s="22">
        <v>445</v>
      </c>
      <c r="F7" s="22">
        <v>445</v>
      </c>
      <c r="G7" s="22">
        <v>445</v>
      </c>
      <c r="H7" s="22">
        <v>445</v>
      </c>
      <c r="I7" s="22">
        <v>445</v>
      </c>
      <c r="J7" s="22">
        <v>445</v>
      </c>
    </row>
    <row r="8" spans="1:10">
      <c r="A8" s="22" t="s">
        <v>56</v>
      </c>
      <c r="B8" s="22" t="s">
        <v>36</v>
      </c>
      <c r="C8" s="22">
        <v>1052.0999999999999</v>
      </c>
      <c r="D8" s="22">
        <v>1052.2</v>
      </c>
      <c r="E8" s="22">
        <v>1062.7</v>
      </c>
      <c r="F8" s="22">
        <v>1073.3</v>
      </c>
      <c r="G8" s="22">
        <v>1083.8</v>
      </c>
      <c r="H8" s="22">
        <v>1093.2</v>
      </c>
      <c r="I8" s="22">
        <v>1104.9000000000001</v>
      </c>
      <c r="J8" s="22">
        <v>1134</v>
      </c>
    </row>
    <row r="9" spans="1:10">
      <c r="A9" s="22" t="s">
        <v>65</v>
      </c>
      <c r="B9" s="22" t="s">
        <v>184</v>
      </c>
      <c r="C9" s="22">
        <v>80</v>
      </c>
      <c r="D9" s="22">
        <v>80</v>
      </c>
      <c r="E9" s="22">
        <v>80</v>
      </c>
      <c r="F9" s="22">
        <v>80</v>
      </c>
      <c r="G9" s="22">
        <v>80</v>
      </c>
      <c r="H9" s="22">
        <v>80</v>
      </c>
      <c r="I9" s="22">
        <v>80</v>
      </c>
      <c r="J9" s="22">
        <v>80</v>
      </c>
    </row>
    <row r="10" spans="1:10">
      <c r="A10" s="22" t="s">
        <v>495</v>
      </c>
      <c r="B10" s="22" t="s">
        <v>567</v>
      </c>
      <c r="C10" s="22">
        <v>420</v>
      </c>
      <c r="D10" s="22">
        <v>420</v>
      </c>
      <c r="E10" s="22">
        <v>420</v>
      </c>
      <c r="F10" s="22">
        <v>420</v>
      </c>
      <c r="G10" s="22">
        <v>420</v>
      </c>
      <c r="H10" s="22">
        <v>420</v>
      </c>
      <c r="I10" s="22">
        <v>420</v>
      </c>
      <c r="J10" s="22">
        <v>420</v>
      </c>
    </row>
    <row r="11" spans="1:10">
      <c r="A11" s="22" t="s">
        <v>67</v>
      </c>
      <c r="B11" s="22" t="s">
        <v>1530</v>
      </c>
      <c r="C11" s="22">
        <v>51</v>
      </c>
      <c r="D11" s="22">
        <v>51</v>
      </c>
      <c r="E11" s="22">
        <v>51</v>
      </c>
      <c r="F11" s="22">
        <v>51</v>
      </c>
      <c r="G11" s="22">
        <v>51</v>
      </c>
      <c r="H11" s="22">
        <v>51</v>
      </c>
      <c r="I11" s="22">
        <v>51</v>
      </c>
      <c r="J11" s="22">
        <v>51</v>
      </c>
    </row>
    <row r="12" spans="1:10">
      <c r="A12" s="22" t="s">
        <v>69</v>
      </c>
      <c r="B12" s="22" t="s">
        <v>644</v>
      </c>
      <c r="C12" s="22">
        <v>170</v>
      </c>
      <c r="D12" s="22">
        <v>170</v>
      </c>
      <c r="E12" s="22">
        <v>170</v>
      </c>
      <c r="F12" s="22">
        <v>175</v>
      </c>
      <c r="G12" s="22">
        <v>175</v>
      </c>
      <c r="H12" s="22">
        <v>175</v>
      </c>
      <c r="I12" s="22">
        <v>175</v>
      </c>
      <c r="J12" s="22">
        <v>175</v>
      </c>
    </row>
    <row r="13" spans="1:10">
      <c r="A13" s="22" t="s">
        <v>71</v>
      </c>
      <c r="B13" s="22" t="s">
        <v>1531</v>
      </c>
      <c r="C13" s="22">
        <v>80</v>
      </c>
      <c r="D13" s="22">
        <v>80</v>
      </c>
      <c r="E13" s="22">
        <v>90</v>
      </c>
      <c r="F13" s="22">
        <v>90</v>
      </c>
      <c r="G13" s="22">
        <v>100</v>
      </c>
      <c r="H13" s="22">
        <v>100</v>
      </c>
      <c r="I13" s="22">
        <v>110</v>
      </c>
      <c r="J13" s="22">
        <v>120</v>
      </c>
    </row>
    <row r="14" spans="1:10">
      <c r="A14" s="22" t="s">
        <v>181</v>
      </c>
      <c r="B14" s="22" t="s">
        <v>1532</v>
      </c>
      <c r="C14" s="22">
        <v>10</v>
      </c>
      <c r="D14" s="22">
        <v>10</v>
      </c>
      <c r="E14" s="22">
        <v>10</v>
      </c>
      <c r="F14" s="22">
        <v>10</v>
      </c>
      <c r="G14" s="22">
        <v>10</v>
      </c>
      <c r="H14" s="22">
        <v>10</v>
      </c>
      <c r="I14" s="22">
        <v>10</v>
      </c>
      <c r="J14" s="22">
        <v>10</v>
      </c>
    </row>
    <row r="15" spans="1:10">
      <c r="A15" s="22" t="s">
        <v>70</v>
      </c>
      <c r="B15" s="22" t="s">
        <v>1534</v>
      </c>
      <c r="C15" s="22">
        <f t="shared" ref="C15:J15" si="0">C27*10</f>
        <v>420</v>
      </c>
      <c r="D15" s="22">
        <f t="shared" si="0"/>
        <v>420</v>
      </c>
      <c r="E15" s="22">
        <f t="shared" si="0"/>
        <v>420</v>
      </c>
      <c r="F15" s="22">
        <f t="shared" si="0"/>
        <v>440</v>
      </c>
      <c r="G15" s="22">
        <f t="shared" si="0"/>
        <v>440</v>
      </c>
      <c r="H15" s="22">
        <f t="shared" si="0"/>
        <v>440</v>
      </c>
      <c r="I15" s="22">
        <f t="shared" si="0"/>
        <v>460</v>
      </c>
      <c r="J15" s="22">
        <f t="shared" si="0"/>
        <v>460</v>
      </c>
    </row>
    <row r="16" spans="1:10">
      <c r="A16" s="22" t="s">
        <v>54</v>
      </c>
      <c r="B16" s="22" t="s">
        <v>39</v>
      </c>
      <c r="C16" s="22">
        <v>577.29999999999995</v>
      </c>
      <c r="D16" s="22">
        <v>588.79999999999995</v>
      </c>
      <c r="E16" s="22">
        <v>598.20000000000005</v>
      </c>
      <c r="F16" s="22">
        <v>607.6</v>
      </c>
      <c r="G16" s="22">
        <v>617</v>
      </c>
      <c r="H16" s="22">
        <v>626.4</v>
      </c>
      <c r="I16" s="22">
        <v>635.79999999999995</v>
      </c>
      <c r="J16" s="22">
        <v>654.6</v>
      </c>
    </row>
    <row r="17" spans="1:10">
      <c r="A17" s="22" t="s">
        <v>55</v>
      </c>
      <c r="B17" s="22" t="s">
        <v>40</v>
      </c>
      <c r="C17" s="22">
        <v>374</v>
      </c>
      <c r="D17" s="22">
        <v>375</v>
      </c>
      <c r="E17" s="22">
        <v>382.1</v>
      </c>
      <c r="F17" s="22">
        <v>389.2</v>
      </c>
      <c r="G17" s="22">
        <v>396.4</v>
      </c>
      <c r="H17" s="22">
        <v>402.3</v>
      </c>
      <c r="I17" s="22">
        <v>410.6</v>
      </c>
      <c r="J17" s="22">
        <v>432.9</v>
      </c>
    </row>
    <row r="18" spans="1:10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  <c r="I18" s="22">
        <v>700</v>
      </c>
      <c r="J18" s="22">
        <v>700</v>
      </c>
    </row>
    <row r="19" spans="1:10">
      <c r="A19" s="22" t="s">
        <v>139</v>
      </c>
      <c r="B19" s="22" t="s">
        <v>139</v>
      </c>
      <c r="C19" s="22">
        <f>2.5*25.4</f>
        <v>63.5</v>
      </c>
      <c r="D19" s="22">
        <f t="shared" ref="D19:J19" si="1">2.5*25.4</f>
        <v>63.5</v>
      </c>
      <c r="E19" s="22">
        <f t="shared" si="1"/>
        <v>63.5</v>
      </c>
      <c r="F19" s="22">
        <f t="shared" si="1"/>
        <v>63.5</v>
      </c>
      <c r="G19" s="22">
        <f t="shared" si="1"/>
        <v>63.5</v>
      </c>
      <c r="H19" s="22">
        <f t="shared" si="1"/>
        <v>63.5</v>
      </c>
      <c r="I19" s="22">
        <f t="shared" si="1"/>
        <v>63.5</v>
      </c>
      <c r="J19" s="22">
        <f t="shared" si="1"/>
        <v>63.5</v>
      </c>
    </row>
    <row r="20" spans="1:10">
      <c r="A20" s="22" t="s">
        <v>140</v>
      </c>
      <c r="B20" s="22" t="s">
        <v>140</v>
      </c>
      <c r="C20" s="22">
        <f>2.6*25.4</f>
        <v>66.039999999999992</v>
      </c>
      <c r="D20" s="22">
        <f t="shared" ref="D20:J20" si="2">2.6*25.4</f>
        <v>66.039999999999992</v>
      </c>
      <c r="E20" s="22">
        <f t="shared" si="2"/>
        <v>66.039999999999992</v>
      </c>
      <c r="F20" s="22">
        <f t="shared" si="2"/>
        <v>66.039999999999992</v>
      </c>
      <c r="G20" s="22">
        <f t="shared" si="2"/>
        <v>66.039999999999992</v>
      </c>
      <c r="H20" s="22">
        <f t="shared" si="2"/>
        <v>66.039999999999992</v>
      </c>
      <c r="I20" s="22">
        <f t="shared" si="2"/>
        <v>66.039999999999992</v>
      </c>
      <c r="J20" s="22">
        <f t="shared" si="2"/>
        <v>66.039999999999992</v>
      </c>
    </row>
    <row r="21" spans="1:10">
      <c r="A21" s="22" t="s">
        <v>57</v>
      </c>
      <c r="B21" s="22" t="s">
        <v>57</v>
      </c>
    </row>
    <row r="22" spans="1:10">
      <c r="A22" s="22" t="s">
        <v>1752</v>
      </c>
      <c r="C22" s="22">
        <f>C24*2.54</f>
        <v>160.02000000000001</v>
      </c>
      <c r="D22" s="22">
        <f t="shared" ref="D22:J22" si="3">D24*2.54</f>
        <v>165.1</v>
      </c>
      <c r="E22" s="22">
        <f t="shared" si="3"/>
        <v>170.18</v>
      </c>
      <c r="F22" s="22">
        <f t="shared" si="3"/>
        <v>175.26</v>
      </c>
      <c r="G22" s="22">
        <f t="shared" si="3"/>
        <v>180.34</v>
      </c>
      <c r="H22" s="22">
        <f t="shared" si="3"/>
        <v>185.42000000000002</v>
      </c>
      <c r="I22" s="22">
        <f t="shared" si="3"/>
        <v>190.5</v>
      </c>
      <c r="J22" s="22">
        <f t="shared" si="3"/>
        <v>195.58</v>
      </c>
    </row>
    <row r="23" spans="1:10">
      <c r="A23" s="22" t="s">
        <v>1753</v>
      </c>
      <c r="C23" s="22">
        <f>C25*2.54</f>
        <v>167.64000000000001</v>
      </c>
      <c r="D23" s="22">
        <f t="shared" ref="D23:J23" si="4">D25*2.54</f>
        <v>172.72</v>
      </c>
      <c r="E23" s="22">
        <f t="shared" si="4"/>
        <v>177.8</v>
      </c>
      <c r="F23" s="22">
        <f t="shared" si="4"/>
        <v>182.88</v>
      </c>
      <c r="G23" s="22">
        <f t="shared" si="4"/>
        <v>187.96</v>
      </c>
      <c r="H23" s="22">
        <f t="shared" si="4"/>
        <v>193.04</v>
      </c>
      <c r="I23" s="22">
        <f t="shared" si="4"/>
        <v>198.12</v>
      </c>
      <c r="J23" s="22">
        <f t="shared" si="4"/>
        <v>203.2</v>
      </c>
    </row>
    <row r="24" spans="1:10">
      <c r="C24" s="22">
        <v>63</v>
      </c>
      <c r="D24" s="22">
        <v>65</v>
      </c>
      <c r="E24" s="22">
        <v>67</v>
      </c>
      <c r="F24" s="22">
        <v>69</v>
      </c>
      <c r="G24" s="22">
        <v>71</v>
      </c>
      <c r="H24" s="22">
        <v>73</v>
      </c>
      <c r="I24" s="22">
        <v>75</v>
      </c>
      <c r="J24" s="22">
        <v>77</v>
      </c>
    </row>
    <row r="25" spans="1:10">
      <c r="C25" s="22">
        <v>66</v>
      </c>
      <c r="D25" s="22">
        <v>68</v>
      </c>
      <c r="E25" s="22">
        <v>70</v>
      </c>
      <c r="F25" s="22">
        <v>72</v>
      </c>
      <c r="G25" s="22">
        <v>74</v>
      </c>
      <c r="H25" s="22">
        <v>76</v>
      </c>
      <c r="I25" s="22">
        <v>78</v>
      </c>
      <c r="J25" s="22">
        <v>80</v>
      </c>
    </row>
    <row r="26" spans="1:10">
      <c r="B26" s="22" t="s">
        <v>1532</v>
      </c>
      <c r="C26" s="22" t="s">
        <v>1533</v>
      </c>
      <c r="D26" s="22" t="s">
        <v>1533</v>
      </c>
      <c r="E26" s="22" t="s">
        <v>1533</v>
      </c>
      <c r="F26" s="22" t="s">
        <v>1533</v>
      </c>
      <c r="G26" s="22" t="s">
        <v>1533</v>
      </c>
      <c r="H26" s="22" t="s">
        <v>1533</v>
      </c>
      <c r="I26" s="22" t="s">
        <v>1533</v>
      </c>
      <c r="J26" s="22" t="s">
        <v>1533</v>
      </c>
    </row>
    <row r="27" spans="1:10">
      <c r="B27" s="22" t="s">
        <v>1534</v>
      </c>
      <c r="C27" s="22">
        <v>42</v>
      </c>
      <c r="D27" s="22">
        <v>42</v>
      </c>
      <c r="E27" s="22">
        <v>42</v>
      </c>
      <c r="F27" s="22">
        <v>44</v>
      </c>
      <c r="G27" s="22">
        <v>44</v>
      </c>
      <c r="H27" s="22">
        <v>44</v>
      </c>
      <c r="I27" s="22">
        <v>46</v>
      </c>
      <c r="J27" s="22">
        <v>46</v>
      </c>
    </row>
    <row r="28" spans="1:10">
      <c r="B28" s="22" t="s">
        <v>294</v>
      </c>
      <c r="C28" s="22" t="s">
        <v>1535</v>
      </c>
      <c r="D28" s="22" t="s">
        <v>1536</v>
      </c>
      <c r="E28" s="22" t="s">
        <v>1537</v>
      </c>
      <c r="F28" s="22" t="s">
        <v>1538</v>
      </c>
      <c r="G28" s="22" t="s">
        <v>1539</v>
      </c>
      <c r="H28" s="22" t="s">
        <v>1540</v>
      </c>
      <c r="I28" s="22" t="s">
        <v>1541</v>
      </c>
      <c r="J28" s="22" t="s">
        <v>1542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12BB-EA59-FA4B-9572-CA255D50173F}">
  <dimension ref="A1:O29"/>
  <sheetViews>
    <sheetView workbookViewId="0">
      <selection activeCell="L27" sqref="L27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16384" width="10.83203125" style="22"/>
  </cols>
  <sheetData>
    <row r="1" spans="1:10">
      <c r="A1" s="2" t="s">
        <v>2412</v>
      </c>
      <c r="B1" s="2" t="s">
        <v>2799</v>
      </c>
    </row>
    <row r="2" spans="1:10">
      <c r="A2" s="2" t="s">
        <v>2423</v>
      </c>
      <c r="B2" s="2">
        <v>2024</v>
      </c>
    </row>
    <row r="3" spans="1:10">
      <c r="A3" s="2" t="s">
        <v>2424</v>
      </c>
      <c r="B3" s="112">
        <v>45107</v>
      </c>
    </row>
    <row r="4" spans="1:10">
      <c r="A4" s="2" t="s">
        <v>2414</v>
      </c>
      <c r="B4" s="2" t="s">
        <v>2798</v>
      </c>
    </row>
    <row r="5" spans="1:10">
      <c r="A5" s="2" t="s">
        <v>2415</v>
      </c>
      <c r="B5" s="2" t="s">
        <v>2771</v>
      </c>
    </row>
    <row r="6" spans="1:10">
      <c r="A6" s="22" t="s">
        <v>72</v>
      </c>
      <c r="B6" s="22" t="s">
        <v>141</v>
      </c>
      <c r="C6" s="22">
        <v>46</v>
      </c>
      <c r="D6" s="22">
        <v>49</v>
      </c>
      <c r="E6" s="22">
        <v>52</v>
      </c>
      <c r="F6" s="22">
        <v>54</v>
      </c>
      <c r="G6" s="22">
        <v>56</v>
      </c>
      <c r="H6" s="22">
        <v>58</v>
      </c>
      <c r="I6" s="22">
        <v>60</v>
      </c>
      <c r="J6" s="22">
        <v>62</v>
      </c>
    </row>
    <row r="7" spans="1:10">
      <c r="A7" s="22" t="s">
        <v>60</v>
      </c>
      <c r="B7" s="22" t="s">
        <v>582</v>
      </c>
      <c r="C7" s="22">
        <v>440</v>
      </c>
      <c r="D7" s="22">
        <v>460</v>
      </c>
      <c r="E7" s="22">
        <v>480</v>
      </c>
      <c r="F7" s="22">
        <v>500</v>
      </c>
      <c r="G7" s="22">
        <v>515</v>
      </c>
      <c r="H7" s="22">
        <v>530</v>
      </c>
      <c r="I7" s="22">
        <v>545</v>
      </c>
      <c r="J7" s="22">
        <v>565</v>
      </c>
    </row>
    <row r="8" spans="1:10">
      <c r="A8" s="22" t="s">
        <v>73</v>
      </c>
      <c r="B8" s="22" t="s">
        <v>1714</v>
      </c>
      <c r="C8" s="22">
        <v>535</v>
      </c>
      <c r="D8" s="22">
        <v>540</v>
      </c>
      <c r="E8" s="22">
        <v>545</v>
      </c>
      <c r="F8" s="22">
        <v>560</v>
      </c>
      <c r="G8" s="22">
        <v>570</v>
      </c>
      <c r="H8" s="22">
        <v>580</v>
      </c>
      <c r="I8" s="22">
        <v>600</v>
      </c>
      <c r="J8" s="22">
        <v>615</v>
      </c>
    </row>
    <row r="9" spans="1:10">
      <c r="A9" s="22" t="s">
        <v>55</v>
      </c>
      <c r="B9" s="22" t="s">
        <v>1</v>
      </c>
      <c r="C9" s="22">
        <v>392</v>
      </c>
      <c r="D9" s="22">
        <v>394</v>
      </c>
      <c r="E9" s="22">
        <v>395</v>
      </c>
      <c r="F9" s="22">
        <v>401</v>
      </c>
      <c r="G9" s="22">
        <v>407</v>
      </c>
      <c r="H9" s="22">
        <v>412</v>
      </c>
      <c r="I9" s="22">
        <v>422</v>
      </c>
      <c r="J9" s="22">
        <v>433</v>
      </c>
    </row>
    <row r="10" spans="1:10">
      <c r="A10" s="22" t="s">
        <v>54</v>
      </c>
      <c r="B10" s="22" t="s">
        <v>0</v>
      </c>
      <c r="C10" s="22">
        <v>517</v>
      </c>
      <c r="D10" s="22">
        <v>527</v>
      </c>
      <c r="E10" s="22">
        <v>541</v>
      </c>
      <c r="F10" s="22">
        <v>555</v>
      </c>
      <c r="G10" s="22">
        <v>570</v>
      </c>
      <c r="H10" s="22">
        <v>585</v>
      </c>
      <c r="I10" s="22">
        <v>599</v>
      </c>
      <c r="J10" s="22">
        <v>617</v>
      </c>
    </row>
    <row r="11" spans="1:10">
      <c r="A11" s="22" t="s">
        <v>64</v>
      </c>
      <c r="B11" s="22" t="s">
        <v>576</v>
      </c>
      <c r="C11" s="22">
        <v>95</v>
      </c>
      <c r="D11" s="22">
        <v>105</v>
      </c>
      <c r="E11" s="22">
        <v>120</v>
      </c>
      <c r="F11" s="22">
        <v>135</v>
      </c>
      <c r="G11" s="22">
        <v>150</v>
      </c>
      <c r="H11" s="22">
        <v>165</v>
      </c>
      <c r="I11" s="22">
        <v>180</v>
      </c>
      <c r="J11" s="22">
        <v>200</v>
      </c>
    </row>
    <row r="12" spans="1:10">
      <c r="A12" s="22" t="s">
        <v>62</v>
      </c>
      <c r="B12" s="22" t="s">
        <v>966</v>
      </c>
      <c r="C12" s="22">
        <v>71</v>
      </c>
      <c r="D12" s="22">
        <v>71</v>
      </c>
      <c r="E12" s="22">
        <v>71</v>
      </c>
      <c r="F12" s="22">
        <v>71.25</v>
      </c>
      <c r="G12" s="22">
        <v>71.25</v>
      </c>
      <c r="H12" s="22">
        <v>71.5</v>
      </c>
      <c r="I12" s="22">
        <v>71.5</v>
      </c>
      <c r="J12" s="22">
        <v>71.5</v>
      </c>
    </row>
    <row r="13" spans="1:10">
      <c r="A13" s="22" t="s">
        <v>63</v>
      </c>
      <c r="B13" s="22" t="s">
        <v>971</v>
      </c>
      <c r="C13" s="22">
        <v>74.5</v>
      </c>
      <c r="D13" s="22">
        <v>74.5</v>
      </c>
      <c r="E13" s="22">
        <v>74.5</v>
      </c>
      <c r="F13" s="22">
        <v>74</v>
      </c>
      <c r="G13" s="22">
        <v>74</v>
      </c>
      <c r="H13" s="22">
        <v>74</v>
      </c>
      <c r="I13" s="22">
        <v>73.5</v>
      </c>
      <c r="J13" s="22">
        <v>73.5</v>
      </c>
    </row>
    <row r="14" spans="1:10">
      <c r="A14" s="22" t="s">
        <v>134</v>
      </c>
      <c r="B14" s="22" t="s">
        <v>1712</v>
      </c>
      <c r="C14" s="22">
        <v>607</v>
      </c>
      <c r="D14" s="22">
        <v>612</v>
      </c>
      <c r="E14" s="22">
        <v>618</v>
      </c>
      <c r="F14" s="22">
        <v>627</v>
      </c>
      <c r="G14" s="22">
        <v>635</v>
      </c>
      <c r="H14" s="22">
        <v>644</v>
      </c>
      <c r="I14" s="22">
        <v>659</v>
      </c>
      <c r="J14" s="22">
        <v>674</v>
      </c>
    </row>
    <row r="15" spans="1:10">
      <c r="A15" s="22" t="s">
        <v>66</v>
      </c>
      <c r="B15" s="22" t="s">
        <v>1713</v>
      </c>
      <c r="C15" s="22">
        <v>427</v>
      </c>
      <c r="D15" s="22">
        <v>427</v>
      </c>
      <c r="E15" s="22">
        <v>427</v>
      </c>
      <c r="F15" s="22">
        <v>427</v>
      </c>
      <c r="G15" s="22">
        <v>410</v>
      </c>
      <c r="H15" s="22">
        <v>427</v>
      </c>
      <c r="I15" s="22">
        <v>427</v>
      </c>
      <c r="J15" s="22">
        <v>427</v>
      </c>
    </row>
    <row r="16" spans="1:10">
      <c r="A16" s="22" t="s">
        <v>56</v>
      </c>
      <c r="B16" s="22" t="s">
        <v>9</v>
      </c>
      <c r="C16" s="22">
        <v>1023</v>
      </c>
      <c r="D16" s="22">
        <v>1029</v>
      </c>
      <c r="E16" s="22">
        <v>1034</v>
      </c>
      <c r="F16" s="22">
        <v>1043</v>
      </c>
      <c r="G16" s="22">
        <v>1052</v>
      </c>
      <c r="H16" s="22">
        <v>1060</v>
      </c>
      <c r="I16" s="22">
        <v>1076</v>
      </c>
      <c r="J16" s="22">
        <v>1091</v>
      </c>
    </row>
    <row r="17" spans="1:15">
      <c r="A17" s="22" t="s">
        <v>65</v>
      </c>
      <c r="B17" s="22" t="s">
        <v>174</v>
      </c>
      <c r="C17" s="22">
        <v>74</v>
      </c>
      <c r="D17" s="22">
        <v>74</v>
      </c>
      <c r="E17" s="22">
        <v>74</v>
      </c>
      <c r="F17" s="22">
        <v>73</v>
      </c>
      <c r="G17" s="22">
        <v>73</v>
      </c>
      <c r="H17" s="22">
        <v>73</v>
      </c>
      <c r="I17" s="22">
        <v>72</v>
      </c>
      <c r="J17" s="22">
        <v>72</v>
      </c>
    </row>
    <row r="18" spans="1:15">
      <c r="A18" s="22" t="s">
        <v>495</v>
      </c>
      <c r="B18" s="22" t="s">
        <v>178</v>
      </c>
      <c r="C18" s="22">
        <v>395</v>
      </c>
      <c r="D18" s="22">
        <v>395</v>
      </c>
      <c r="E18" s="22">
        <v>395</v>
      </c>
      <c r="F18" s="22">
        <v>395</v>
      </c>
      <c r="G18" s="22">
        <v>395</v>
      </c>
      <c r="H18" s="22">
        <v>395</v>
      </c>
      <c r="I18" s="22">
        <v>395</v>
      </c>
      <c r="J18" s="22">
        <v>395</v>
      </c>
    </row>
    <row r="19" spans="1:15">
      <c r="A19" s="22" t="s">
        <v>67</v>
      </c>
      <c r="B19" s="22" t="s">
        <v>247</v>
      </c>
      <c r="C19" s="22">
        <v>55</v>
      </c>
      <c r="D19" s="22">
        <v>55</v>
      </c>
      <c r="E19" s="22">
        <v>55</v>
      </c>
      <c r="F19" s="22">
        <v>55</v>
      </c>
      <c r="G19" s="22">
        <v>53</v>
      </c>
      <c r="H19" s="22">
        <v>53</v>
      </c>
      <c r="I19" s="22">
        <v>53</v>
      </c>
      <c r="J19" s="22">
        <v>53</v>
      </c>
    </row>
    <row r="20" spans="1:15">
      <c r="A20" s="22" t="s">
        <v>135</v>
      </c>
      <c r="B20" s="22" t="s">
        <v>133</v>
      </c>
      <c r="C20" s="22">
        <v>66</v>
      </c>
      <c r="D20" s="22">
        <v>66</v>
      </c>
      <c r="E20" s="22">
        <v>66</v>
      </c>
      <c r="F20" s="22">
        <v>64</v>
      </c>
      <c r="G20" s="22">
        <v>66</v>
      </c>
      <c r="H20" s="22">
        <v>65</v>
      </c>
      <c r="I20" s="22">
        <v>65</v>
      </c>
      <c r="J20" s="22">
        <v>65</v>
      </c>
    </row>
    <row r="21" spans="1:15">
      <c r="A21" s="22" t="s">
        <v>70</v>
      </c>
      <c r="B21" s="22" t="s">
        <v>70</v>
      </c>
      <c r="C21" s="22">
        <v>400</v>
      </c>
      <c r="D21" s="22">
        <v>400</v>
      </c>
      <c r="E21" s="22">
        <v>400</v>
      </c>
      <c r="F21" s="22">
        <v>420</v>
      </c>
      <c r="G21" s="22">
        <v>420</v>
      </c>
      <c r="H21" s="22">
        <v>420</v>
      </c>
      <c r="I21" s="22">
        <v>440</v>
      </c>
      <c r="J21" s="22">
        <v>440</v>
      </c>
    </row>
    <row r="22" spans="1:15">
      <c r="A22" s="22" t="s">
        <v>71</v>
      </c>
      <c r="B22" s="22" t="s">
        <v>71</v>
      </c>
      <c r="C22" s="22">
        <v>70</v>
      </c>
      <c r="D22" s="22">
        <v>80</v>
      </c>
      <c r="E22" s="22">
        <v>90</v>
      </c>
      <c r="F22" s="22">
        <v>90</v>
      </c>
      <c r="G22" s="22">
        <v>90</v>
      </c>
      <c r="H22" s="22">
        <v>90</v>
      </c>
      <c r="I22" s="22">
        <v>90</v>
      </c>
      <c r="J22" s="22">
        <v>90</v>
      </c>
    </row>
    <row r="23" spans="1:15">
      <c r="A23" s="22" t="s">
        <v>69</v>
      </c>
      <c r="B23" s="22" t="s">
        <v>69</v>
      </c>
      <c r="C23" s="22">
        <v>165</v>
      </c>
      <c r="D23" s="22">
        <v>170</v>
      </c>
      <c r="E23" s="22">
        <v>170</v>
      </c>
      <c r="F23" s="22">
        <v>172.5</v>
      </c>
      <c r="G23" s="22">
        <v>172.5</v>
      </c>
      <c r="H23" s="22">
        <v>172.5</v>
      </c>
      <c r="I23" s="22">
        <v>175</v>
      </c>
      <c r="J23" s="22">
        <v>175</v>
      </c>
    </row>
    <row r="24" spans="1:15">
      <c r="A24" s="22" t="s">
        <v>57</v>
      </c>
      <c r="B24" s="22" t="s">
        <v>57</v>
      </c>
    </row>
    <row r="25" spans="1:15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  <c r="I25" s="22">
        <v>700</v>
      </c>
      <c r="J25" s="22">
        <v>700</v>
      </c>
      <c r="N25"/>
      <c r="O25"/>
    </row>
    <row r="26" spans="1:15">
      <c r="A26" s="22" t="s">
        <v>139</v>
      </c>
      <c r="B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  <c r="H26" s="22">
        <v>45</v>
      </c>
      <c r="I26" s="22">
        <v>45</v>
      </c>
      <c r="J26" s="22">
        <v>45</v>
      </c>
    </row>
    <row r="27" spans="1:15">
      <c r="A27" s="22" t="s">
        <v>140</v>
      </c>
      <c r="B27" s="22" t="s">
        <v>140</v>
      </c>
      <c r="C27" s="22">
        <v>47</v>
      </c>
      <c r="D27" s="22">
        <v>47</v>
      </c>
      <c r="E27" s="22">
        <v>47</v>
      </c>
      <c r="F27" s="22">
        <v>47</v>
      </c>
      <c r="G27" s="22">
        <v>47</v>
      </c>
      <c r="H27" s="22">
        <v>47</v>
      </c>
      <c r="I27" s="22">
        <v>47</v>
      </c>
      <c r="J27" s="22">
        <v>47</v>
      </c>
    </row>
    <row r="28" spans="1:15">
      <c r="A28" s="22" t="s">
        <v>1752</v>
      </c>
      <c r="C28" s="22">
        <v>155</v>
      </c>
      <c r="D28" s="22">
        <f>C29</f>
        <v>160</v>
      </c>
      <c r="E28" s="22">
        <f t="shared" ref="E28:J28" si="0">D29</f>
        <v>168</v>
      </c>
      <c r="F28" s="22">
        <f t="shared" si="0"/>
        <v>173</v>
      </c>
      <c r="G28" s="22">
        <f t="shared" si="0"/>
        <v>178</v>
      </c>
      <c r="H28" s="22">
        <f t="shared" si="0"/>
        <v>183</v>
      </c>
      <c r="I28" s="22">
        <f t="shared" si="0"/>
        <v>188</v>
      </c>
      <c r="J28" s="22">
        <f t="shared" si="0"/>
        <v>193</v>
      </c>
    </row>
    <row r="29" spans="1:15">
      <c r="A29" s="22" t="s">
        <v>1753</v>
      </c>
      <c r="C29" s="22">
        <v>160</v>
      </c>
      <c r="D29" s="22">
        <v>168</v>
      </c>
      <c r="E29" s="22">
        <v>173</v>
      </c>
      <c r="F29" s="22">
        <v>178</v>
      </c>
      <c r="G29" s="22">
        <v>183</v>
      </c>
      <c r="H29" s="22">
        <v>188</v>
      </c>
      <c r="I29" s="22">
        <v>193</v>
      </c>
      <c r="J29" s="22">
        <v>198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DE87-34E9-1844-84FC-264E89123D30}">
  <dimension ref="A1:J24"/>
  <sheetViews>
    <sheetView workbookViewId="0">
      <selection activeCell="C23" sqref="C23:J24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16384" width="10.83203125" style="22"/>
  </cols>
  <sheetData>
    <row r="1" spans="1:10">
      <c r="A1" s="22" t="s">
        <v>72</v>
      </c>
      <c r="B1" s="22" t="s">
        <v>141</v>
      </c>
      <c r="C1" s="22">
        <v>46</v>
      </c>
      <c r="D1" s="22">
        <v>49</v>
      </c>
      <c r="E1" s="22">
        <v>52</v>
      </c>
      <c r="F1" s="22">
        <v>54</v>
      </c>
      <c r="G1" s="22">
        <v>56</v>
      </c>
      <c r="H1" s="22">
        <v>58</v>
      </c>
      <c r="I1" s="22">
        <v>60</v>
      </c>
      <c r="J1" s="22">
        <v>62</v>
      </c>
    </row>
    <row r="2" spans="1:10">
      <c r="A2" s="22" t="s">
        <v>60</v>
      </c>
      <c r="B2" s="22" t="s">
        <v>582</v>
      </c>
      <c r="C2" s="22">
        <v>460</v>
      </c>
      <c r="D2" s="22">
        <v>490</v>
      </c>
      <c r="E2" s="22">
        <v>520</v>
      </c>
      <c r="F2" s="22">
        <v>540</v>
      </c>
      <c r="G2" s="22">
        <v>560</v>
      </c>
      <c r="H2" s="22">
        <v>580</v>
      </c>
      <c r="I2" s="22">
        <v>600</v>
      </c>
      <c r="J2" s="22">
        <v>620</v>
      </c>
    </row>
    <row r="3" spans="1:10">
      <c r="A3" s="22" t="s">
        <v>73</v>
      </c>
      <c r="B3" s="22" t="s">
        <v>1714</v>
      </c>
      <c r="C3" s="22">
        <v>530</v>
      </c>
      <c r="D3" s="22">
        <v>540</v>
      </c>
      <c r="E3" s="22">
        <v>550</v>
      </c>
      <c r="F3" s="22">
        <v>560</v>
      </c>
      <c r="G3" s="22">
        <v>570</v>
      </c>
      <c r="H3" s="22">
        <v>580</v>
      </c>
      <c r="I3" s="22">
        <v>590</v>
      </c>
      <c r="J3" s="22">
        <v>605</v>
      </c>
    </row>
    <row r="4" spans="1:10">
      <c r="A4" s="22" t="s">
        <v>55</v>
      </c>
      <c r="B4" s="22" t="s">
        <v>1</v>
      </c>
      <c r="C4" s="22">
        <v>372</v>
      </c>
      <c r="D4" s="22">
        <v>374</v>
      </c>
      <c r="E4" s="22">
        <v>376</v>
      </c>
      <c r="F4" s="22">
        <v>381</v>
      </c>
      <c r="G4" s="22">
        <v>387</v>
      </c>
      <c r="H4" s="22">
        <v>392</v>
      </c>
      <c r="I4" s="22">
        <v>398</v>
      </c>
      <c r="J4" s="22">
        <v>408</v>
      </c>
    </row>
    <row r="5" spans="1:10">
      <c r="A5" s="22" t="s">
        <v>54</v>
      </c>
      <c r="B5" s="22" t="s">
        <v>0</v>
      </c>
      <c r="C5" s="22">
        <v>533</v>
      </c>
      <c r="D5" s="22">
        <v>542</v>
      </c>
      <c r="E5" s="22">
        <v>551</v>
      </c>
      <c r="F5" s="22">
        <v>567</v>
      </c>
      <c r="G5" s="22">
        <v>580</v>
      </c>
      <c r="H5" s="22">
        <v>596</v>
      </c>
      <c r="I5" s="22">
        <v>609</v>
      </c>
      <c r="J5" s="22">
        <v>624</v>
      </c>
    </row>
    <row r="6" spans="1:10">
      <c r="A6" s="22" t="s">
        <v>64</v>
      </c>
      <c r="B6" s="22" t="s">
        <v>576</v>
      </c>
      <c r="C6" s="22">
        <v>100</v>
      </c>
      <c r="D6" s="22">
        <v>110</v>
      </c>
      <c r="E6" s="22">
        <v>120</v>
      </c>
      <c r="F6" s="22">
        <v>135</v>
      </c>
      <c r="G6" s="22">
        <v>150</v>
      </c>
      <c r="H6" s="22">
        <v>165</v>
      </c>
      <c r="I6" s="22">
        <v>180</v>
      </c>
      <c r="J6" s="22">
        <v>195</v>
      </c>
    </row>
    <row r="7" spans="1:10">
      <c r="A7" s="22" t="s">
        <v>62</v>
      </c>
      <c r="B7" s="22" t="s">
        <v>966</v>
      </c>
      <c r="C7" s="22">
        <v>71.5</v>
      </c>
      <c r="D7" s="22">
        <v>71.5</v>
      </c>
      <c r="E7" s="22">
        <v>71.5</v>
      </c>
      <c r="F7" s="22">
        <v>72</v>
      </c>
      <c r="G7" s="22">
        <v>72</v>
      </c>
      <c r="H7" s="22">
        <v>72.5</v>
      </c>
      <c r="I7" s="22">
        <v>72.5</v>
      </c>
      <c r="J7" s="22">
        <v>72.5</v>
      </c>
    </row>
    <row r="8" spans="1:10">
      <c r="A8" s="22" t="s">
        <v>63</v>
      </c>
      <c r="B8" s="22" t="s">
        <v>971</v>
      </c>
      <c r="C8" s="22">
        <v>73.5</v>
      </c>
      <c r="D8" s="22">
        <v>73</v>
      </c>
      <c r="E8" s="22">
        <v>72.5</v>
      </c>
      <c r="F8" s="22">
        <v>72.5</v>
      </c>
      <c r="G8" s="22">
        <v>72.5</v>
      </c>
      <c r="H8" s="22">
        <v>72.5</v>
      </c>
      <c r="I8" s="22">
        <v>72.5</v>
      </c>
      <c r="J8" s="22">
        <v>72.5</v>
      </c>
    </row>
    <row r="9" spans="1:10">
      <c r="A9" s="22" t="s">
        <v>134</v>
      </c>
      <c r="B9" s="22" t="s">
        <v>1712</v>
      </c>
      <c r="C9" s="22">
        <v>580</v>
      </c>
      <c r="D9" s="22">
        <v>586</v>
      </c>
      <c r="E9" s="22">
        <v>591</v>
      </c>
      <c r="F9" s="22">
        <v>596</v>
      </c>
      <c r="G9" s="22">
        <v>606</v>
      </c>
      <c r="H9" s="22">
        <v>611</v>
      </c>
      <c r="I9" s="22">
        <v>621</v>
      </c>
      <c r="J9" s="22">
        <v>636</v>
      </c>
    </row>
    <row r="10" spans="1:10">
      <c r="A10" s="22" t="s">
        <v>66</v>
      </c>
      <c r="B10" s="22" t="s">
        <v>1713</v>
      </c>
      <c r="C10" s="22">
        <v>422</v>
      </c>
      <c r="D10" s="22">
        <v>422</v>
      </c>
      <c r="E10" s="22">
        <v>422</v>
      </c>
      <c r="F10" s="22">
        <v>422</v>
      </c>
      <c r="G10" s="22">
        <v>422</v>
      </c>
      <c r="H10" s="22">
        <v>422</v>
      </c>
      <c r="I10" s="22">
        <v>422</v>
      </c>
      <c r="J10" s="22">
        <v>422</v>
      </c>
    </row>
    <row r="11" spans="1:10">
      <c r="A11" s="22" t="s">
        <v>65</v>
      </c>
      <c r="B11" s="22" t="s">
        <v>174</v>
      </c>
      <c r="C11" s="22">
        <v>73</v>
      </c>
      <c r="D11" s="22">
        <v>73</v>
      </c>
      <c r="E11" s="22">
        <v>72</v>
      </c>
      <c r="F11" s="22">
        <v>72</v>
      </c>
      <c r="G11" s="22">
        <v>72</v>
      </c>
      <c r="H11" s="22">
        <v>71</v>
      </c>
      <c r="I11" s="22">
        <v>70</v>
      </c>
      <c r="J11" s="22">
        <v>70</v>
      </c>
    </row>
    <row r="12" spans="1:10">
      <c r="A12" s="22" t="s">
        <v>56</v>
      </c>
      <c r="B12" s="22" t="s">
        <v>9</v>
      </c>
      <c r="C12" s="22">
        <v>991</v>
      </c>
      <c r="D12" s="22">
        <v>997</v>
      </c>
      <c r="E12" s="22">
        <v>1002</v>
      </c>
      <c r="F12" s="22">
        <v>1008</v>
      </c>
      <c r="G12" s="22">
        <v>1018</v>
      </c>
      <c r="H12" s="22">
        <v>1023</v>
      </c>
      <c r="I12" s="22">
        <v>1033</v>
      </c>
      <c r="J12" s="22">
        <v>1048</v>
      </c>
    </row>
    <row r="13" spans="1:10">
      <c r="A13" s="22" t="s">
        <v>495</v>
      </c>
      <c r="B13" s="22" t="s">
        <v>178</v>
      </c>
      <c r="C13" s="22">
        <v>400</v>
      </c>
      <c r="D13" s="22">
        <v>400</v>
      </c>
      <c r="E13" s="22">
        <v>400</v>
      </c>
      <c r="F13" s="22">
        <v>400</v>
      </c>
      <c r="G13" s="22">
        <v>400</v>
      </c>
      <c r="H13" s="22">
        <v>400</v>
      </c>
      <c r="I13" s="22">
        <v>400</v>
      </c>
      <c r="J13" s="22">
        <v>400</v>
      </c>
    </row>
    <row r="14" spans="1:10">
      <c r="A14" s="22" t="s">
        <v>67</v>
      </c>
      <c r="B14" s="22" t="s">
        <v>247</v>
      </c>
      <c r="C14" s="22">
        <v>47</v>
      </c>
      <c r="D14" s="22">
        <v>47</v>
      </c>
      <c r="E14" s="22">
        <v>47</v>
      </c>
      <c r="F14" s="22">
        <v>47</v>
      </c>
      <c r="G14" s="22">
        <v>47</v>
      </c>
      <c r="H14" s="22">
        <v>47</v>
      </c>
      <c r="I14" s="22">
        <v>47</v>
      </c>
      <c r="J14" s="22">
        <v>47</v>
      </c>
    </row>
    <row r="15" spans="1:10">
      <c r="A15" s="22" t="s">
        <v>135</v>
      </c>
      <c r="B15" s="22" t="s">
        <v>133</v>
      </c>
      <c r="C15" s="22">
        <v>62</v>
      </c>
      <c r="D15" s="22">
        <v>62</v>
      </c>
      <c r="E15" s="22">
        <v>62</v>
      </c>
      <c r="F15" s="22">
        <v>59</v>
      </c>
      <c r="G15" s="22">
        <v>59</v>
      </c>
      <c r="H15" s="22">
        <v>56</v>
      </c>
      <c r="I15" s="22">
        <v>56</v>
      </c>
      <c r="J15" s="22">
        <v>56</v>
      </c>
    </row>
    <row r="16" spans="1:10">
      <c r="A16" s="22" t="s">
        <v>57</v>
      </c>
      <c r="B16" s="22" t="s">
        <v>57</v>
      </c>
    </row>
    <row r="17" spans="1:10">
      <c r="A17" s="22" t="s">
        <v>69</v>
      </c>
      <c r="B17" s="22" t="s">
        <v>69</v>
      </c>
    </row>
    <row r="18" spans="1:10">
      <c r="A18" s="22" t="s">
        <v>70</v>
      </c>
      <c r="B18" s="22" t="s">
        <v>70</v>
      </c>
    </row>
    <row r="19" spans="1:10">
      <c r="A19" s="22" t="s">
        <v>71</v>
      </c>
      <c r="B19" s="22" t="s">
        <v>71</v>
      </c>
    </row>
    <row r="20" spans="1:10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  <c r="I20" s="22">
        <v>700</v>
      </c>
      <c r="J20" s="22">
        <v>700</v>
      </c>
    </row>
    <row r="21" spans="1:10">
      <c r="A21" s="22" t="s">
        <v>139</v>
      </c>
      <c r="B21" s="22" t="s">
        <v>139</v>
      </c>
      <c r="C21" s="22">
        <v>30</v>
      </c>
      <c r="D21" s="22">
        <v>30</v>
      </c>
      <c r="E21" s="22">
        <v>30</v>
      </c>
      <c r="F21" s="22">
        <v>30</v>
      </c>
      <c r="G21" s="22">
        <v>30</v>
      </c>
      <c r="H21" s="22">
        <v>30</v>
      </c>
      <c r="I21" s="22">
        <v>30</v>
      </c>
      <c r="J21" s="22">
        <v>30</v>
      </c>
    </row>
    <row r="22" spans="1:10">
      <c r="A22" s="22" t="s">
        <v>140</v>
      </c>
      <c r="B22" s="22" t="s">
        <v>140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  <c r="H22" s="22">
        <v>40</v>
      </c>
      <c r="I22" s="22">
        <v>40</v>
      </c>
      <c r="J22" s="22">
        <v>40</v>
      </c>
    </row>
    <row r="23" spans="1:10">
      <c r="A23" s="22" t="s">
        <v>1752</v>
      </c>
      <c r="C23" s="22">
        <v>157</v>
      </c>
      <c r="D23" s="22">
        <v>160</v>
      </c>
      <c r="E23" s="22">
        <v>168</v>
      </c>
      <c r="F23" s="22">
        <v>173</v>
      </c>
      <c r="G23" s="22">
        <v>178</v>
      </c>
      <c r="H23" s="22">
        <v>183</v>
      </c>
      <c r="I23" s="22">
        <v>188</v>
      </c>
      <c r="J23" s="22">
        <v>193</v>
      </c>
    </row>
    <row r="24" spans="1:10">
      <c r="A24" s="22" t="s">
        <v>1753</v>
      </c>
      <c r="C24" s="22">
        <v>161</v>
      </c>
      <c r="D24" s="22">
        <v>169</v>
      </c>
      <c r="E24" s="22">
        <v>174</v>
      </c>
      <c r="F24" s="22">
        <v>179</v>
      </c>
      <c r="G24" s="22">
        <v>184</v>
      </c>
      <c r="H24" s="22">
        <v>189</v>
      </c>
      <c r="I24" s="22">
        <v>194</v>
      </c>
      <c r="J24" s="22">
        <v>197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E2790-930A-A748-B806-4F00BDE8EF1D}">
  <dimension ref="A1:H58"/>
  <sheetViews>
    <sheetView topLeftCell="A13" workbookViewId="0">
      <selection activeCell="I25" sqref="I25"/>
    </sheetView>
  </sheetViews>
  <sheetFormatPr baseColWidth="10" defaultRowHeight="20"/>
  <cols>
    <col min="1" max="2" width="29.332031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752</v>
      </c>
      <c r="D1" s="22" t="s">
        <v>753</v>
      </c>
      <c r="E1" s="22" t="s">
        <v>754</v>
      </c>
      <c r="F1" s="22" t="s">
        <v>755</v>
      </c>
      <c r="G1" s="22" t="s">
        <v>756</v>
      </c>
    </row>
    <row r="2" spans="1:8">
      <c r="A2" s="22" t="s">
        <v>60</v>
      </c>
      <c r="B2" s="22" t="s">
        <v>60</v>
      </c>
      <c r="C2" s="22">
        <v>380</v>
      </c>
      <c r="D2" s="22">
        <v>405</v>
      </c>
      <c r="E2" s="22">
        <v>460</v>
      </c>
      <c r="F2" s="22">
        <v>508</v>
      </c>
      <c r="G2" s="22">
        <v>560</v>
      </c>
    </row>
    <row r="3" spans="1:8">
      <c r="A3" s="22" t="s">
        <v>62</v>
      </c>
      <c r="B3" s="22" t="s">
        <v>62</v>
      </c>
      <c r="C3" s="22">
        <v>70</v>
      </c>
      <c r="D3" s="22">
        <v>70</v>
      </c>
      <c r="E3" s="22">
        <v>70.5</v>
      </c>
      <c r="F3" s="22">
        <v>70.5</v>
      </c>
      <c r="G3" s="22">
        <v>70.5</v>
      </c>
    </row>
    <row r="4" spans="1:8">
      <c r="A4" s="22" t="s">
        <v>63</v>
      </c>
      <c r="B4" s="22" t="s">
        <v>63</v>
      </c>
      <c r="C4" s="22">
        <v>74</v>
      </c>
      <c r="D4" s="22">
        <v>73.5</v>
      </c>
      <c r="E4" s="22">
        <v>73</v>
      </c>
      <c r="F4" s="22">
        <v>72.5</v>
      </c>
      <c r="G4" s="22">
        <v>72.5</v>
      </c>
    </row>
    <row r="5" spans="1:8">
      <c r="A5" s="22" t="s">
        <v>73</v>
      </c>
      <c r="B5" s="22" t="s">
        <v>73</v>
      </c>
      <c r="C5" s="22">
        <v>545</v>
      </c>
      <c r="D5" s="22">
        <v>560</v>
      </c>
      <c r="E5" s="22">
        <v>580</v>
      </c>
      <c r="F5" s="22">
        <v>600</v>
      </c>
      <c r="G5" s="22">
        <v>620</v>
      </c>
    </row>
    <row r="6" spans="1:8">
      <c r="A6" s="22" t="s">
        <v>66</v>
      </c>
      <c r="B6" s="22" t="s">
        <v>66</v>
      </c>
      <c r="C6" s="22">
        <v>444</v>
      </c>
      <c r="D6" s="22">
        <v>444</v>
      </c>
      <c r="E6" s="22">
        <v>444</v>
      </c>
      <c r="F6" s="22">
        <v>444</v>
      </c>
      <c r="G6" s="22">
        <v>444</v>
      </c>
      <c r="H6" s="22" t="s">
        <v>924</v>
      </c>
    </row>
    <row r="7" spans="1:8">
      <c r="A7" s="22" t="s">
        <v>65</v>
      </c>
      <c r="B7" s="22" t="s">
        <v>65</v>
      </c>
      <c r="C7" s="22">
        <v>70</v>
      </c>
      <c r="D7" s="22">
        <v>70</v>
      </c>
      <c r="E7" s="22">
        <v>70</v>
      </c>
      <c r="F7" s="22">
        <v>70</v>
      </c>
      <c r="G7" s="22">
        <v>70</v>
      </c>
    </row>
    <row r="8" spans="1:8">
      <c r="A8" s="22" t="s">
        <v>64</v>
      </c>
      <c r="B8" s="22" t="s">
        <v>64</v>
      </c>
      <c r="C8" s="22">
        <v>125</v>
      </c>
      <c r="D8" s="22">
        <v>150</v>
      </c>
      <c r="E8" s="22">
        <v>175</v>
      </c>
      <c r="F8" s="22">
        <v>205</v>
      </c>
      <c r="G8" s="22">
        <v>230</v>
      </c>
    </row>
    <row r="9" spans="1:8">
      <c r="A9" s="22" t="s">
        <v>163</v>
      </c>
      <c r="B9" s="22" t="s">
        <v>163</v>
      </c>
      <c r="C9" s="22">
        <v>425</v>
      </c>
      <c r="D9" s="22">
        <v>425</v>
      </c>
      <c r="E9" s="22">
        <v>425</v>
      </c>
      <c r="F9" s="22">
        <v>425</v>
      </c>
      <c r="G9" s="22">
        <v>425</v>
      </c>
    </row>
    <row r="10" spans="1:8">
      <c r="A10" s="22" t="s">
        <v>67</v>
      </c>
      <c r="B10" s="22" t="s">
        <v>67</v>
      </c>
      <c r="C10" s="22">
        <v>55</v>
      </c>
      <c r="D10" s="22">
        <v>55</v>
      </c>
      <c r="E10" s="22">
        <v>50</v>
      </c>
      <c r="F10" s="22">
        <v>50</v>
      </c>
      <c r="G10" s="22">
        <v>50</v>
      </c>
    </row>
    <row r="11" spans="1:8">
      <c r="A11" s="22" t="s">
        <v>135</v>
      </c>
      <c r="B11" s="22" t="s">
        <v>135</v>
      </c>
      <c r="C11" s="22">
        <v>72</v>
      </c>
      <c r="D11" s="22">
        <v>72</v>
      </c>
      <c r="E11" s="22">
        <v>74</v>
      </c>
      <c r="F11" s="22">
        <v>74</v>
      </c>
      <c r="G11" s="22">
        <v>74</v>
      </c>
    </row>
    <row r="12" spans="1:8">
      <c r="A12" s="29" t="s">
        <v>54</v>
      </c>
      <c r="B12" s="29" t="s">
        <v>54</v>
      </c>
      <c r="C12" s="22">
        <v>581</v>
      </c>
      <c r="D12" s="22">
        <v>604</v>
      </c>
      <c r="E12" s="22">
        <v>632</v>
      </c>
      <c r="F12" s="22">
        <v>660</v>
      </c>
      <c r="G12" s="22">
        <v>684</v>
      </c>
    </row>
    <row r="13" spans="1:8">
      <c r="A13" s="29" t="s">
        <v>55</v>
      </c>
      <c r="B13" s="29" t="s">
        <v>55</v>
      </c>
      <c r="C13" s="22">
        <v>376</v>
      </c>
      <c r="D13" s="22">
        <v>378</v>
      </c>
      <c r="E13" s="22">
        <v>385</v>
      </c>
      <c r="F13" s="22">
        <v>390</v>
      </c>
      <c r="G13" s="22">
        <v>403</v>
      </c>
    </row>
    <row r="14" spans="1:8">
      <c r="A14" s="22" t="s">
        <v>57</v>
      </c>
      <c r="B14" s="22" t="s">
        <v>57</v>
      </c>
      <c r="C14" s="22">
        <v>736</v>
      </c>
      <c r="D14" s="22">
        <v>760</v>
      </c>
      <c r="E14" s="22">
        <v>799</v>
      </c>
      <c r="F14" s="22">
        <v>836</v>
      </c>
      <c r="G14" s="22">
        <v>872</v>
      </c>
    </row>
    <row r="15" spans="1:8">
      <c r="A15" s="22" t="s">
        <v>134</v>
      </c>
      <c r="B15" s="22" t="s">
        <v>134</v>
      </c>
      <c r="C15" s="22">
        <v>624</v>
      </c>
      <c r="D15" s="22">
        <v>635</v>
      </c>
      <c r="E15" s="22">
        <v>641</v>
      </c>
      <c r="F15" s="22">
        <v>656</v>
      </c>
      <c r="G15" s="22">
        <v>677</v>
      </c>
    </row>
    <row r="16" spans="1:8">
      <c r="A16" s="22" t="s">
        <v>56</v>
      </c>
      <c r="B16" s="22" t="s">
        <v>56</v>
      </c>
      <c r="C16" s="22">
        <v>1059</v>
      </c>
      <c r="D16" s="22">
        <v>1070</v>
      </c>
      <c r="E16" s="22">
        <v>1075</v>
      </c>
      <c r="F16" s="22">
        <v>1091</v>
      </c>
      <c r="G16" s="22">
        <v>1112</v>
      </c>
    </row>
    <row r="17" spans="1:8">
      <c r="A17" s="22" t="s">
        <v>69</v>
      </c>
      <c r="B17" s="22" t="s">
        <v>69</v>
      </c>
    </row>
    <row r="18" spans="1:8">
      <c r="A18" s="22" t="s">
        <v>70</v>
      </c>
      <c r="B18" s="22" t="s">
        <v>70</v>
      </c>
    </row>
    <row r="19" spans="1:8">
      <c r="A19" s="22" t="s">
        <v>71</v>
      </c>
      <c r="B19" s="22" t="s">
        <v>71</v>
      </c>
    </row>
    <row r="20" spans="1:8">
      <c r="A20" s="22" t="s">
        <v>68</v>
      </c>
      <c r="B20" s="22" t="s">
        <v>68</v>
      </c>
      <c r="C20" s="22">
        <v>29</v>
      </c>
      <c r="D20" s="22">
        <v>30</v>
      </c>
      <c r="E20" s="22">
        <v>31</v>
      </c>
      <c r="F20" s="22">
        <v>32</v>
      </c>
      <c r="G20" s="22">
        <v>33</v>
      </c>
    </row>
    <row r="21" spans="1:8">
      <c r="A21" s="22" t="s">
        <v>139</v>
      </c>
      <c r="B21" s="22" t="s">
        <v>139</v>
      </c>
      <c r="C21" s="22">
        <f>2.4*2.54*10</f>
        <v>60.96</v>
      </c>
      <c r="D21" s="22">
        <f t="shared" ref="D21:G21" si="0">2.4*2.54*10</f>
        <v>60.96</v>
      </c>
      <c r="E21" s="22">
        <f t="shared" si="0"/>
        <v>60.96</v>
      </c>
      <c r="F21" s="22">
        <f t="shared" si="0"/>
        <v>60.96</v>
      </c>
      <c r="G21" s="22">
        <f t="shared" si="0"/>
        <v>60.96</v>
      </c>
      <c r="H21" s="22" t="s">
        <v>2427</v>
      </c>
    </row>
    <row r="22" spans="1:8">
      <c r="A22" s="22" t="s">
        <v>140</v>
      </c>
      <c r="B22" s="22" t="s">
        <v>140</v>
      </c>
      <c r="C22" s="22">
        <f>2.8*25.4</f>
        <v>71.11999999999999</v>
      </c>
      <c r="D22" s="22">
        <f t="shared" ref="D22:G22" si="1">2.8*25.4</f>
        <v>71.11999999999999</v>
      </c>
      <c r="E22" s="22">
        <f t="shared" si="1"/>
        <v>71.11999999999999</v>
      </c>
      <c r="F22" s="22">
        <f t="shared" si="1"/>
        <v>71.11999999999999</v>
      </c>
      <c r="G22" s="22">
        <f t="shared" si="1"/>
        <v>71.11999999999999</v>
      </c>
    </row>
    <row r="23" spans="1:8">
      <c r="A23" s="22" t="s">
        <v>1752</v>
      </c>
      <c r="C23" s="22">
        <f>C25</f>
        <v>152.4</v>
      </c>
      <c r="D23" s="22">
        <f>AVERAGE(D25,C26)</f>
        <v>163.82999999999998</v>
      </c>
      <c r="E23" s="22">
        <f t="shared" ref="E23:G23" si="2">AVERAGE(E25,D26)</f>
        <v>171.45</v>
      </c>
      <c r="F23" s="22">
        <f t="shared" si="2"/>
        <v>179.07</v>
      </c>
      <c r="G23" s="22">
        <f t="shared" si="2"/>
        <v>186.69</v>
      </c>
    </row>
    <row r="24" spans="1:8">
      <c r="A24" s="22" t="s">
        <v>1753</v>
      </c>
      <c r="C24" s="22">
        <f>D23</f>
        <v>163.82999999999998</v>
      </c>
      <c r="D24" s="22">
        <f t="shared" ref="D24:F24" si="3">E23</f>
        <v>171.45</v>
      </c>
      <c r="E24" s="22">
        <f t="shared" si="3"/>
        <v>179.07</v>
      </c>
      <c r="F24" s="22">
        <f t="shared" si="3"/>
        <v>186.69</v>
      </c>
      <c r="G24" s="22">
        <f t="shared" ref="G24" si="4">G26</f>
        <v>198.12</v>
      </c>
    </row>
    <row r="25" spans="1:8">
      <c r="A25" s="22" t="s">
        <v>1752</v>
      </c>
      <c r="C25" s="22">
        <f>C27*2.54</f>
        <v>152.4</v>
      </c>
      <c r="D25" s="22">
        <f t="shared" ref="D25:G25" si="5">D27*2.54</f>
        <v>162.56</v>
      </c>
      <c r="E25" s="22">
        <f t="shared" si="5"/>
        <v>170.18</v>
      </c>
      <c r="F25" s="22">
        <f t="shared" si="5"/>
        <v>177.8</v>
      </c>
      <c r="G25" s="22">
        <f t="shared" si="5"/>
        <v>185.42000000000002</v>
      </c>
    </row>
    <row r="26" spans="1:8">
      <c r="A26" s="22" t="s">
        <v>1753</v>
      </c>
      <c r="C26" s="22">
        <f>C28*2.54</f>
        <v>165.1</v>
      </c>
      <c r="D26" s="22">
        <f t="shared" ref="D26:G26" si="6">D28*2.54</f>
        <v>172.72</v>
      </c>
      <c r="E26" s="22">
        <f t="shared" si="6"/>
        <v>180.34</v>
      </c>
      <c r="F26" s="22">
        <f t="shared" si="6"/>
        <v>187.96</v>
      </c>
      <c r="G26" s="22">
        <f t="shared" si="6"/>
        <v>198.12</v>
      </c>
    </row>
    <row r="27" spans="1:8">
      <c r="B27" s="22" t="s">
        <v>2449</v>
      </c>
      <c r="C27" s="22">
        <v>60</v>
      </c>
      <c r="D27" s="22">
        <v>64</v>
      </c>
      <c r="E27" s="22">
        <v>67</v>
      </c>
      <c r="F27" s="22">
        <v>70</v>
      </c>
      <c r="G27" s="22">
        <v>73</v>
      </c>
    </row>
    <row r="28" spans="1:8">
      <c r="B28" s="22" t="s">
        <v>2450</v>
      </c>
      <c r="C28" s="22">
        <v>65</v>
      </c>
      <c r="D28" s="22">
        <v>68</v>
      </c>
      <c r="E28" s="22">
        <v>71</v>
      </c>
      <c r="F28" s="22">
        <v>74</v>
      </c>
      <c r="G28" s="22">
        <v>78</v>
      </c>
    </row>
    <row r="53" spans="1:4" ht="28">
      <c r="A53" s="115" t="s">
        <v>15</v>
      </c>
      <c r="B53" s="115" t="s">
        <v>2428</v>
      </c>
      <c r="C53" s="115" t="s">
        <v>2429</v>
      </c>
      <c r="D53" s="115" t="s">
        <v>2430</v>
      </c>
    </row>
    <row r="54" spans="1:4" ht="28">
      <c r="A54" s="115" t="s">
        <v>2431</v>
      </c>
      <c r="B54" s="115" t="s">
        <v>750</v>
      </c>
      <c r="C54" s="115" t="s">
        <v>2432</v>
      </c>
      <c r="D54" s="115" t="s">
        <v>2433</v>
      </c>
    </row>
    <row r="55" spans="1:4" ht="28">
      <c r="A55" s="115" t="s">
        <v>2434</v>
      </c>
      <c r="B55" s="115" t="s">
        <v>751</v>
      </c>
      <c r="C55" s="115" t="s">
        <v>2435</v>
      </c>
      <c r="D55" s="115" t="s">
        <v>2436</v>
      </c>
    </row>
    <row r="56" spans="1:4" ht="28">
      <c r="A56" s="115" t="s">
        <v>2437</v>
      </c>
      <c r="B56" s="115" t="s">
        <v>2438</v>
      </c>
      <c r="C56" s="115" t="s">
        <v>2439</v>
      </c>
      <c r="D56" s="115" t="s">
        <v>2440</v>
      </c>
    </row>
    <row r="57" spans="1:4" ht="28">
      <c r="A57" s="115" t="s">
        <v>2441</v>
      </c>
      <c r="B57" s="115" t="s">
        <v>2442</v>
      </c>
      <c r="C57" s="115" t="s">
        <v>2443</v>
      </c>
      <c r="D57" s="115" t="s">
        <v>2444</v>
      </c>
    </row>
    <row r="58" spans="1:4" ht="28">
      <c r="A58" s="115" t="s">
        <v>2445</v>
      </c>
      <c r="B58" s="115" t="s">
        <v>2446</v>
      </c>
      <c r="C58" s="115" t="s">
        <v>2447</v>
      </c>
      <c r="D58" s="115" t="s">
        <v>2448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5D72-4C28-9246-BD26-337EDBE31BDA}">
  <dimension ref="A1:K22"/>
  <sheetViews>
    <sheetView workbookViewId="0">
      <selection activeCell="J14" sqref="J14"/>
    </sheetView>
  </sheetViews>
  <sheetFormatPr baseColWidth="10" defaultRowHeight="20"/>
  <cols>
    <col min="1" max="3" width="29.33203125" style="22" bestFit="1" customWidth="1"/>
    <col min="4" max="16384" width="10.83203125" style="22"/>
  </cols>
  <sheetData>
    <row r="1" spans="1:11">
      <c r="A1" s="22" t="s">
        <v>72</v>
      </c>
      <c r="B1" s="22" t="s">
        <v>72</v>
      </c>
      <c r="C1" s="22" t="s">
        <v>141</v>
      </c>
      <c r="D1" s="22" t="s">
        <v>413</v>
      </c>
      <c r="E1" s="22" t="s">
        <v>23</v>
      </c>
      <c r="F1" s="22" t="s">
        <v>414</v>
      </c>
      <c r="G1" s="22" t="s">
        <v>415</v>
      </c>
      <c r="H1" s="22" t="s">
        <v>25</v>
      </c>
      <c r="I1" s="22" t="s">
        <v>750</v>
      </c>
      <c r="J1" s="22" t="s">
        <v>751</v>
      </c>
    </row>
    <row r="2" spans="1:11">
      <c r="A2" s="22" t="s">
        <v>54</v>
      </c>
      <c r="B2" s="22" t="s">
        <v>60</v>
      </c>
      <c r="C2" s="22" t="s">
        <v>60</v>
      </c>
      <c r="D2" s="22">
        <v>520</v>
      </c>
      <c r="E2" s="22">
        <v>540</v>
      </c>
      <c r="F2" s="22">
        <v>560</v>
      </c>
      <c r="G2" s="22">
        <v>580</v>
      </c>
      <c r="H2" s="22">
        <v>600</v>
      </c>
      <c r="I2" s="22">
        <v>620</v>
      </c>
      <c r="J2" s="22">
        <v>640</v>
      </c>
    </row>
    <row r="3" spans="1:11">
      <c r="A3" s="22" t="s">
        <v>55</v>
      </c>
      <c r="B3" s="22" t="s">
        <v>62</v>
      </c>
      <c r="C3" s="22" t="s">
        <v>62</v>
      </c>
      <c r="D3" s="22">
        <v>71.5</v>
      </c>
      <c r="E3" s="22">
        <v>71.5</v>
      </c>
      <c r="F3" s="22">
        <v>71.5</v>
      </c>
      <c r="G3" s="22">
        <v>72</v>
      </c>
      <c r="H3" s="22">
        <v>72</v>
      </c>
      <c r="I3" s="22">
        <v>72</v>
      </c>
      <c r="J3" s="22">
        <v>72</v>
      </c>
    </row>
    <row r="4" spans="1:11">
      <c r="A4" s="22" t="s">
        <v>60</v>
      </c>
      <c r="B4" s="22" t="s">
        <v>63</v>
      </c>
      <c r="C4" s="22" t="s">
        <v>63</v>
      </c>
      <c r="D4" s="22">
        <v>74</v>
      </c>
      <c r="E4" s="22">
        <v>73.5</v>
      </c>
      <c r="F4" s="22">
        <v>73</v>
      </c>
      <c r="G4" s="22">
        <v>73</v>
      </c>
      <c r="H4" s="22">
        <v>73</v>
      </c>
      <c r="I4" s="22">
        <v>72.5</v>
      </c>
      <c r="J4" s="22">
        <v>72.5</v>
      </c>
    </row>
    <row r="5" spans="1:11">
      <c r="A5" s="22" t="s">
        <v>73</v>
      </c>
      <c r="B5" s="22" t="s">
        <v>73</v>
      </c>
      <c r="C5" s="22" t="s">
        <v>73</v>
      </c>
      <c r="D5" s="22">
        <v>530</v>
      </c>
      <c r="E5" s="22">
        <v>540</v>
      </c>
      <c r="F5" s="22">
        <v>555</v>
      </c>
      <c r="G5" s="22">
        <v>575</v>
      </c>
      <c r="H5" s="22">
        <v>585</v>
      </c>
      <c r="I5" s="22">
        <v>595</v>
      </c>
      <c r="J5" s="22">
        <v>610</v>
      </c>
    </row>
    <row r="6" spans="1:11">
      <c r="A6" s="22" t="s">
        <v>62</v>
      </c>
      <c r="B6" s="22" t="s">
        <v>66</v>
      </c>
      <c r="C6" s="22" t="s">
        <v>66</v>
      </c>
      <c r="D6" s="22">
        <v>432</v>
      </c>
      <c r="E6" s="22">
        <v>432</v>
      </c>
      <c r="F6" s="22">
        <v>432</v>
      </c>
      <c r="G6" s="22">
        <v>432</v>
      </c>
      <c r="H6" s="22">
        <v>432</v>
      </c>
      <c r="I6" s="22">
        <v>432</v>
      </c>
      <c r="J6" s="22">
        <v>432</v>
      </c>
      <c r="K6" s="22" t="s">
        <v>924</v>
      </c>
    </row>
    <row r="7" spans="1:11">
      <c r="A7" s="22" t="s">
        <v>63</v>
      </c>
      <c r="B7" s="22" t="s">
        <v>65</v>
      </c>
      <c r="C7" s="22" t="s">
        <v>65</v>
      </c>
      <c r="D7" s="22">
        <v>72</v>
      </c>
      <c r="E7" s="22">
        <v>72</v>
      </c>
      <c r="F7" s="22">
        <v>72</v>
      </c>
      <c r="G7" s="22">
        <v>70</v>
      </c>
      <c r="H7" s="22">
        <v>70</v>
      </c>
      <c r="I7" s="22">
        <v>70</v>
      </c>
      <c r="J7" s="22">
        <v>70</v>
      </c>
    </row>
    <row r="8" spans="1:11">
      <c r="A8" s="22" t="s">
        <v>64</v>
      </c>
      <c r="B8" s="22" t="s">
        <v>64</v>
      </c>
      <c r="C8" s="22" t="s">
        <v>64</v>
      </c>
      <c r="D8" s="22">
        <v>110</v>
      </c>
      <c r="E8" s="22">
        <v>130</v>
      </c>
      <c r="F8" s="22">
        <v>150</v>
      </c>
      <c r="G8" s="22">
        <v>170</v>
      </c>
      <c r="H8" s="22">
        <v>185</v>
      </c>
      <c r="I8" s="22">
        <v>200</v>
      </c>
      <c r="J8" s="22">
        <v>215</v>
      </c>
    </row>
    <row r="9" spans="1:11">
      <c r="A9" s="22" t="s">
        <v>65</v>
      </c>
      <c r="B9" s="22" t="s">
        <v>163</v>
      </c>
      <c r="C9" s="22" t="s">
        <v>163</v>
      </c>
      <c r="D9" s="22">
        <v>400</v>
      </c>
      <c r="E9" s="22">
        <v>400</v>
      </c>
      <c r="F9" s="22">
        <v>400</v>
      </c>
      <c r="G9" s="22">
        <v>400</v>
      </c>
      <c r="H9" s="22">
        <v>400</v>
      </c>
      <c r="I9" s="22">
        <v>400</v>
      </c>
      <c r="J9" s="22">
        <v>400</v>
      </c>
    </row>
    <row r="10" spans="1:11">
      <c r="A10" s="22" t="s">
        <v>66</v>
      </c>
      <c r="B10" s="22" t="s">
        <v>67</v>
      </c>
      <c r="C10" s="22" t="s">
        <v>67</v>
      </c>
      <c r="D10" s="22">
        <v>55</v>
      </c>
      <c r="E10" s="22">
        <v>55</v>
      </c>
      <c r="F10" s="22">
        <v>55</v>
      </c>
      <c r="G10" s="22">
        <v>50</v>
      </c>
      <c r="H10" s="22">
        <v>50</v>
      </c>
      <c r="I10" s="22">
        <v>50</v>
      </c>
      <c r="J10" s="22">
        <v>50</v>
      </c>
    </row>
    <row r="11" spans="1:11">
      <c r="A11" s="22" t="s">
        <v>56</v>
      </c>
      <c r="B11" s="22" t="s">
        <v>135</v>
      </c>
      <c r="C11" s="22" t="s">
        <v>135</v>
      </c>
      <c r="D11" s="22">
        <v>60.8</v>
      </c>
      <c r="E11" s="22">
        <v>60.8</v>
      </c>
      <c r="F11" s="22">
        <v>60.8</v>
      </c>
      <c r="G11" s="22">
        <v>62.8</v>
      </c>
      <c r="H11" s="22">
        <v>62.8</v>
      </c>
      <c r="I11" s="22">
        <v>62.8</v>
      </c>
      <c r="J11" s="22">
        <v>62.8</v>
      </c>
    </row>
    <row r="12" spans="1:11">
      <c r="A12" s="22" t="s">
        <v>67</v>
      </c>
      <c r="B12" s="22" t="s">
        <v>54</v>
      </c>
      <c r="C12" s="22" t="s">
        <v>54</v>
      </c>
      <c r="D12" s="22">
        <v>551</v>
      </c>
      <c r="E12" s="22">
        <v>570</v>
      </c>
      <c r="F12" s="22">
        <v>589</v>
      </c>
      <c r="G12" s="22">
        <v>609</v>
      </c>
      <c r="H12" s="22">
        <v>623</v>
      </c>
      <c r="I12" s="22">
        <v>638</v>
      </c>
      <c r="J12" s="22">
        <v>652</v>
      </c>
    </row>
    <row r="13" spans="1:11">
      <c r="A13" s="22" t="s">
        <v>57</v>
      </c>
      <c r="B13" s="22" t="s">
        <v>55</v>
      </c>
      <c r="C13" s="22" t="s">
        <v>55</v>
      </c>
      <c r="D13" s="22">
        <v>370</v>
      </c>
      <c r="E13" s="22">
        <v>370</v>
      </c>
      <c r="F13" s="22">
        <v>374</v>
      </c>
      <c r="G13" s="22">
        <v>388</v>
      </c>
      <c r="H13" s="22">
        <v>394</v>
      </c>
      <c r="I13" s="22">
        <v>398</v>
      </c>
      <c r="J13" s="22">
        <v>404</v>
      </c>
    </row>
    <row r="14" spans="1:11">
      <c r="A14" s="22" t="s">
        <v>69</v>
      </c>
      <c r="B14" s="22" t="s">
        <v>57</v>
      </c>
      <c r="C14" s="22" t="s">
        <v>57</v>
      </c>
      <c r="D14" s="22">
        <v>786</v>
      </c>
      <c r="E14" s="22">
        <v>802</v>
      </c>
      <c r="F14" s="22">
        <v>821</v>
      </c>
      <c r="G14" s="22">
        <v>843</v>
      </c>
      <c r="H14" s="22">
        <v>859</v>
      </c>
      <c r="I14" s="22">
        <v>875</v>
      </c>
      <c r="J14" s="22">
        <v>892</v>
      </c>
    </row>
    <row r="15" spans="1:11">
      <c r="A15" s="22" t="s">
        <v>70</v>
      </c>
      <c r="B15" s="22" t="s">
        <v>134</v>
      </c>
      <c r="C15" s="22" t="s">
        <v>134</v>
      </c>
      <c r="D15" s="22">
        <v>593</v>
      </c>
      <c r="E15" s="22">
        <v>599</v>
      </c>
      <c r="F15" s="22">
        <v>609</v>
      </c>
      <c r="G15" s="22">
        <v>620</v>
      </c>
      <c r="H15" s="22">
        <v>630</v>
      </c>
      <c r="I15" s="22">
        <v>634</v>
      </c>
      <c r="J15" s="22">
        <v>650</v>
      </c>
    </row>
    <row r="16" spans="1:11">
      <c r="A16" s="22" t="s">
        <v>71</v>
      </c>
      <c r="B16" s="22" t="s">
        <v>56</v>
      </c>
      <c r="C16" s="22" t="s">
        <v>56</v>
      </c>
      <c r="D16" s="22">
        <v>1010</v>
      </c>
      <c r="E16" s="22">
        <v>1020</v>
      </c>
      <c r="F16" s="22">
        <v>1030</v>
      </c>
      <c r="G16" s="22">
        <v>1040</v>
      </c>
      <c r="H16" s="22">
        <v>1050</v>
      </c>
      <c r="I16" s="22">
        <v>1060</v>
      </c>
      <c r="J16" s="22">
        <v>1070</v>
      </c>
    </row>
    <row r="17" spans="1:10">
      <c r="A17" s="22" t="s">
        <v>68</v>
      </c>
      <c r="B17" s="22" t="s">
        <v>69</v>
      </c>
      <c r="C17" s="22" t="s">
        <v>69</v>
      </c>
    </row>
    <row r="18" spans="1:10">
      <c r="A18" s="22" t="s">
        <v>139</v>
      </c>
      <c r="B18" s="22" t="s">
        <v>70</v>
      </c>
      <c r="C18" s="22" t="s">
        <v>70</v>
      </c>
    </row>
    <row r="19" spans="1:10">
      <c r="A19" s="22" t="s">
        <v>140</v>
      </c>
      <c r="B19" s="22" t="s">
        <v>71</v>
      </c>
      <c r="C19" s="22" t="s">
        <v>71</v>
      </c>
    </row>
    <row r="20" spans="1:10">
      <c r="B20" s="22" t="s">
        <v>68</v>
      </c>
      <c r="C20" s="22" t="s">
        <v>68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  <c r="I20" s="22">
        <v>700</v>
      </c>
      <c r="J20" s="22">
        <v>700</v>
      </c>
    </row>
    <row r="21" spans="1:10">
      <c r="B21" s="22" t="s">
        <v>139</v>
      </c>
      <c r="C21" s="22" t="s">
        <v>139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  <c r="I21" s="22">
        <v>45</v>
      </c>
      <c r="J21" s="22">
        <v>45</v>
      </c>
    </row>
    <row r="22" spans="1:10">
      <c r="B22" s="22" t="s">
        <v>140</v>
      </c>
      <c r="C22" s="22" t="s">
        <v>140</v>
      </c>
      <c r="D22" s="22">
        <v>50</v>
      </c>
      <c r="E22" s="22">
        <v>50</v>
      </c>
      <c r="F22" s="22">
        <v>50</v>
      </c>
      <c r="G22" s="22">
        <v>50</v>
      </c>
      <c r="H22" s="22">
        <v>50</v>
      </c>
      <c r="I22" s="22">
        <v>50</v>
      </c>
      <c r="J22" s="22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144D-490A-9243-9C1D-4CE20EC9D9F4}">
  <dimension ref="A1:H30"/>
  <sheetViews>
    <sheetView topLeftCell="A8" zoomScale="110" zoomScaleNormal="110" workbookViewId="0">
      <selection activeCell="C26" sqref="C26:F26"/>
    </sheetView>
  </sheetViews>
  <sheetFormatPr baseColWidth="10" defaultRowHeight="16"/>
  <cols>
    <col min="1" max="1" width="26.83203125" bestFit="1" customWidth="1"/>
    <col min="2" max="2" width="24.33203125" bestFit="1" customWidth="1"/>
  </cols>
  <sheetData>
    <row r="1" spans="1:8" ht="19">
      <c r="A1" s="2" t="s">
        <v>72</v>
      </c>
      <c r="B1" s="16" t="s">
        <v>481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/>
    </row>
    <row r="2" spans="1:8" ht="19">
      <c r="A2" s="2" t="s">
        <v>68</v>
      </c>
      <c r="B2" s="2" t="s">
        <v>68</v>
      </c>
      <c r="C2" s="2">
        <v>650</v>
      </c>
      <c r="D2" s="2">
        <v>650</v>
      </c>
      <c r="E2" s="2">
        <v>29</v>
      </c>
      <c r="F2" s="2">
        <v>29</v>
      </c>
      <c r="G2" s="2">
        <v>29</v>
      </c>
      <c r="H2" s="2"/>
    </row>
    <row r="3" spans="1:8" ht="19">
      <c r="A3" s="2" t="s">
        <v>60</v>
      </c>
      <c r="B3" s="16" t="s">
        <v>173</v>
      </c>
      <c r="C3" s="2">
        <v>400</v>
      </c>
      <c r="D3" s="2">
        <v>440</v>
      </c>
      <c r="E3" s="2">
        <v>480</v>
      </c>
      <c r="F3" s="2">
        <v>520</v>
      </c>
      <c r="G3" s="2">
        <v>560</v>
      </c>
      <c r="H3" s="2"/>
    </row>
    <row r="4" spans="1:8" ht="19">
      <c r="A4" s="2" t="s">
        <v>73</v>
      </c>
      <c r="B4" s="16" t="s">
        <v>484</v>
      </c>
      <c r="C4" s="2">
        <v>494</v>
      </c>
      <c r="D4" s="2">
        <v>522</v>
      </c>
      <c r="E4" s="2">
        <v>558</v>
      </c>
      <c r="F4" s="2">
        <v>590</v>
      </c>
      <c r="G4" s="2">
        <v>623</v>
      </c>
      <c r="H4" s="2"/>
    </row>
    <row r="5" spans="1:8" ht="19">
      <c r="A5" s="2" t="s">
        <v>63</v>
      </c>
      <c r="B5" s="16" t="s">
        <v>485</v>
      </c>
      <c r="C5" s="2">
        <v>75</v>
      </c>
      <c r="D5" s="2">
        <v>74.5</v>
      </c>
      <c r="E5" s="2">
        <v>73.5</v>
      </c>
      <c r="F5" s="2">
        <v>73</v>
      </c>
      <c r="G5" s="2">
        <v>72.5</v>
      </c>
      <c r="H5" s="2"/>
    </row>
    <row r="6" spans="1:8" ht="19">
      <c r="A6" s="2" t="s">
        <v>493</v>
      </c>
      <c r="B6" s="16" t="s">
        <v>486</v>
      </c>
      <c r="C6" s="2">
        <v>75</v>
      </c>
      <c r="D6" s="2">
        <v>74.5</v>
      </c>
      <c r="E6" s="2">
        <v>73.5</v>
      </c>
      <c r="F6" s="2">
        <v>73</v>
      </c>
      <c r="G6" s="2">
        <v>72.5</v>
      </c>
      <c r="H6" s="2"/>
    </row>
    <row r="7" spans="1:8" ht="19">
      <c r="A7" s="2" t="s">
        <v>62</v>
      </c>
      <c r="B7" s="16" t="s">
        <v>487</v>
      </c>
      <c r="C7" s="2">
        <v>70</v>
      </c>
      <c r="D7" s="2">
        <v>70.5</v>
      </c>
      <c r="E7" s="2">
        <v>71</v>
      </c>
      <c r="F7" s="2">
        <v>72</v>
      </c>
      <c r="G7" s="2">
        <v>72</v>
      </c>
      <c r="H7" s="2"/>
    </row>
    <row r="8" spans="1:8" ht="19">
      <c r="A8" s="2" t="s">
        <v>64</v>
      </c>
      <c r="B8" s="16" t="s">
        <v>488</v>
      </c>
      <c r="C8" s="2">
        <v>100</v>
      </c>
      <c r="D8" s="2">
        <v>130</v>
      </c>
      <c r="E8" s="2">
        <v>150</v>
      </c>
      <c r="F8" s="2">
        <v>190</v>
      </c>
      <c r="G8" s="2">
        <v>220</v>
      </c>
      <c r="H8" s="2"/>
    </row>
    <row r="9" spans="1:8" ht="19">
      <c r="A9" s="2" t="s">
        <v>65</v>
      </c>
      <c r="B9" s="16" t="s">
        <v>174</v>
      </c>
      <c r="C9" s="2">
        <v>55</v>
      </c>
      <c r="D9" s="2">
        <v>55</v>
      </c>
      <c r="E9" s="2">
        <v>70</v>
      </c>
      <c r="F9" s="2">
        <v>70</v>
      </c>
      <c r="G9" s="2">
        <v>70</v>
      </c>
      <c r="H9" s="2"/>
    </row>
    <row r="10" spans="1:8" ht="19">
      <c r="A10" s="2" t="s">
        <v>66</v>
      </c>
      <c r="B10" s="16" t="s">
        <v>7</v>
      </c>
      <c r="C10" s="2">
        <v>425</v>
      </c>
      <c r="D10" s="2">
        <v>425</v>
      </c>
      <c r="E10" s="2">
        <v>455</v>
      </c>
      <c r="F10" s="2">
        <v>455</v>
      </c>
      <c r="G10" s="2">
        <v>455</v>
      </c>
      <c r="H10" s="2"/>
    </row>
    <row r="11" spans="1:8" ht="19">
      <c r="A11" s="2" t="s">
        <v>67</v>
      </c>
      <c r="B11" s="16" t="s">
        <v>247</v>
      </c>
      <c r="C11" s="2">
        <v>50</v>
      </c>
      <c r="D11" s="2">
        <v>50</v>
      </c>
      <c r="E11" s="2">
        <v>50</v>
      </c>
      <c r="F11" s="2">
        <v>50</v>
      </c>
      <c r="G11" s="2">
        <v>50</v>
      </c>
      <c r="H11" s="2"/>
    </row>
    <row r="12" spans="1:8" ht="19">
      <c r="A12" s="2" t="s">
        <v>494</v>
      </c>
      <c r="B12" s="16" t="s">
        <v>133</v>
      </c>
      <c r="C12" s="2">
        <v>73</v>
      </c>
      <c r="D12" s="2">
        <v>70</v>
      </c>
      <c r="E12" s="2">
        <v>73</v>
      </c>
      <c r="F12" s="2">
        <v>67</v>
      </c>
      <c r="G12" s="2">
        <v>67</v>
      </c>
      <c r="H12" s="2"/>
    </row>
    <row r="13" spans="1:8" ht="19">
      <c r="A13" s="2" t="s">
        <v>56</v>
      </c>
      <c r="B13" s="16" t="s">
        <v>489</v>
      </c>
      <c r="C13" s="2">
        <v>1000</v>
      </c>
      <c r="D13" s="2">
        <v>1021</v>
      </c>
      <c r="E13" s="2">
        <v>1065</v>
      </c>
      <c r="F13" s="2">
        <v>1082</v>
      </c>
      <c r="G13" s="2">
        <v>1109</v>
      </c>
      <c r="H13" s="2"/>
    </row>
    <row r="14" spans="1:8" ht="19">
      <c r="A14" s="2" t="s">
        <v>57</v>
      </c>
      <c r="B14" s="16" t="s">
        <v>14</v>
      </c>
      <c r="C14" s="2">
        <v>727</v>
      </c>
      <c r="D14" s="2">
        <v>761</v>
      </c>
      <c r="E14" s="2">
        <v>802</v>
      </c>
      <c r="F14" s="2">
        <v>842</v>
      </c>
      <c r="G14" s="2">
        <v>873</v>
      </c>
      <c r="H14" s="2"/>
    </row>
    <row r="15" spans="1:8" ht="19">
      <c r="A15" s="2" t="s">
        <v>55</v>
      </c>
      <c r="B15" s="16" t="s">
        <v>1</v>
      </c>
      <c r="C15" s="2">
        <v>349</v>
      </c>
      <c r="D15" s="2">
        <v>364</v>
      </c>
      <c r="E15" s="2">
        <v>379</v>
      </c>
      <c r="F15" s="2">
        <v>392</v>
      </c>
      <c r="G15" s="2">
        <v>411</v>
      </c>
      <c r="H15" s="2"/>
    </row>
    <row r="16" spans="1:8" ht="19">
      <c r="A16" s="2" t="s">
        <v>54</v>
      </c>
      <c r="B16" s="16" t="s">
        <v>0</v>
      </c>
      <c r="C16" s="2">
        <v>538</v>
      </c>
      <c r="D16" s="2">
        <v>568</v>
      </c>
      <c r="E16" s="2">
        <v>604</v>
      </c>
      <c r="F16" s="2">
        <v>646</v>
      </c>
      <c r="G16" s="2">
        <v>675</v>
      </c>
      <c r="H16" s="2"/>
    </row>
    <row r="17" spans="1:8" ht="19">
      <c r="A17" s="2" t="s">
        <v>480</v>
      </c>
      <c r="B17" s="16" t="s">
        <v>478</v>
      </c>
      <c r="C17" s="2">
        <v>581</v>
      </c>
      <c r="D17" s="2">
        <v>602</v>
      </c>
      <c r="E17" s="2">
        <v>620</v>
      </c>
      <c r="F17" s="2">
        <v>636</v>
      </c>
      <c r="G17" s="2">
        <v>663</v>
      </c>
      <c r="H17" s="2"/>
    </row>
    <row r="18" spans="1:8" ht="19">
      <c r="A18" s="2" t="s">
        <v>495</v>
      </c>
      <c r="B18" s="16" t="s">
        <v>490</v>
      </c>
      <c r="C18" s="2">
        <v>420</v>
      </c>
      <c r="D18" s="2">
        <v>420</v>
      </c>
      <c r="E18" s="2">
        <v>420</v>
      </c>
      <c r="F18" s="2">
        <v>420</v>
      </c>
      <c r="G18" s="2">
        <v>420</v>
      </c>
      <c r="H18" s="2"/>
    </row>
    <row r="19" spans="1:8" ht="19">
      <c r="A19" s="2" t="s">
        <v>69</v>
      </c>
      <c r="B19" s="2" t="s">
        <v>69</v>
      </c>
      <c r="C19" s="2">
        <v>165</v>
      </c>
      <c r="D19" s="2">
        <v>170</v>
      </c>
      <c r="E19" s="2">
        <v>170</v>
      </c>
      <c r="F19" s="2">
        <v>175</v>
      </c>
      <c r="G19" s="2">
        <v>175</v>
      </c>
      <c r="H19" s="2"/>
    </row>
    <row r="20" spans="1:8" ht="19">
      <c r="A20" s="2" t="s">
        <v>70</v>
      </c>
      <c r="B20" s="2" t="s">
        <v>70</v>
      </c>
      <c r="C20" s="2">
        <v>420</v>
      </c>
      <c r="D20" s="2">
        <v>420</v>
      </c>
      <c r="E20" s="2">
        <v>440</v>
      </c>
      <c r="F20" s="2">
        <v>440</v>
      </c>
      <c r="G20" s="2">
        <v>460</v>
      </c>
      <c r="H20" s="2"/>
    </row>
    <row r="21" spans="1:8" ht="19">
      <c r="A21" s="2" t="s">
        <v>71</v>
      </c>
      <c r="B21" s="2" t="s">
        <v>71</v>
      </c>
      <c r="C21" s="2">
        <v>60</v>
      </c>
      <c r="D21" s="2">
        <v>60</v>
      </c>
      <c r="E21" s="2">
        <v>80</v>
      </c>
      <c r="F21" s="2">
        <v>80</v>
      </c>
      <c r="G21" s="2">
        <v>90</v>
      </c>
      <c r="H21" s="2"/>
    </row>
    <row r="22" spans="1:8" ht="19">
      <c r="A22" s="2" t="s">
        <v>68</v>
      </c>
      <c r="B22" s="2" t="s">
        <v>68</v>
      </c>
      <c r="C22" s="2">
        <v>650</v>
      </c>
      <c r="D22" s="2">
        <v>650</v>
      </c>
      <c r="E22" s="2">
        <v>700</v>
      </c>
      <c r="F22" s="2">
        <v>700</v>
      </c>
      <c r="G22" s="2">
        <v>700</v>
      </c>
      <c r="H22" s="2"/>
    </row>
    <row r="23" spans="1:8" ht="19">
      <c r="A23" s="2" t="s">
        <v>139</v>
      </c>
      <c r="B23" s="2" t="s">
        <v>139</v>
      </c>
      <c r="C23" s="2">
        <v>48</v>
      </c>
      <c r="D23" s="2">
        <v>48</v>
      </c>
      <c r="E23" s="2">
        <v>50</v>
      </c>
      <c r="F23" s="2">
        <v>50</v>
      </c>
      <c r="G23" s="2">
        <v>50</v>
      </c>
    </row>
    <row r="24" spans="1:8" ht="19">
      <c r="A24" s="2" t="s">
        <v>140</v>
      </c>
      <c r="B24" s="2" t="s">
        <v>140</v>
      </c>
      <c r="C24" s="2">
        <f>2.1*25.4</f>
        <v>53.339999999999996</v>
      </c>
      <c r="D24" s="2">
        <f t="shared" ref="D24:G24" si="0">2.1*25.4</f>
        <v>53.339999999999996</v>
      </c>
      <c r="E24" s="2">
        <f>2.1*25.4</f>
        <v>53.339999999999996</v>
      </c>
      <c r="F24" s="2">
        <f t="shared" si="0"/>
        <v>53.339999999999996</v>
      </c>
      <c r="G24" s="2">
        <f t="shared" si="0"/>
        <v>53.339999999999996</v>
      </c>
    </row>
    <row r="25" spans="1:8" ht="19">
      <c r="A25" s="2" t="s">
        <v>1752</v>
      </c>
      <c r="C25">
        <f>C28/10</f>
        <v>150</v>
      </c>
      <c r="D25">
        <f>AVERAGE(D28,C29)/10</f>
        <v>160.5</v>
      </c>
      <c r="E25">
        <f t="shared" ref="E25:G25" si="1">AVERAGE(E28,D29)/10</f>
        <v>170.5</v>
      </c>
      <c r="F25">
        <f t="shared" si="1"/>
        <v>180</v>
      </c>
      <c r="G25">
        <f t="shared" si="1"/>
        <v>189</v>
      </c>
    </row>
    <row r="26" spans="1:8" ht="19">
      <c r="A26" s="2" t="s">
        <v>1753</v>
      </c>
      <c r="C26">
        <f>D25</f>
        <v>160.5</v>
      </c>
      <c r="D26">
        <f t="shared" ref="D26:F26" si="2">E25</f>
        <v>170.5</v>
      </c>
      <c r="E26">
        <f t="shared" si="2"/>
        <v>180</v>
      </c>
      <c r="F26">
        <f t="shared" si="2"/>
        <v>189</v>
      </c>
      <c r="G26">
        <f t="shared" ref="G26" si="3">G29/10</f>
        <v>199</v>
      </c>
    </row>
    <row r="28" spans="1:8" ht="19">
      <c r="A28" s="2" t="s">
        <v>496</v>
      </c>
      <c r="B28" s="16" t="s">
        <v>491</v>
      </c>
      <c r="C28" s="2">
        <v>1500</v>
      </c>
      <c r="D28" s="2">
        <v>1600</v>
      </c>
      <c r="E28" s="2">
        <v>1700</v>
      </c>
      <c r="F28" s="2">
        <v>1790</v>
      </c>
      <c r="G28" s="2">
        <v>1880</v>
      </c>
    </row>
    <row r="29" spans="1:8" ht="19">
      <c r="A29" s="2" t="s">
        <v>497</v>
      </c>
      <c r="B29" s="16" t="s">
        <v>492</v>
      </c>
      <c r="C29" s="2">
        <v>1610</v>
      </c>
      <c r="D29" s="2">
        <v>1710</v>
      </c>
      <c r="E29" s="2">
        <v>1810</v>
      </c>
      <c r="F29" s="2">
        <v>1900</v>
      </c>
      <c r="G29" s="2">
        <v>1990</v>
      </c>
    </row>
    <row r="30" spans="1:8" ht="19">
      <c r="A30" s="2"/>
      <c r="B30" s="16" t="s">
        <v>270</v>
      </c>
      <c r="C30" s="2" t="s">
        <v>482</v>
      </c>
      <c r="D30" s="2" t="s">
        <v>482</v>
      </c>
      <c r="E30" s="2" t="s">
        <v>483</v>
      </c>
      <c r="F30" s="2" t="s">
        <v>483</v>
      </c>
      <c r="G30" s="2" t="s">
        <v>483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CCD4-9672-5E47-8F8C-AA05E22E3068}">
  <dimension ref="A1:F31"/>
  <sheetViews>
    <sheetView topLeftCell="A5" workbookViewId="0">
      <selection activeCell="H22" sqref="H22"/>
    </sheetView>
  </sheetViews>
  <sheetFormatPr baseColWidth="10" defaultRowHeight="20"/>
  <cols>
    <col min="1" max="1" width="19.33203125" style="22" bestFit="1" customWidth="1"/>
    <col min="2" max="2" width="26.5" style="22" bestFit="1" customWidth="1"/>
    <col min="3" max="6" width="9.6640625" style="22" bestFit="1" customWidth="1"/>
    <col min="7" max="16384" width="10.83203125" style="22"/>
  </cols>
  <sheetData>
    <row r="1" spans="1:6">
      <c r="A1" s="22" t="s">
        <v>72</v>
      </c>
      <c r="B1" s="50" t="s">
        <v>481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6">
      <c r="A2" s="22" t="s">
        <v>60</v>
      </c>
      <c r="B2" s="50" t="s">
        <v>173</v>
      </c>
      <c r="C2" s="22">
        <v>406</v>
      </c>
      <c r="D2" s="22">
        <v>457</v>
      </c>
      <c r="E2" s="22">
        <v>508</v>
      </c>
      <c r="F2" s="22">
        <v>559</v>
      </c>
    </row>
    <row r="3" spans="1:6">
      <c r="A3" s="22" t="s">
        <v>73</v>
      </c>
      <c r="B3" s="50" t="s">
        <v>484</v>
      </c>
      <c r="C3" s="22">
        <v>573</v>
      </c>
      <c r="D3" s="22">
        <v>598</v>
      </c>
      <c r="E3" s="22">
        <v>622</v>
      </c>
      <c r="F3" s="22">
        <v>650</v>
      </c>
    </row>
    <row r="4" spans="1:6">
      <c r="A4" s="22" t="s">
        <v>63</v>
      </c>
      <c r="B4" s="50" t="s">
        <v>485</v>
      </c>
      <c r="C4" s="22">
        <v>72</v>
      </c>
      <c r="D4" s="22">
        <v>72</v>
      </c>
      <c r="E4" s="22">
        <v>72</v>
      </c>
      <c r="F4" s="22">
        <v>72</v>
      </c>
    </row>
    <row r="5" spans="1:6">
      <c r="A5" s="22" t="s">
        <v>493</v>
      </c>
      <c r="B5" s="50" t="s">
        <v>486</v>
      </c>
      <c r="C5" s="22">
        <v>74</v>
      </c>
      <c r="D5" s="22">
        <v>74</v>
      </c>
      <c r="E5" s="22">
        <v>74</v>
      </c>
      <c r="F5" s="22">
        <v>74</v>
      </c>
    </row>
    <row r="6" spans="1:6">
      <c r="A6" s="22" t="s">
        <v>62</v>
      </c>
      <c r="B6" s="50" t="s">
        <v>487</v>
      </c>
      <c r="C6" s="22">
        <v>68.5</v>
      </c>
      <c r="D6" s="22">
        <v>68.5</v>
      </c>
      <c r="E6" s="22">
        <v>68.5</v>
      </c>
      <c r="F6" s="22">
        <v>68.5</v>
      </c>
    </row>
    <row r="7" spans="1:6">
      <c r="A7" s="22" t="s">
        <v>64</v>
      </c>
      <c r="B7" s="50" t="s">
        <v>488</v>
      </c>
      <c r="C7" s="22">
        <v>100</v>
      </c>
      <c r="D7" s="22">
        <v>110</v>
      </c>
      <c r="E7" s="22">
        <v>125</v>
      </c>
      <c r="F7" s="22">
        <v>135</v>
      </c>
    </row>
    <row r="8" spans="1:6">
      <c r="A8" s="22" t="s">
        <v>65</v>
      </c>
      <c r="B8" s="50" t="s">
        <v>174</v>
      </c>
      <c r="C8" s="22">
        <v>70</v>
      </c>
      <c r="D8" s="22">
        <v>70</v>
      </c>
      <c r="E8" s="22">
        <v>70</v>
      </c>
      <c r="F8" s="22">
        <v>70</v>
      </c>
    </row>
    <row r="9" spans="1:6">
      <c r="A9" s="22" t="s">
        <v>66</v>
      </c>
      <c r="B9" s="50" t="s">
        <v>7</v>
      </c>
      <c r="C9" s="22">
        <v>450</v>
      </c>
      <c r="D9" s="22">
        <v>450</v>
      </c>
      <c r="E9" s="22">
        <v>450</v>
      </c>
      <c r="F9" s="22">
        <v>450</v>
      </c>
    </row>
    <row r="10" spans="1:6">
      <c r="A10" s="22" t="s">
        <v>67</v>
      </c>
      <c r="B10" s="50" t="s">
        <v>247</v>
      </c>
      <c r="C10" s="22">
        <v>51</v>
      </c>
      <c r="D10" s="22">
        <v>51</v>
      </c>
      <c r="E10" s="22">
        <v>51</v>
      </c>
      <c r="F10" s="22">
        <v>51</v>
      </c>
    </row>
    <row r="11" spans="1:6">
      <c r="A11" s="22" t="s">
        <v>135</v>
      </c>
      <c r="B11" s="50" t="s">
        <v>133</v>
      </c>
      <c r="C11" s="22">
        <v>97</v>
      </c>
      <c r="D11" s="22">
        <v>97</v>
      </c>
      <c r="E11" s="22">
        <v>97</v>
      </c>
      <c r="F11" s="22">
        <v>97</v>
      </c>
    </row>
    <row r="12" spans="1:6">
      <c r="A12" s="22" t="s">
        <v>56</v>
      </c>
      <c r="B12" s="50" t="s">
        <v>489</v>
      </c>
      <c r="C12" s="22">
        <v>1111</v>
      </c>
      <c r="D12" s="22">
        <v>1135</v>
      </c>
      <c r="E12" s="22">
        <v>1160</v>
      </c>
      <c r="F12" s="22">
        <v>1188</v>
      </c>
    </row>
    <row r="13" spans="1:6">
      <c r="A13" s="22" t="s">
        <v>57</v>
      </c>
      <c r="B13" s="50" t="s">
        <v>14</v>
      </c>
      <c r="C13" s="22">
        <v>775</v>
      </c>
      <c r="D13" s="22">
        <v>802</v>
      </c>
      <c r="E13" s="22">
        <v>833</v>
      </c>
      <c r="F13" s="22">
        <v>860</v>
      </c>
    </row>
    <row r="14" spans="1:6">
      <c r="A14" s="22" t="s">
        <v>55</v>
      </c>
      <c r="B14" s="50" t="s">
        <v>1</v>
      </c>
      <c r="C14" s="22">
        <v>395</v>
      </c>
      <c r="D14" s="22">
        <v>415</v>
      </c>
      <c r="E14" s="22">
        <v>434</v>
      </c>
      <c r="F14" s="22">
        <v>459</v>
      </c>
    </row>
    <row r="15" spans="1:6">
      <c r="A15" s="22" t="s">
        <v>54</v>
      </c>
      <c r="B15" s="50" t="s">
        <v>0</v>
      </c>
      <c r="C15" s="22">
        <v>621</v>
      </c>
      <c r="D15" s="22">
        <v>630</v>
      </c>
      <c r="E15" s="22">
        <v>644</v>
      </c>
      <c r="F15" s="22">
        <v>653</v>
      </c>
    </row>
    <row r="16" spans="1:6">
      <c r="A16" s="22" t="s">
        <v>134</v>
      </c>
      <c r="B16" s="50" t="s">
        <v>478</v>
      </c>
      <c r="C16" s="22">
        <v>670</v>
      </c>
      <c r="D16" s="22">
        <v>694</v>
      </c>
      <c r="E16" s="22">
        <v>718</v>
      </c>
      <c r="F16" s="22">
        <v>747</v>
      </c>
    </row>
    <row r="17" spans="1:6">
      <c r="A17" s="22" t="s">
        <v>136</v>
      </c>
      <c r="B17" s="50" t="s">
        <v>490</v>
      </c>
      <c r="C17" s="22">
        <v>500</v>
      </c>
      <c r="D17" s="22">
        <v>500</v>
      </c>
      <c r="E17" s="22">
        <v>500</v>
      </c>
      <c r="F17" s="22">
        <v>500</v>
      </c>
    </row>
    <row r="18" spans="1:6">
      <c r="A18" s="22" t="s">
        <v>69</v>
      </c>
      <c r="B18" s="22" t="s">
        <v>69</v>
      </c>
    </row>
    <row r="19" spans="1:6">
      <c r="A19" s="22" t="s">
        <v>70</v>
      </c>
      <c r="B19" s="22" t="s">
        <v>70</v>
      </c>
    </row>
    <row r="20" spans="1:6">
      <c r="A20" s="22" t="s">
        <v>71</v>
      </c>
      <c r="B20" s="22" t="s">
        <v>71</v>
      </c>
    </row>
    <row r="21" spans="1:6">
      <c r="A21" s="22" t="s">
        <v>68</v>
      </c>
      <c r="B21" s="50" t="s">
        <v>270</v>
      </c>
      <c r="C21" s="22">
        <f>VALUE(LEFT(C27,2))</f>
        <v>29</v>
      </c>
      <c r="D21" s="22">
        <f>VALUE(LEFT(D27,2))</f>
        <v>29</v>
      </c>
      <c r="E21" s="22">
        <f>VALUE(LEFT(E27,2))</f>
        <v>29</v>
      </c>
      <c r="F21" s="22">
        <f>VALUE(LEFT(F27,2))</f>
        <v>29</v>
      </c>
    </row>
    <row r="22" spans="1:6">
      <c r="A22" s="22" t="s">
        <v>139</v>
      </c>
      <c r="B22" s="22" t="s">
        <v>139</v>
      </c>
      <c r="C22" s="22">
        <f>3*25.4</f>
        <v>76.199999999999989</v>
      </c>
      <c r="D22" s="22">
        <f t="shared" ref="D22:F23" si="0">3*25.4</f>
        <v>76.199999999999989</v>
      </c>
      <c r="E22" s="22">
        <f t="shared" si="0"/>
        <v>76.199999999999989</v>
      </c>
      <c r="F22" s="22">
        <f t="shared" si="0"/>
        <v>76.199999999999989</v>
      </c>
    </row>
    <row r="23" spans="1:6">
      <c r="A23" s="22" t="s">
        <v>140</v>
      </c>
      <c r="B23" s="22" t="s">
        <v>140</v>
      </c>
      <c r="C23" s="22">
        <f>3*25.4</f>
        <v>76.199999999999989</v>
      </c>
      <c r="D23" s="22">
        <f t="shared" si="0"/>
        <v>76.199999999999989</v>
      </c>
      <c r="E23" s="22">
        <f t="shared" si="0"/>
        <v>76.199999999999989</v>
      </c>
      <c r="F23" s="22">
        <f t="shared" si="0"/>
        <v>76.199999999999989</v>
      </c>
    </row>
    <row r="24" spans="1:6">
      <c r="A24" s="22" t="s">
        <v>1752</v>
      </c>
      <c r="C24" s="35">
        <f>C28/10</f>
        <v>160</v>
      </c>
      <c r="D24" s="35">
        <f>AVERAGE(D28,C29)/10</f>
        <v>170.5</v>
      </c>
      <c r="E24" s="35">
        <f t="shared" ref="E24:F24" si="1">AVERAGE(E28,D29)/10</f>
        <v>180</v>
      </c>
      <c r="F24" s="35">
        <f t="shared" si="1"/>
        <v>189</v>
      </c>
    </row>
    <row r="25" spans="1:6">
      <c r="A25" s="22" t="s">
        <v>1753</v>
      </c>
      <c r="C25" s="35">
        <f>D24</f>
        <v>170.5</v>
      </c>
      <c r="D25" s="35">
        <f t="shared" ref="D25:E25" si="2">E24</f>
        <v>180</v>
      </c>
      <c r="E25" s="35">
        <f t="shared" si="2"/>
        <v>189</v>
      </c>
      <c r="F25" s="35">
        <f t="shared" ref="F25" si="3">F29/10</f>
        <v>199</v>
      </c>
    </row>
    <row r="27" spans="1:6">
      <c r="B27" s="50" t="s">
        <v>270</v>
      </c>
      <c r="C27" s="22" t="s">
        <v>483</v>
      </c>
      <c r="D27" s="22" t="s">
        <v>483</v>
      </c>
      <c r="E27" s="22" t="s">
        <v>483</v>
      </c>
      <c r="F27" s="22" t="s">
        <v>483</v>
      </c>
    </row>
    <row r="28" spans="1:6">
      <c r="B28" s="50" t="s">
        <v>491</v>
      </c>
      <c r="C28" s="22">
        <v>1600</v>
      </c>
      <c r="D28" s="22">
        <v>1700</v>
      </c>
      <c r="E28" s="22">
        <v>1790</v>
      </c>
      <c r="F28" s="22">
        <v>1880</v>
      </c>
    </row>
    <row r="29" spans="1:6">
      <c r="B29" s="50" t="s">
        <v>492</v>
      </c>
      <c r="C29" s="22">
        <v>1710</v>
      </c>
      <c r="D29" s="22">
        <v>1810</v>
      </c>
      <c r="E29" s="22">
        <v>1900</v>
      </c>
      <c r="F29" s="22">
        <v>1990</v>
      </c>
    </row>
    <row r="31" spans="1:6">
      <c r="B31" s="22" t="s">
        <v>1343</v>
      </c>
      <c r="C31" s="22" t="s">
        <v>1344</v>
      </c>
      <c r="D31" s="22" t="s">
        <v>1344</v>
      </c>
      <c r="E31" s="22" t="s">
        <v>1344</v>
      </c>
      <c r="F31" s="22" t="s">
        <v>1344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CF11-5181-2940-99A1-79325CC59B18}">
  <dimension ref="A1:G30"/>
  <sheetViews>
    <sheetView topLeftCell="A2" workbookViewId="0">
      <selection activeCell="I12" sqref="I12"/>
    </sheetView>
  </sheetViews>
  <sheetFormatPr baseColWidth="10" defaultRowHeight="20"/>
  <cols>
    <col min="1" max="1" width="29.33203125" style="22" bestFit="1" customWidth="1"/>
    <col min="2" max="2" width="26.5" style="22" bestFit="1" customWidth="1"/>
    <col min="3" max="7" width="9.6640625" style="22" bestFit="1" customWidth="1"/>
    <col min="8" max="16384" width="10.83203125" style="22"/>
  </cols>
  <sheetData>
    <row r="1" spans="1:7">
      <c r="A1" s="22" t="s">
        <v>72</v>
      </c>
      <c r="B1" s="22" t="s">
        <v>481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7">
      <c r="A2" s="22" t="s">
        <v>60</v>
      </c>
      <c r="B2" s="22" t="s">
        <v>173</v>
      </c>
      <c r="C2" s="22">
        <v>460</v>
      </c>
      <c r="D2" s="22">
        <v>490</v>
      </c>
      <c r="E2" s="22">
        <v>525</v>
      </c>
      <c r="F2" s="22">
        <v>545</v>
      </c>
      <c r="G2" s="22">
        <v>565</v>
      </c>
    </row>
    <row r="3" spans="1:7">
      <c r="A3" s="22" t="s">
        <v>73</v>
      </c>
      <c r="B3" s="22" t="s">
        <v>484</v>
      </c>
      <c r="C3" s="22">
        <v>508</v>
      </c>
      <c r="D3" s="22">
        <v>522</v>
      </c>
      <c r="E3" s="22">
        <v>540</v>
      </c>
      <c r="F3" s="22">
        <v>562</v>
      </c>
      <c r="G3" s="22">
        <v>579</v>
      </c>
    </row>
    <row r="4" spans="1:7">
      <c r="A4" s="22" t="s">
        <v>63</v>
      </c>
      <c r="B4" s="22" t="s">
        <v>485</v>
      </c>
      <c r="C4" s="22">
        <v>74</v>
      </c>
      <c r="D4" s="22">
        <v>74</v>
      </c>
      <c r="E4" s="22">
        <v>74</v>
      </c>
      <c r="F4" s="22">
        <v>73.5</v>
      </c>
      <c r="G4" s="22">
        <v>73.5</v>
      </c>
    </row>
    <row r="5" spans="1:7">
      <c r="A5" s="22" t="s">
        <v>493</v>
      </c>
      <c r="B5" s="22" t="s">
        <v>486</v>
      </c>
      <c r="C5" s="22">
        <v>74</v>
      </c>
      <c r="D5" s="22">
        <v>74</v>
      </c>
      <c r="E5" s="22">
        <v>74</v>
      </c>
      <c r="F5" s="22">
        <v>73.5</v>
      </c>
      <c r="G5" s="22">
        <v>73.5</v>
      </c>
    </row>
    <row r="6" spans="1:7">
      <c r="A6" s="22" t="s">
        <v>62</v>
      </c>
      <c r="B6" s="22" t="s">
        <v>487</v>
      </c>
      <c r="C6" s="22">
        <v>71</v>
      </c>
      <c r="D6" s="22">
        <v>71.5</v>
      </c>
      <c r="E6" s="22">
        <v>72</v>
      </c>
      <c r="F6" s="22">
        <v>72</v>
      </c>
      <c r="G6" s="22">
        <v>72</v>
      </c>
    </row>
    <row r="7" spans="1:7">
      <c r="A7" s="22" t="s">
        <v>64</v>
      </c>
      <c r="B7" s="22" t="s">
        <v>488</v>
      </c>
      <c r="C7" s="22">
        <v>100</v>
      </c>
      <c r="D7" s="22">
        <v>110</v>
      </c>
      <c r="E7" s="22">
        <v>130</v>
      </c>
      <c r="F7" s="22">
        <v>150</v>
      </c>
      <c r="G7" s="22">
        <v>170</v>
      </c>
    </row>
    <row r="8" spans="1:7">
      <c r="A8" s="22" t="s">
        <v>65</v>
      </c>
      <c r="B8" s="22" t="s">
        <v>174</v>
      </c>
      <c r="C8" s="22">
        <v>57</v>
      </c>
      <c r="D8" s="22">
        <v>57</v>
      </c>
      <c r="E8" s="22">
        <v>67</v>
      </c>
      <c r="F8" s="22">
        <v>67</v>
      </c>
      <c r="G8" s="22">
        <v>67</v>
      </c>
    </row>
    <row r="9" spans="1:7">
      <c r="A9" s="22" t="s">
        <v>66</v>
      </c>
      <c r="B9" s="22" t="s">
        <v>7</v>
      </c>
      <c r="C9" s="22">
        <v>410</v>
      </c>
      <c r="D9" s="22">
        <v>410</v>
      </c>
      <c r="E9" s="22">
        <v>425</v>
      </c>
      <c r="F9" s="22">
        <v>425</v>
      </c>
      <c r="G9" s="22">
        <v>425</v>
      </c>
    </row>
    <row r="10" spans="1:7">
      <c r="A10" s="22" t="s">
        <v>67</v>
      </c>
      <c r="B10" s="22" t="s">
        <v>247</v>
      </c>
      <c r="C10" s="22">
        <v>48</v>
      </c>
      <c r="D10" s="22">
        <v>48</v>
      </c>
      <c r="E10" s="22">
        <v>48</v>
      </c>
      <c r="F10" s="22">
        <v>48</v>
      </c>
      <c r="G10" s="22">
        <v>48</v>
      </c>
    </row>
    <row r="11" spans="1:7">
      <c r="A11" s="22" t="s">
        <v>135</v>
      </c>
      <c r="B11" s="22" t="s">
        <v>133</v>
      </c>
      <c r="C11" s="22">
        <v>65</v>
      </c>
      <c r="D11" s="22">
        <v>62</v>
      </c>
      <c r="E11" s="22">
        <v>64</v>
      </c>
      <c r="F11" s="22">
        <v>64</v>
      </c>
      <c r="G11" s="22">
        <v>64</v>
      </c>
    </row>
    <row r="12" spans="1:7">
      <c r="A12" s="22" t="s">
        <v>56</v>
      </c>
      <c r="B12" s="22" t="s">
        <v>489</v>
      </c>
      <c r="C12" s="22">
        <v>975</v>
      </c>
      <c r="D12" s="22">
        <v>985</v>
      </c>
      <c r="E12" s="22">
        <v>1010</v>
      </c>
      <c r="F12" s="22">
        <v>1027</v>
      </c>
      <c r="G12" s="22">
        <v>1045</v>
      </c>
    </row>
    <row r="13" spans="1:7">
      <c r="A13" s="22" t="s">
        <v>57</v>
      </c>
      <c r="B13" s="22" t="s">
        <v>14</v>
      </c>
      <c r="C13" s="22">
        <v>731</v>
      </c>
      <c r="D13" s="22">
        <v>751</v>
      </c>
      <c r="E13" s="22">
        <v>802</v>
      </c>
      <c r="F13" s="22">
        <v>820</v>
      </c>
      <c r="G13" s="22">
        <v>840</v>
      </c>
    </row>
    <row r="14" spans="1:7">
      <c r="A14" s="22" t="s">
        <v>55</v>
      </c>
      <c r="B14" s="22" t="s">
        <v>1</v>
      </c>
      <c r="C14" s="22">
        <v>358</v>
      </c>
      <c r="D14" s="22">
        <v>369</v>
      </c>
      <c r="E14" s="22">
        <v>378</v>
      </c>
      <c r="F14" s="22">
        <v>389</v>
      </c>
      <c r="G14" s="22">
        <v>400</v>
      </c>
    </row>
    <row r="15" spans="1:7">
      <c r="A15" s="22" t="s">
        <v>54</v>
      </c>
      <c r="B15" s="22" t="s">
        <v>0</v>
      </c>
      <c r="C15" s="22">
        <v>523</v>
      </c>
      <c r="D15" s="22">
        <v>534</v>
      </c>
      <c r="E15" s="22">
        <v>565</v>
      </c>
      <c r="F15" s="22">
        <v>584</v>
      </c>
      <c r="G15" s="22">
        <v>603</v>
      </c>
    </row>
    <row r="16" spans="1:7">
      <c r="A16" s="22" t="s">
        <v>134</v>
      </c>
      <c r="B16" s="22" t="s">
        <v>478</v>
      </c>
      <c r="C16" s="22">
        <v>572</v>
      </c>
      <c r="D16" s="22">
        <v>582</v>
      </c>
      <c r="E16" s="22">
        <v>594</v>
      </c>
      <c r="F16" s="22">
        <v>611</v>
      </c>
      <c r="G16" s="22">
        <v>629</v>
      </c>
    </row>
    <row r="17" spans="1:7">
      <c r="A17" s="22" t="s">
        <v>136</v>
      </c>
      <c r="B17" s="22" t="s">
        <v>490</v>
      </c>
      <c r="C17" s="22">
        <v>395</v>
      </c>
      <c r="D17" s="22">
        <v>395</v>
      </c>
      <c r="E17" s="22">
        <v>395</v>
      </c>
      <c r="F17" s="22">
        <v>395</v>
      </c>
      <c r="G17" s="22">
        <v>395</v>
      </c>
    </row>
    <row r="18" spans="1:7">
      <c r="A18" s="22" t="s">
        <v>1345</v>
      </c>
      <c r="B18" s="22" t="s">
        <v>491</v>
      </c>
      <c r="C18" s="22">
        <v>1500</v>
      </c>
      <c r="D18" s="22">
        <v>1600</v>
      </c>
      <c r="E18" s="22">
        <v>1700</v>
      </c>
      <c r="F18" s="22">
        <v>1790</v>
      </c>
      <c r="G18" s="22">
        <v>1880</v>
      </c>
    </row>
    <row r="19" spans="1:7">
      <c r="A19" s="22" t="s">
        <v>1346</v>
      </c>
      <c r="B19" s="22" t="s">
        <v>492</v>
      </c>
      <c r="C19" s="22">
        <v>1610</v>
      </c>
      <c r="D19" s="22">
        <v>1710</v>
      </c>
      <c r="E19" s="22">
        <v>1810</v>
      </c>
      <c r="F19" s="22">
        <v>1900</v>
      </c>
      <c r="G19" s="22">
        <v>1990</v>
      </c>
    </row>
    <row r="20" spans="1:7">
      <c r="A20" s="22" t="s">
        <v>69</v>
      </c>
      <c r="B20" s="22" t="s">
        <v>69</v>
      </c>
    </row>
    <row r="21" spans="1:7">
      <c r="A21" s="22" t="s">
        <v>70</v>
      </c>
      <c r="B21" s="22" t="s">
        <v>70</v>
      </c>
    </row>
    <row r="22" spans="1:7">
      <c r="A22" s="22" t="s">
        <v>71</v>
      </c>
      <c r="B22" s="22" t="s">
        <v>71</v>
      </c>
    </row>
    <row r="23" spans="1:7">
      <c r="A23" s="22" t="s">
        <v>68</v>
      </c>
      <c r="B23" s="22" t="s">
        <v>68</v>
      </c>
      <c r="C23" s="22">
        <v>650</v>
      </c>
      <c r="D23" s="22">
        <v>650</v>
      </c>
      <c r="E23" s="22">
        <v>700</v>
      </c>
      <c r="F23" s="22">
        <v>700</v>
      </c>
      <c r="G23" s="22">
        <v>700</v>
      </c>
    </row>
    <row r="24" spans="1:7">
      <c r="A24" s="22" t="s">
        <v>139</v>
      </c>
      <c r="B24" s="22" t="s">
        <v>139</v>
      </c>
      <c r="C24" s="22">
        <v>42</v>
      </c>
      <c r="D24" s="22">
        <v>42</v>
      </c>
      <c r="E24" s="22">
        <v>40</v>
      </c>
      <c r="F24" s="22">
        <v>40</v>
      </c>
      <c r="G24" s="22">
        <v>40</v>
      </c>
    </row>
    <row r="25" spans="1:7">
      <c r="A25" s="22" t="s">
        <v>140</v>
      </c>
      <c r="B25" s="22" t="s">
        <v>140</v>
      </c>
      <c r="C25" s="22">
        <v>42</v>
      </c>
      <c r="D25" s="22">
        <v>42</v>
      </c>
      <c r="E25" s="22">
        <v>42</v>
      </c>
      <c r="F25" s="22">
        <v>42</v>
      </c>
      <c r="G25" s="22">
        <v>42</v>
      </c>
    </row>
    <row r="26" spans="1:7">
      <c r="A26" s="22" t="s">
        <v>1752</v>
      </c>
      <c r="C26" s="35">
        <f>C18/10</f>
        <v>150</v>
      </c>
      <c r="D26" s="35">
        <f>AVERAGE(D18,C19)/10</f>
        <v>160.5</v>
      </c>
      <c r="E26" s="35">
        <f t="shared" ref="E26:G26" si="0">AVERAGE(E18,D19)/10</f>
        <v>170.5</v>
      </c>
      <c r="F26" s="35">
        <f t="shared" si="0"/>
        <v>180</v>
      </c>
      <c r="G26" s="35">
        <f t="shared" si="0"/>
        <v>189</v>
      </c>
    </row>
    <row r="27" spans="1:7">
      <c r="A27" s="22" t="s">
        <v>1753</v>
      </c>
      <c r="C27" s="35">
        <f>D26</f>
        <v>160.5</v>
      </c>
      <c r="D27" s="35">
        <f t="shared" ref="D27:F27" si="1">E26</f>
        <v>170.5</v>
      </c>
      <c r="E27" s="35">
        <f t="shared" si="1"/>
        <v>180</v>
      </c>
      <c r="F27" s="35">
        <f t="shared" si="1"/>
        <v>189</v>
      </c>
      <c r="G27" s="35">
        <f t="shared" ref="G27" si="2">G19/10</f>
        <v>199</v>
      </c>
    </row>
    <row r="29" spans="1:7">
      <c r="C29" s="22">
        <f>C21/10</f>
        <v>0</v>
      </c>
      <c r="D29" s="22">
        <f t="shared" ref="D29:G29" si="3">D21/10</f>
        <v>0</v>
      </c>
      <c r="E29" s="22">
        <f t="shared" si="3"/>
        <v>0</v>
      </c>
      <c r="F29" s="22">
        <f t="shared" si="3"/>
        <v>0</v>
      </c>
      <c r="G29" s="22">
        <f t="shared" si="3"/>
        <v>0</v>
      </c>
    </row>
    <row r="30" spans="1:7">
      <c r="C30" s="22">
        <f>C22/10</f>
        <v>0</v>
      </c>
      <c r="D30" s="22">
        <f t="shared" ref="D30:G30" si="4">D22/10</f>
        <v>0</v>
      </c>
      <c r="E30" s="22">
        <f t="shared" si="4"/>
        <v>0</v>
      </c>
      <c r="F30" s="22">
        <f t="shared" si="4"/>
        <v>0</v>
      </c>
      <c r="G30" s="22">
        <f t="shared" si="4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F280-63C1-2549-A9F0-53F51D6773B8}">
  <dimension ref="A1:G57"/>
  <sheetViews>
    <sheetView topLeftCell="A4" workbookViewId="0">
      <selection activeCell="C29" sqref="C29"/>
    </sheetView>
  </sheetViews>
  <sheetFormatPr baseColWidth="10" defaultRowHeight="20"/>
  <cols>
    <col min="1" max="1" width="29.33203125" style="22" bestFit="1" customWidth="1"/>
    <col min="2" max="2" width="24.33203125" style="22" bestFit="1" customWidth="1"/>
    <col min="3" max="3" width="8.83203125" style="22" bestFit="1" customWidth="1"/>
    <col min="4" max="6" width="11.6640625" style="22" bestFit="1" customWidth="1"/>
    <col min="7" max="7" width="8.1640625" style="22" bestFit="1" customWidth="1"/>
    <col min="8" max="16384" width="10.83203125" style="22"/>
  </cols>
  <sheetData>
    <row r="1" spans="1:7">
      <c r="A1" s="22" t="s">
        <v>72</v>
      </c>
      <c r="B1" s="27" t="s">
        <v>141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</row>
    <row r="2" spans="1:7">
      <c r="A2" s="22" t="s">
        <v>54</v>
      </c>
      <c r="B2" s="22" t="s">
        <v>142</v>
      </c>
      <c r="C2" s="22">
        <v>525</v>
      </c>
      <c r="D2" s="22">
        <v>550</v>
      </c>
      <c r="E2" s="22">
        <v>580</v>
      </c>
      <c r="F2" s="22">
        <v>610</v>
      </c>
      <c r="G2" s="22">
        <v>640</v>
      </c>
    </row>
    <row r="3" spans="1:7">
      <c r="A3" s="22" t="s">
        <v>55</v>
      </c>
      <c r="B3" s="22" t="s">
        <v>143</v>
      </c>
      <c r="C3" s="22">
        <v>390</v>
      </c>
      <c r="D3" s="22">
        <v>400</v>
      </c>
      <c r="E3" s="22">
        <v>410</v>
      </c>
      <c r="F3" s="22">
        <v>420</v>
      </c>
      <c r="G3" s="22">
        <v>430</v>
      </c>
    </row>
    <row r="4" spans="1:7">
      <c r="A4" s="22" t="s">
        <v>60</v>
      </c>
      <c r="B4" s="22" t="s">
        <v>144</v>
      </c>
      <c r="C4" s="22">
        <v>430</v>
      </c>
      <c r="D4" s="22">
        <v>445</v>
      </c>
      <c r="E4" s="22">
        <v>475</v>
      </c>
      <c r="F4" s="22">
        <v>505</v>
      </c>
      <c r="G4" s="22">
        <v>540</v>
      </c>
    </row>
    <row r="5" spans="1:7">
      <c r="A5" s="22" t="s">
        <v>73</v>
      </c>
      <c r="B5" s="22" t="s">
        <v>145</v>
      </c>
      <c r="C5" s="22">
        <v>540</v>
      </c>
      <c r="D5" s="22">
        <v>558</v>
      </c>
      <c r="E5" s="22">
        <v>576</v>
      </c>
      <c r="F5" s="22">
        <v>595</v>
      </c>
      <c r="G5" s="22">
        <v>614</v>
      </c>
    </row>
    <row r="6" spans="1:7">
      <c r="A6" s="22" t="s">
        <v>64</v>
      </c>
      <c r="B6" s="22" t="s">
        <v>146</v>
      </c>
      <c r="C6" s="22">
        <v>92</v>
      </c>
      <c r="D6" s="22">
        <v>118</v>
      </c>
      <c r="E6" s="22">
        <v>150</v>
      </c>
      <c r="F6" s="22">
        <v>182</v>
      </c>
      <c r="G6" s="22">
        <v>214</v>
      </c>
    </row>
    <row r="7" spans="1:7">
      <c r="A7" s="22" t="s">
        <v>63</v>
      </c>
      <c r="B7" s="22" t="s">
        <v>147</v>
      </c>
      <c r="C7" s="22">
        <v>74</v>
      </c>
      <c r="D7" s="22">
        <v>74</v>
      </c>
      <c r="E7" s="22">
        <v>74</v>
      </c>
      <c r="F7" s="22">
        <v>74</v>
      </c>
      <c r="G7" s="22">
        <v>74</v>
      </c>
    </row>
    <row r="8" spans="1:7">
      <c r="A8" s="22" t="s">
        <v>62</v>
      </c>
      <c r="B8" s="22" t="s">
        <v>148</v>
      </c>
      <c r="C8" s="22">
        <v>70</v>
      </c>
      <c r="D8" s="22">
        <v>70</v>
      </c>
      <c r="E8" s="22">
        <v>70</v>
      </c>
      <c r="F8" s="22">
        <v>70</v>
      </c>
      <c r="G8" s="22">
        <v>70</v>
      </c>
    </row>
    <row r="9" spans="1:7">
      <c r="A9" s="22" t="s">
        <v>66</v>
      </c>
      <c r="B9" s="22" t="s">
        <v>149</v>
      </c>
      <c r="C9" s="22">
        <v>430</v>
      </c>
      <c r="D9" s="22">
        <v>430</v>
      </c>
      <c r="E9" s="22">
        <v>430</v>
      </c>
      <c r="F9" s="22">
        <v>430</v>
      </c>
      <c r="G9" s="22">
        <v>430</v>
      </c>
    </row>
    <row r="10" spans="1:7">
      <c r="A10" s="22" t="s">
        <v>134</v>
      </c>
      <c r="B10" s="22" t="s">
        <v>150</v>
      </c>
      <c r="C10" s="22">
        <v>608</v>
      </c>
      <c r="D10" s="22">
        <v>626</v>
      </c>
      <c r="E10" s="22">
        <v>647</v>
      </c>
      <c r="F10" s="22">
        <v>668</v>
      </c>
      <c r="G10" s="22">
        <v>689</v>
      </c>
    </row>
    <row r="11" spans="1:7">
      <c r="A11" s="22" t="s">
        <v>56</v>
      </c>
      <c r="B11" s="22" t="s">
        <v>151</v>
      </c>
      <c r="C11" s="22">
        <v>1028</v>
      </c>
      <c r="D11" s="22">
        <v>1047</v>
      </c>
      <c r="E11" s="22">
        <v>1068</v>
      </c>
      <c r="F11" s="22">
        <v>1089</v>
      </c>
      <c r="G11" s="22">
        <v>1110</v>
      </c>
    </row>
    <row r="12" spans="1:7">
      <c r="A12" s="22" t="s">
        <v>65</v>
      </c>
      <c r="B12" s="22" t="s">
        <v>152</v>
      </c>
      <c r="C12" s="22">
        <v>69</v>
      </c>
      <c r="D12" s="22">
        <v>69</v>
      </c>
      <c r="E12" s="22">
        <v>69</v>
      </c>
      <c r="F12" s="22">
        <v>69</v>
      </c>
      <c r="G12" s="22">
        <v>69</v>
      </c>
    </row>
    <row r="13" spans="1:7">
      <c r="A13" s="22" t="s">
        <v>495</v>
      </c>
      <c r="B13" s="22" t="s">
        <v>153</v>
      </c>
      <c r="C13" s="22">
        <v>410</v>
      </c>
      <c r="D13" s="22">
        <v>410</v>
      </c>
      <c r="E13" s="22">
        <v>410</v>
      </c>
      <c r="F13" s="22">
        <v>410</v>
      </c>
      <c r="G13" s="22">
        <v>410</v>
      </c>
    </row>
    <row r="14" spans="1:7">
      <c r="A14" s="22" t="s">
        <v>67</v>
      </c>
      <c r="B14" s="22" t="s">
        <v>154</v>
      </c>
      <c r="C14" s="22">
        <v>45</v>
      </c>
      <c r="D14" s="22">
        <v>45</v>
      </c>
      <c r="E14" s="22">
        <v>45</v>
      </c>
      <c r="F14" s="22">
        <v>45</v>
      </c>
      <c r="G14" s="22">
        <v>45</v>
      </c>
    </row>
    <row r="15" spans="1:7">
      <c r="A15" s="22" t="s">
        <v>135</v>
      </c>
      <c r="B15" s="22" t="s">
        <v>155</v>
      </c>
      <c r="C15" s="22">
        <v>78</v>
      </c>
      <c r="D15" s="22">
        <v>78</v>
      </c>
      <c r="E15" s="22">
        <v>78</v>
      </c>
      <c r="F15" s="22">
        <v>78</v>
      </c>
      <c r="G15" s="22">
        <v>78</v>
      </c>
    </row>
    <row r="16" spans="1:7">
      <c r="A16" s="22" t="s">
        <v>69</v>
      </c>
      <c r="B16" s="22" t="s">
        <v>156</v>
      </c>
      <c r="C16" s="22">
        <v>170</v>
      </c>
      <c r="D16" s="22">
        <v>170</v>
      </c>
      <c r="E16" s="22">
        <v>172.5</v>
      </c>
      <c r="F16" s="22">
        <v>172.5</v>
      </c>
      <c r="G16" s="22">
        <v>175</v>
      </c>
    </row>
    <row r="17" spans="1:7">
      <c r="A17" s="22" t="s">
        <v>71</v>
      </c>
      <c r="B17" s="22" t="s">
        <v>157</v>
      </c>
      <c r="C17" s="22">
        <v>70</v>
      </c>
      <c r="D17" s="22">
        <v>70</v>
      </c>
      <c r="E17" s="22">
        <v>70</v>
      </c>
      <c r="F17" s="22">
        <v>80</v>
      </c>
      <c r="G17" s="22">
        <v>80</v>
      </c>
    </row>
    <row r="18" spans="1:7">
      <c r="A18" s="22" t="s">
        <v>181</v>
      </c>
      <c r="B18" s="22" t="s">
        <v>177</v>
      </c>
      <c r="C18" s="22">
        <v>6</v>
      </c>
      <c r="D18" s="22">
        <v>6</v>
      </c>
      <c r="E18" s="22">
        <v>6</v>
      </c>
      <c r="F18" s="22">
        <v>6</v>
      </c>
      <c r="G18" s="22">
        <v>6</v>
      </c>
    </row>
    <row r="19" spans="1:7">
      <c r="A19" s="22" t="s">
        <v>70</v>
      </c>
      <c r="B19" s="22" t="s">
        <v>158</v>
      </c>
      <c r="C19" s="22">
        <v>420</v>
      </c>
      <c r="D19" s="22">
        <v>420</v>
      </c>
      <c r="E19" s="22">
        <v>420</v>
      </c>
      <c r="F19" s="22">
        <v>440</v>
      </c>
      <c r="G19" s="22">
        <v>440</v>
      </c>
    </row>
    <row r="20" spans="1:7">
      <c r="A20" s="22" t="s">
        <v>164</v>
      </c>
      <c r="B20" s="22" t="s">
        <v>159</v>
      </c>
      <c r="C20" s="22">
        <v>130</v>
      </c>
      <c r="D20" s="22">
        <v>130</v>
      </c>
      <c r="E20" s="22">
        <v>130</v>
      </c>
      <c r="F20" s="22">
        <v>130</v>
      </c>
      <c r="G20" s="22">
        <v>130</v>
      </c>
    </row>
    <row r="21" spans="1:7">
      <c r="A21" s="22" t="s">
        <v>165</v>
      </c>
      <c r="B21" s="22" t="s">
        <v>160</v>
      </c>
      <c r="C21" s="22">
        <v>70</v>
      </c>
      <c r="D21" s="22">
        <v>70</v>
      </c>
      <c r="E21" s="22">
        <v>70</v>
      </c>
      <c r="F21" s="22">
        <v>70</v>
      </c>
      <c r="G21" s="22">
        <v>70</v>
      </c>
    </row>
    <row r="22" spans="1:7">
      <c r="A22" s="22" t="s">
        <v>1711</v>
      </c>
      <c r="B22" s="22" t="s">
        <v>1710</v>
      </c>
      <c r="C22" s="22">
        <v>15</v>
      </c>
      <c r="D22" s="22">
        <v>15</v>
      </c>
      <c r="E22" s="22">
        <v>15</v>
      </c>
      <c r="F22" s="22">
        <v>15</v>
      </c>
      <c r="G22" s="22">
        <v>15</v>
      </c>
    </row>
    <row r="23" spans="1:7">
      <c r="A23" s="22" t="s">
        <v>57</v>
      </c>
      <c r="B23" s="22" t="s">
        <v>161</v>
      </c>
      <c r="C23" s="22">
        <v>720</v>
      </c>
      <c r="D23" s="22">
        <v>738</v>
      </c>
      <c r="E23" s="22">
        <v>768</v>
      </c>
      <c r="F23" s="22">
        <v>797</v>
      </c>
      <c r="G23" s="22">
        <v>830</v>
      </c>
    </row>
    <row r="24" spans="1:7">
      <c r="A24" s="22" t="s">
        <v>1342</v>
      </c>
      <c r="B24" s="22" t="s">
        <v>162</v>
      </c>
      <c r="C24" s="22">
        <v>350</v>
      </c>
      <c r="D24" s="22">
        <v>350</v>
      </c>
      <c r="E24" s="22">
        <v>350</v>
      </c>
      <c r="F24" s="22">
        <v>350</v>
      </c>
      <c r="G24" s="22">
        <v>350</v>
      </c>
    </row>
    <row r="25" spans="1:7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</row>
    <row r="26" spans="1:7">
      <c r="A26" s="22" t="s">
        <v>139</v>
      </c>
      <c r="B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</row>
    <row r="27" spans="1:7">
      <c r="A27" s="22" t="s">
        <v>140</v>
      </c>
      <c r="B27" s="22" t="s">
        <v>140</v>
      </c>
      <c r="C27" s="22">
        <v>45</v>
      </c>
      <c r="D27" s="22">
        <v>45</v>
      </c>
      <c r="E27" s="22">
        <v>45</v>
      </c>
      <c r="F27" s="22">
        <v>45</v>
      </c>
      <c r="G27" s="22">
        <v>45</v>
      </c>
    </row>
    <row r="28" spans="1:7">
      <c r="A28" s="22" t="s">
        <v>1752</v>
      </c>
      <c r="C28" s="22">
        <v>155</v>
      </c>
      <c r="D28" s="22">
        <v>163</v>
      </c>
      <c r="E28" s="22">
        <v>171</v>
      </c>
      <c r="F28" s="22">
        <v>181</v>
      </c>
      <c r="G28" s="22">
        <v>191</v>
      </c>
    </row>
    <row r="29" spans="1:7">
      <c r="A29" s="22" t="s">
        <v>1753</v>
      </c>
      <c r="C29" s="22">
        <v>163</v>
      </c>
      <c r="D29" s="22">
        <v>171</v>
      </c>
      <c r="E29" s="22">
        <v>181</v>
      </c>
      <c r="F29" s="22">
        <v>191</v>
      </c>
      <c r="G29" s="22">
        <v>200</v>
      </c>
    </row>
    <row r="30" spans="1:7">
      <c r="A30" s="22" t="s">
        <v>2593</v>
      </c>
      <c r="C30" s="22">
        <v>155</v>
      </c>
      <c r="D30" s="22">
        <v>162</v>
      </c>
      <c r="E30" s="22">
        <v>170</v>
      </c>
      <c r="F30" s="22">
        <v>180</v>
      </c>
      <c r="G30" s="22">
        <v>190</v>
      </c>
    </row>
    <row r="31" spans="1:7">
      <c r="A31" s="22" t="s">
        <v>2594</v>
      </c>
      <c r="C31" s="73">
        <v>165</v>
      </c>
      <c r="D31" s="22">
        <v>172</v>
      </c>
      <c r="E31" s="22">
        <v>182</v>
      </c>
      <c r="F31" s="22">
        <v>192</v>
      </c>
      <c r="G31" s="22">
        <v>198</v>
      </c>
    </row>
    <row r="33" spans="2:7">
      <c r="B33" s="43" t="s">
        <v>141</v>
      </c>
      <c r="C33" s="43" t="s">
        <v>16</v>
      </c>
      <c r="D33" s="43" t="s">
        <v>17</v>
      </c>
      <c r="E33" s="43" t="s">
        <v>18</v>
      </c>
      <c r="F33" s="43" t="s">
        <v>19</v>
      </c>
      <c r="G33" s="43" t="s">
        <v>20</v>
      </c>
    </row>
    <row r="34" spans="2:7">
      <c r="B34" t="s">
        <v>1044</v>
      </c>
      <c r="C34" t="s">
        <v>1705</v>
      </c>
      <c r="D34" t="s">
        <v>1706</v>
      </c>
      <c r="E34" t="s">
        <v>1707</v>
      </c>
      <c r="F34" t="s">
        <v>1708</v>
      </c>
      <c r="G34" t="s">
        <v>1709</v>
      </c>
    </row>
    <row r="35" spans="2:7">
      <c r="B35"/>
      <c r="C35"/>
      <c r="D35"/>
      <c r="E35"/>
      <c r="F35"/>
      <c r="G35"/>
    </row>
    <row r="36" spans="2:7">
      <c r="B36"/>
      <c r="C36"/>
      <c r="D36"/>
      <c r="E36"/>
      <c r="F36"/>
      <c r="G36"/>
    </row>
    <row r="37" spans="2:7">
      <c r="B37"/>
      <c r="C37"/>
      <c r="D37"/>
      <c r="E37"/>
      <c r="F37"/>
      <c r="G37"/>
    </row>
    <row r="38" spans="2:7">
      <c r="B38"/>
      <c r="C38"/>
      <c r="D38"/>
      <c r="E38"/>
      <c r="F38"/>
      <c r="G38"/>
    </row>
    <row r="39" spans="2:7">
      <c r="B39"/>
      <c r="C39"/>
      <c r="D39"/>
      <c r="E39"/>
      <c r="F39"/>
      <c r="G39"/>
    </row>
    <row r="40" spans="2:7">
      <c r="B40"/>
      <c r="C40"/>
      <c r="D40"/>
      <c r="E40"/>
      <c r="F40"/>
      <c r="G40"/>
    </row>
    <row r="41" spans="2:7">
      <c r="B41"/>
      <c r="C41"/>
      <c r="D41"/>
      <c r="E41"/>
      <c r="F41"/>
      <c r="G41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4" spans="2:7">
      <c r="B44"/>
      <c r="C44"/>
      <c r="D44"/>
      <c r="E44"/>
      <c r="F44"/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7">
      <c r="B48"/>
      <c r="C48"/>
      <c r="D48"/>
      <c r="E48"/>
      <c r="F48"/>
      <c r="G48"/>
    </row>
    <row r="49" spans="2:7">
      <c r="B49"/>
      <c r="C49"/>
      <c r="D49"/>
      <c r="E49"/>
      <c r="F49"/>
      <c r="G49"/>
    </row>
    <row r="50" spans="2:7">
      <c r="B50"/>
      <c r="C50"/>
      <c r="D50"/>
      <c r="E50"/>
      <c r="F50"/>
      <c r="G50"/>
    </row>
    <row r="51" spans="2:7">
      <c r="B51"/>
      <c r="C51"/>
      <c r="D51"/>
      <c r="E51"/>
      <c r="F51"/>
      <c r="G51"/>
    </row>
    <row r="52" spans="2:7">
      <c r="B52"/>
      <c r="C52"/>
      <c r="D52"/>
      <c r="E52"/>
      <c r="F52"/>
      <c r="G52"/>
    </row>
    <row r="53" spans="2:7">
      <c r="B53"/>
      <c r="C53"/>
      <c r="D53"/>
      <c r="E53"/>
      <c r="F53"/>
      <c r="G53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  <row r="57" spans="2:7">
      <c r="B57"/>
      <c r="C57"/>
      <c r="D57"/>
      <c r="E57"/>
      <c r="F57"/>
      <c r="G57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A99C-E3CC-F241-886E-720DFE76C56B}">
  <dimension ref="A1:C32"/>
  <sheetViews>
    <sheetView workbookViewId="0">
      <selection activeCell="C30" sqref="C30"/>
    </sheetView>
  </sheetViews>
  <sheetFormatPr baseColWidth="10" defaultRowHeight="16"/>
  <cols>
    <col min="1" max="1" width="29.33203125" bestFit="1" customWidth="1"/>
    <col min="2" max="2" width="24.33203125" bestFit="1" customWidth="1"/>
  </cols>
  <sheetData>
    <row r="1" spans="1:3" ht="20">
      <c r="A1" s="22" t="s">
        <v>72</v>
      </c>
      <c r="B1" s="27" t="s">
        <v>141</v>
      </c>
      <c r="C1" s="27" t="s">
        <v>18</v>
      </c>
    </row>
    <row r="2" spans="1:3" ht="20">
      <c r="A2" s="22" t="s">
        <v>54</v>
      </c>
      <c r="B2" s="22" t="s">
        <v>142</v>
      </c>
      <c r="C2" s="22">
        <v>583.6</v>
      </c>
    </row>
    <row r="3" spans="1:3" ht="20">
      <c r="A3" s="22" t="s">
        <v>55</v>
      </c>
      <c r="B3" s="22" t="s">
        <v>143</v>
      </c>
      <c r="C3" s="22">
        <v>404.9</v>
      </c>
    </row>
    <row r="4" spans="1:3" ht="20">
      <c r="A4" s="22" t="s">
        <v>60</v>
      </c>
      <c r="B4" s="22" t="s">
        <v>144</v>
      </c>
      <c r="C4" s="22">
        <v>475</v>
      </c>
    </row>
    <row r="5" spans="1:3" ht="20">
      <c r="A5" s="22" t="s">
        <v>73</v>
      </c>
      <c r="B5" s="22" t="s">
        <v>145</v>
      </c>
      <c r="C5" s="22">
        <v>577.79999999999995</v>
      </c>
    </row>
    <row r="6" spans="1:3" ht="20">
      <c r="A6" s="22" t="s">
        <v>64</v>
      </c>
      <c r="B6" s="22" t="s">
        <v>146</v>
      </c>
      <c r="C6" s="22">
        <v>150</v>
      </c>
    </row>
    <row r="7" spans="1:3" ht="20">
      <c r="A7" s="22" t="s">
        <v>63</v>
      </c>
      <c r="B7" s="22" t="s">
        <v>147</v>
      </c>
      <c r="C7" s="22">
        <v>73.5</v>
      </c>
    </row>
    <row r="8" spans="1:3" ht="20">
      <c r="A8" s="22" t="s">
        <v>62</v>
      </c>
      <c r="B8" s="22" t="s">
        <v>148</v>
      </c>
      <c r="C8" s="22">
        <v>69.5</v>
      </c>
    </row>
    <row r="9" spans="1:3" ht="20">
      <c r="A9" s="22" t="s">
        <v>66</v>
      </c>
      <c r="B9" s="22" t="s">
        <v>149</v>
      </c>
      <c r="C9" s="22">
        <v>429.5</v>
      </c>
    </row>
    <row r="10" spans="1:3" ht="20">
      <c r="A10" s="22" t="s">
        <v>134</v>
      </c>
      <c r="B10" s="22" t="s">
        <v>150</v>
      </c>
      <c r="C10" s="22">
        <v>647</v>
      </c>
    </row>
    <row r="11" spans="1:3" ht="20">
      <c r="A11" s="22" t="s">
        <v>56</v>
      </c>
      <c r="B11" s="22" t="s">
        <v>151</v>
      </c>
      <c r="C11" s="22">
        <v>1071.5</v>
      </c>
    </row>
    <row r="12" spans="1:3" ht="20">
      <c r="A12" s="22" t="s">
        <v>65</v>
      </c>
      <c r="B12" s="22" t="s">
        <v>152</v>
      </c>
      <c r="C12" s="22">
        <v>72.2</v>
      </c>
    </row>
    <row r="13" spans="1:3" ht="20">
      <c r="A13" s="22" t="s">
        <v>495</v>
      </c>
      <c r="B13" s="22" t="s">
        <v>153</v>
      </c>
      <c r="C13" s="22">
        <v>420</v>
      </c>
    </row>
    <row r="14" spans="1:3" ht="20">
      <c r="A14" s="22" t="s">
        <v>67</v>
      </c>
      <c r="B14" s="22" t="s">
        <v>154</v>
      </c>
      <c r="C14" s="22">
        <v>45</v>
      </c>
    </row>
    <row r="15" spans="1:3" ht="20">
      <c r="A15" s="22" t="s">
        <v>135</v>
      </c>
      <c r="B15" s="22" t="s">
        <v>155</v>
      </c>
      <c r="C15" s="22">
        <v>78</v>
      </c>
    </row>
    <row r="16" spans="1:3" ht="20">
      <c r="A16" s="22" t="s">
        <v>69</v>
      </c>
      <c r="B16" s="22" t="s">
        <v>156</v>
      </c>
      <c r="C16" s="22">
        <v>172.5</v>
      </c>
    </row>
    <row r="17" spans="1:3" ht="20">
      <c r="A17" s="22" t="s">
        <v>71</v>
      </c>
      <c r="B17" s="22" t="s">
        <v>157</v>
      </c>
      <c r="C17" s="22">
        <v>70</v>
      </c>
    </row>
    <row r="18" spans="1:3" ht="20">
      <c r="A18" s="22" t="s">
        <v>181</v>
      </c>
      <c r="B18" s="22" t="s">
        <v>177</v>
      </c>
      <c r="C18" s="22">
        <v>6</v>
      </c>
    </row>
    <row r="19" spans="1:3" ht="20">
      <c r="A19" s="22" t="s">
        <v>70</v>
      </c>
      <c r="B19" s="22" t="s">
        <v>158</v>
      </c>
      <c r="C19" s="22">
        <v>420</v>
      </c>
    </row>
    <row r="20" spans="1:3" ht="20">
      <c r="A20" s="22" t="s">
        <v>164</v>
      </c>
      <c r="B20" s="22" t="s">
        <v>159</v>
      </c>
      <c r="C20" s="22">
        <v>130</v>
      </c>
    </row>
    <row r="21" spans="1:3" ht="20">
      <c r="A21" s="22" t="s">
        <v>165</v>
      </c>
      <c r="B21" s="22" t="s">
        <v>160</v>
      </c>
      <c r="C21" s="22">
        <v>70</v>
      </c>
    </row>
    <row r="22" spans="1:3" ht="20">
      <c r="A22" s="22" t="s">
        <v>1711</v>
      </c>
      <c r="B22" s="22" t="s">
        <v>1710</v>
      </c>
      <c r="C22" s="22">
        <v>15</v>
      </c>
    </row>
    <row r="23" spans="1:3" ht="20">
      <c r="A23" s="22" t="s">
        <v>57</v>
      </c>
      <c r="B23" s="22" t="s">
        <v>161</v>
      </c>
      <c r="C23" s="22">
        <v>768</v>
      </c>
    </row>
    <row r="24" spans="1:3" ht="20">
      <c r="A24" s="22" t="s">
        <v>1342</v>
      </c>
      <c r="B24" s="22" t="s">
        <v>162</v>
      </c>
      <c r="C24" s="22">
        <v>350</v>
      </c>
    </row>
    <row r="25" spans="1:3" ht="20">
      <c r="A25" s="22" t="s">
        <v>68</v>
      </c>
      <c r="B25" s="22" t="s">
        <v>68</v>
      </c>
      <c r="C25" s="22">
        <v>700</v>
      </c>
    </row>
    <row r="26" spans="1:3" ht="20">
      <c r="A26" s="22" t="s">
        <v>139</v>
      </c>
      <c r="B26" s="22" t="s">
        <v>139</v>
      </c>
      <c r="C26" s="22">
        <v>45</v>
      </c>
    </row>
    <row r="27" spans="1:3" ht="20">
      <c r="A27" s="22" t="s">
        <v>140</v>
      </c>
      <c r="B27" s="22" t="s">
        <v>140</v>
      </c>
      <c r="C27" s="22">
        <v>45</v>
      </c>
    </row>
    <row r="28" spans="1:3" ht="20">
      <c r="A28" s="22" t="s">
        <v>1752</v>
      </c>
      <c r="B28" s="22"/>
      <c r="C28" s="22">
        <v>171</v>
      </c>
    </row>
    <row r="29" spans="1:3" ht="20">
      <c r="A29" s="22" t="s">
        <v>1753</v>
      </c>
      <c r="B29" s="22"/>
      <c r="C29" s="22">
        <v>181</v>
      </c>
    </row>
    <row r="30" spans="1:3" ht="20">
      <c r="A30" s="22"/>
      <c r="B30" s="22"/>
      <c r="C30" s="22"/>
    </row>
    <row r="31" spans="1:3" ht="20">
      <c r="A31" s="22"/>
      <c r="B31" s="43" t="s">
        <v>141</v>
      </c>
      <c r="C31" s="43" t="s">
        <v>18</v>
      </c>
    </row>
    <row r="32" spans="1:3" ht="20">
      <c r="A32" s="22"/>
      <c r="B32" t="s">
        <v>1044</v>
      </c>
      <c r="C32" t="s">
        <v>1707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F712-FDE4-C340-89C8-65BC85999C1D}">
  <dimension ref="A1:G57"/>
  <sheetViews>
    <sheetView zoomScaleNormal="100" workbookViewId="0">
      <selection activeCell="C28" sqref="C28:F29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16384" width="10.83203125" style="22"/>
  </cols>
  <sheetData>
    <row r="1" spans="1:6">
      <c r="A1" s="22" t="s">
        <v>72</v>
      </c>
      <c r="B1" s="65" t="s">
        <v>141</v>
      </c>
      <c r="C1" s="65" t="s">
        <v>17</v>
      </c>
      <c r="D1" s="65" t="s">
        <v>18</v>
      </c>
      <c r="E1" s="65" t="s">
        <v>19</v>
      </c>
      <c r="F1" s="65" t="s">
        <v>20</v>
      </c>
    </row>
    <row r="2" spans="1:6">
      <c r="A2" s="22" t="s">
        <v>54</v>
      </c>
      <c r="B2" s="66" t="s">
        <v>142</v>
      </c>
      <c r="C2" s="67">
        <v>538</v>
      </c>
      <c r="D2" s="67">
        <v>569</v>
      </c>
      <c r="E2" s="67">
        <v>603</v>
      </c>
      <c r="F2" s="67">
        <v>641</v>
      </c>
    </row>
    <row r="3" spans="1:6">
      <c r="A3" s="22" t="s">
        <v>55</v>
      </c>
      <c r="B3" s="66" t="s">
        <v>143</v>
      </c>
      <c r="C3" s="67">
        <v>403</v>
      </c>
      <c r="D3" s="67">
        <v>415</v>
      </c>
      <c r="E3" s="67">
        <v>419</v>
      </c>
      <c r="F3" s="67">
        <v>429</v>
      </c>
    </row>
    <row r="4" spans="1:6">
      <c r="A4" s="22" t="s">
        <v>60</v>
      </c>
      <c r="B4" s="66" t="s">
        <v>144</v>
      </c>
      <c r="C4" s="67">
        <v>431</v>
      </c>
      <c r="D4" s="67">
        <v>459</v>
      </c>
      <c r="E4" s="67">
        <v>492</v>
      </c>
      <c r="F4" s="67">
        <v>527</v>
      </c>
    </row>
    <row r="5" spans="1:6">
      <c r="A5" s="22" t="s">
        <v>73</v>
      </c>
      <c r="B5" s="66" t="s">
        <v>145</v>
      </c>
      <c r="C5" s="67">
        <v>557</v>
      </c>
      <c r="D5" s="67">
        <v>578</v>
      </c>
      <c r="E5" s="67">
        <v>591</v>
      </c>
      <c r="F5" s="67">
        <v>612</v>
      </c>
    </row>
    <row r="6" spans="1:6">
      <c r="A6" s="22" t="s">
        <v>64</v>
      </c>
      <c r="B6" s="66" t="s">
        <v>146</v>
      </c>
      <c r="C6" s="67">
        <v>113</v>
      </c>
      <c r="D6" s="67">
        <v>146</v>
      </c>
      <c r="E6" s="67">
        <v>172</v>
      </c>
      <c r="F6" s="67">
        <v>207</v>
      </c>
    </row>
    <row r="7" spans="1:6">
      <c r="A7" s="22" t="s">
        <v>63</v>
      </c>
      <c r="B7" s="66" t="s">
        <v>147</v>
      </c>
      <c r="C7" s="67">
        <v>74</v>
      </c>
      <c r="D7" s="67">
        <v>74</v>
      </c>
      <c r="E7" s="67">
        <v>74</v>
      </c>
      <c r="F7" s="67">
        <v>74</v>
      </c>
    </row>
    <row r="8" spans="1:6">
      <c r="A8" s="22" t="s">
        <v>62</v>
      </c>
      <c r="B8" s="66" t="s">
        <v>148</v>
      </c>
      <c r="C8" s="67">
        <v>70</v>
      </c>
      <c r="D8" s="67">
        <v>70</v>
      </c>
      <c r="E8" s="67">
        <v>70</v>
      </c>
      <c r="F8" s="67">
        <v>70</v>
      </c>
    </row>
    <row r="9" spans="1:6">
      <c r="A9" s="22" t="s">
        <v>66</v>
      </c>
      <c r="B9" s="66" t="s">
        <v>149</v>
      </c>
      <c r="C9" s="67">
        <v>425</v>
      </c>
      <c r="D9" s="67">
        <v>425</v>
      </c>
      <c r="E9" s="67">
        <v>425</v>
      </c>
      <c r="F9" s="67">
        <v>425</v>
      </c>
    </row>
    <row r="10" spans="1:6">
      <c r="A10" s="22" t="s">
        <v>134</v>
      </c>
      <c r="B10" s="66" t="s">
        <v>150</v>
      </c>
      <c r="C10" s="67">
        <v>625</v>
      </c>
      <c r="D10" s="67">
        <v>648</v>
      </c>
      <c r="E10" s="67">
        <v>665</v>
      </c>
      <c r="F10" s="67">
        <v>700</v>
      </c>
    </row>
    <row r="11" spans="1:6">
      <c r="A11" s="22" t="s">
        <v>56</v>
      </c>
      <c r="B11" s="66" t="s">
        <v>151</v>
      </c>
      <c r="C11" s="67">
        <v>1041</v>
      </c>
      <c r="D11" s="67">
        <v>1064</v>
      </c>
      <c r="E11" s="67">
        <v>1081</v>
      </c>
      <c r="F11" s="67">
        <v>1105</v>
      </c>
    </row>
    <row r="12" spans="1:6">
      <c r="A12" s="22" t="s">
        <v>65</v>
      </c>
      <c r="B12" s="66" t="s">
        <v>152</v>
      </c>
      <c r="C12" s="67">
        <v>69</v>
      </c>
      <c r="D12" s="67">
        <v>69</v>
      </c>
      <c r="E12" s="67">
        <v>69</v>
      </c>
      <c r="F12" s="67">
        <v>69</v>
      </c>
    </row>
    <row r="13" spans="1:6">
      <c r="A13" s="22" t="s">
        <v>163</v>
      </c>
      <c r="B13" s="66" t="s">
        <v>153</v>
      </c>
      <c r="C13" s="67">
        <v>407</v>
      </c>
      <c r="D13" s="67">
        <v>407</v>
      </c>
      <c r="E13" s="67">
        <v>407</v>
      </c>
      <c r="F13" s="67">
        <v>407</v>
      </c>
    </row>
    <row r="14" spans="1:6">
      <c r="A14" s="22" t="s">
        <v>67</v>
      </c>
      <c r="B14" s="66" t="s">
        <v>154</v>
      </c>
      <c r="C14" s="67">
        <v>45</v>
      </c>
      <c r="D14" s="67">
        <v>45</v>
      </c>
      <c r="E14" s="67">
        <v>45</v>
      </c>
      <c r="F14" s="67">
        <v>45</v>
      </c>
    </row>
    <row r="15" spans="1:6">
      <c r="A15" s="22" t="s">
        <v>135</v>
      </c>
      <c r="B15" s="66" t="s">
        <v>155</v>
      </c>
      <c r="C15" s="67">
        <v>77</v>
      </c>
      <c r="D15" s="67">
        <v>77</v>
      </c>
      <c r="E15" s="67">
        <v>77</v>
      </c>
      <c r="F15" s="67">
        <v>77</v>
      </c>
    </row>
    <row r="16" spans="1:6">
      <c r="A16" s="22" t="s">
        <v>69</v>
      </c>
      <c r="B16" s="66" t="s">
        <v>156</v>
      </c>
      <c r="C16" s="68">
        <v>170</v>
      </c>
      <c r="D16" s="68">
        <v>172.5</v>
      </c>
      <c r="E16" s="68">
        <v>172.5</v>
      </c>
      <c r="F16" s="68">
        <v>175</v>
      </c>
    </row>
    <row r="17" spans="1:6">
      <c r="A17" s="22" t="s">
        <v>71</v>
      </c>
      <c r="B17" s="66" t="s">
        <v>157</v>
      </c>
      <c r="C17" s="67">
        <v>70</v>
      </c>
      <c r="D17" s="67">
        <v>70</v>
      </c>
      <c r="E17" s="67">
        <v>80</v>
      </c>
      <c r="F17" s="67">
        <v>90</v>
      </c>
    </row>
    <row r="18" spans="1:6">
      <c r="A18" s="22" t="s">
        <v>70</v>
      </c>
      <c r="B18" s="66" t="s">
        <v>158</v>
      </c>
      <c r="C18" s="67">
        <v>420</v>
      </c>
      <c r="D18" s="67">
        <v>420</v>
      </c>
      <c r="E18" s="67">
        <v>440</v>
      </c>
      <c r="F18" s="67">
        <v>440</v>
      </c>
    </row>
    <row r="19" spans="1:6">
      <c r="A19" s="22" t="s">
        <v>164</v>
      </c>
      <c r="B19" s="66" t="s">
        <v>159</v>
      </c>
      <c r="C19" s="67">
        <v>120</v>
      </c>
      <c r="D19" s="67">
        <v>120</v>
      </c>
      <c r="E19" s="67">
        <v>120</v>
      </c>
      <c r="F19" s="67">
        <v>120</v>
      </c>
    </row>
    <row r="20" spans="1:6">
      <c r="A20" s="22" t="s">
        <v>165</v>
      </c>
      <c r="B20" s="66" t="s">
        <v>160</v>
      </c>
      <c r="C20" s="67">
        <v>80</v>
      </c>
      <c r="D20" s="67">
        <v>80</v>
      </c>
      <c r="E20" s="67">
        <v>80</v>
      </c>
      <c r="F20" s="67">
        <v>80</v>
      </c>
    </row>
    <row r="21" spans="1:6">
      <c r="A21" s="22" t="s">
        <v>57</v>
      </c>
      <c r="B21" s="66" t="s">
        <v>161</v>
      </c>
      <c r="C21" s="67">
        <v>748</v>
      </c>
      <c r="D21" s="67">
        <v>778</v>
      </c>
      <c r="E21" s="67">
        <v>810</v>
      </c>
      <c r="F21" s="67">
        <v>846</v>
      </c>
    </row>
    <row r="22" spans="1:6">
      <c r="A22" s="22" t="s">
        <v>166</v>
      </c>
      <c r="B22" s="66" t="s">
        <v>162</v>
      </c>
      <c r="C22" s="67">
        <v>330</v>
      </c>
      <c r="D22" s="67">
        <v>380</v>
      </c>
      <c r="E22" s="67">
        <v>430</v>
      </c>
      <c r="F22" s="67">
        <v>430</v>
      </c>
    </row>
    <row r="23" spans="1:6">
      <c r="A23" s="22" t="s">
        <v>68</v>
      </c>
      <c r="B23" s="22" t="s">
        <v>68</v>
      </c>
      <c r="C23" s="40">
        <v>700</v>
      </c>
      <c r="D23" s="40">
        <v>700</v>
      </c>
      <c r="E23" s="40">
        <v>700</v>
      </c>
      <c r="F23" s="40">
        <v>700</v>
      </c>
    </row>
    <row r="24" spans="1:6">
      <c r="A24" s="22" t="s">
        <v>139</v>
      </c>
      <c r="B24" s="22" t="s">
        <v>139</v>
      </c>
      <c r="C24" s="40">
        <v>40</v>
      </c>
      <c r="D24" s="40">
        <v>40</v>
      </c>
      <c r="E24" s="40">
        <v>40</v>
      </c>
      <c r="F24" s="40">
        <v>40</v>
      </c>
    </row>
    <row r="25" spans="1:6">
      <c r="A25" s="22" t="s">
        <v>140</v>
      </c>
      <c r="B25" s="22" t="s">
        <v>140</v>
      </c>
      <c r="C25" s="40">
        <v>42</v>
      </c>
      <c r="D25" s="40">
        <v>42</v>
      </c>
      <c r="E25" s="40">
        <v>42</v>
      </c>
      <c r="F25" s="40">
        <v>42</v>
      </c>
    </row>
    <row r="26" spans="1:6">
      <c r="A26" s="22" t="s">
        <v>1752</v>
      </c>
      <c r="C26" s="40">
        <v>165</v>
      </c>
      <c r="D26" s="40">
        <f>VALUE(LEFT(D31,3))</f>
        <v>172</v>
      </c>
      <c r="E26" s="40">
        <v>179</v>
      </c>
      <c r="F26" s="40">
        <v>187</v>
      </c>
    </row>
    <row r="27" spans="1:6">
      <c r="A27" s="22" t="s">
        <v>1753</v>
      </c>
      <c r="C27" s="40">
        <v>172</v>
      </c>
      <c r="D27" s="40">
        <v>179</v>
      </c>
      <c r="E27" s="40">
        <v>187</v>
      </c>
      <c r="F27" s="40">
        <v>196</v>
      </c>
    </row>
    <row r="28" spans="1:6">
      <c r="A28" s="22" t="s">
        <v>2593</v>
      </c>
      <c r="C28" s="40"/>
      <c r="D28" s="40">
        <v>172</v>
      </c>
      <c r="E28" s="40">
        <v>178</v>
      </c>
      <c r="F28" s="40">
        <v>186</v>
      </c>
    </row>
    <row r="29" spans="1:6">
      <c r="A29" s="22" t="s">
        <v>2594</v>
      </c>
      <c r="C29" s="40">
        <v>170</v>
      </c>
      <c r="D29" s="40">
        <v>180</v>
      </c>
      <c r="E29" s="40">
        <v>188</v>
      </c>
      <c r="F29" s="40">
        <v>196</v>
      </c>
    </row>
    <row r="30" spans="1:6">
      <c r="B30" s="27" t="s">
        <v>141</v>
      </c>
      <c r="C30" s="27" t="s">
        <v>17</v>
      </c>
      <c r="D30" s="27" t="s">
        <v>18</v>
      </c>
      <c r="E30" s="27" t="s">
        <v>19</v>
      </c>
      <c r="F30" s="27" t="s">
        <v>20</v>
      </c>
    </row>
    <row r="31" spans="1:6">
      <c r="B31" s="22" t="s">
        <v>1044</v>
      </c>
      <c r="C31" s="22" t="s">
        <v>1045</v>
      </c>
      <c r="D31" s="22" t="s">
        <v>1046</v>
      </c>
      <c r="E31" s="22" t="s">
        <v>1047</v>
      </c>
      <c r="F31" s="22" t="s">
        <v>1048</v>
      </c>
    </row>
    <row r="32" spans="1:6">
      <c r="B32" s="22" t="s">
        <v>142</v>
      </c>
      <c r="C32" s="22" t="s">
        <v>1049</v>
      </c>
      <c r="D32" s="22" t="s">
        <v>1050</v>
      </c>
      <c r="E32" s="22" t="s">
        <v>1051</v>
      </c>
      <c r="F32" s="22" t="s">
        <v>1052</v>
      </c>
    </row>
    <row r="33" spans="2:7">
      <c r="B33" s="22" t="s">
        <v>143</v>
      </c>
      <c r="C33" s="22" t="s">
        <v>1053</v>
      </c>
      <c r="D33" s="22" t="s">
        <v>1054</v>
      </c>
      <c r="E33" s="22" t="s">
        <v>1055</v>
      </c>
      <c r="F33" s="22" t="s">
        <v>1056</v>
      </c>
    </row>
    <row r="34" spans="2:7">
      <c r="B34" s="22" t="s">
        <v>144</v>
      </c>
      <c r="C34" s="22" t="s">
        <v>1057</v>
      </c>
      <c r="D34" s="22" t="s">
        <v>1058</v>
      </c>
      <c r="E34" s="22" t="s">
        <v>1059</v>
      </c>
      <c r="F34" s="22" t="s">
        <v>1060</v>
      </c>
    </row>
    <row r="35" spans="2:7">
      <c r="B35" s="22" t="s">
        <v>145</v>
      </c>
      <c r="C35" s="22" t="s">
        <v>1061</v>
      </c>
      <c r="D35" s="22" t="s">
        <v>1062</v>
      </c>
      <c r="E35" s="22" t="s">
        <v>1063</v>
      </c>
      <c r="F35" s="22" t="s">
        <v>1064</v>
      </c>
    </row>
    <row r="36" spans="2:7">
      <c r="B36" s="22" t="s">
        <v>146</v>
      </c>
      <c r="C36" s="22" t="s">
        <v>1065</v>
      </c>
      <c r="D36" s="22" t="s">
        <v>1066</v>
      </c>
      <c r="E36" s="22" t="s">
        <v>1067</v>
      </c>
      <c r="F36" s="22" t="s">
        <v>1068</v>
      </c>
    </row>
    <row r="37" spans="2:7">
      <c r="B37" s="22" t="s">
        <v>147</v>
      </c>
      <c r="C37" s="22" t="s">
        <v>1069</v>
      </c>
      <c r="D37" s="22" t="s">
        <v>1069</v>
      </c>
      <c r="E37" s="22" t="s">
        <v>1069</v>
      </c>
      <c r="F37" s="22" t="s">
        <v>1069</v>
      </c>
    </row>
    <row r="38" spans="2:7">
      <c r="B38" s="22" t="s">
        <v>148</v>
      </c>
      <c r="C38" s="22" t="s">
        <v>1070</v>
      </c>
      <c r="D38" s="22" t="s">
        <v>1070</v>
      </c>
      <c r="E38" s="22" t="s">
        <v>1070</v>
      </c>
      <c r="F38" s="22" t="s">
        <v>1070</v>
      </c>
      <c r="G38" s="69" t="s">
        <v>1100</v>
      </c>
    </row>
    <row r="39" spans="2:7">
      <c r="B39" s="22" t="s">
        <v>149</v>
      </c>
      <c r="C39" s="22" t="s">
        <v>1071</v>
      </c>
      <c r="D39" s="22" t="s">
        <v>1071</v>
      </c>
      <c r="E39" s="22" t="s">
        <v>1071</v>
      </c>
      <c r="F39" s="22" t="s">
        <v>1071</v>
      </c>
    </row>
    <row r="40" spans="2:7">
      <c r="B40" s="22" t="s">
        <v>150</v>
      </c>
      <c r="C40" s="22" t="s">
        <v>1072</v>
      </c>
      <c r="D40" s="22" t="s">
        <v>1073</v>
      </c>
      <c r="E40" s="22" t="s">
        <v>1074</v>
      </c>
      <c r="F40" s="22" t="s">
        <v>1075</v>
      </c>
    </row>
    <row r="41" spans="2:7">
      <c r="B41" s="22" t="s">
        <v>151</v>
      </c>
      <c r="C41" s="22" t="s">
        <v>1076</v>
      </c>
      <c r="D41" s="22" t="s">
        <v>1077</v>
      </c>
      <c r="E41" s="22" t="s">
        <v>1078</v>
      </c>
      <c r="F41" s="22" t="s">
        <v>1079</v>
      </c>
    </row>
    <row r="42" spans="2:7">
      <c r="B42" s="22" t="s">
        <v>152</v>
      </c>
      <c r="C42" s="22" t="s">
        <v>1080</v>
      </c>
      <c r="D42" s="22" t="s">
        <v>1080</v>
      </c>
      <c r="E42" s="22" t="s">
        <v>1080</v>
      </c>
      <c r="F42" s="22" t="s">
        <v>1080</v>
      </c>
    </row>
    <row r="43" spans="2:7">
      <c r="B43" s="22" t="s">
        <v>153</v>
      </c>
      <c r="C43" s="22" t="s">
        <v>1081</v>
      </c>
      <c r="D43" s="22" t="s">
        <v>1081</v>
      </c>
      <c r="E43" s="22" t="s">
        <v>1081</v>
      </c>
      <c r="F43" s="22" t="s">
        <v>1081</v>
      </c>
    </row>
    <row r="44" spans="2:7">
      <c r="B44" s="22" t="s">
        <v>154</v>
      </c>
      <c r="C44" s="22" t="s">
        <v>1082</v>
      </c>
      <c r="D44" s="22" t="s">
        <v>1082</v>
      </c>
      <c r="E44" s="22" t="s">
        <v>1082</v>
      </c>
      <c r="F44" s="22" t="s">
        <v>1082</v>
      </c>
    </row>
    <row r="45" spans="2:7">
      <c r="B45" s="22" t="s">
        <v>155</v>
      </c>
      <c r="C45" s="22" t="s">
        <v>1083</v>
      </c>
      <c r="D45" s="22" t="s">
        <v>1083</v>
      </c>
      <c r="E45" s="22" t="s">
        <v>1083</v>
      </c>
      <c r="F45" s="22" t="s">
        <v>1083</v>
      </c>
    </row>
    <row r="46" spans="2:7">
      <c r="B46" s="22" t="s">
        <v>156</v>
      </c>
      <c r="C46" s="22" t="s">
        <v>1084</v>
      </c>
      <c r="D46" s="22" t="s">
        <v>1085</v>
      </c>
      <c r="E46" s="22" t="s">
        <v>1085</v>
      </c>
      <c r="F46" s="22" t="s">
        <v>1086</v>
      </c>
    </row>
    <row r="47" spans="2:7">
      <c r="B47" s="22" t="s">
        <v>157</v>
      </c>
      <c r="C47" s="22" t="s">
        <v>1087</v>
      </c>
      <c r="D47" s="22" t="s">
        <v>1087</v>
      </c>
      <c r="E47" s="22" t="s">
        <v>1088</v>
      </c>
      <c r="F47" s="22" t="s">
        <v>1089</v>
      </c>
    </row>
    <row r="48" spans="2:7">
      <c r="B48" s="22" t="s">
        <v>158</v>
      </c>
      <c r="C48" s="22" t="s">
        <v>1090</v>
      </c>
      <c r="D48" s="22" t="s">
        <v>1090</v>
      </c>
      <c r="E48" s="22" t="s">
        <v>1091</v>
      </c>
      <c r="F48" s="22" t="s">
        <v>1091</v>
      </c>
    </row>
    <row r="49" spans="2:6">
      <c r="B49" s="22" t="s">
        <v>159</v>
      </c>
      <c r="C49" s="22" t="s">
        <v>1092</v>
      </c>
      <c r="D49" s="22" t="s">
        <v>1092</v>
      </c>
      <c r="E49" s="22" t="s">
        <v>1092</v>
      </c>
      <c r="F49" s="22" t="s">
        <v>1092</v>
      </c>
    </row>
    <row r="50" spans="2:6">
      <c r="B50" s="22" t="s">
        <v>160</v>
      </c>
      <c r="C50" s="22" t="s">
        <v>1088</v>
      </c>
      <c r="D50" s="22" t="s">
        <v>1088</v>
      </c>
      <c r="E50" s="22" t="s">
        <v>1088</v>
      </c>
      <c r="F50" s="22" t="s">
        <v>1088</v>
      </c>
    </row>
    <row r="51" spans="2:6">
      <c r="B51" s="22" t="s">
        <v>161</v>
      </c>
      <c r="C51" s="22" t="s">
        <v>1093</v>
      </c>
      <c r="D51" s="22" t="s">
        <v>1094</v>
      </c>
      <c r="E51" s="22" t="s">
        <v>1095</v>
      </c>
      <c r="F51" s="22" t="s">
        <v>1096</v>
      </c>
    </row>
    <row r="52" spans="2:6">
      <c r="B52" s="22" t="s">
        <v>162</v>
      </c>
      <c r="C52" s="22" t="s">
        <v>1097</v>
      </c>
      <c r="D52" s="22" t="s">
        <v>1098</v>
      </c>
      <c r="E52" s="22" t="s">
        <v>1099</v>
      </c>
      <c r="F52" s="22" t="s">
        <v>1099</v>
      </c>
    </row>
    <row r="57" spans="2:6">
      <c r="B57" s="22" t="s">
        <v>1704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CEEB-B7E3-F94F-9371-F9B26793AB16}">
  <dimension ref="A1:L27"/>
  <sheetViews>
    <sheetView topLeftCell="A4" zoomScaleNormal="100" workbookViewId="0">
      <selection activeCell="I24" sqref="I24"/>
    </sheetView>
  </sheetViews>
  <sheetFormatPr baseColWidth="10" defaultRowHeight="20"/>
  <cols>
    <col min="1" max="1" width="29.33203125" style="22" bestFit="1" customWidth="1"/>
    <col min="2" max="2" width="35.83203125" style="22" bestFit="1" customWidth="1"/>
    <col min="3" max="16384" width="10.83203125" style="22"/>
  </cols>
  <sheetData>
    <row r="1" spans="1:12">
      <c r="A1" s="22" t="s">
        <v>72</v>
      </c>
      <c r="B1" s="36" t="s">
        <v>21</v>
      </c>
      <c r="C1" s="37" t="s">
        <v>48</v>
      </c>
      <c r="D1" s="37" t="s">
        <v>49</v>
      </c>
      <c r="E1" s="37" t="s">
        <v>50</v>
      </c>
      <c r="F1" s="37" t="s">
        <v>51</v>
      </c>
      <c r="G1" s="37" t="s">
        <v>52</v>
      </c>
      <c r="H1" s="37" t="s">
        <v>53</v>
      </c>
      <c r="I1" s="37"/>
      <c r="J1" s="37"/>
      <c r="K1" s="37"/>
      <c r="L1" s="37"/>
    </row>
    <row r="2" spans="1:12">
      <c r="A2" s="22" t="s">
        <v>60</v>
      </c>
      <c r="B2" s="36" t="s">
        <v>26</v>
      </c>
      <c r="C2" s="37">
        <v>450</v>
      </c>
      <c r="D2" s="37">
        <v>480</v>
      </c>
      <c r="E2" s="37">
        <v>510</v>
      </c>
      <c r="F2" s="37">
        <v>540</v>
      </c>
      <c r="G2" s="37">
        <v>570</v>
      </c>
      <c r="H2" s="37">
        <v>600</v>
      </c>
      <c r="I2" s="37"/>
      <c r="J2" s="37"/>
      <c r="K2" s="37"/>
      <c r="L2" s="37"/>
    </row>
    <row r="3" spans="1:12">
      <c r="A3" s="22" t="s">
        <v>73</v>
      </c>
      <c r="B3" s="36" t="s">
        <v>28</v>
      </c>
      <c r="C3" s="37">
        <v>580</v>
      </c>
      <c r="D3" s="37">
        <v>590</v>
      </c>
      <c r="E3" s="37">
        <v>600</v>
      </c>
      <c r="F3" s="37">
        <v>610</v>
      </c>
      <c r="G3" s="37">
        <v>623</v>
      </c>
      <c r="H3" s="37">
        <v>642</v>
      </c>
      <c r="I3" s="37"/>
      <c r="J3" s="37"/>
      <c r="K3" s="37"/>
      <c r="L3" s="37"/>
    </row>
    <row r="4" spans="1:12">
      <c r="A4" s="22" t="s">
        <v>64</v>
      </c>
      <c r="B4" s="36" t="s">
        <v>29</v>
      </c>
      <c r="C4" s="37">
        <v>120</v>
      </c>
      <c r="D4" s="37">
        <v>120</v>
      </c>
      <c r="E4" s="37">
        <v>155</v>
      </c>
      <c r="F4" s="37">
        <v>170</v>
      </c>
      <c r="G4" s="37">
        <v>170</v>
      </c>
      <c r="H4" s="37">
        <v>190</v>
      </c>
      <c r="I4" s="37"/>
      <c r="J4" s="37"/>
      <c r="K4" s="37"/>
      <c r="L4" s="37"/>
    </row>
    <row r="5" spans="1:12">
      <c r="A5" s="22" t="s">
        <v>63</v>
      </c>
      <c r="B5" s="36" t="s">
        <v>31</v>
      </c>
      <c r="C5" s="37">
        <v>74</v>
      </c>
      <c r="D5" s="37">
        <v>73.5</v>
      </c>
      <c r="E5" s="37">
        <v>73</v>
      </c>
      <c r="F5" s="37">
        <v>73</v>
      </c>
      <c r="G5" s="37">
        <v>73</v>
      </c>
      <c r="H5" s="37">
        <v>73</v>
      </c>
      <c r="I5" s="37"/>
      <c r="J5" s="37"/>
      <c r="K5" s="37"/>
      <c r="L5" s="37"/>
    </row>
    <row r="6" spans="1:12">
      <c r="A6" s="22" t="s">
        <v>62</v>
      </c>
      <c r="B6" s="36" t="s">
        <v>34</v>
      </c>
      <c r="C6" s="37">
        <v>69</v>
      </c>
      <c r="D6" s="37">
        <v>69</v>
      </c>
      <c r="E6" s="37">
        <v>69</v>
      </c>
      <c r="F6" s="37">
        <v>69</v>
      </c>
      <c r="G6" s="37">
        <v>69</v>
      </c>
      <c r="H6" s="37">
        <v>69</v>
      </c>
      <c r="I6" s="37"/>
      <c r="J6" s="37"/>
      <c r="K6" s="37"/>
      <c r="L6" s="37"/>
    </row>
    <row r="7" spans="1:12">
      <c r="A7" s="22" t="s">
        <v>66</v>
      </c>
      <c r="B7" s="36" t="s">
        <v>35</v>
      </c>
      <c r="C7" s="37">
        <v>444</v>
      </c>
      <c r="D7" s="37">
        <v>444</v>
      </c>
      <c r="E7" s="37">
        <v>444</v>
      </c>
      <c r="F7" s="37">
        <v>444</v>
      </c>
      <c r="G7" s="37">
        <v>444</v>
      </c>
      <c r="H7" s="37">
        <v>444</v>
      </c>
      <c r="I7" s="37"/>
      <c r="J7" s="37"/>
      <c r="K7" s="37"/>
      <c r="L7" s="37"/>
    </row>
    <row r="8" spans="1:12">
      <c r="A8" s="22" t="s">
        <v>56</v>
      </c>
      <c r="B8" s="36" t="s">
        <v>36</v>
      </c>
      <c r="C8" s="37">
        <v>1099</v>
      </c>
      <c r="D8" s="37">
        <v>1103</v>
      </c>
      <c r="E8" s="37">
        <v>1110</v>
      </c>
      <c r="F8" s="37">
        <v>1122</v>
      </c>
      <c r="G8" s="37">
        <v>1136</v>
      </c>
      <c r="H8" s="37">
        <v>1155</v>
      </c>
      <c r="I8" s="37"/>
      <c r="J8" s="37"/>
      <c r="K8" s="37"/>
      <c r="L8" s="37"/>
    </row>
    <row r="9" spans="1:12">
      <c r="A9" s="22" t="s">
        <v>65</v>
      </c>
      <c r="B9" s="36" t="s">
        <v>37</v>
      </c>
      <c r="C9" s="37">
        <v>75</v>
      </c>
      <c r="D9" s="37">
        <v>75</v>
      </c>
      <c r="E9" s="37">
        <v>75</v>
      </c>
      <c r="F9" s="37">
        <v>75</v>
      </c>
      <c r="G9" s="37">
        <v>75</v>
      </c>
      <c r="H9" s="37">
        <v>75</v>
      </c>
      <c r="I9" s="37"/>
      <c r="J9" s="37"/>
      <c r="K9" s="37"/>
      <c r="L9" s="37"/>
    </row>
    <row r="10" spans="1:12">
      <c r="A10" s="22" t="s">
        <v>67</v>
      </c>
      <c r="B10" s="36" t="s">
        <v>38</v>
      </c>
      <c r="C10" s="37">
        <v>51</v>
      </c>
      <c r="D10" s="37">
        <v>51</v>
      </c>
      <c r="E10" s="37">
        <v>51</v>
      </c>
      <c r="F10" s="37">
        <v>51</v>
      </c>
      <c r="G10" s="37">
        <v>51</v>
      </c>
      <c r="H10" s="37">
        <v>51</v>
      </c>
      <c r="I10" s="37"/>
      <c r="J10" s="37"/>
      <c r="K10" s="37"/>
      <c r="L10" s="37"/>
    </row>
    <row r="11" spans="1:12">
      <c r="A11" s="22" t="s">
        <v>54</v>
      </c>
      <c r="B11" s="36" t="s">
        <v>39</v>
      </c>
      <c r="C11" s="37">
        <v>568</v>
      </c>
      <c r="D11" s="37">
        <v>568</v>
      </c>
      <c r="E11" s="37">
        <v>601</v>
      </c>
      <c r="F11" s="37">
        <v>615</v>
      </c>
      <c r="G11" s="37">
        <v>615</v>
      </c>
      <c r="H11" s="37">
        <v>633</v>
      </c>
      <c r="I11" s="37"/>
      <c r="J11" s="37"/>
      <c r="K11" s="37"/>
      <c r="L11" s="37"/>
    </row>
    <row r="12" spans="1:12">
      <c r="A12" s="22" t="s">
        <v>55</v>
      </c>
      <c r="B12" s="36" t="s">
        <v>40</v>
      </c>
      <c r="C12" s="37">
        <v>417</v>
      </c>
      <c r="D12" s="37">
        <v>421</v>
      </c>
      <c r="E12" s="37">
        <v>421</v>
      </c>
      <c r="F12" s="37">
        <v>422</v>
      </c>
      <c r="G12" s="37">
        <v>435</v>
      </c>
      <c r="H12" s="37">
        <v>448</v>
      </c>
      <c r="I12" s="37"/>
      <c r="J12" s="37"/>
      <c r="K12" s="37"/>
      <c r="L12" s="37"/>
    </row>
    <row r="13" spans="1:12">
      <c r="A13" s="22" t="s">
        <v>57</v>
      </c>
      <c r="B13" s="36" t="s">
        <v>41</v>
      </c>
      <c r="C13" s="37">
        <v>775</v>
      </c>
      <c r="D13" s="37">
        <v>788</v>
      </c>
      <c r="E13" s="37">
        <v>818</v>
      </c>
      <c r="F13" s="37">
        <v>839</v>
      </c>
      <c r="G13" s="37">
        <v>853</v>
      </c>
      <c r="H13" s="37">
        <v>872</v>
      </c>
      <c r="I13" s="37"/>
      <c r="J13" s="37"/>
      <c r="K13" s="37"/>
      <c r="L13" s="37"/>
    </row>
    <row r="14" spans="1:12">
      <c r="A14" s="22" t="s">
        <v>71</v>
      </c>
      <c r="B14" s="36" t="s">
        <v>42</v>
      </c>
      <c r="C14" s="37">
        <v>70</v>
      </c>
      <c r="D14" s="37">
        <v>70</v>
      </c>
      <c r="E14" s="37">
        <v>80</v>
      </c>
      <c r="F14" s="37">
        <v>80</v>
      </c>
      <c r="G14" s="37">
        <v>80</v>
      </c>
      <c r="H14" s="37">
        <v>90</v>
      </c>
      <c r="I14" s="37"/>
      <c r="J14" s="37"/>
      <c r="K14" s="37"/>
      <c r="L14" s="37"/>
    </row>
    <row r="15" spans="1:12">
      <c r="A15" s="22" t="s">
        <v>70</v>
      </c>
      <c r="B15" s="36" t="s">
        <v>180</v>
      </c>
      <c r="C15" s="37">
        <f t="shared" ref="C15:H15" si="0">C22*10</f>
        <v>480</v>
      </c>
      <c r="D15" s="37">
        <f t="shared" si="0"/>
        <v>480</v>
      </c>
      <c r="E15" s="37">
        <f t="shared" si="0"/>
        <v>500</v>
      </c>
      <c r="F15" s="37">
        <f t="shared" si="0"/>
        <v>500</v>
      </c>
      <c r="G15" s="37">
        <f t="shared" si="0"/>
        <v>500</v>
      </c>
      <c r="H15" s="37">
        <f t="shared" si="0"/>
        <v>500</v>
      </c>
      <c r="I15" s="37"/>
      <c r="J15" s="37"/>
      <c r="K15" s="37"/>
      <c r="L15" s="37"/>
    </row>
    <row r="16" spans="1:12">
      <c r="A16" s="22" t="s">
        <v>69</v>
      </c>
      <c r="B16" s="36" t="s">
        <v>44</v>
      </c>
      <c r="C16" s="37">
        <v>170</v>
      </c>
      <c r="D16" s="37">
        <v>170</v>
      </c>
      <c r="E16" s="37">
        <v>175</v>
      </c>
      <c r="F16" s="37">
        <v>175</v>
      </c>
      <c r="G16" s="37">
        <v>175</v>
      </c>
      <c r="H16" s="37">
        <v>175</v>
      </c>
      <c r="I16" s="37"/>
      <c r="J16" s="37"/>
      <c r="K16" s="37"/>
      <c r="L16" s="37"/>
    </row>
    <row r="17" spans="1:12">
      <c r="A17" s="22" t="s">
        <v>68</v>
      </c>
      <c r="B17" s="36" t="s">
        <v>45</v>
      </c>
      <c r="C17" s="37">
        <v>29</v>
      </c>
      <c r="D17" s="37">
        <v>29</v>
      </c>
      <c r="E17" s="37">
        <v>29</v>
      </c>
      <c r="F17" s="37">
        <v>29</v>
      </c>
      <c r="G17" s="37">
        <v>29</v>
      </c>
      <c r="H17" s="37">
        <v>29</v>
      </c>
      <c r="I17" s="37"/>
      <c r="J17" s="37"/>
      <c r="K17" s="37"/>
      <c r="L17" s="37"/>
    </row>
    <row r="18" spans="1:12">
      <c r="A18" s="22" t="s">
        <v>139</v>
      </c>
      <c r="B18" s="36" t="s">
        <v>74</v>
      </c>
      <c r="C18" s="22">
        <f>2.25*25.4</f>
        <v>57.15</v>
      </c>
      <c r="D18" s="22">
        <f t="shared" ref="D18:H18" si="1">2.25*25.4</f>
        <v>57.15</v>
      </c>
      <c r="E18" s="22">
        <f t="shared" si="1"/>
        <v>57.15</v>
      </c>
      <c r="F18" s="22">
        <f t="shared" si="1"/>
        <v>57.15</v>
      </c>
      <c r="G18" s="22">
        <f t="shared" si="1"/>
        <v>57.15</v>
      </c>
      <c r="H18" s="22">
        <f t="shared" si="1"/>
        <v>57.15</v>
      </c>
    </row>
    <row r="19" spans="1:12">
      <c r="A19" s="22" t="s">
        <v>140</v>
      </c>
      <c r="B19" s="22" t="s">
        <v>140</v>
      </c>
      <c r="C19" s="22">
        <f>2.5*25.4</f>
        <v>63.5</v>
      </c>
      <c r="D19" s="22">
        <f t="shared" ref="D19:H19" si="2">2.5*25.4</f>
        <v>63.5</v>
      </c>
      <c r="E19" s="22">
        <f t="shared" si="2"/>
        <v>63.5</v>
      </c>
      <c r="F19" s="22">
        <f t="shared" si="2"/>
        <v>63.5</v>
      </c>
      <c r="G19" s="22">
        <f t="shared" si="2"/>
        <v>63.5</v>
      </c>
      <c r="H19" s="22">
        <f t="shared" si="2"/>
        <v>63.5</v>
      </c>
    </row>
    <row r="20" spans="1:12">
      <c r="A20" s="22" t="s">
        <v>495</v>
      </c>
      <c r="B20" s="22" t="s">
        <v>490</v>
      </c>
      <c r="C20" s="22">
        <v>435</v>
      </c>
      <c r="D20" s="22">
        <v>435</v>
      </c>
      <c r="E20" s="22">
        <v>435</v>
      </c>
      <c r="F20" s="22">
        <v>435</v>
      </c>
      <c r="G20" s="22">
        <v>435</v>
      </c>
      <c r="H20" s="22">
        <v>435</v>
      </c>
    </row>
    <row r="21" spans="1:12">
      <c r="A21" s="22" t="s">
        <v>59</v>
      </c>
      <c r="B21" s="36" t="s">
        <v>47</v>
      </c>
      <c r="C21" s="37">
        <v>30.9</v>
      </c>
      <c r="D21" s="37">
        <v>30.9</v>
      </c>
      <c r="E21" s="37">
        <v>30.9</v>
      </c>
      <c r="F21" s="37">
        <v>30.9</v>
      </c>
      <c r="G21" s="37">
        <v>30.9</v>
      </c>
      <c r="H21" s="37">
        <v>30.9</v>
      </c>
    </row>
    <row r="22" spans="1:12">
      <c r="A22" s="22" t="s">
        <v>70</v>
      </c>
      <c r="B22" s="36" t="s">
        <v>43</v>
      </c>
      <c r="C22" s="37">
        <v>48</v>
      </c>
      <c r="D22" s="37">
        <v>48</v>
      </c>
      <c r="E22" s="37">
        <v>50</v>
      </c>
      <c r="F22" s="37">
        <v>50</v>
      </c>
      <c r="G22" s="37">
        <v>50</v>
      </c>
      <c r="H22" s="37">
        <v>50</v>
      </c>
    </row>
    <row r="23" spans="1:12">
      <c r="A23" s="22" t="s">
        <v>1752</v>
      </c>
      <c r="B23" s="22">
        <v>157.5</v>
      </c>
      <c r="C23" s="22">
        <v>165</v>
      </c>
      <c r="D23" s="22">
        <v>173</v>
      </c>
      <c r="E23" s="22">
        <v>179</v>
      </c>
      <c r="F23" s="22">
        <v>183</v>
      </c>
      <c r="G23" s="22">
        <v>188</v>
      </c>
      <c r="H23" s="22">
        <v>193</v>
      </c>
      <c r="I23" s="22" t="s">
        <v>2842</v>
      </c>
    </row>
    <row r="24" spans="1:12">
      <c r="A24" s="22" t="s">
        <v>1753</v>
      </c>
      <c r="B24" s="22">
        <v>165</v>
      </c>
      <c r="C24" s="22">
        <v>173</v>
      </c>
      <c r="D24" s="22">
        <v>179</v>
      </c>
      <c r="E24" s="22">
        <v>183</v>
      </c>
      <c r="F24" s="22">
        <v>188</v>
      </c>
      <c r="G24" s="22">
        <v>193</v>
      </c>
      <c r="H24" s="22">
        <v>195.5</v>
      </c>
    </row>
    <row r="26" spans="1:12">
      <c r="A26" s="22" t="s">
        <v>132</v>
      </c>
      <c r="B26" s="36" t="s">
        <v>75</v>
      </c>
      <c r="C26" s="22" t="s">
        <v>76</v>
      </c>
      <c r="D26" s="22" t="s">
        <v>76</v>
      </c>
      <c r="E26" s="22" t="s">
        <v>76</v>
      </c>
      <c r="F26" s="22" t="s">
        <v>76</v>
      </c>
      <c r="G26" s="22" t="s">
        <v>76</v>
      </c>
      <c r="H26" s="22" t="s">
        <v>76</v>
      </c>
    </row>
    <row r="27" spans="1:12">
      <c r="B27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8F86-3AB4-CC41-9A73-15FB42DFD25A}">
  <dimension ref="A1:M60"/>
  <sheetViews>
    <sheetView workbookViewId="0">
      <selection activeCell="P27" sqref="P27"/>
    </sheetView>
  </sheetViews>
  <sheetFormatPr baseColWidth="10" defaultRowHeight="20"/>
  <cols>
    <col min="1" max="2" width="19.83203125" style="22" bestFit="1" customWidth="1"/>
    <col min="3" max="16384" width="10.83203125" style="22"/>
  </cols>
  <sheetData>
    <row r="1" spans="1:12">
      <c r="A1" s="22" t="s">
        <v>72</v>
      </c>
      <c r="B1" s="22" t="str">
        <f>B23</f>
        <v>Size*</v>
      </c>
      <c r="C1" s="22">
        <f>C23</f>
        <v>48</v>
      </c>
      <c r="D1" s="22">
        <f t="shared" ref="D1:L1" si="0">D23</f>
        <v>50</v>
      </c>
      <c r="E1" s="22">
        <f t="shared" si="0"/>
        <v>52</v>
      </c>
      <c r="F1" s="22">
        <f t="shared" si="0"/>
        <v>54</v>
      </c>
      <c r="G1" s="22">
        <f t="shared" si="0"/>
        <v>56</v>
      </c>
      <c r="H1" s="22">
        <f t="shared" si="0"/>
        <v>58</v>
      </c>
      <c r="I1" s="22">
        <f t="shared" si="0"/>
        <v>60</v>
      </c>
      <c r="J1" s="22">
        <f t="shared" si="0"/>
        <v>62</v>
      </c>
      <c r="K1" s="22">
        <f t="shared" si="0"/>
        <v>64</v>
      </c>
      <c r="L1" s="22">
        <f t="shared" si="0"/>
        <v>66</v>
      </c>
    </row>
    <row r="2" spans="1:12">
      <c r="A2" s="22" t="s">
        <v>60</v>
      </c>
      <c r="B2" s="22" t="s">
        <v>60</v>
      </c>
    </row>
    <row r="3" spans="1:12">
      <c r="A3" s="22" t="s">
        <v>73</v>
      </c>
      <c r="B3" s="22" t="str">
        <f t="shared" ref="B3:B12" si="1">B24</f>
        <v>top tube length</v>
      </c>
      <c r="C3" s="22">
        <f t="shared" ref="C3:L3" si="2">C24*10</f>
        <v>515</v>
      </c>
      <c r="D3" s="22">
        <f t="shared" si="2"/>
        <v>525</v>
      </c>
      <c r="E3" s="22">
        <f t="shared" si="2"/>
        <v>531</v>
      </c>
      <c r="F3" s="22">
        <f t="shared" si="2"/>
        <v>550</v>
      </c>
      <c r="G3" s="22">
        <f t="shared" si="2"/>
        <v>572</v>
      </c>
      <c r="H3" s="22">
        <f t="shared" si="2"/>
        <v>577</v>
      </c>
      <c r="I3" s="22">
        <f t="shared" si="2"/>
        <v>586</v>
      </c>
      <c r="J3" s="22">
        <f t="shared" si="2"/>
        <v>593</v>
      </c>
      <c r="K3" s="22">
        <f t="shared" si="2"/>
        <v>613</v>
      </c>
      <c r="L3" s="22">
        <f t="shared" si="2"/>
        <v>636</v>
      </c>
    </row>
    <row r="4" spans="1:12">
      <c r="A4" s="22" t="s">
        <v>63</v>
      </c>
      <c r="B4" s="22" t="str">
        <f t="shared" si="1"/>
        <v>seat angle</v>
      </c>
      <c r="C4" s="22">
        <f t="shared" ref="C4:L4" si="3">C25</f>
        <v>74.5</v>
      </c>
      <c r="D4" s="22">
        <f t="shared" si="3"/>
        <v>74.5</v>
      </c>
      <c r="E4" s="22">
        <f t="shared" si="3"/>
        <v>74</v>
      </c>
      <c r="F4" s="22">
        <f t="shared" si="3"/>
        <v>73.5</v>
      </c>
      <c r="G4" s="22">
        <f t="shared" si="3"/>
        <v>73</v>
      </c>
      <c r="H4" s="22">
        <f t="shared" si="3"/>
        <v>73</v>
      </c>
      <c r="I4" s="22">
        <f t="shared" si="3"/>
        <v>72.5</v>
      </c>
      <c r="J4" s="22">
        <f t="shared" si="3"/>
        <v>72.5</v>
      </c>
      <c r="K4" s="22">
        <f t="shared" si="3"/>
        <v>72</v>
      </c>
      <c r="L4" s="22">
        <f t="shared" si="3"/>
        <v>71.5</v>
      </c>
    </row>
    <row r="5" spans="1:12">
      <c r="A5" s="22" t="s">
        <v>66</v>
      </c>
      <c r="B5" s="22" t="str">
        <f t="shared" si="1"/>
        <v>chainstay length</v>
      </c>
      <c r="C5" s="22">
        <f t="shared" ref="C5:L5" si="4">C26*10</f>
        <v>430</v>
      </c>
      <c r="D5" s="22">
        <f t="shared" si="4"/>
        <v>430</v>
      </c>
      <c r="E5" s="22">
        <f t="shared" si="4"/>
        <v>430</v>
      </c>
      <c r="F5" s="22">
        <f t="shared" si="4"/>
        <v>430</v>
      </c>
      <c r="G5" s="22">
        <f t="shared" si="4"/>
        <v>430</v>
      </c>
      <c r="H5" s="22">
        <f t="shared" si="4"/>
        <v>430</v>
      </c>
      <c r="I5" s="22">
        <f t="shared" si="4"/>
        <v>430</v>
      </c>
      <c r="J5" s="22">
        <f t="shared" si="4"/>
        <v>430</v>
      </c>
      <c r="K5" s="22">
        <f t="shared" si="4"/>
        <v>430</v>
      </c>
      <c r="L5" s="22">
        <f t="shared" si="4"/>
        <v>430</v>
      </c>
    </row>
    <row r="6" spans="1:12">
      <c r="A6" s="22" t="s">
        <v>57</v>
      </c>
      <c r="B6" s="22" t="str">
        <f t="shared" si="1"/>
        <v>stand over height</v>
      </c>
      <c r="C6" s="22">
        <f t="shared" ref="C6:L6" si="5">C27*10</f>
        <v>756</v>
      </c>
      <c r="D6" s="22">
        <f t="shared" si="5"/>
        <v>763</v>
      </c>
      <c r="E6" s="22">
        <f t="shared" si="5"/>
        <v>783</v>
      </c>
      <c r="F6" s="22">
        <f t="shared" si="5"/>
        <v>792</v>
      </c>
      <c r="G6" s="22">
        <f t="shared" si="5"/>
        <v>812</v>
      </c>
      <c r="H6" s="22">
        <f t="shared" si="5"/>
        <v>821</v>
      </c>
      <c r="I6" s="22">
        <f t="shared" si="5"/>
        <v>852</v>
      </c>
      <c r="J6" s="22">
        <f t="shared" si="5"/>
        <v>856</v>
      </c>
      <c r="K6" s="22">
        <f t="shared" si="5"/>
        <v>876</v>
      </c>
      <c r="L6" s="22">
        <f t="shared" si="5"/>
        <v>889</v>
      </c>
    </row>
    <row r="7" spans="1:12">
      <c r="A7" s="22" t="s">
        <v>65</v>
      </c>
      <c r="B7" s="22" t="str">
        <f t="shared" si="1"/>
        <v>b.b. drop</v>
      </c>
      <c r="C7" s="22">
        <f t="shared" ref="C7:L7" si="6">C28*10</f>
        <v>70</v>
      </c>
      <c r="D7" s="22">
        <f t="shared" si="6"/>
        <v>70</v>
      </c>
      <c r="E7" s="22">
        <f t="shared" si="6"/>
        <v>70</v>
      </c>
      <c r="F7" s="22">
        <f t="shared" si="6"/>
        <v>70</v>
      </c>
      <c r="G7" s="22">
        <f t="shared" si="6"/>
        <v>70</v>
      </c>
      <c r="H7" s="22">
        <f t="shared" si="6"/>
        <v>70</v>
      </c>
      <c r="I7" s="22">
        <f t="shared" si="6"/>
        <v>70</v>
      </c>
      <c r="J7" s="22">
        <f t="shared" si="6"/>
        <v>70</v>
      </c>
      <c r="K7" s="22">
        <f t="shared" si="6"/>
        <v>70</v>
      </c>
      <c r="L7" s="22">
        <f t="shared" si="6"/>
        <v>70</v>
      </c>
    </row>
    <row r="8" spans="1:12">
      <c r="A8" s="22" t="s">
        <v>62</v>
      </c>
      <c r="B8" s="22" t="str">
        <f t="shared" si="1"/>
        <v>head tube angle</v>
      </c>
      <c r="C8" s="22">
        <f t="shared" ref="C8:L8" si="7">C29</f>
        <v>71.5</v>
      </c>
      <c r="D8" s="22">
        <f t="shared" si="7"/>
        <v>72</v>
      </c>
      <c r="E8" s="22">
        <f t="shared" si="7"/>
        <v>72</v>
      </c>
      <c r="F8" s="22">
        <f t="shared" si="7"/>
        <v>72.5</v>
      </c>
      <c r="G8" s="22">
        <f t="shared" si="7"/>
        <v>72.5</v>
      </c>
      <c r="H8" s="22">
        <f t="shared" si="7"/>
        <v>72.5</v>
      </c>
      <c r="I8" s="22">
        <f t="shared" si="7"/>
        <v>72.5</v>
      </c>
      <c r="J8" s="22">
        <f t="shared" si="7"/>
        <v>72.5</v>
      </c>
      <c r="K8" s="22">
        <f t="shared" si="7"/>
        <v>72.5</v>
      </c>
      <c r="L8" s="22">
        <f t="shared" si="7"/>
        <v>73</v>
      </c>
    </row>
    <row r="9" spans="1:12">
      <c r="A9" s="22" t="s">
        <v>64</v>
      </c>
      <c r="B9" s="22" t="str">
        <f t="shared" si="1"/>
        <v>head tube length</v>
      </c>
      <c r="C9" s="22">
        <f t="shared" ref="C9:L9" si="8">C30*10</f>
        <v>100</v>
      </c>
      <c r="D9" s="22">
        <f t="shared" si="8"/>
        <v>100</v>
      </c>
      <c r="E9" s="22">
        <f t="shared" si="8"/>
        <v>120</v>
      </c>
      <c r="F9" s="22">
        <f t="shared" si="8"/>
        <v>130</v>
      </c>
      <c r="G9" s="22">
        <f t="shared" si="8"/>
        <v>150</v>
      </c>
      <c r="H9" s="22">
        <f t="shared" si="8"/>
        <v>160</v>
      </c>
      <c r="I9" s="22">
        <f t="shared" si="8"/>
        <v>180</v>
      </c>
      <c r="J9" s="22">
        <f t="shared" si="8"/>
        <v>200</v>
      </c>
      <c r="K9" s="22">
        <f t="shared" si="8"/>
        <v>220</v>
      </c>
      <c r="L9" s="22">
        <f t="shared" si="8"/>
        <v>240</v>
      </c>
    </row>
    <row r="10" spans="1:12">
      <c r="A10" s="22" t="s">
        <v>54</v>
      </c>
      <c r="B10" s="22" t="str">
        <f t="shared" si="1"/>
        <v>Stack</v>
      </c>
      <c r="C10" s="22">
        <f t="shared" ref="C10:L10" si="9">C31*10</f>
        <v>534</v>
      </c>
      <c r="D10" s="22">
        <f t="shared" si="9"/>
        <v>536</v>
      </c>
      <c r="E10" s="22">
        <f t="shared" si="9"/>
        <v>555</v>
      </c>
      <c r="F10" s="22">
        <f t="shared" si="9"/>
        <v>566</v>
      </c>
      <c r="G10" s="22">
        <f t="shared" si="9"/>
        <v>585</v>
      </c>
      <c r="H10" s="22">
        <f t="shared" si="9"/>
        <v>595</v>
      </c>
      <c r="I10" s="22">
        <f t="shared" si="9"/>
        <v>614</v>
      </c>
      <c r="J10" s="22">
        <f t="shared" si="9"/>
        <v>633</v>
      </c>
      <c r="K10" s="22">
        <f t="shared" si="9"/>
        <v>652</v>
      </c>
      <c r="L10" s="22">
        <f t="shared" si="9"/>
        <v>673</v>
      </c>
    </row>
    <row r="11" spans="1:12">
      <c r="A11" s="22" t="s">
        <v>55</v>
      </c>
      <c r="B11" s="22" t="str">
        <f t="shared" si="1"/>
        <v>Reach</v>
      </c>
      <c r="C11" s="22">
        <f t="shared" ref="C11:L11" si="10">C32*10</f>
        <v>365</v>
      </c>
      <c r="D11" s="22">
        <f t="shared" si="10"/>
        <v>375</v>
      </c>
      <c r="E11" s="22">
        <f t="shared" si="10"/>
        <v>370</v>
      </c>
      <c r="F11" s="22">
        <f t="shared" si="10"/>
        <v>381</v>
      </c>
      <c r="G11" s="22">
        <f t="shared" si="10"/>
        <v>387</v>
      </c>
      <c r="H11" s="22">
        <f t="shared" si="10"/>
        <v>395</v>
      </c>
      <c r="I11" s="22">
        <f t="shared" si="10"/>
        <v>392</v>
      </c>
      <c r="J11" s="22">
        <f t="shared" si="10"/>
        <v>391</v>
      </c>
      <c r="K11" s="22">
        <f t="shared" si="10"/>
        <v>402</v>
      </c>
      <c r="L11" s="22">
        <f t="shared" si="10"/>
        <v>413</v>
      </c>
    </row>
    <row r="12" spans="1:12">
      <c r="A12" s="22" t="s">
        <v>56</v>
      </c>
      <c r="B12" s="22" t="str">
        <f t="shared" si="1"/>
        <v>wheel base</v>
      </c>
      <c r="C12" s="22">
        <f t="shared" ref="C12:L12" si="11">C33*10</f>
        <v>999</v>
      </c>
      <c r="D12" s="22">
        <f t="shared" si="11"/>
        <v>1005</v>
      </c>
      <c r="E12" s="22">
        <f t="shared" si="11"/>
        <v>1006</v>
      </c>
      <c r="F12" s="22">
        <f t="shared" si="11"/>
        <v>1016</v>
      </c>
      <c r="G12" s="22">
        <f t="shared" si="11"/>
        <v>1029</v>
      </c>
      <c r="H12" s="22">
        <f t="shared" si="11"/>
        <v>1039</v>
      </c>
      <c r="I12" s="22">
        <f t="shared" si="11"/>
        <v>1043</v>
      </c>
      <c r="J12" s="22">
        <f t="shared" si="11"/>
        <v>1047</v>
      </c>
      <c r="K12" s="22">
        <f t="shared" si="11"/>
        <v>1064</v>
      </c>
      <c r="L12" s="22">
        <f t="shared" si="11"/>
        <v>1076</v>
      </c>
    </row>
    <row r="13" spans="1:12">
      <c r="A13" s="22" t="s">
        <v>67</v>
      </c>
    </row>
    <row r="14" spans="1:12">
      <c r="A14" s="22" t="s">
        <v>69</v>
      </c>
    </row>
    <row r="15" spans="1:12">
      <c r="A15" s="22" t="s">
        <v>70</v>
      </c>
    </row>
    <row r="16" spans="1:12">
      <c r="A16" s="22" t="s">
        <v>71</v>
      </c>
    </row>
    <row r="17" spans="1:13">
      <c r="A17" s="22" t="s">
        <v>68</v>
      </c>
      <c r="C17" s="22">
        <v>700</v>
      </c>
      <c r="D17" s="22">
        <v>700</v>
      </c>
      <c r="E17" s="22">
        <v>700</v>
      </c>
      <c r="F17" s="22">
        <v>700</v>
      </c>
      <c r="G17" s="22">
        <v>700</v>
      </c>
      <c r="H17" s="22">
        <v>700</v>
      </c>
      <c r="I17" s="22">
        <v>700</v>
      </c>
      <c r="J17" s="22">
        <v>700</v>
      </c>
      <c r="K17" s="22">
        <v>700</v>
      </c>
      <c r="L17" s="22">
        <v>700</v>
      </c>
    </row>
    <row r="18" spans="1:13">
      <c r="A18" s="22" t="s">
        <v>139</v>
      </c>
      <c r="C18" s="22">
        <v>38</v>
      </c>
      <c r="D18" s="22">
        <v>38</v>
      </c>
      <c r="E18" s="22">
        <v>38</v>
      </c>
      <c r="F18" s="22">
        <v>38</v>
      </c>
      <c r="G18" s="22">
        <v>38</v>
      </c>
      <c r="H18" s="22">
        <v>38</v>
      </c>
      <c r="I18" s="22">
        <v>38</v>
      </c>
      <c r="J18" s="22">
        <v>38</v>
      </c>
      <c r="K18" s="22">
        <v>38</v>
      </c>
      <c r="L18" s="22">
        <v>38</v>
      </c>
    </row>
    <row r="19" spans="1:13">
      <c r="A19" s="22" t="s">
        <v>140</v>
      </c>
      <c r="C19" s="22">
        <v>45</v>
      </c>
      <c r="D19" s="22">
        <v>45</v>
      </c>
      <c r="E19" s="22">
        <v>45</v>
      </c>
      <c r="F19" s="22">
        <v>45</v>
      </c>
      <c r="G19" s="22">
        <v>45</v>
      </c>
      <c r="H19" s="22">
        <v>45</v>
      </c>
      <c r="I19" s="22">
        <v>45</v>
      </c>
      <c r="J19" s="22">
        <v>45</v>
      </c>
      <c r="K19" s="22">
        <v>45</v>
      </c>
      <c r="L19" s="22">
        <v>45</v>
      </c>
    </row>
    <row r="20" spans="1:13">
      <c r="A20" s="22" t="s">
        <v>1752</v>
      </c>
    </row>
    <row r="21" spans="1:13">
      <c r="A21" s="22" t="s">
        <v>1753</v>
      </c>
    </row>
    <row r="23" spans="1:13">
      <c r="B23" s="22" t="str" cm="1">
        <f t="array" ref="B23:M33">TRANSPOSE(B38:L49)</f>
        <v>Size*</v>
      </c>
      <c r="C23" s="22">
        <v>48</v>
      </c>
      <c r="D23" s="22">
        <v>50</v>
      </c>
      <c r="E23" s="22">
        <v>52</v>
      </c>
      <c r="F23" s="22">
        <v>54</v>
      </c>
      <c r="G23" s="22">
        <v>56</v>
      </c>
      <c r="H23" s="22">
        <v>58</v>
      </c>
      <c r="I23" s="22">
        <v>60</v>
      </c>
      <c r="J23" s="22">
        <v>62</v>
      </c>
      <c r="K23" s="22">
        <v>64</v>
      </c>
      <c r="L23" s="22">
        <v>66</v>
      </c>
      <c r="M23" s="22">
        <v>0</v>
      </c>
    </row>
    <row r="24" spans="1:13">
      <c r="B24" s="22" t="str">
        <v>top tube length</v>
      </c>
      <c r="C24" s="22">
        <v>51.5</v>
      </c>
      <c r="D24" s="22">
        <v>52.5</v>
      </c>
      <c r="E24" s="22">
        <v>53.1</v>
      </c>
      <c r="F24" s="22">
        <v>55</v>
      </c>
      <c r="G24" s="22">
        <v>57.2</v>
      </c>
      <c r="H24" s="22">
        <v>57.7</v>
      </c>
      <c r="I24" s="22">
        <v>58.6</v>
      </c>
      <c r="J24" s="22">
        <v>59.3</v>
      </c>
      <c r="K24" s="22">
        <v>61.3</v>
      </c>
      <c r="L24" s="22">
        <v>63.6</v>
      </c>
      <c r="M24" s="22">
        <v>0</v>
      </c>
    </row>
    <row r="25" spans="1:13">
      <c r="B25" s="22" t="str">
        <v>seat angle</v>
      </c>
      <c r="C25" s="22">
        <v>74.5</v>
      </c>
      <c r="D25" s="22">
        <v>74.5</v>
      </c>
      <c r="E25" s="22">
        <v>74</v>
      </c>
      <c r="F25" s="22">
        <v>73.5</v>
      </c>
      <c r="G25" s="22">
        <v>73</v>
      </c>
      <c r="H25" s="22">
        <v>73</v>
      </c>
      <c r="I25" s="22">
        <v>72.5</v>
      </c>
      <c r="J25" s="22">
        <v>72.5</v>
      </c>
      <c r="K25" s="22">
        <v>72</v>
      </c>
      <c r="L25" s="22">
        <v>71.5</v>
      </c>
      <c r="M25" s="22">
        <v>0</v>
      </c>
    </row>
    <row r="26" spans="1:13">
      <c r="B26" s="22" t="str">
        <v>chainstay length</v>
      </c>
      <c r="C26" s="22">
        <v>43</v>
      </c>
      <c r="D26" s="22">
        <v>43</v>
      </c>
      <c r="E26" s="22">
        <v>43</v>
      </c>
      <c r="F26" s="22">
        <v>43</v>
      </c>
      <c r="G26" s="22">
        <v>43</v>
      </c>
      <c r="H26" s="22">
        <v>43</v>
      </c>
      <c r="I26" s="22">
        <v>43</v>
      </c>
      <c r="J26" s="22">
        <v>43</v>
      </c>
      <c r="K26" s="22">
        <v>43</v>
      </c>
      <c r="L26" s="22">
        <v>43</v>
      </c>
      <c r="M26" s="22">
        <v>0</v>
      </c>
    </row>
    <row r="27" spans="1:13">
      <c r="B27" s="22" t="str">
        <v>stand over height</v>
      </c>
      <c r="C27" s="22">
        <v>75.599999999999994</v>
      </c>
      <c r="D27" s="22">
        <v>76.3</v>
      </c>
      <c r="E27" s="22">
        <v>78.3</v>
      </c>
      <c r="F27" s="22">
        <v>79.2</v>
      </c>
      <c r="G27" s="22">
        <v>81.2</v>
      </c>
      <c r="H27" s="22">
        <v>82.1</v>
      </c>
      <c r="I27" s="22">
        <v>85.2</v>
      </c>
      <c r="J27" s="22">
        <v>85.6</v>
      </c>
      <c r="K27" s="22">
        <v>87.6</v>
      </c>
      <c r="L27" s="22">
        <v>88.9</v>
      </c>
      <c r="M27" s="22">
        <v>0</v>
      </c>
    </row>
    <row r="28" spans="1:13">
      <c r="B28" s="22" t="str">
        <v>b.b. drop</v>
      </c>
      <c r="C28" s="22">
        <v>7</v>
      </c>
      <c r="D28" s="22">
        <v>7</v>
      </c>
      <c r="E28" s="22">
        <v>7</v>
      </c>
      <c r="F28" s="22">
        <v>7</v>
      </c>
      <c r="G28" s="22">
        <v>7</v>
      </c>
      <c r="H28" s="22">
        <v>7</v>
      </c>
      <c r="I28" s="22">
        <v>7</v>
      </c>
      <c r="J28" s="22">
        <v>7</v>
      </c>
      <c r="K28" s="22">
        <v>7</v>
      </c>
      <c r="L28" s="22">
        <v>7</v>
      </c>
      <c r="M28" s="22">
        <v>0</v>
      </c>
    </row>
    <row r="29" spans="1:13">
      <c r="B29" s="22" t="str">
        <v>head tube angle</v>
      </c>
      <c r="C29" s="22">
        <v>71.5</v>
      </c>
      <c r="D29" s="22">
        <v>72</v>
      </c>
      <c r="E29" s="22">
        <v>72</v>
      </c>
      <c r="F29" s="22">
        <v>72.5</v>
      </c>
      <c r="G29" s="22">
        <v>72.5</v>
      </c>
      <c r="H29" s="22">
        <v>72.5</v>
      </c>
      <c r="I29" s="22">
        <v>72.5</v>
      </c>
      <c r="J29" s="22">
        <v>72.5</v>
      </c>
      <c r="K29" s="22">
        <v>72.5</v>
      </c>
      <c r="L29" s="22">
        <v>73</v>
      </c>
      <c r="M29" s="22">
        <v>0</v>
      </c>
    </row>
    <row r="30" spans="1:13">
      <c r="B30" s="22" t="str">
        <v>head tube length</v>
      </c>
      <c r="C30" s="22">
        <v>10</v>
      </c>
      <c r="D30" s="22">
        <v>10</v>
      </c>
      <c r="E30" s="22">
        <v>12</v>
      </c>
      <c r="F30" s="22">
        <v>13</v>
      </c>
      <c r="G30" s="22">
        <v>15</v>
      </c>
      <c r="H30" s="22">
        <v>16</v>
      </c>
      <c r="I30" s="22">
        <v>18</v>
      </c>
      <c r="J30" s="22">
        <v>20</v>
      </c>
      <c r="K30" s="22">
        <v>22</v>
      </c>
      <c r="L30" s="22">
        <v>24</v>
      </c>
      <c r="M30" s="22">
        <v>0</v>
      </c>
    </row>
    <row r="31" spans="1:13">
      <c r="B31" s="22" t="str">
        <v>Stack</v>
      </c>
      <c r="C31" s="22">
        <v>53.4</v>
      </c>
      <c r="D31" s="22">
        <v>53.6</v>
      </c>
      <c r="E31" s="22">
        <v>55.5</v>
      </c>
      <c r="F31" s="22">
        <v>56.6</v>
      </c>
      <c r="G31" s="22">
        <v>58.5</v>
      </c>
      <c r="H31" s="22">
        <v>59.5</v>
      </c>
      <c r="I31" s="22">
        <v>61.4</v>
      </c>
      <c r="J31" s="22">
        <v>63.3</v>
      </c>
      <c r="K31" s="22">
        <v>65.2</v>
      </c>
      <c r="L31" s="22">
        <v>67.3</v>
      </c>
      <c r="M31" s="22">
        <v>0</v>
      </c>
    </row>
    <row r="32" spans="1:13">
      <c r="B32" s="22" t="str">
        <v>Reach</v>
      </c>
      <c r="C32" s="22">
        <v>36.5</v>
      </c>
      <c r="D32" s="22">
        <v>37.5</v>
      </c>
      <c r="E32" s="22">
        <v>37</v>
      </c>
      <c r="F32" s="22">
        <v>38.1</v>
      </c>
      <c r="G32" s="22">
        <v>38.700000000000003</v>
      </c>
      <c r="H32" s="22">
        <v>39.5</v>
      </c>
      <c r="I32" s="22">
        <v>39.200000000000003</v>
      </c>
      <c r="J32" s="22">
        <v>39.1</v>
      </c>
      <c r="K32" s="22">
        <v>40.200000000000003</v>
      </c>
      <c r="L32" s="22">
        <v>41.3</v>
      </c>
      <c r="M32" s="22">
        <v>0</v>
      </c>
    </row>
    <row r="33" spans="2:13">
      <c r="B33" s="22" t="str">
        <v>wheel base</v>
      </c>
      <c r="C33" s="22">
        <v>99.9</v>
      </c>
      <c r="D33" s="22">
        <v>100.5</v>
      </c>
      <c r="E33" s="22">
        <v>100.6</v>
      </c>
      <c r="F33" s="22">
        <v>101.6</v>
      </c>
      <c r="G33" s="22">
        <v>102.9</v>
      </c>
      <c r="H33" s="22">
        <v>103.9</v>
      </c>
      <c r="I33" s="22">
        <v>104.3</v>
      </c>
      <c r="J33" s="22">
        <v>104.7</v>
      </c>
      <c r="K33" s="22">
        <v>106.4</v>
      </c>
      <c r="L33" s="22">
        <v>107.6</v>
      </c>
      <c r="M33" s="22">
        <v>0</v>
      </c>
    </row>
    <row r="38" spans="2:13">
      <c r="B38" s="22" t="s">
        <v>1802</v>
      </c>
      <c r="C38" s="22" t="s">
        <v>1803</v>
      </c>
      <c r="D38" s="22" t="s">
        <v>1804</v>
      </c>
      <c r="E38" s="22" t="s">
        <v>1797</v>
      </c>
      <c r="F38" s="22" t="s">
        <v>1805</v>
      </c>
      <c r="G38" s="22" t="s">
        <v>1806</v>
      </c>
      <c r="H38" s="22" t="s">
        <v>1635</v>
      </c>
      <c r="I38" s="22" t="s">
        <v>1226</v>
      </c>
      <c r="J38" s="22" t="s">
        <v>0</v>
      </c>
      <c r="K38" s="22" t="s">
        <v>1</v>
      </c>
      <c r="L38" s="22" t="s">
        <v>1807</v>
      </c>
    </row>
    <row r="39" spans="2:13">
      <c r="B39" s="22">
        <v>48</v>
      </c>
      <c r="C39" s="22">
        <v>51.5</v>
      </c>
      <c r="D39" s="22">
        <v>74.5</v>
      </c>
      <c r="E39" s="22">
        <v>43</v>
      </c>
      <c r="F39" s="22">
        <v>75.599999999999994</v>
      </c>
      <c r="G39" s="22">
        <v>7</v>
      </c>
      <c r="H39" s="22">
        <v>71.5</v>
      </c>
      <c r="I39" s="22">
        <v>10</v>
      </c>
      <c r="J39" s="22">
        <v>53.4</v>
      </c>
      <c r="K39" s="22">
        <v>36.5</v>
      </c>
      <c r="L39" s="22">
        <v>99.9</v>
      </c>
    </row>
    <row r="40" spans="2:13">
      <c r="B40" s="22">
        <v>50</v>
      </c>
      <c r="C40" s="22">
        <v>52.5</v>
      </c>
      <c r="D40" s="22">
        <v>74.5</v>
      </c>
      <c r="E40" s="22">
        <v>43</v>
      </c>
      <c r="F40" s="22">
        <v>76.3</v>
      </c>
      <c r="G40" s="22">
        <v>7</v>
      </c>
      <c r="H40" s="22">
        <v>72</v>
      </c>
      <c r="I40" s="22">
        <v>10</v>
      </c>
      <c r="J40" s="22">
        <v>53.6</v>
      </c>
      <c r="K40" s="22">
        <v>37.5</v>
      </c>
      <c r="L40" s="22">
        <v>100.5</v>
      </c>
    </row>
    <row r="41" spans="2:13">
      <c r="B41" s="22">
        <v>52</v>
      </c>
      <c r="C41" s="22">
        <v>53.1</v>
      </c>
      <c r="D41" s="22">
        <v>74</v>
      </c>
      <c r="E41" s="22">
        <v>43</v>
      </c>
      <c r="F41" s="22">
        <v>78.3</v>
      </c>
      <c r="G41" s="22">
        <v>7</v>
      </c>
      <c r="H41" s="22">
        <v>72</v>
      </c>
      <c r="I41" s="22">
        <v>12</v>
      </c>
      <c r="J41" s="22">
        <v>55.5</v>
      </c>
      <c r="K41" s="22">
        <v>37</v>
      </c>
      <c r="L41" s="22">
        <v>100.6</v>
      </c>
    </row>
    <row r="42" spans="2:13">
      <c r="B42" s="22">
        <v>54</v>
      </c>
      <c r="C42" s="22">
        <v>55</v>
      </c>
      <c r="D42" s="22">
        <v>73.5</v>
      </c>
      <c r="E42" s="22">
        <v>43</v>
      </c>
      <c r="F42" s="22">
        <v>79.2</v>
      </c>
      <c r="G42" s="22">
        <v>7</v>
      </c>
      <c r="H42" s="22">
        <v>72.5</v>
      </c>
      <c r="I42" s="22">
        <v>13</v>
      </c>
      <c r="J42" s="22">
        <v>56.6</v>
      </c>
      <c r="K42" s="22">
        <v>38.1</v>
      </c>
      <c r="L42" s="22">
        <v>101.6</v>
      </c>
    </row>
    <row r="43" spans="2:13">
      <c r="B43" s="22">
        <v>56</v>
      </c>
      <c r="C43" s="22">
        <v>57.2</v>
      </c>
      <c r="D43" s="22">
        <v>73</v>
      </c>
      <c r="E43" s="22">
        <v>43</v>
      </c>
      <c r="F43" s="22">
        <v>81.2</v>
      </c>
      <c r="G43" s="22">
        <v>7</v>
      </c>
      <c r="H43" s="22">
        <v>72.5</v>
      </c>
      <c r="I43" s="22">
        <v>15</v>
      </c>
      <c r="J43" s="22">
        <v>58.5</v>
      </c>
      <c r="K43" s="22">
        <v>38.700000000000003</v>
      </c>
      <c r="L43" s="22">
        <v>102.9</v>
      </c>
    </row>
    <row r="44" spans="2:13">
      <c r="B44" s="22">
        <v>58</v>
      </c>
      <c r="C44" s="22">
        <v>57.7</v>
      </c>
      <c r="D44" s="22">
        <v>73</v>
      </c>
      <c r="E44" s="22">
        <v>43</v>
      </c>
      <c r="F44" s="22">
        <v>82.1</v>
      </c>
      <c r="G44" s="22">
        <v>7</v>
      </c>
      <c r="H44" s="22">
        <v>72.5</v>
      </c>
      <c r="I44" s="22">
        <v>16</v>
      </c>
      <c r="J44" s="22">
        <v>59.5</v>
      </c>
      <c r="K44" s="22">
        <v>39.5</v>
      </c>
      <c r="L44" s="22">
        <v>103.9</v>
      </c>
    </row>
    <row r="45" spans="2:13">
      <c r="B45" s="22">
        <v>60</v>
      </c>
      <c r="C45" s="22">
        <v>58.6</v>
      </c>
      <c r="D45" s="22">
        <v>72.5</v>
      </c>
      <c r="E45" s="22">
        <v>43</v>
      </c>
      <c r="F45" s="22">
        <v>85.2</v>
      </c>
      <c r="G45" s="22">
        <v>7</v>
      </c>
      <c r="H45" s="22">
        <v>72.5</v>
      </c>
      <c r="I45" s="22">
        <v>18</v>
      </c>
      <c r="J45" s="22">
        <v>61.4</v>
      </c>
      <c r="K45" s="22">
        <v>39.200000000000003</v>
      </c>
      <c r="L45" s="22">
        <v>104.3</v>
      </c>
    </row>
    <row r="46" spans="2:13">
      <c r="B46" s="22">
        <v>62</v>
      </c>
      <c r="C46" s="22">
        <v>59.3</v>
      </c>
      <c r="D46" s="22">
        <v>72.5</v>
      </c>
      <c r="E46" s="22">
        <v>43</v>
      </c>
      <c r="F46" s="22">
        <v>85.6</v>
      </c>
      <c r="G46" s="22">
        <v>7</v>
      </c>
      <c r="H46" s="22">
        <v>72.5</v>
      </c>
      <c r="I46" s="22">
        <v>20</v>
      </c>
      <c r="J46" s="22">
        <v>63.3</v>
      </c>
      <c r="K46" s="22">
        <v>39.1</v>
      </c>
      <c r="L46" s="22">
        <v>104.7</v>
      </c>
    </row>
    <row r="47" spans="2:13">
      <c r="B47" s="22">
        <v>64</v>
      </c>
      <c r="C47" s="22">
        <v>61.3</v>
      </c>
      <c r="D47" s="22">
        <v>72</v>
      </c>
      <c r="E47" s="22">
        <v>43</v>
      </c>
      <c r="F47" s="22">
        <v>87.6</v>
      </c>
      <c r="G47" s="22">
        <v>7</v>
      </c>
      <c r="H47" s="22">
        <v>72.5</v>
      </c>
      <c r="I47" s="22">
        <v>22</v>
      </c>
      <c r="J47" s="22">
        <v>65.2</v>
      </c>
      <c r="K47" s="22">
        <v>40.200000000000003</v>
      </c>
      <c r="L47" s="22">
        <v>106.4</v>
      </c>
    </row>
    <row r="48" spans="2:13">
      <c r="B48" s="22">
        <v>66</v>
      </c>
      <c r="C48" s="22">
        <v>63.6</v>
      </c>
      <c r="D48" s="22">
        <v>71.5</v>
      </c>
      <c r="E48" s="22">
        <v>43</v>
      </c>
      <c r="F48" s="22">
        <v>88.9</v>
      </c>
      <c r="G48" s="22">
        <v>7</v>
      </c>
      <c r="H48" s="22">
        <v>73</v>
      </c>
      <c r="I48" s="22">
        <v>24</v>
      </c>
      <c r="J48" s="22">
        <v>67.3</v>
      </c>
      <c r="K48" s="22">
        <v>41.3</v>
      </c>
      <c r="L48" s="22">
        <v>107.6</v>
      </c>
    </row>
    <row r="50" spans="2:12">
      <c r="B50" s="122" t="s">
        <v>1802</v>
      </c>
      <c r="C50" s="122" t="s">
        <v>1803</v>
      </c>
      <c r="D50" s="122" t="s">
        <v>1804</v>
      </c>
      <c r="E50" s="122" t="s">
        <v>1797</v>
      </c>
      <c r="F50" s="122" t="s">
        <v>1805</v>
      </c>
      <c r="G50" s="122" t="s">
        <v>1806</v>
      </c>
      <c r="H50" s="122" t="s">
        <v>1635</v>
      </c>
      <c r="I50" s="122" t="s">
        <v>1226</v>
      </c>
      <c r="J50" s="122" t="s">
        <v>0</v>
      </c>
      <c r="K50" s="122" t="s">
        <v>1</v>
      </c>
      <c r="L50" s="122" t="s">
        <v>1807</v>
      </c>
    </row>
    <row r="51" spans="2:12">
      <c r="B51" s="122">
        <v>48</v>
      </c>
      <c r="C51" s="122">
        <v>51.5</v>
      </c>
      <c r="D51" s="122">
        <v>74.5</v>
      </c>
      <c r="E51" s="122">
        <v>43</v>
      </c>
      <c r="F51" s="122">
        <v>75.599999999999994</v>
      </c>
      <c r="G51" s="122">
        <v>7</v>
      </c>
      <c r="H51" s="122">
        <v>71.5</v>
      </c>
      <c r="I51" s="122">
        <v>10</v>
      </c>
      <c r="J51" s="122">
        <v>53.4</v>
      </c>
      <c r="K51" s="122">
        <v>36.5</v>
      </c>
      <c r="L51" s="122">
        <v>99.9</v>
      </c>
    </row>
    <row r="52" spans="2:12">
      <c r="B52" s="122">
        <v>50</v>
      </c>
      <c r="C52" s="122">
        <v>52.5</v>
      </c>
      <c r="D52" s="122">
        <v>74.5</v>
      </c>
      <c r="E52" s="122">
        <v>43</v>
      </c>
      <c r="F52" s="122">
        <v>76.3</v>
      </c>
      <c r="G52" s="122">
        <v>7</v>
      </c>
      <c r="H52" s="122">
        <v>72</v>
      </c>
      <c r="I52" s="122">
        <v>10</v>
      </c>
      <c r="J52" s="122">
        <v>53.6</v>
      </c>
      <c r="K52" s="122">
        <v>37.5</v>
      </c>
      <c r="L52" s="122">
        <v>100.5</v>
      </c>
    </row>
    <row r="53" spans="2:12">
      <c r="B53" s="122">
        <v>52</v>
      </c>
      <c r="C53" s="122">
        <v>53.1</v>
      </c>
      <c r="D53" s="122">
        <v>74</v>
      </c>
      <c r="E53" s="122">
        <v>43</v>
      </c>
      <c r="F53" s="122">
        <v>78.3</v>
      </c>
      <c r="G53" s="122">
        <v>7</v>
      </c>
      <c r="H53" s="122">
        <v>72</v>
      </c>
      <c r="I53" s="122">
        <v>12</v>
      </c>
      <c r="J53" s="122">
        <v>55.5</v>
      </c>
      <c r="K53" s="122">
        <v>37</v>
      </c>
      <c r="L53" s="122">
        <v>100.6</v>
      </c>
    </row>
    <row r="54" spans="2:12">
      <c r="B54" s="122">
        <v>54</v>
      </c>
      <c r="C54" s="122">
        <v>55</v>
      </c>
      <c r="D54" s="122">
        <v>73.5</v>
      </c>
      <c r="E54" s="122">
        <v>43</v>
      </c>
      <c r="F54" s="122">
        <v>79.2</v>
      </c>
      <c r="G54" s="122">
        <v>7</v>
      </c>
      <c r="H54" s="122">
        <v>72.5</v>
      </c>
      <c r="I54" s="122">
        <v>13</v>
      </c>
      <c r="J54" s="122">
        <v>56.6</v>
      </c>
      <c r="K54" s="122">
        <v>38.1</v>
      </c>
      <c r="L54" s="122">
        <v>101.6</v>
      </c>
    </row>
    <row r="55" spans="2:12">
      <c r="B55" s="122">
        <v>56</v>
      </c>
      <c r="C55" s="122">
        <v>57.2</v>
      </c>
      <c r="D55" s="122">
        <v>73</v>
      </c>
      <c r="E55" s="122">
        <v>43</v>
      </c>
      <c r="F55" s="122">
        <v>81.2</v>
      </c>
      <c r="G55" s="122">
        <v>7</v>
      </c>
      <c r="H55" s="122">
        <v>72.5</v>
      </c>
      <c r="I55" s="122">
        <v>15</v>
      </c>
      <c r="J55" s="122">
        <v>58.5</v>
      </c>
      <c r="K55" s="122">
        <v>38.700000000000003</v>
      </c>
      <c r="L55" s="122">
        <v>102.9</v>
      </c>
    </row>
    <row r="56" spans="2:12">
      <c r="B56" s="122">
        <v>58</v>
      </c>
      <c r="C56" s="122">
        <v>57.7</v>
      </c>
      <c r="D56" s="122">
        <v>73</v>
      </c>
      <c r="E56" s="122">
        <v>43</v>
      </c>
      <c r="F56" s="122">
        <v>82.1</v>
      </c>
      <c r="G56" s="122">
        <v>7</v>
      </c>
      <c r="H56" s="122">
        <v>72.5</v>
      </c>
      <c r="I56" s="122">
        <v>16</v>
      </c>
      <c r="J56" s="122">
        <v>59.5</v>
      </c>
      <c r="K56" s="122">
        <v>39.5</v>
      </c>
      <c r="L56" s="122">
        <v>103.9</v>
      </c>
    </row>
    <row r="57" spans="2:12">
      <c r="B57" s="122">
        <v>60</v>
      </c>
      <c r="C57" s="122">
        <v>58.6</v>
      </c>
      <c r="D57" s="122">
        <v>72.5</v>
      </c>
      <c r="E57" s="122">
        <v>43</v>
      </c>
      <c r="F57" s="122">
        <v>85.2</v>
      </c>
      <c r="G57" s="122">
        <v>7</v>
      </c>
      <c r="H57" s="122">
        <v>72.5</v>
      </c>
      <c r="I57" s="122">
        <v>18</v>
      </c>
      <c r="J57" s="122">
        <v>61.4</v>
      </c>
      <c r="K57" s="122">
        <v>39.200000000000003</v>
      </c>
      <c r="L57" s="122">
        <v>104.3</v>
      </c>
    </row>
    <row r="58" spans="2:12">
      <c r="B58" s="122">
        <v>62</v>
      </c>
      <c r="C58" s="122">
        <v>59.3</v>
      </c>
      <c r="D58" s="122">
        <v>72.5</v>
      </c>
      <c r="E58" s="122">
        <v>43</v>
      </c>
      <c r="F58" s="122">
        <v>85.6</v>
      </c>
      <c r="G58" s="122">
        <v>7</v>
      </c>
      <c r="H58" s="122">
        <v>72.5</v>
      </c>
      <c r="I58" s="122">
        <v>20</v>
      </c>
      <c r="J58" s="122">
        <v>63.3</v>
      </c>
      <c r="K58" s="122">
        <v>39.1</v>
      </c>
      <c r="L58" s="122">
        <v>104.7</v>
      </c>
    </row>
    <row r="59" spans="2:12">
      <c r="B59" s="122">
        <v>64</v>
      </c>
      <c r="C59" s="122">
        <v>61.3</v>
      </c>
      <c r="D59" s="122">
        <v>72</v>
      </c>
      <c r="E59" s="122">
        <v>43</v>
      </c>
      <c r="F59" s="122">
        <v>87.6</v>
      </c>
      <c r="G59" s="122">
        <v>7</v>
      </c>
      <c r="H59" s="122">
        <v>72.5</v>
      </c>
      <c r="I59" s="122">
        <v>22</v>
      </c>
      <c r="J59" s="122">
        <v>65.2</v>
      </c>
      <c r="K59" s="122">
        <v>40.200000000000003</v>
      </c>
      <c r="L59" s="122">
        <v>106.4</v>
      </c>
    </row>
    <row r="60" spans="2:12">
      <c r="B60" s="122">
        <v>66</v>
      </c>
      <c r="C60" s="122">
        <v>63.6</v>
      </c>
      <c r="D60" s="122">
        <v>71.5</v>
      </c>
      <c r="E60" s="122">
        <v>43</v>
      </c>
      <c r="F60" s="122">
        <v>88.9</v>
      </c>
      <c r="G60" s="122">
        <v>7</v>
      </c>
      <c r="H60" s="122">
        <v>73</v>
      </c>
      <c r="I60" s="122">
        <v>24</v>
      </c>
      <c r="J60" s="122">
        <v>67.3</v>
      </c>
      <c r="K60" s="122">
        <v>41.3</v>
      </c>
      <c r="L60" s="122">
        <v>107.6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7CF3-5A00-3D4C-AAE1-32CF540BBBE4}">
  <dimension ref="A1:G50"/>
  <sheetViews>
    <sheetView topLeftCell="A7" workbookViewId="0">
      <selection activeCell="F30" sqref="F30"/>
    </sheetView>
  </sheetViews>
  <sheetFormatPr baseColWidth="10" defaultRowHeight="20"/>
  <cols>
    <col min="1" max="1" width="29.33203125" style="22" bestFit="1" customWidth="1"/>
    <col min="2" max="2" width="24.6640625" style="22" bestFit="1" customWidth="1"/>
    <col min="3" max="16384" width="10.83203125" style="22"/>
  </cols>
  <sheetData>
    <row r="1" spans="1:7">
      <c r="A1" s="22" t="s">
        <v>72</v>
      </c>
      <c r="B1" s="22" t="str">
        <f t="shared" ref="B1:G1" si="0">B33</f>
        <v>size</v>
      </c>
      <c r="C1" s="22">
        <f t="shared" si="0"/>
        <v>48</v>
      </c>
      <c r="D1" s="22">
        <f t="shared" si="0"/>
        <v>51</v>
      </c>
      <c r="E1" s="22">
        <f t="shared" si="0"/>
        <v>54</v>
      </c>
      <c r="F1" s="22">
        <f t="shared" si="0"/>
        <v>56</v>
      </c>
      <c r="G1" s="22">
        <f t="shared" si="0"/>
        <v>58</v>
      </c>
    </row>
    <row r="2" spans="1:7">
      <c r="A2" s="22" t="s">
        <v>60</v>
      </c>
      <c r="B2" s="22" t="str">
        <f t="shared" ref="B2:B17" si="1">B35</f>
        <v>Seat Tube Length</v>
      </c>
      <c r="C2" s="22">
        <f t="shared" ref="C2:G3" si="2">C35*10</f>
        <v>449</v>
      </c>
      <c r="D2" s="22">
        <f t="shared" si="2"/>
        <v>488</v>
      </c>
      <c r="E2" s="22">
        <f t="shared" si="2"/>
        <v>524</v>
      </c>
      <c r="F2" s="22">
        <f t="shared" si="2"/>
        <v>546</v>
      </c>
      <c r="G2" s="22">
        <f t="shared" si="2"/>
        <v>566</v>
      </c>
    </row>
    <row r="3" spans="1:7">
      <c r="A3" s="22" t="s">
        <v>73</v>
      </c>
      <c r="B3" s="22" t="str">
        <f t="shared" si="1"/>
        <v xml:space="preserve">Top Tube Horizontal </v>
      </c>
      <c r="C3" s="22">
        <f t="shared" si="2"/>
        <v>507</v>
      </c>
      <c r="D3" s="22">
        <f t="shared" si="2"/>
        <v>524</v>
      </c>
      <c r="E3" s="22">
        <f t="shared" si="2"/>
        <v>537</v>
      </c>
      <c r="F3" s="22">
        <f t="shared" si="2"/>
        <v>555</v>
      </c>
      <c r="G3" s="22">
        <f t="shared" si="2"/>
        <v>568</v>
      </c>
    </row>
    <row r="4" spans="1:7">
      <c r="A4" s="22" t="s">
        <v>400</v>
      </c>
      <c r="B4" s="22" t="str">
        <f t="shared" si="1"/>
        <v>Top Tube actual</v>
      </c>
    </row>
    <row r="5" spans="1:7">
      <c r="A5" s="22" t="s">
        <v>62</v>
      </c>
      <c r="B5" s="22" t="str">
        <f t="shared" si="1"/>
        <v>head tube angle</v>
      </c>
      <c r="C5" s="22">
        <f t="shared" ref="C5:G6" si="3">C38</f>
        <v>70</v>
      </c>
      <c r="D5" s="22">
        <f t="shared" si="3"/>
        <v>71</v>
      </c>
      <c r="E5" s="22">
        <f t="shared" si="3"/>
        <v>71</v>
      </c>
      <c r="F5" s="22">
        <f t="shared" si="3"/>
        <v>71</v>
      </c>
      <c r="G5" s="22">
        <f t="shared" si="3"/>
        <v>71</v>
      </c>
    </row>
    <row r="6" spans="1:7">
      <c r="A6" s="22" t="s">
        <v>63</v>
      </c>
      <c r="B6" s="22" t="str">
        <f t="shared" si="1"/>
        <v>seat tube angle</v>
      </c>
      <c r="C6" s="22">
        <f t="shared" si="3"/>
        <v>73.900000000000006</v>
      </c>
      <c r="D6" s="22">
        <f t="shared" si="3"/>
        <v>73.099999999999994</v>
      </c>
      <c r="E6" s="22">
        <f t="shared" si="3"/>
        <v>73.099999999999994</v>
      </c>
      <c r="F6" s="22">
        <f t="shared" si="3"/>
        <v>72.7</v>
      </c>
      <c r="G6" s="22">
        <f t="shared" si="3"/>
        <v>72.7</v>
      </c>
    </row>
    <row r="7" spans="1:7">
      <c r="A7" s="22" t="s">
        <v>57</v>
      </c>
      <c r="B7" s="22" t="str">
        <f t="shared" si="1"/>
        <v>standover</v>
      </c>
      <c r="C7" s="22">
        <f t="shared" ref="C7:G17" si="4">C40*10</f>
        <v>743</v>
      </c>
      <c r="D7" s="22">
        <f t="shared" si="4"/>
        <v>773</v>
      </c>
      <c r="E7" s="22">
        <f t="shared" si="4"/>
        <v>802</v>
      </c>
      <c r="F7" s="22">
        <f t="shared" si="4"/>
        <v>822</v>
      </c>
      <c r="G7" s="22">
        <f t="shared" si="4"/>
        <v>843</v>
      </c>
    </row>
    <row r="8" spans="1:7">
      <c r="A8" s="22" t="s">
        <v>64</v>
      </c>
      <c r="B8" s="22" t="str">
        <f t="shared" si="1"/>
        <v>head tube length</v>
      </c>
      <c r="C8" s="22">
        <f t="shared" si="4"/>
        <v>93</v>
      </c>
      <c r="D8" s="22">
        <f t="shared" si="4"/>
        <v>110</v>
      </c>
      <c r="E8" s="22">
        <f t="shared" si="4"/>
        <v>132</v>
      </c>
      <c r="F8" s="22">
        <f t="shared" si="4"/>
        <v>153</v>
      </c>
      <c r="G8" s="22">
        <f t="shared" si="4"/>
        <v>175</v>
      </c>
    </row>
    <row r="9" spans="1:7">
      <c r="A9" s="22" t="s">
        <v>56</v>
      </c>
      <c r="B9" s="22" t="str">
        <f t="shared" si="1"/>
        <v>wheelbase</v>
      </c>
      <c r="C9" s="22">
        <f t="shared" si="4"/>
        <v>1002</v>
      </c>
      <c r="D9" s="22">
        <f t="shared" si="4"/>
        <v>1005</v>
      </c>
      <c r="E9" s="22">
        <f t="shared" si="4"/>
        <v>1020</v>
      </c>
      <c r="F9" s="22">
        <f t="shared" si="4"/>
        <v>1034</v>
      </c>
      <c r="G9" s="22">
        <f t="shared" si="4"/>
        <v>1048</v>
      </c>
    </row>
    <row r="10" spans="1:7">
      <c r="A10" s="22" t="s">
        <v>134</v>
      </c>
      <c r="B10" s="22" t="str">
        <f t="shared" si="1"/>
        <v>front center</v>
      </c>
      <c r="C10" s="22">
        <f t="shared" si="4"/>
        <v>590</v>
      </c>
      <c r="D10" s="22">
        <f t="shared" si="4"/>
        <v>593</v>
      </c>
      <c r="E10" s="22">
        <f t="shared" si="4"/>
        <v>607</v>
      </c>
      <c r="F10" s="22">
        <f t="shared" si="4"/>
        <v>621</v>
      </c>
      <c r="G10" s="22">
        <f t="shared" si="4"/>
        <v>636</v>
      </c>
    </row>
    <row r="11" spans="1:7">
      <c r="A11" s="22" t="s">
        <v>66</v>
      </c>
      <c r="B11" s="22" t="str">
        <f t="shared" si="1"/>
        <v>chainstay length</v>
      </c>
      <c r="C11" s="22">
        <f t="shared" si="4"/>
        <v>422</v>
      </c>
      <c r="D11" s="22">
        <f t="shared" si="4"/>
        <v>422</v>
      </c>
      <c r="E11" s="22">
        <f t="shared" si="4"/>
        <v>422</v>
      </c>
      <c r="F11" s="22">
        <f t="shared" si="4"/>
        <v>422</v>
      </c>
      <c r="G11" s="22">
        <f t="shared" si="4"/>
        <v>422</v>
      </c>
    </row>
    <row r="12" spans="1:7">
      <c r="A12" s="22" t="s">
        <v>65</v>
      </c>
      <c r="B12" s="22" t="str">
        <f t="shared" si="1"/>
        <v>bottom bracket drop</v>
      </c>
      <c r="C12" s="22">
        <f t="shared" si="4"/>
        <v>70</v>
      </c>
      <c r="D12" s="22">
        <f t="shared" si="4"/>
        <v>70</v>
      </c>
      <c r="E12" s="22">
        <f t="shared" si="4"/>
        <v>69</v>
      </c>
      <c r="F12" s="22">
        <f t="shared" si="4"/>
        <v>69</v>
      </c>
      <c r="G12" s="22">
        <f t="shared" si="4"/>
        <v>68</v>
      </c>
    </row>
    <row r="13" spans="1:7">
      <c r="A13" s="22" t="s">
        <v>137</v>
      </c>
      <c r="B13" s="22" t="str">
        <f t="shared" si="1"/>
        <v>bottom bracket height</v>
      </c>
      <c r="C13" s="22">
        <f t="shared" si="4"/>
        <v>280</v>
      </c>
      <c r="D13" s="22">
        <f t="shared" si="4"/>
        <v>280</v>
      </c>
      <c r="E13" s="22">
        <f t="shared" si="4"/>
        <v>281</v>
      </c>
      <c r="F13" s="22">
        <f t="shared" si="4"/>
        <v>281</v>
      </c>
      <c r="G13" s="22">
        <f t="shared" si="4"/>
        <v>282</v>
      </c>
    </row>
    <row r="14" spans="1:7">
      <c r="A14" s="22" t="s">
        <v>67</v>
      </c>
      <c r="B14" s="22" t="str">
        <f t="shared" si="1"/>
        <v>fork rake</v>
      </c>
      <c r="C14" s="22">
        <f t="shared" si="4"/>
        <v>55</v>
      </c>
      <c r="D14" s="22">
        <f t="shared" si="4"/>
        <v>55</v>
      </c>
      <c r="E14" s="22">
        <f t="shared" si="4"/>
        <v>55</v>
      </c>
      <c r="F14" s="22">
        <f t="shared" si="4"/>
        <v>55</v>
      </c>
      <c r="G14" s="22">
        <f t="shared" si="4"/>
        <v>55</v>
      </c>
    </row>
    <row r="15" spans="1:7">
      <c r="A15" s="22" t="s">
        <v>135</v>
      </c>
      <c r="B15" s="22" t="str">
        <f t="shared" si="1"/>
        <v>trail</v>
      </c>
      <c r="C15" s="22">
        <f t="shared" si="4"/>
        <v>69</v>
      </c>
      <c r="D15" s="22">
        <f t="shared" si="4"/>
        <v>62</v>
      </c>
      <c r="E15" s="22">
        <f t="shared" si="4"/>
        <v>62</v>
      </c>
      <c r="F15" s="22">
        <f t="shared" si="4"/>
        <v>62</v>
      </c>
      <c r="G15" s="22">
        <f t="shared" si="4"/>
        <v>62</v>
      </c>
    </row>
    <row r="16" spans="1:7">
      <c r="A16" s="22" t="s">
        <v>54</v>
      </c>
      <c r="B16" s="22" t="str">
        <f t="shared" si="1"/>
        <v>stack</v>
      </c>
      <c r="C16" s="22">
        <f t="shared" si="4"/>
        <v>515</v>
      </c>
      <c r="D16" s="22">
        <f t="shared" si="4"/>
        <v>535</v>
      </c>
      <c r="E16" s="22">
        <f t="shared" si="4"/>
        <v>555</v>
      </c>
      <c r="F16" s="22">
        <f t="shared" si="4"/>
        <v>575</v>
      </c>
      <c r="G16" s="22">
        <f t="shared" si="4"/>
        <v>595</v>
      </c>
    </row>
    <row r="17" spans="1:7">
      <c r="A17" s="22" t="s">
        <v>55</v>
      </c>
      <c r="B17" s="22" t="str">
        <f t="shared" si="1"/>
        <v>reach</v>
      </c>
      <c r="C17" s="22">
        <f t="shared" si="4"/>
        <v>365</v>
      </c>
      <c r="D17" s="22">
        <f t="shared" si="4"/>
        <v>371</v>
      </c>
      <c r="E17" s="22">
        <f t="shared" si="4"/>
        <v>378</v>
      </c>
      <c r="F17" s="22">
        <f t="shared" si="4"/>
        <v>385</v>
      </c>
      <c r="G17" s="22">
        <f t="shared" si="4"/>
        <v>392</v>
      </c>
    </row>
    <row r="18" spans="1:7">
      <c r="A18" s="22" t="s">
        <v>69</v>
      </c>
      <c r="B18" s="22" t="s">
        <v>69</v>
      </c>
    </row>
    <row r="19" spans="1:7">
      <c r="A19" s="22" t="s">
        <v>70</v>
      </c>
      <c r="B19" s="22" t="s">
        <v>70</v>
      </c>
    </row>
    <row r="20" spans="1:7">
      <c r="A20" s="22" t="s">
        <v>71</v>
      </c>
      <c r="B20" s="22" t="s">
        <v>71</v>
      </c>
    </row>
    <row r="21" spans="1:7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</row>
    <row r="22" spans="1:7">
      <c r="A22" s="22" t="s">
        <v>139</v>
      </c>
      <c r="B22" s="22" t="s">
        <v>139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</row>
    <row r="23" spans="1:7">
      <c r="A23" s="22" t="s">
        <v>140</v>
      </c>
      <c r="B23" s="22" t="s">
        <v>140</v>
      </c>
      <c r="C23" s="22">
        <v>45</v>
      </c>
      <c r="D23" s="22">
        <v>45</v>
      </c>
      <c r="E23" s="22">
        <v>45</v>
      </c>
      <c r="F23" s="22">
        <v>45</v>
      </c>
      <c r="G23" s="22">
        <v>45</v>
      </c>
    </row>
    <row r="24" spans="1:7">
      <c r="A24" s="22" t="s">
        <v>1752</v>
      </c>
      <c r="B24" s="22" t="s">
        <v>1752</v>
      </c>
      <c r="C24" s="35">
        <f>C27*2.54</f>
        <v>152.4</v>
      </c>
      <c r="D24" s="35">
        <f>AVERAGE(D27,C28)*2.54</f>
        <v>163.83000000000001</v>
      </c>
      <c r="E24" s="35">
        <f t="shared" ref="E24:G24" si="5">AVERAGE(E27,D28)*2.54</f>
        <v>172.72</v>
      </c>
      <c r="F24" s="35">
        <f t="shared" si="5"/>
        <v>179.07</v>
      </c>
      <c r="G24" s="35">
        <f t="shared" si="5"/>
        <v>184.15</v>
      </c>
    </row>
    <row r="25" spans="1:7">
      <c r="A25" s="22" t="s">
        <v>1753</v>
      </c>
      <c r="B25" s="22" t="s">
        <v>1753</v>
      </c>
      <c r="C25" s="35">
        <f>D24</f>
        <v>163.83000000000001</v>
      </c>
      <c r="D25" s="35">
        <f t="shared" ref="D25:F25" si="6">E24</f>
        <v>172.72</v>
      </c>
      <c r="E25" s="35">
        <f t="shared" si="6"/>
        <v>179.07</v>
      </c>
      <c r="F25" s="35">
        <f t="shared" si="6"/>
        <v>184.15</v>
      </c>
      <c r="G25" s="35">
        <f t="shared" ref="G25" si="7">G28*2.54</f>
        <v>193.04</v>
      </c>
    </row>
    <row r="27" spans="1:7">
      <c r="B27" s="22" t="s">
        <v>1752</v>
      </c>
      <c r="C27" s="22">
        <v>60</v>
      </c>
      <c r="D27" s="22">
        <v>65</v>
      </c>
      <c r="E27" s="22">
        <v>67</v>
      </c>
      <c r="F27" s="22">
        <v>70</v>
      </c>
      <c r="G27" s="22">
        <v>72</v>
      </c>
    </row>
    <row r="28" spans="1:7">
      <c r="B28" s="22" t="s">
        <v>1753</v>
      </c>
      <c r="C28" s="22">
        <v>64</v>
      </c>
      <c r="D28" s="22">
        <v>69</v>
      </c>
      <c r="E28" s="22">
        <v>71</v>
      </c>
      <c r="F28" s="22">
        <v>73</v>
      </c>
      <c r="G28" s="22">
        <v>76</v>
      </c>
    </row>
    <row r="29" spans="1:7">
      <c r="B29" s="22" t="s">
        <v>1755</v>
      </c>
      <c r="C29" s="22">
        <v>5</v>
      </c>
      <c r="D29" s="22">
        <v>5</v>
      </c>
      <c r="E29" s="22">
        <v>5</v>
      </c>
      <c r="F29" s="22">
        <v>5</v>
      </c>
      <c r="G29" s="22">
        <v>6</v>
      </c>
    </row>
    <row r="30" spans="1:7">
      <c r="B30" s="22" t="s">
        <v>1756</v>
      </c>
      <c r="C30" s="22">
        <v>0</v>
      </c>
      <c r="D30" s="22">
        <v>5</v>
      </c>
      <c r="E30" s="22">
        <v>7</v>
      </c>
      <c r="F30" s="22">
        <v>10</v>
      </c>
      <c r="G30" s="22">
        <v>0</v>
      </c>
    </row>
    <row r="31" spans="1:7">
      <c r="B31" s="22" t="s">
        <v>1757</v>
      </c>
      <c r="C31" s="22">
        <v>5</v>
      </c>
      <c r="D31" s="22">
        <v>5</v>
      </c>
      <c r="E31" s="22">
        <v>5</v>
      </c>
      <c r="F31" s="22">
        <v>6</v>
      </c>
      <c r="G31" s="22">
        <v>6</v>
      </c>
    </row>
    <row r="32" spans="1:7">
      <c r="B32" s="22" t="s">
        <v>1758</v>
      </c>
      <c r="C32" s="22">
        <v>4</v>
      </c>
      <c r="D32" s="22">
        <v>9</v>
      </c>
      <c r="E32" s="22">
        <v>11</v>
      </c>
      <c r="F32" s="22">
        <v>1</v>
      </c>
      <c r="G32" s="22">
        <v>4</v>
      </c>
    </row>
    <row r="33" spans="2:7" ht="31" customHeight="1">
      <c r="B33" s="22" t="s">
        <v>138</v>
      </c>
      <c r="C33" s="22">
        <v>48</v>
      </c>
      <c r="D33" s="22">
        <v>51</v>
      </c>
      <c r="E33" s="22">
        <v>54</v>
      </c>
      <c r="F33" s="22">
        <v>56</v>
      </c>
      <c r="G33" s="22">
        <v>58</v>
      </c>
    </row>
    <row r="34" spans="2:7" ht="31" customHeight="1">
      <c r="B34" s="22" t="s">
        <v>11</v>
      </c>
      <c r="C34" s="22">
        <v>700</v>
      </c>
      <c r="D34" s="22">
        <v>700</v>
      </c>
      <c r="E34" s="22">
        <v>700</v>
      </c>
      <c r="F34" s="22">
        <v>700</v>
      </c>
      <c r="G34" s="22">
        <v>700</v>
      </c>
    </row>
    <row r="35" spans="2:7" ht="31" customHeight="1">
      <c r="B35" s="22" t="s">
        <v>173</v>
      </c>
      <c r="C35" s="22">
        <v>44.9</v>
      </c>
      <c r="D35" s="22">
        <v>48.8</v>
      </c>
      <c r="E35" s="22">
        <v>52.4</v>
      </c>
      <c r="F35" s="22">
        <v>54.6</v>
      </c>
      <c r="G35" s="22">
        <v>56.6</v>
      </c>
    </row>
    <row r="36" spans="2:7" ht="31" customHeight="1">
      <c r="B36" s="22" t="s">
        <v>1796</v>
      </c>
      <c r="C36" s="22">
        <v>50.7</v>
      </c>
      <c r="D36" s="22">
        <v>52.4</v>
      </c>
      <c r="E36" s="22">
        <v>53.7</v>
      </c>
      <c r="F36" s="22">
        <v>55.5</v>
      </c>
      <c r="G36" s="22">
        <v>56.8</v>
      </c>
    </row>
    <row r="37" spans="2:7" ht="31" customHeight="1">
      <c r="B37" s="22" t="s">
        <v>1801</v>
      </c>
    </row>
    <row r="38" spans="2:7" ht="31" customHeight="1">
      <c r="B38" s="22" t="s">
        <v>1635</v>
      </c>
      <c r="C38" s="22">
        <v>70</v>
      </c>
      <c r="D38" s="22">
        <v>71</v>
      </c>
      <c r="E38" s="22">
        <v>71</v>
      </c>
      <c r="F38" s="22">
        <v>71</v>
      </c>
      <c r="G38" s="22">
        <v>71</v>
      </c>
    </row>
    <row r="39" spans="2:7" ht="31" customHeight="1">
      <c r="B39" s="22" t="s">
        <v>1636</v>
      </c>
      <c r="C39" s="22">
        <v>73.900000000000006</v>
      </c>
      <c r="D39" s="22">
        <v>73.099999999999994</v>
      </c>
      <c r="E39" s="22">
        <v>73.099999999999994</v>
      </c>
      <c r="F39" s="22">
        <v>72.7</v>
      </c>
      <c r="G39" s="22">
        <v>72.7</v>
      </c>
    </row>
    <row r="40" spans="2:7" ht="31" customHeight="1">
      <c r="B40" s="22" t="s">
        <v>57</v>
      </c>
      <c r="C40" s="22">
        <v>74.3</v>
      </c>
      <c r="D40" s="22">
        <v>77.3</v>
      </c>
      <c r="E40" s="22">
        <v>80.2</v>
      </c>
      <c r="F40" s="22">
        <v>82.2</v>
      </c>
      <c r="G40" s="22">
        <v>84.3</v>
      </c>
    </row>
    <row r="41" spans="2:7" ht="31" customHeight="1">
      <c r="B41" s="22" t="s">
        <v>1226</v>
      </c>
      <c r="C41" s="22">
        <v>9.3000000000000007</v>
      </c>
      <c r="D41" s="22">
        <v>11</v>
      </c>
      <c r="E41" s="22">
        <v>13.2</v>
      </c>
      <c r="F41" s="22">
        <v>15.3</v>
      </c>
      <c r="G41" s="22">
        <v>17.5</v>
      </c>
    </row>
    <row r="42" spans="2:7" ht="31" customHeight="1">
      <c r="B42" s="22" t="s">
        <v>56</v>
      </c>
      <c r="C42" s="22">
        <v>100.2</v>
      </c>
      <c r="D42" s="22">
        <v>100.5</v>
      </c>
      <c r="E42" s="22">
        <v>102</v>
      </c>
      <c r="F42" s="22">
        <v>103.4</v>
      </c>
      <c r="G42" s="22">
        <v>104.8</v>
      </c>
    </row>
    <row r="43" spans="2:7" ht="31" customHeight="1">
      <c r="B43" s="22" t="s">
        <v>973</v>
      </c>
      <c r="C43" s="22">
        <v>59</v>
      </c>
      <c r="D43" s="22">
        <v>59.3</v>
      </c>
      <c r="E43" s="22">
        <v>60.7</v>
      </c>
      <c r="F43" s="22">
        <v>62.1</v>
      </c>
      <c r="G43" s="27">
        <v>63.6</v>
      </c>
    </row>
    <row r="44" spans="2:7" ht="31" customHeight="1">
      <c r="B44" s="22" t="s">
        <v>1797</v>
      </c>
      <c r="C44" s="22">
        <v>42.2</v>
      </c>
      <c r="D44" s="22">
        <v>42.2</v>
      </c>
      <c r="E44" s="22">
        <v>42.2</v>
      </c>
      <c r="F44" s="22">
        <v>42.2</v>
      </c>
      <c r="G44" s="22">
        <v>42.2</v>
      </c>
    </row>
    <row r="45" spans="2:7" ht="31" customHeight="1">
      <c r="B45" s="22" t="s">
        <v>1798</v>
      </c>
      <c r="C45" s="22">
        <v>7</v>
      </c>
      <c r="D45" s="22">
        <v>7</v>
      </c>
      <c r="E45" s="22">
        <v>6.9</v>
      </c>
      <c r="F45" s="22">
        <v>6.9</v>
      </c>
      <c r="G45" s="22">
        <v>6.8</v>
      </c>
    </row>
    <row r="46" spans="2:7" ht="31" customHeight="1">
      <c r="B46" s="22" t="s">
        <v>1799</v>
      </c>
      <c r="C46" s="22">
        <v>28</v>
      </c>
      <c r="D46" s="22">
        <v>28</v>
      </c>
      <c r="E46" s="22">
        <v>28.1</v>
      </c>
      <c r="F46" s="22">
        <v>28.1</v>
      </c>
      <c r="G46" s="22">
        <v>28.2</v>
      </c>
    </row>
    <row r="47" spans="2:7" ht="31" customHeight="1">
      <c r="B47" s="22" t="s">
        <v>1800</v>
      </c>
      <c r="C47" s="22">
        <v>5.5</v>
      </c>
      <c r="D47" s="22">
        <v>5.5</v>
      </c>
      <c r="E47" s="22">
        <v>5.5</v>
      </c>
      <c r="F47" s="22">
        <v>5.5</v>
      </c>
      <c r="G47" s="22">
        <v>5.5</v>
      </c>
    </row>
    <row r="48" spans="2:7" ht="31" customHeight="1">
      <c r="B48" s="22" t="s">
        <v>135</v>
      </c>
      <c r="C48" s="22">
        <v>6.9</v>
      </c>
      <c r="D48" s="22">
        <v>6.2</v>
      </c>
      <c r="E48" s="22">
        <v>6.2</v>
      </c>
      <c r="F48" s="22">
        <v>6.2</v>
      </c>
      <c r="G48" s="73">
        <v>6.2</v>
      </c>
    </row>
    <row r="49" spans="2:7" ht="31" customHeight="1">
      <c r="B49" s="22" t="s">
        <v>54</v>
      </c>
      <c r="C49" s="22">
        <v>51.5</v>
      </c>
      <c r="D49" s="22">
        <v>53.5</v>
      </c>
      <c r="E49" s="22">
        <v>55.5</v>
      </c>
      <c r="F49" s="22">
        <v>57.5</v>
      </c>
      <c r="G49" s="22">
        <v>59.5</v>
      </c>
    </row>
    <row r="50" spans="2:7" ht="31" customHeight="1">
      <c r="B50" s="22" t="s">
        <v>55</v>
      </c>
      <c r="C50" s="22">
        <v>36.5</v>
      </c>
      <c r="D50" s="22">
        <v>37.1</v>
      </c>
      <c r="E50" s="22">
        <v>37.799999999999997</v>
      </c>
      <c r="F50" s="22">
        <v>38.5</v>
      </c>
      <c r="G50" s="22">
        <v>39.200000000000003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8A3CB-DF6B-AF4B-904E-63BF67AAAAAC}">
  <dimension ref="A1:L51"/>
  <sheetViews>
    <sheetView topLeftCell="A5" workbookViewId="0">
      <selection activeCell="C25" sqref="C25:G26"/>
    </sheetView>
  </sheetViews>
  <sheetFormatPr baseColWidth="10" defaultRowHeight="20"/>
  <cols>
    <col min="1" max="1" width="29.33203125" style="22" bestFit="1" customWidth="1"/>
    <col min="2" max="2" width="24.6640625" style="22" bestFit="1" customWidth="1"/>
    <col min="3" max="16384" width="10.83203125" style="22"/>
  </cols>
  <sheetData>
    <row r="1" spans="1:12">
      <c r="A1" s="22" t="s">
        <v>72</v>
      </c>
      <c r="B1" s="22" t="str">
        <f>B33</f>
        <v>size</v>
      </c>
      <c r="C1" s="22" t="str">
        <f>C33</f>
        <v>XS</v>
      </c>
      <c r="D1" s="22" t="str">
        <f t="shared" ref="D1:G1" si="0">D33</f>
        <v>SM</v>
      </c>
      <c r="E1" s="22" t="str">
        <f t="shared" si="0"/>
        <v>MD</v>
      </c>
      <c r="F1" s="22" t="str">
        <f t="shared" si="0"/>
        <v>LG</v>
      </c>
      <c r="G1" s="22" t="str">
        <f t="shared" si="0"/>
        <v>XL</v>
      </c>
    </row>
    <row r="2" spans="1:12">
      <c r="A2" s="22" t="s">
        <v>60</v>
      </c>
      <c r="B2" s="22" t="s">
        <v>173</v>
      </c>
      <c r="C2" s="22">
        <f>C35*10</f>
        <v>410</v>
      </c>
      <c r="D2" s="22">
        <f t="shared" ref="D2:G2" si="1">D35*10</f>
        <v>458</v>
      </c>
      <c r="E2" s="22">
        <f t="shared" si="1"/>
        <v>505</v>
      </c>
      <c r="F2" s="22">
        <f t="shared" si="1"/>
        <v>553</v>
      </c>
      <c r="G2" s="22">
        <f t="shared" si="1"/>
        <v>590</v>
      </c>
    </row>
    <row r="3" spans="1:12">
      <c r="A3" s="22" t="s">
        <v>73</v>
      </c>
      <c r="B3" s="22" t="s">
        <v>1796</v>
      </c>
      <c r="C3" s="22">
        <f t="shared" ref="C3:G18" si="2">C36*10</f>
        <v>532</v>
      </c>
      <c r="D3" s="22">
        <f t="shared" si="2"/>
        <v>543</v>
      </c>
      <c r="E3" s="22">
        <f t="shared" si="2"/>
        <v>556</v>
      </c>
      <c r="F3" s="22">
        <f t="shared" si="2"/>
        <v>571</v>
      </c>
      <c r="G3" s="22">
        <f t="shared" si="2"/>
        <v>586</v>
      </c>
      <c r="L3"/>
    </row>
    <row r="4" spans="1:12">
      <c r="A4" s="22" t="s">
        <v>400</v>
      </c>
      <c r="B4" s="22" t="s">
        <v>1801</v>
      </c>
      <c r="C4" s="22">
        <f t="shared" si="2"/>
        <v>503</v>
      </c>
      <c r="D4" s="22">
        <f t="shared" si="2"/>
        <v>516</v>
      </c>
      <c r="E4" s="22">
        <f t="shared" si="2"/>
        <v>532</v>
      </c>
      <c r="F4" s="22">
        <f t="shared" si="2"/>
        <v>550</v>
      </c>
      <c r="G4" s="22">
        <f t="shared" si="2"/>
        <v>567</v>
      </c>
    </row>
    <row r="5" spans="1:12">
      <c r="A5" s="22" t="s">
        <v>62</v>
      </c>
      <c r="B5" s="22" t="s">
        <v>1635</v>
      </c>
      <c r="C5" s="22">
        <f>C38</f>
        <v>69.3</v>
      </c>
      <c r="D5" s="22">
        <f t="shared" ref="D5:G5" si="3">D38</f>
        <v>70.3</v>
      </c>
      <c r="E5" s="22">
        <f t="shared" si="3"/>
        <v>70.5</v>
      </c>
      <c r="F5" s="22">
        <f t="shared" si="3"/>
        <v>70.5</v>
      </c>
      <c r="G5" s="22">
        <f t="shared" si="3"/>
        <v>70.5</v>
      </c>
    </row>
    <row r="6" spans="1:12">
      <c r="A6" s="22" t="s">
        <v>63</v>
      </c>
      <c r="B6" s="22" t="s">
        <v>2400</v>
      </c>
      <c r="C6" s="22">
        <f>C39</f>
        <v>72.400000000000006</v>
      </c>
      <c r="D6" s="22">
        <f t="shared" ref="D6:G6" si="4">D39</f>
        <v>72.400000000000006</v>
      </c>
      <c r="E6" s="22">
        <f t="shared" si="4"/>
        <v>72.400000000000006</v>
      </c>
      <c r="F6" s="22">
        <f t="shared" si="4"/>
        <v>72.400000000000006</v>
      </c>
      <c r="G6" s="22">
        <f t="shared" si="4"/>
        <v>72.400000000000006</v>
      </c>
    </row>
    <row r="7" spans="1:12">
      <c r="A7" s="22" t="s">
        <v>1784</v>
      </c>
      <c r="B7" s="22" t="s">
        <v>2401</v>
      </c>
      <c r="C7" s="22">
        <f>C40</f>
        <v>70.7</v>
      </c>
      <c r="D7" s="22">
        <f t="shared" ref="D7:G7" si="5">D40</f>
        <v>70.900000000000006</v>
      </c>
      <c r="E7" s="22">
        <f t="shared" si="5"/>
        <v>71.099999999999994</v>
      </c>
      <c r="F7" s="22">
        <f t="shared" si="5"/>
        <v>71.2</v>
      </c>
      <c r="G7" s="22">
        <f t="shared" si="5"/>
        <v>71.400000000000006</v>
      </c>
    </row>
    <row r="8" spans="1:12">
      <c r="A8" s="22" t="s">
        <v>57</v>
      </c>
      <c r="B8" s="22" t="s">
        <v>57</v>
      </c>
      <c r="C8" s="22">
        <f t="shared" si="2"/>
        <v>710</v>
      </c>
      <c r="D8" s="22">
        <f t="shared" si="2"/>
        <v>751</v>
      </c>
      <c r="E8" s="22">
        <f t="shared" si="2"/>
        <v>791</v>
      </c>
      <c r="F8" s="22">
        <f t="shared" si="2"/>
        <v>829</v>
      </c>
      <c r="G8" s="22">
        <f t="shared" si="2"/>
        <v>864</v>
      </c>
    </row>
    <row r="9" spans="1:12">
      <c r="A9" s="22" t="s">
        <v>64</v>
      </c>
      <c r="B9" s="22" t="s">
        <v>1226</v>
      </c>
      <c r="C9" s="22">
        <f t="shared" si="2"/>
        <v>105</v>
      </c>
      <c r="D9" s="22">
        <f t="shared" si="2"/>
        <v>123</v>
      </c>
      <c r="E9" s="22">
        <f t="shared" si="2"/>
        <v>150</v>
      </c>
      <c r="F9" s="22">
        <f t="shared" si="2"/>
        <v>177</v>
      </c>
      <c r="G9" s="22">
        <f t="shared" si="2"/>
        <v>205</v>
      </c>
    </row>
    <row r="10" spans="1:12">
      <c r="A10" s="22" t="s">
        <v>56</v>
      </c>
      <c r="B10" s="22" t="s">
        <v>56</v>
      </c>
      <c r="C10" s="22">
        <f t="shared" si="2"/>
        <v>1012</v>
      </c>
      <c r="D10" s="22">
        <f t="shared" si="2"/>
        <v>1016</v>
      </c>
      <c r="E10" s="22">
        <f t="shared" si="2"/>
        <v>1030</v>
      </c>
      <c r="F10" s="22">
        <f t="shared" si="2"/>
        <v>1046</v>
      </c>
      <c r="G10" s="22">
        <f t="shared" si="2"/>
        <v>1062</v>
      </c>
    </row>
    <row r="11" spans="1:12">
      <c r="A11" s="22" t="s">
        <v>134</v>
      </c>
      <c r="B11" s="22" t="s">
        <v>973</v>
      </c>
      <c r="C11" s="22">
        <f t="shared" si="2"/>
        <v>601</v>
      </c>
      <c r="D11" s="22">
        <f t="shared" si="2"/>
        <v>605</v>
      </c>
      <c r="E11" s="22">
        <f t="shared" si="2"/>
        <v>617</v>
      </c>
      <c r="F11" s="22">
        <f t="shared" si="2"/>
        <v>633</v>
      </c>
      <c r="G11" s="22">
        <f t="shared" si="2"/>
        <v>649</v>
      </c>
    </row>
    <row r="12" spans="1:12">
      <c r="A12" s="22" t="s">
        <v>66</v>
      </c>
      <c r="B12" s="22" t="s">
        <v>1797</v>
      </c>
      <c r="C12" s="22">
        <f t="shared" si="2"/>
        <v>420</v>
      </c>
      <c r="D12" s="22">
        <f t="shared" si="2"/>
        <v>420</v>
      </c>
      <c r="E12" s="22">
        <f t="shared" si="2"/>
        <v>420</v>
      </c>
      <c r="F12" s="22">
        <f t="shared" si="2"/>
        <v>420</v>
      </c>
      <c r="G12" s="22">
        <f t="shared" si="2"/>
        <v>420</v>
      </c>
    </row>
    <row r="13" spans="1:12">
      <c r="A13" s="22" t="s">
        <v>65</v>
      </c>
      <c r="B13" s="22" t="s">
        <v>1798</v>
      </c>
      <c r="C13" s="22">
        <f t="shared" si="2"/>
        <v>69</v>
      </c>
      <c r="D13" s="22">
        <f t="shared" si="2"/>
        <v>64</v>
      </c>
      <c r="E13" s="22">
        <f t="shared" si="2"/>
        <v>61</v>
      </c>
      <c r="F13" s="22">
        <f t="shared" si="2"/>
        <v>61</v>
      </c>
      <c r="G13" s="22">
        <f t="shared" si="2"/>
        <v>59</v>
      </c>
    </row>
    <row r="14" spans="1:12">
      <c r="A14" s="22" t="s">
        <v>137</v>
      </c>
      <c r="B14" s="22" t="s">
        <v>1799</v>
      </c>
      <c r="C14" s="22">
        <f t="shared" si="2"/>
        <v>283</v>
      </c>
      <c r="D14" s="22">
        <f t="shared" si="2"/>
        <v>288</v>
      </c>
      <c r="E14" s="22">
        <f t="shared" si="2"/>
        <v>290</v>
      </c>
      <c r="F14" s="22">
        <f t="shared" si="2"/>
        <v>290</v>
      </c>
      <c r="G14" s="22">
        <f t="shared" si="2"/>
        <v>293</v>
      </c>
    </row>
    <row r="15" spans="1:12">
      <c r="A15" s="22" t="s">
        <v>67</v>
      </c>
      <c r="B15" s="22" t="s">
        <v>1800</v>
      </c>
      <c r="C15" s="22">
        <f t="shared" si="2"/>
        <v>55</v>
      </c>
      <c r="D15" s="22">
        <f t="shared" si="2"/>
        <v>55</v>
      </c>
      <c r="E15" s="22">
        <f t="shared" si="2"/>
        <v>55</v>
      </c>
      <c r="F15" s="22">
        <f t="shared" si="2"/>
        <v>55</v>
      </c>
      <c r="G15" s="22">
        <f t="shared" si="2"/>
        <v>55</v>
      </c>
    </row>
    <row r="16" spans="1:12">
      <c r="A16" s="22" t="s">
        <v>135</v>
      </c>
      <c r="B16" s="22" t="s">
        <v>135</v>
      </c>
      <c r="C16" s="22">
        <f t="shared" si="2"/>
        <v>74</v>
      </c>
      <c r="D16" s="22">
        <f t="shared" si="2"/>
        <v>67</v>
      </c>
      <c r="E16" s="22">
        <f t="shared" si="2"/>
        <v>66</v>
      </c>
      <c r="F16" s="22">
        <f t="shared" si="2"/>
        <v>66</v>
      </c>
      <c r="G16" s="22">
        <f t="shared" si="2"/>
        <v>66</v>
      </c>
    </row>
    <row r="17" spans="1:9">
      <c r="A17" s="22" t="s">
        <v>54</v>
      </c>
      <c r="B17" s="22" t="s">
        <v>54</v>
      </c>
      <c r="C17" s="22">
        <f t="shared" si="2"/>
        <v>539</v>
      </c>
      <c r="D17" s="22">
        <f t="shared" si="2"/>
        <v>555</v>
      </c>
      <c r="E17" s="22">
        <f t="shared" si="2"/>
        <v>579</v>
      </c>
      <c r="F17" s="22">
        <f t="shared" si="2"/>
        <v>605</v>
      </c>
      <c r="G17" s="22">
        <f t="shared" si="2"/>
        <v>629</v>
      </c>
    </row>
    <row r="18" spans="1:9">
      <c r="A18" s="22" t="s">
        <v>55</v>
      </c>
      <c r="B18" s="22" t="s">
        <v>55</v>
      </c>
      <c r="C18" s="22">
        <f t="shared" si="2"/>
        <v>361</v>
      </c>
      <c r="D18" s="22">
        <f t="shared" si="2"/>
        <v>367</v>
      </c>
      <c r="E18" s="22">
        <f t="shared" si="2"/>
        <v>373</v>
      </c>
      <c r="F18" s="22">
        <f t="shared" si="2"/>
        <v>379</v>
      </c>
      <c r="G18" s="22">
        <f t="shared" si="2"/>
        <v>386</v>
      </c>
    </row>
    <row r="19" spans="1:9">
      <c r="A19" s="22" t="s">
        <v>69</v>
      </c>
      <c r="B19" s="22" t="s">
        <v>69</v>
      </c>
    </row>
    <row r="20" spans="1:9">
      <c r="A20" s="22" t="s">
        <v>70</v>
      </c>
      <c r="B20" s="22" t="s">
        <v>70</v>
      </c>
    </row>
    <row r="21" spans="1:9">
      <c r="A21" s="22" t="s">
        <v>71</v>
      </c>
      <c r="B21" s="22" t="s">
        <v>71</v>
      </c>
    </row>
    <row r="22" spans="1: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>
        <v>700</v>
      </c>
    </row>
    <row r="23" spans="1:9">
      <c r="A23" s="22" t="s">
        <v>139</v>
      </c>
      <c r="B23" s="22" t="s">
        <v>139</v>
      </c>
      <c r="C23" s="109">
        <v>44</v>
      </c>
      <c r="D23" s="109">
        <v>44</v>
      </c>
      <c r="E23" s="109">
        <v>44</v>
      </c>
      <c r="F23" s="109">
        <v>44</v>
      </c>
      <c r="G23" s="109">
        <v>44</v>
      </c>
    </row>
    <row r="24" spans="1:9">
      <c r="A24" s="22" t="s">
        <v>140</v>
      </c>
      <c r="B24" s="22" t="s">
        <v>140</v>
      </c>
      <c r="C24" s="109">
        <v>45</v>
      </c>
      <c r="D24" s="109">
        <v>45</v>
      </c>
      <c r="E24" s="109">
        <v>45</v>
      </c>
      <c r="F24" s="109">
        <v>45</v>
      </c>
      <c r="G24" s="109">
        <v>45</v>
      </c>
    </row>
    <row r="25" spans="1:9" ht="22">
      <c r="A25" s="22" t="s">
        <v>1752</v>
      </c>
      <c r="B25" s="22" t="s">
        <v>1752</v>
      </c>
      <c r="C25" s="107">
        <v>147</v>
      </c>
      <c r="D25" s="107">
        <f>AVERAGE(D28,C29)</f>
        <v>162.5</v>
      </c>
      <c r="E25" s="107">
        <f t="shared" ref="E25:G25" si="6">AVERAGE(E28,D29)</f>
        <v>172.5</v>
      </c>
      <c r="F25" s="107">
        <f t="shared" si="6"/>
        <v>181</v>
      </c>
      <c r="G25" s="107">
        <f t="shared" si="6"/>
        <v>187.5</v>
      </c>
    </row>
    <row r="26" spans="1:9" ht="22">
      <c r="A26" s="22" t="s">
        <v>1753</v>
      </c>
      <c r="B26" s="22" t="s">
        <v>1753</v>
      </c>
      <c r="C26" s="107">
        <f>D25</f>
        <v>162.5</v>
      </c>
      <c r="D26" s="107">
        <f t="shared" ref="D26:F26" si="7">E25</f>
        <v>172.5</v>
      </c>
      <c r="E26" s="107">
        <f t="shared" si="7"/>
        <v>181</v>
      </c>
      <c r="F26" s="107">
        <f t="shared" si="7"/>
        <v>187.5</v>
      </c>
      <c r="G26" s="107">
        <v>203</v>
      </c>
    </row>
    <row r="27" spans="1:9" ht="22">
      <c r="I27" s="107"/>
    </row>
    <row r="28" spans="1:9" ht="22">
      <c r="B28" s="22" t="s">
        <v>1752</v>
      </c>
      <c r="C28" s="107">
        <v>147</v>
      </c>
      <c r="D28" s="107">
        <v>160</v>
      </c>
      <c r="E28" s="107">
        <v>170</v>
      </c>
      <c r="F28" s="107">
        <v>177</v>
      </c>
      <c r="G28" s="107">
        <v>182</v>
      </c>
    </row>
    <row r="29" spans="1:9" ht="22">
      <c r="B29" s="22" t="s">
        <v>1753</v>
      </c>
      <c r="C29" s="107">
        <v>165</v>
      </c>
      <c r="D29" s="107">
        <v>175</v>
      </c>
      <c r="E29" s="107">
        <v>185</v>
      </c>
      <c r="F29" s="107">
        <v>193</v>
      </c>
      <c r="G29" s="107">
        <v>203</v>
      </c>
    </row>
    <row r="30" spans="1:9" ht="22">
      <c r="I30" s="108"/>
    </row>
    <row r="33" spans="2:9" ht="31" customHeight="1">
      <c r="B33" s="22" t="s">
        <v>138</v>
      </c>
      <c r="C33" s="22" t="s">
        <v>16</v>
      </c>
      <c r="D33" s="22" t="s">
        <v>168</v>
      </c>
      <c r="E33" s="22" t="s">
        <v>169</v>
      </c>
      <c r="F33" s="22" t="s">
        <v>170</v>
      </c>
      <c r="G33" s="22" t="s">
        <v>20</v>
      </c>
      <c r="I33" s="108"/>
    </row>
    <row r="34" spans="2:9" ht="31" customHeight="1">
      <c r="B34" s="22" t="s">
        <v>11</v>
      </c>
      <c r="C34" s="22">
        <v>700</v>
      </c>
      <c r="D34" s="22">
        <v>700</v>
      </c>
      <c r="E34" s="22">
        <v>700</v>
      </c>
      <c r="F34" s="22">
        <v>700</v>
      </c>
      <c r="G34" s="22">
        <v>700</v>
      </c>
    </row>
    <row r="35" spans="2:9" ht="31" customHeight="1">
      <c r="B35" s="22" t="s">
        <v>173</v>
      </c>
      <c r="C35" s="22">
        <v>41</v>
      </c>
      <c r="D35" s="22">
        <v>45.8</v>
      </c>
      <c r="E35" s="22">
        <v>50.5</v>
      </c>
      <c r="F35" s="22">
        <v>55.3</v>
      </c>
      <c r="G35" s="22">
        <v>59</v>
      </c>
    </row>
    <row r="36" spans="2:9" ht="31" customHeight="1">
      <c r="B36" s="22" t="s">
        <v>1796</v>
      </c>
      <c r="C36" s="22">
        <v>53.2</v>
      </c>
      <c r="D36" s="22">
        <v>54.3</v>
      </c>
      <c r="E36" s="22">
        <v>55.6</v>
      </c>
      <c r="F36" s="22">
        <v>57.1</v>
      </c>
      <c r="G36" s="22">
        <v>58.6</v>
      </c>
      <c r="I36" s="108"/>
    </row>
    <row r="37" spans="2:9" ht="31" customHeight="1">
      <c r="B37" s="22" t="s">
        <v>1801</v>
      </c>
      <c r="C37" s="22">
        <v>50.3</v>
      </c>
      <c r="D37" s="22">
        <v>51.6</v>
      </c>
      <c r="E37" s="22">
        <v>53.2</v>
      </c>
      <c r="F37" s="22">
        <v>55</v>
      </c>
      <c r="G37" s="22">
        <v>56.7</v>
      </c>
    </row>
    <row r="38" spans="2:9" ht="31" customHeight="1">
      <c r="B38" s="22" t="s">
        <v>1635</v>
      </c>
      <c r="C38" s="22">
        <v>69.3</v>
      </c>
      <c r="D38" s="22">
        <v>70.3</v>
      </c>
      <c r="E38" s="22">
        <v>70.5</v>
      </c>
      <c r="F38" s="22">
        <v>70.5</v>
      </c>
      <c r="G38" s="22">
        <v>70.5</v>
      </c>
    </row>
    <row r="39" spans="2:9" ht="31" customHeight="1">
      <c r="B39" s="22" t="s">
        <v>2400</v>
      </c>
      <c r="C39" s="22">
        <v>72.400000000000006</v>
      </c>
      <c r="D39" s="22">
        <v>72.400000000000006</v>
      </c>
      <c r="E39" s="22">
        <v>72.400000000000006</v>
      </c>
      <c r="F39" s="22">
        <v>72.400000000000006</v>
      </c>
      <c r="G39" s="22">
        <v>72.400000000000006</v>
      </c>
      <c r="I39" s="108"/>
    </row>
    <row r="40" spans="2:9" ht="31" customHeight="1">
      <c r="B40" s="22" t="s">
        <v>2401</v>
      </c>
      <c r="C40" s="22">
        <v>70.7</v>
      </c>
      <c r="D40" s="22">
        <v>70.900000000000006</v>
      </c>
      <c r="E40" s="22">
        <v>71.099999999999994</v>
      </c>
      <c r="F40" s="22">
        <v>71.2</v>
      </c>
      <c r="G40" s="22">
        <v>71.400000000000006</v>
      </c>
    </row>
    <row r="41" spans="2:9" ht="31" customHeight="1">
      <c r="B41" s="22" t="s">
        <v>57</v>
      </c>
      <c r="C41" s="22">
        <v>71</v>
      </c>
      <c r="D41" s="22">
        <v>75.099999999999994</v>
      </c>
      <c r="E41" s="22">
        <v>79.099999999999994</v>
      </c>
      <c r="F41" s="22">
        <v>82.9</v>
      </c>
      <c r="G41" s="22">
        <v>86.4</v>
      </c>
    </row>
    <row r="42" spans="2:9" ht="31" customHeight="1">
      <c r="B42" s="22" t="s">
        <v>1226</v>
      </c>
      <c r="C42" s="22">
        <v>10.5</v>
      </c>
      <c r="D42" s="22">
        <v>12.3</v>
      </c>
      <c r="E42" s="22">
        <v>15</v>
      </c>
      <c r="F42" s="22">
        <v>17.7</v>
      </c>
      <c r="G42" s="22">
        <v>20.5</v>
      </c>
    </row>
    <row r="43" spans="2:9" ht="31" customHeight="1">
      <c r="B43" s="22" t="s">
        <v>56</v>
      </c>
      <c r="C43" s="22">
        <v>101.2</v>
      </c>
      <c r="D43" s="22">
        <v>101.6</v>
      </c>
      <c r="E43" s="22">
        <v>103</v>
      </c>
      <c r="F43" s="22">
        <v>104.6</v>
      </c>
      <c r="G43" s="27">
        <v>106.2</v>
      </c>
    </row>
    <row r="44" spans="2:9" ht="31" customHeight="1">
      <c r="B44" s="22" t="s">
        <v>973</v>
      </c>
      <c r="C44" s="22">
        <v>60.1</v>
      </c>
      <c r="D44" s="22">
        <v>60.5</v>
      </c>
      <c r="E44" s="22">
        <v>61.7</v>
      </c>
      <c r="F44" s="22">
        <v>63.3</v>
      </c>
      <c r="G44" s="22">
        <v>64.900000000000006</v>
      </c>
    </row>
    <row r="45" spans="2:9" ht="31" customHeight="1">
      <c r="B45" s="22" t="s">
        <v>1797</v>
      </c>
      <c r="C45" s="22">
        <v>42</v>
      </c>
      <c r="D45" s="22">
        <v>42</v>
      </c>
      <c r="E45" s="22">
        <v>42</v>
      </c>
      <c r="F45" s="22">
        <v>42</v>
      </c>
      <c r="G45" s="22">
        <v>42</v>
      </c>
    </row>
    <row r="46" spans="2:9" ht="31" customHeight="1">
      <c r="B46" s="22" t="s">
        <v>1798</v>
      </c>
      <c r="C46" s="22">
        <v>6.9</v>
      </c>
      <c r="D46" s="22">
        <v>6.4</v>
      </c>
      <c r="E46" s="22">
        <v>6.1</v>
      </c>
      <c r="F46" s="22">
        <v>6.1</v>
      </c>
      <c r="G46" s="22">
        <v>5.9</v>
      </c>
    </row>
    <row r="47" spans="2:9" ht="31" customHeight="1">
      <c r="B47" s="22" t="s">
        <v>1799</v>
      </c>
      <c r="C47" s="22">
        <v>28.3</v>
      </c>
      <c r="D47" s="22">
        <v>28.8</v>
      </c>
      <c r="E47" s="22">
        <v>29</v>
      </c>
      <c r="F47" s="22">
        <v>29</v>
      </c>
      <c r="G47" s="22">
        <v>29.3</v>
      </c>
    </row>
    <row r="48" spans="2:9" ht="31" customHeight="1">
      <c r="B48" s="22" t="s">
        <v>1800</v>
      </c>
      <c r="C48" s="22">
        <v>5.5</v>
      </c>
      <c r="D48" s="22">
        <v>5.5</v>
      </c>
      <c r="E48" s="22">
        <v>5.5</v>
      </c>
      <c r="F48" s="22">
        <v>5.5</v>
      </c>
      <c r="G48" s="73">
        <v>5.5</v>
      </c>
    </row>
    <row r="49" spans="2:7" ht="31" customHeight="1">
      <c r="B49" s="22" t="s">
        <v>135</v>
      </c>
      <c r="C49" s="22">
        <v>7.4</v>
      </c>
      <c r="D49" s="22">
        <v>6.7</v>
      </c>
      <c r="E49" s="22">
        <v>6.6</v>
      </c>
      <c r="F49" s="22">
        <v>6.6</v>
      </c>
      <c r="G49" s="22">
        <v>6.6</v>
      </c>
    </row>
    <row r="50" spans="2:7" ht="31" customHeight="1">
      <c r="B50" s="22" t="s">
        <v>54</v>
      </c>
      <c r="C50" s="22">
        <v>53.9</v>
      </c>
      <c r="D50" s="22">
        <v>55.5</v>
      </c>
      <c r="E50" s="22">
        <v>57.9</v>
      </c>
      <c r="F50" s="22">
        <v>60.5</v>
      </c>
      <c r="G50" s="22">
        <v>62.9</v>
      </c>
    </row>
    <row r="51" spans="2:7">
      <c r="B51" s="22" t="s">
        <v>55</v>
      </c>
      <c r="C51" s="22">
        <v>36.1</v>
      </c>
      <c r="D51" s="22">
        <v>36.700000000000003</v>
      </c>
      <c r="E51" s="22">
        <v>37.299999999999997</v>
      </c>
      <c r="F51" s="22">
        <v>37.9</v>
      </c>
      <c r="G51" s="22">
        <v>38.6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D056-DE77-B648-815F-A6011C95F3C4}">
  <dimension ref="A1:J51"/>
  <sheetViews>
    <sheetView workbookViewId="0">
      <selection activeCell="C21" sqref="C21"/>
    </sheetView>
  </sheetViews>
  <sheetFormatPr baseColWidth="10" defaultRowHeight="20"/>
  <cols>
    <col min="1" max="1" width="29.33203125" style="22" bestFit="1" customWidth="1"/>
    <col min="2" max="2" width="36" style="22" bestFit="1" customWidth="1"/>
    <col min="3" max="16384" width="10.83203125" style="22"/>
  </cols>
  <sheetData>
    <row r="1" spans="1:10">
      <c r="A1" s="22" t="s">
        <v>72</v>
      </c>
      <c r="B1" s="22" t="s">
        <v>138</v>
      </c>
      <c r="C1" s="33" t="s">
        <v>428</v>
      </c>
      <c r="D1" s="33" t="s">
        <v>16</v>
      </c>
      <c r="E1" s="33" t="s">
        <v>17</v>
      </c>
      <c r="F1" s="33" t="s">
        <v>18</v>
      </c>
      <c r="G1" s="33" t="s">
        <v>19</v>
      </c>
      <c r="H1" s="33" t="s">
        <v>20</v>
      </c>
      <c r="I1" s="33" t="s">
        <v>429</v>
      </c>
    </row>
    <row r="2" spans="1:10">
      <c r="A2" s="22" t="s">
        <v>60</v>
      </c>
      <c r="B2" s="33" t="s">
        <v>446</v>
      </c>
      <c r="C2" s="33">
        <v>432</v>
      </c>
      <c r="D2" s="33">
        <v>531</v>
      </c>
      <c r="E2" s="33">
        <v>492</v>
      </c>
      <c r="F2" s="33">
        <v>522</v>
      </c>
      <c r="G2" s="33">
        <v>552</v>
      </c>
      <c r="H2" s="33">
        <v>582</v>
      </c>
      <c r="I2" s="33">
        <v>612</v>
      </c>
      <c r="J2" s="22" t="s">
        <v>925</v>
      </c>
    </row>
    <row r="3" spans="1:10">
      <c r="A3" s="22" t="s">
        <v>73</v>
      </c>
      <c r="B3" s="33" t="s">
        <v>447</v>
      </c>
      <c r="C3" s="33">
        <v>516</v>
      </c>
      <c r="D3" s="33">
        <v>531</v>
      </c>
      <c r="E3" s="33">
        <v>555</v>
      </c>
      <c r="F3" s="33">
        <v>577</v>
      </c>
      <c r="G3" s="33">
        <v>591</v>
      </c>
      <c r="H3" s="33">
        <v>616</v>
      </c>
      <c r="I3" s="33">
        <v>631</v>
      </c>
      <c r="J3" s="22" t="s">
        <v>925</v>
      </c>
    </row>
    <row r="4" spans="1:10">
      <c r="A4" s="22" t="s">
        <v>64</v>
      </c>
      <c r="B4" s="33" t="s">
        <v>448</v>
      </c>
      <c r="C4" s="33">
        <v>117</v>
      </c>
      <c r="D4" s="33">
        <v>133</v>
      </c>
      <c r="E4" s="33">
        <v>124</v>
      </c>
      <c r="F4" s="33">
        <v>143</v>
      </c>
      <c r="G4" s="33">
        <v>169</v>
      </c>
      <c r="H4" s="33">
        <v>190</v>
      </c>
      <c r="I4" s="33">
        <v>209</v>
      </c>
    </row>
    <row r="5" spans="1:10">
      <c r="A5" s="22" t="s">
        <v>62</v>
      </c>
      <c r="B5" s="33" t="s">
        <v>449</v>
      </c>
      <c r="C5" s="33">
        <v>70</v>
      </c>
      <c r="D5" s="33">
        <v>71</v>
      </c>
      <c r="E5" s="33">
        <v>70.75</v>
      </c>
      <c r="F5" s="33">
        <v>72.25</v>
      </c>
      <c r="G5" s="33">
        <v>72.5</v>
      </c>
      <c r="H5" s="33">
        <v>72.75</v>
      </c>
      <c r="I5" s="33">
        <v>72.75</v>
      </c>
    </row>
    <row r="6" spans="1:10">
      <c r="A6" s="22" t="s">
        <v>63</v>
      </c>
      <c r="B6" s="33" t="s">
        <v>454</v>
      </c>
      <c r="C6" s="33">
        <v>73.5</v>
      </c>
      <c r="D6" s="33">
        <v>73.5</v>
      </c>
      <c r="E6" s="33">
        <v>73.5</v>
      </c>
      <c r="F6" s="33">
        <v>73.5</v>
      </c>
      <c r="G6" s="33">
        <v>73.5</v>
      </c>
      <c r="H6" s="33">
        <v>73.5</v>
      </c>
      <c r="I6" s="33">
        <v>73.5</v>
      </c>
    </row>
    <row r="7" spans="1:10">
      <c r="A7" s="22" t="s">
        <v>917</v>
      </c>
      <c r="B7" s="33" t="s">
        <v>456</v>
      </c>
      <c r="C7" s="33">
        <v>415</v>
      </c>
      <c r="D7" s="33">
        <v>415</v>
      </c>
      <c r="E7" s="33">
        <v>430</v>
      </c>
      <c r="F7" s="33">
        <v>430</v>
      </c>
      <c r="G7" s="33">
        <v>430</v>
      </c>
      <c r="H7" s="33">
        <v>430</v>
      </c>
      <c r="I7" s="33">
        <v>430</v>
      </c>
    </row>
    <row r="8" spans="1:10">
      <c r="A8" s="22" t="s">
        <v>56</v>
      </c>
      <c r="B8" s="33" t="s">
        <v>457</v>
      </c>
      <c r="C8" s="33">
        <v>984</v>
      </c>
      <c r="D8" s="33">
        <v>990</v>
      </c>
      <c r="E8" s="33">
        <f>E33*1000</f>
        <v>1027</v>
      </c>
      <c r="F8" s="33">
        <f t="shared" ref="F8:I8" si="0">F33*1000</f>
        <v>1035</v>
      </c>
      <c r="G8" s="33">
        <f t="shared" si="0"/>
        <v>1047</v>
      </c>
      <c r="H8" s="33">
        <f t="shared" si="0"/>
        <v>1070</v>
      </c>
      <c r="I8" s="33">
        <f t="shared" si="0"/>
        <v>1085</v>
      </c>
    </row>
    <row r="9" spans="1:10">
      <c r="A9" s="22" t="s">
        <v>927</v>
      </c>
      <c r="B9" s="33" t="s">
        <v>458</v>
      </c>
      <c r="C9" s="33">
        <v>514</v>
      </c>
      <c r="D9" s="33">
        <v>533</v>
      </c>
      <c r="E9" s="33">
        <v>556</v>
      </c>
      <c r="F9" s="33">
        <v>579</v>
      </c>
      <c r="G9" s="33">
        <v>605</v>
      </c>
      <c r="H9" s="33">
        <v>626</v>
      </c>
      <c r="I9" s="33">
        <v>644</v>
      </c>
    </row>
    <row r="10" spans="1:10">
      <c r="A10" s="22" t="s">
        <v>928</v>
      </c>
      <c r="B10" s="33" t="s">
        <v>459</v>
      </c>
      <c r="C10" s="33">
        <v>364</v>
      </c>
      <c r="D10" s="33">
        <v>373</v>
      </c>
      <c r="E10" s="33">
        <v>390</v>
      </c>
      <c r="F10" s="33">
        <v>405</v>
      </c>
      <c r="G10" s="33">
        <v>412</v>
      </c>
      <c r="H10" s="33">
        <v>431</v>
      </c>
      <c r="I10" s="33">
        <v>440</v>
      </c>
    </row>
    <row r="11" spans="1:10">
      <c r="A11" s="22" t="s">
        <v>57</v>
      </c>
      <c r="B11" s="33" t="s">
        <v>460</v>
      </c>
      <c r="C11" s="33">
        <v>725</v>
      </c>
      <c r="D11" s="33">
        <v>751</v>
      </c>
      <c r="E11" s="33">
        <v>781</v>
      </c>
      <c r="F11" s="33">
        <v>808</v>
      </c>
      <c r="G11" s="33">
        <v>834</v>
      </c>
      <c r="H11" s="33">
        <v>859</v>
      </c>
      <c r="I11" s="33">
        <v>881</v>
      </c>
    </row>
    <row r="12" spans="1:10">
      <c r="A12" s="22" t="s">
        <v>65</v>
      </c>
      <c r="B12" s="33" t="s">
        <v>461</v>
      </c>
      <c r="C12" s="33">
        <v>60</v>
      </c>
      <c r="D12" s="33">
        <v>60</v>
      </c>
      <c r="E12" s="33">
        <v>75</v>
      </c>
      <c r="F12" s="33">
        <v>75</v>
      </c>
      <c r="G12" s="33">
        <v>75</v>
      </c>
      <c r="H12" s="33">
        <v>75</v>
      </c>
      <c r="I12" s="33">
        <v>75</v>
      </c>
    </row>
    <row r="13" spans="1:10">
      <c r="A13" s="22" t="s">
        <v>914</v>
      </c>
      <c r="B13" s="33" t="s">
        <v>462</v>
      </c>
      <c r="C13" s="33">
        <v>603</v>
      </c>
      <c r="D13" s="33">
        <v>624</v>
      </c>
      <c r="E13" s="33">
        <v>647</v>
      </c>
      <c r="F13" s="33">
        <v>669</v>
      </c>
      <c r="G13" s="33">
        <v>696</v>
      </c>
      <c r="H13" s="33">
        <v>709</v>
      </c>
      <c r="I13" s="33">
        <v>737</v>
      </c>
    </row>
    <row r="14" spans="1:10">
      <c r="A14" s="22" t="s">
        <v>915</v>
      </c>
      <c r="B14" s="33" t="s">
        <v>463</v>
      </c>
      <c r="C14" s="33">
        <v>410</v>
      </c>
      <c r="D14" s="33">
        <v>430</v>
      </c>
      <c r="E14" s="33">
        <v>447</v>
      </c>
      <c r="F14" s="33">
        <v>464</v>
      </c>
      <c r="G14" s="33">
        <v>481</v>
      </c>
      <c r="H14" s="33">
        <v>500</v>
      </c>
      <c r="I14" s="33">
        <v>519</v>
      </c>
    </row>
    <row r="15" spans="1:10" ht="22">
      <c r="A15" s="22" t="s">
        <v>931</v>
      </c>
      <c r="B15" s="15" t="s">
        <v>926</v>
      </c>
      <c r="C15" s="15">
        <v>27.5</v>
      </c>
      <c r="D15" s="15">
        <v>27.5</v>
      </c>
      <c r="E15" s="15">
        <v>27.5</v>
      </c>
      <c r="F15" s="15">
        <v>27.5</v>
      </c>
      <c r="G15" s="15">
        <v>27.5</v>
      </c>
      <c r="H15" s="15">
        <v>27.5</v>
      </c>
      <c r="I15" s="15">
        <v>27.5</v>
      </c>
    </row>
    <row r="16" spans="1:10" ht="22">
      <c r="A16" s="22" t="s">
        <v>71</v>
      </c>
      <c r="B16" s="13" t="s">
        <v>906</v>
      </c>
      <c r="C16" s="13">
        <v>70</v>
      </c>
      <c r="D16" s="13">
        <v>80</v>
      </c>
      <c r="E16" s="13">
        <v>80</v>
      </c>
      <c r="F16" s="13">
        <v>80</v>
      </c>
      <c r="G16" s="13">
        <v>90</v>
      </c>
      <c r="H16" s="13">
        <v>90</v>
      </c>
      <c r="I16" s="13">
        <v>100</v>
      </c>
    </row>
    <row r="17" spans="1:9" ht="22">
      <c r="A17" s="22" t="s">
        <v>70</v>
      </c>
      <c r="B17" s="13" t="s">
        <v>907</v>
      </c>
      <c r="C17" s="13">
        <v>400</v>
      </c>
      <c r="D17" s="13">
        <v>400</v>
      </c>
      <c r="E17" s="13">
        <v>420</v>
      </c>
      <c r="F17" s="13">
        <v>440</v>
      </c>
      <c r="G17" s="13">
        <v>440</v>
      </c>
      <c r="H17" s="13">
        <v>460</v>
      </c>
      <c r="I17" s="13">
        <v>460</v>
      </c>
    </row>
    <row r="18" spans="1:9" ht="22">
      <c r="A18" s="22" t="s">
        <v>69</v>
      </c>
      <c r="B18" s="13" t="s">
        <v>908</v>
      </c>
      <c r="C18" s="13">
        <v>165</v>
      </c>
      <c r="D18" s="13">
        <v>165</v>
      </c>
      <c r="E18" s="13">
        <v>170</v>
      </c>
      <c r="F18" s="13">
        <v>172.5</v>
      </c>
      <c r="G18" s="13">
        <v>172.5</v>
      </c>
      <c r="H18" s="13">
        <v>175</v>
      </c>
      <c r="I18" s="13">
        <v>175</v>
      </c>
    </row>
    <row r="19" spans="1:9">
      <c r="A19" s="22" t="s">
        <v>68</v>
      </c>
      <c r="B19" s="22" t="s">
        <v>68</v>
      </c>
      <c r="C19" s="22">
        <v>650</v>
      </c>
      <c r="D19" s="22">
        <v>650</v>
      </c>
      <c r="E19" s="22">
        <v>700</v>
      </c>
      <c r="F19" s="22">
        <v>700</v>
      </c>
      <c r="G19" s="22">
        <v>700</v>
      </c>
      <c r="H19" s="22">
        <v>700</v>
      </c>
      <c r="I19" s="22">
        <v>700</v>
      </c>
    </row>
    <row r="20" spans="1:9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  <c r="I20" s="22">
        <v>40</v>
      </c>
    </row>
    <row r="21" spans="1:9">
      <c r="A21" s="22" t="s">
        <v>140</v>
      </c>
      <c r="B21" s="22" t="s">
        <v>140</v>
      </c>
    </row>
    <row r="22" spans="1:9">
      <c r="A22" s="22" t="s">
        <v>66</v>
      </c>
      <c r="B22" s="22" t="s">
        <v>930</v>
      </c>
      <c r="C22" s="35">
        <f t="shared" ref="C22:I22" si="1">SQRT(C7^2+C12^2)</f>
        <v>419.31491745465007</v>
      </c>
      <c r="D22" s="35">
        <f t="shared" si="1"/>
        <v>419.31491745465007</v>
      </c>
      <c r="E22" s="35">
        <f t="shared" si="1"/>
        <v>436.49169522454832</v>
      </c>
      <c r="F22" s="35">
        <f t="shared" si="1"/>
        <v>436.49169522454832</v>
      </c>
      <c r="G22" s="35">
        <f t="shared" si="1"/>
        <v>436.49169522454832</v>
      </c>
      <c r="H22" s="35">
        <f t="shared" si="1"/>
        <v>436.49169522454832</v>
      </c>
      <c r="I22" s="35">
        <f t="shared" si="1"/>
        <v>436.49169522454832</v>
      </c>
    </row>
    <row r="23" spans="1:9">
      <c r="A23" s="22" t="s">
        <v>54</v>
      </c>
      <c r="B23" s="22" t="s">
        <v>929</v>
      </c>
      <c r="C23" s="35">
        <f t="shared" ref="C23:I23" si="2">C9-C15*SIN(C5*PI()/180)</f>
        <v>488.15845292838753</v>
      </c>
      <c r="D23" s="35">
        <f t="shared" si="2"/>
        <v>506.99823917101878</v>
      </c>
      <c r="E23" s="35">
        <f t="shared" si="2"/>
        <v>530.03755193919847</v>
      </c>
      <c r="F23" s="35">
        <f t="shared" si="2"/>
        <v>552.80911550980989</v>
      </c>
      <c r="G23" s="35">
        <f t="shared" si="2"/>
        <v>578.77278385442378</v>
      </c>
      <c r="H23" s="35">
        <f t="shared" si="2"/>
        <v>599.73695152742732</v>
      </c>
      <c r="I23" s="35">
        <f t="shared" si="2"/>
        <v>617.73695152742732</v>
      </c>
    </row>
    <row r="24" spans="1:9">
      <c r="A24" s="22" t="s">
        <v>55</v>
      </c>
      <c r="B24" s="22" t="s">
        <v>932</v>
      </c>
      <c r="C24" s="35">
        <f t="shared" ref="C24:I24" si="3">C10-C15*COS(C5*PI()/180)</f>
        <v>354.59444605854412</v>
      </c>
      <c r="D24" s="35">
        <f t="shared" si="3"/>
        <v>364.04687575242821</v>
      </c>
      <c r="E24" s="35">
        <f t="shared" si="3"/>
        <v>380.93350725527335</v>
      </c>
      <c r="F24" s="35">
        <f t="shared" si="3"/>
        <v>396.61623177672971</v>
      </c>
      <c r="G24" s="35">
        <f t="shared" si="3"/>
        <v>403.73059051363248</v>
      </c>
      <c r="H24" s="35">
        <f t="shared" si="3"/>
        <v>422.84510668817177</v>
      </c>
      <c r="I24" s="35">
        <f t="shared" si="3"/>
        <v>431.84510668817177</v>
      </c>
    </row>
    <row r="25" spans="1:9">
      <c r="A25" s="22" t="s">
        <v>933</v>
      </c>
      <c r="B25" s="22" t="s">
        <v>934</v>
      </c>
      <c r="C25" s="35">
        <f>(C23-C12)/TAN(C5*PI()/180)</f>
        <v>155.83693241540004</v>
      </c>
      <c r="D25" s="35">
        <f t="shared" ref="D25:I25" si="4">(D23-D12)/TAN(D5*PI()/180)</f>
        <v>153.91383683843989</v>
      </c>
      <c r="E25" s="35">
        <f t="shared" si="4"/>
        <v>158.9062269310341</v>
      </c>
      <c r="F25" s="35">
        <f t="shared" si="4"/>
        <v>152.94790372201547</v>
      </c>
      <c r="G25" s="35">
        <f t="shared" si="4"/>
        <v>158.83894861949383</v>
      </c>
      <c r="H25" s="35">
        <f t="shared" si="4"/>
        <v>162.93515434619184</v>
      </c>
      <c r="I25" s="35">
        <f t="shared" si="4"/>
        <v>168.5243029085228</v>
      </c>
    </row>
    <row r="26" spans="1:9">
      <c r="A26" s="22" t="s">
        <v>916</v>
      </c>
      <c r="B26" s="22" t="s">
        <v>935</v>
      </c>
      <c r="C26" s="35">
        <f>C8-C7-C24-C25</f>
        <v>58.568621526055836</v>
      </c>
      <c r="D26" s="35">
        <f t="shared" ref="D26:I26" si="5">D8-D7-D24-D25</f>
        <v>57.039287409131902</v>
      </c>
      <c r="E26" s="35">
        <f t="shared" si="5"/>
        <v>57.160265813692547</v>
      </c>
      <c r="F26" s="35">
        <f t="shared" si="5"/>
        <v>55.435864501254827</v>
      </c>
      <c r="G26" s="35">
        <f t="shared" si="5"/>
        <v>54.430460866873688</v>
      </c>
      <c r="H26" s="35">
        <f t="shared" si="5"/>
        <v>54.219738965636395</v>
      </c>
      <c r="I26" s="35">
        <f t="shared" si="5"/>
        <v>54.630590403305433</v>
      </c>
    </row>
    <row r="27" spans="1:9">
      <c r="A27" s="22" t="s">
        <v>67</v>
      </c>
      <c r="B27" s="22" t="s">
        <v>936</v>
      </c>
      <c r="C27" s="35">
        <f>ROUND(C26*SIN(C5*PI()/180),0)</f>
        <v>55</v>
      </c>
      <c r="D27" s="35">
        <f t="shared" ref="D27:I27" si="6">ROUND(D26*SIN(D5*PI()/180),0)</f>
        <v>54</v>
      </c>
      <c r="E27" s="35">
        <f t="shared" si="6"/>
        <v>54</v>
      </c>
      <c r="F27" s="35">
        <f t="shared" si="6"/>
        <v>53</v>
      </c>
      <c r="G27" s="35">
        <f t="shared" si="6"/>
        <v>52</v>
      </c>
      <c r="H27" s="35">
        <f t="shared" si="6"/>
        <v>52</v>
      </c>
      <c r="I27" s="35">
        <f t="shared" si="6"/>
        <v>52</v>
      </c>
    </row>
    <row r="28" spans="1:9">
      <c r="A28" s="22" t="s">
        <v>135</v>
      </c>
      <c r="B28" s="22" t="s">
        <v>981</v>
      </c>
      <c r="E28" s="40">
        <f>((622+2*E20)/2*COS(E5*PI()/180)-E27)/SIN(E5*PI()/180)</f>
        <v>65.376691343745748</v>
      </c>
      <c r="F28" s="40">
        <f t="shared" ref="F28:I28" si="7">((622+2*F20)/2*COS(F5*PI()/180)-F27)/SIN(F5*PI()/180)</f>
        <v>56.706853368169391</v>
      </c>
      <c r="G28" s="40">
        <f t="shared" si="7"/>
        <v>56.146360389201114</v>
      </c>
      <c r="H28" s="40">
        <f t="shared" si="7"/>
        <v>54.539272314391432</v>
      </c>
      <c r="I28" s="40">
        <f t="shared" si="7"/>
        <v>54.539272314391432</v>
      </c>
    </row>
    <row r="29" spans="1:9" ht="22">
      <c r="A29" s="22" t="s">
        <v>1752</v>
      </c>
      <c r="C29" s="40">
        <v>160</v>
      </c>
      <c r="D29" s="40">
        <f>VALUE(LEFT(D31,3))</f>
        <v>166</v>
      </c>
      <c r="E29" s="40">
        <f t="shared" ref="E29:H29" si="8">VALUE(LEFT(E31,3))</f>
        <v>172</v>
      </c>
      <c r="F29" s="40">
        <f t="shared" si="8"/>
        <v>178</v>
      </c>
      <c r="G29" s="40">
        <f t="shared" si="8"/>
        <v>184</v>
      </c>
      <c r="H29" s="40">
        <f t="shared" si="8"/>
        <v>189</v>
      </c>
      <c r="I29" s="15">
        <v>194</v>
      </c>
    </row>
    <row r="30" spans="1:9" ht="22">
      <c r="A30" s="22" t="s">
        <v>1753</v>
      </c>
      <c r="B30" s="15"/>
      <c r="C30" s="15">
        <v>166</v>
      </c>
      <c r="D30" s="15">
        <f>VALUE(RIGHT(D31,3))</f>
        <v>172</v>
      </c>
      <c r="E30" s="15">
        <f t="shared" ref="E30:H30" si="9">VALUE(RIGHT(E31,3))</f>
        <v>178</v>
      </c>
      <c r="F30" s="15">
        <f t="shared" si="9"/>
        <v>184</v>
      </c>
      <c r="G30" s="15">
        <f t="shared" si="9"/>
        <v>189</v>
      </c>
      <c r="H30" s="15">
        <f t="shared" si="9"/>
        <v>194</v>
      </c>
      <c r="I30" s="22">
        <v>200</v>
      </c>
    </row>
    <row r="31" spans="1:9">
      <c r="B31" s="33" t="s">
        <v>430</v>
      </c>
      <c r="C31" s="33" t="s">
        <v>431</v>
      </c>
      <c r="D31" s="33" t="s">
        <v>432</v>
      </c>
      <c r="E31" s="33" t="s">
        <v>433</v>
      </c>
      <c r="F31" s="33" t="s">
        <v>434</v>
      </c>
      <c r="G31" s="33" t="s">
        <v>902</v>
      </c>
      <c r="H31" s="33" t="s">
        <v>903</v>
      </c>
      <c r="I31" s="33" t="s">
        <v>904</v>
      </c>
    </row>
    <row r="32" spans="1:9">
      <c r="B32" s="33" t="s">
        <v>438</v>
      </c>
      <c r="C32" s="33" t="s">
        <v>439</v>
      </c>
      <c r="D32" s="33" t="s">
        <v>905</v>
      </c>
      <c r="E32" s="33" t="s">
        <v>441</v>
      </c>
      <c r="F32" s="33" t="s">
        <v>442</v>
      </c>
      <c r="G32" s="33" t="s">
        <v>443</v>
      </c>
      <c r="H32" s="33" t="s">
        <v>444</v>
      </c>
      <c r="I32" s="33" t="s">
        <v>445</v>
      </c>
    </row>
    <row r="33" spans="2:10">
      <c r="B33" s="33" t="s">
        <v>457</v>
      </c>
      <c r="C33" s="33">
        <v>984</v>
      </c>
      <c r="D33" s="33">
        <v>990</v>
      </c>
      <c r="E33" s="33">
        <v>1.0269999999999999</v>
      </c>
      <c r="F33" s="33">
        <v>1.0349999999999999</v>
      </c>
      <c r="G33" s="33">
        <v>1.0469999999999999</v>
      </c>
      <c r="H33" s="33">
        <v>1.07</v>
      </c>
      <c r="I33" s="33">
        <v>1.085</v>
      </c>
    </row>
    <row r="36" spans="2:10">
      <c r="C36" s="33"/>
      <c r="D36" s="33"/>
      <c r="E36" s="33"/>
      <c r="F36" s="33"/>
      <c r="G36" s="33"/>
      <c r="H36" s="33"/>
      <c r="I36" s="33"/>
    </row>
    <row r="37" spans="2:10">
      <c r="B37" s="22">
        <f>SQRT(60^2+410.6^2)</f>
        <v>414.96067283539054</v>
      </c>
      <c r="C37" s="33"/>
      <c r="D37" s="33"/>
      <c r="E37" s="33"/>
      <c r="F37" s="33"/>
      <c r="G37" s="33"/>
      <c r="H37" s="33"/>
      <c r="I37" s="33"/>
      <c r="J37" s="33"/>
    </row>
    <row r="38" spans="2:10">
      <c r="C38" s="33"/>
      <c r="D38" s="33"/>
      <c r="E38" s="33"/>
      <c r="F38" s="33"/>
      <c r="G38" s="33"/>
      <c r="H38" s="33"/>
      <c r="I38" s="33"/>
      <c r="J38" s="33"/>
    </row>
    <row r="39" spans="2:10">
      <c r="C39" s="33"/>
      <c r="D39" s="33"/>
      <c r="E39" s="33"/>
      <c r="F39" s="33"/>
      <c r="G39" s="33"/>
      <c r="H39" s="33"/>
      <c r="I39" s="33"/>
      <c r="J39" s="33"/>
    </row>
    <row r="40" spans="2:10">
      <c r="C40" s="33"/>
      <c r="D40" s="33"/>
      <c r="E40" s="33"/>
      <c r="F40" s="33"/>
      <c r="G40" s="33"/>
      <c r="H40" s="33"/>
      <c r="I40" s="33"/>
      <c r="J40" s="33"/>
    </row>
    <row r="41" spans="2:10">
      <c r="C41" s="33"/>
      <c r="D41" s="33"/>
      <c r="E41" s="33"/>
      <c r="F41" s="33"/>
      <c r="G41" s="33"/>
      <c r="H41" s="33"/>
      <c r="I41" s="33"/>
      <c r="J41" s="33"/>
    </row>
    <row r="42" spans="2:10">
      <c r="C42" s="33"/>
      <c r="D42" s="33"/>
      <c r="E42" s="33"/>
      <c r="F42" s="33"/>
      <c r="G42" s="33"/>
      <c r="H42" s="33"/>
      <c r="I42" s="33"/>
      <c r="J42" s="33"/>
    </row>
    <row r="43" spans="2:10">
      <c r="C43" s="33"/>
      <c r="D43" s="33"/>
      <c r="E43" s="33"/>
      <c r="F43" s="33"/>
      <c r="G43" s="33"/>
      <c r="H43" s="33"/>
      <c r="I43" s="33"/>
      <c r="J43" s="33"/>
    </row>
    <row r="44" spans="2:10">
      <c r="C44" s="33"/>
      <c r="D44" s="33"/>
      <c r="E44" s="33"/>
      <c r="F44" s="33"/>
      <c r="G44" s="33"/>
      <c r="H44" s="33"/>
      <c r="I44" s="33"/>
      <c r="J44" s="33"/>
    </row>
    <row r="45" spans="2:10">
      <c r="C45" s="33"/>
      <c r="D45" s="33"/>
      <c r="E45" s="33"/>
      <c r="F45" s="33"/>
      <c r="G45" s="33"/>
      <c r="H45" s="33"/>
      <c r="I45" s="33"/>
      <c r="J45" s="33"/>
    </row>
    <row r="46" spans="2:10">
      <c r="C46" s="33"/>
      <c r="D46" s="33"/>
      <c r="E46" s="33"/>
      <c r="F46" s="33"/>
      <c r="G46" s="33"/>
      <c r="H46" s="33"/>
      <c r="I46" s="33"/>
      <c r="J46" s="33"/>
    </row>
    <row r="47" spans="2:10">
      <c r="C47" s="33"/>
      <c r="D47" s="33"/>
      <c r="E47" s="33"/>
      <c r="F47" s="33"/>
      <c r="G47" s="33"/>
      <c r="H47" s="33"/>
      <c r="I47" s="33"/>
      <c r="J47" s="33"/>
    </row>
    <row r="48" spans="2:10">
      <c r="C48" s="33"/>
      <c r="D48" s="33"/>
      <c r="E48" s="33"/>
      <c r="F48" s="33"/>
      <c r="G48" s="33"/>
      <c r="H48" s="33"/>
      <c r="I48" s="33"/>
      <c r="J48" s="33"/>
    </row>
    <row r="49" spans="3:10">
      <c r="C49" s="33"/>
      <c r="D49" s="33"/>
      <c r="E49" s="33"/>
      <c r="F49" s="33"/>
      <c r="G49" s="33"/>
      <c r="H49" s="33"/>
      <c r="I49" s="33"/>
      <c r="J49" s="33"/>
    </row>
    <row r="50" spans="3:10">
      <c r="C50" s="33"/>
      <c r="D50" s="33"/>
      <c r="E50" s="33"/>
      <c r="F50" s="33"/>
      <c r="G50" s="33"/>
      <c r="H50" s="33"/>
      <c r="I50" s="33"/>
      <c r="J50" s="33"/>
    </row>
    <row r="51" spans="3:10">
      <c r="C51" s="33"/>
      <c r="D51" s="33"/>
      <c r="E51" s="33"/>
      <c r="F51" s="33"/>
      <c r="G51" s="33"/>
      <c r="H51" s="33"/>
      <c r="I51" s="33"/>
      <c r="J51" s="3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8B4D-A8E7-144F-8A67-DBA3979892D2}">
  <dimension ref="A1:K42"/>
  <sheetViews>
    <sheetView workbookViewId="0">
      <selection activeCell="J32" sqref="J32"/>
    </sheetView>
  </sheetViews>
  <sheetFormatPr baseColWidth="10" defaultRowHeight="16"/>
  <cols>
    <col min="1" max="1" width="23.1640625" bestFit="1" customWidth="1"/>
    <col min="2" max="2" width="26.83203125" bestFit="1" customWidth="1"/>
    <col min="3" max="3" width="38.6640625" bestFit="1" customWidth="1"/>
    <col min="4" max="4" width="11.6640625" bestFit="1" customWidth="1"/>
  </cols>
  <sheetData>
    <row r="1" spans="1:11" ht="19">
      <c r="A1" s="2" t="s">
        <v>72</v>
      </c>
      <c r="B1" s="2" t="s">
        <v>72</v>
      </c>
      <c r="C1" s="2" t="s">
        <v>141</v>
      </c>
      <c r="D1" s="14" t="s">
        <v>428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  <c r="J1" s="14" t="s">
        <v>429</v>
      </c>
    </row>
    <row r="2" spans="1:11" ht="19">
      <c r="A2" s="2" t="s">
        <v>54</v>
      </c>
      <c r="B2" s="2" t="s">
        <v>60</v>
      </c>
      <c r="C2" s="14" t="str">
        <f>C28</f>
        <v>Seat Tube Length in mm (b)</v>
      </c>
      <c r="D2" s="14">
        <v>432</v>
      </c>
      <c r="E2" s="14">
        <v>462</v>
      </c>
      <c r="F2" s="14">
        <v>492</v>
      </c>
      <c r="G2" s="14">
        <v>522</v>
      </c>
      <c r="H2" s="14">
        <v>552</v>
      </c>
      <c r="I2" s="14">
        <v>582</v>
      </c>
      <c r="J2" s="14">
        <v>612</v>
      </c>
    </row>
    <row r="3" spans="1:11" ht="19">
      <c r="A3" s="2" t="s">
        <v>55</v>
      </c>
      <c r="B3" s="2" t="s">
        <v>73</v>
      </c>
      <c r="C3" s="14" t="str">
        <f t="shared" ref="C3:C14" si="0">C29</f>
        <v>Top Tube Length in mm (c)</v>
      </c>
      <c r="D3" s="14">
        <v>513</v>
      </c>
      <c r="E3" s="14">
        <v>523</v>
      </c>
      <c r="F3" s="14">
        <v>547</v>
      </c>
      <c r="G3" s="14">
        <v>569</v>
      </c>
      <c r="H3" s="14">
        <v>580</v>
      </c>
      <c r="I3" s="14">
        <v>604</v>
      </c>
      <c r="J3" s="14">
        <v>615</v>
      </c>
    </row>
    <row r="4" spans="1:11" ht="19">
      <c r="A4" s="2" t="s">
        <v>60</v>
      </c>
      <c r="B4" s="2" t="s">
        <v>64</v>
      </c>
      <c r="C4" s="14" t="str">
        <f t="shared" si="0"/>
        <v>Head Tube Length in mm (d)</v>
      </c>
      <c r="D4" s="14">
        <v>70</v>
      </c>
      <c r="E4" s="14">
        <v>88</v>
      </c>
      <c r="F4" s="14">
        <v>78</v>
      </c>
      <c r="G4" s="14">
        <v>97</v>
      </c>
      <c r="H4" s="14">
        <v>125</v>
      </c>
      <c r="I4" s="14">
        <v>146</v>
      </c>
      <c r="J4" s="14">
        <v>167</v>
      </c>
    </row>
    <row r="5" spans="1:11" ht="19">
      <c r="A5" s="2" t="s">
        <v>73</v>
      </c>
      <c r="B5" s="2" t="s">
        <v>62</v>
      </c>
      <c r="C5" s="14" t="str">
        <f t="shared" si="0"/>
        <v>Head Tube Angle (e)</v>
      </c>
      <c r="D5" s="14">
        <v>70.25</v>
      </c>
      <c r="E5" s="14">
        <v>71.25</v>
      </c>
      <c r="F5" s="14">
        <v>71</v>
      </c>
      <c r="G5" s="14">
        <v>72.5</v>
      </c>
      <c r="H5" s="14">
        <v>72.5</v>
      </c>
      <c r="I5" s="14">
        <v>72.75</v>
      </c>
      <c r="J5" s="14">
        <v>72.75</v>
      </c>
    </row>
    <row r="6" spans="1:11" ht="19">
      <c r="A6" s="2" t="s">
        <v>62</v>
      </c>
      <c r="B6" s="2" t="s">
        <v>63</v>
      </c>
      <c r="C6" s="14" t="str">
        <f t="shared" si="0"/>
        <v>Seat Tube Angle (f)</v>
      </c>
      <c r="D6" s="14">
        <v>73.5</v>
      </c>
      <c r="E6" s="14">
        <v>73.5</v>
      </c>
      <c r="F6" s="14">
        <v>73.5</v>
      </c>
      <c r="G6" s="14">
        <v>73.5</v>
      </c>
      <c r="H6" s="14">
        <v>73.5</v>
      </c>
      <c r="I6" s="14">
        <v>73.5</v>
      </c>
      <c r="J6" s="14">
        <v>73.5</v>
      </c>
    </row>
    <row r="7" spans="1:11" ht="19">
      <c r="A7" s="2" t="s">
        <v>63</v>
      </c>
      <c r="B7" s="2" t="s">
        <v>917</v>
      </c>
      <c r="C7" s="14" t="str">
        <f t="shared" si="0"/>
        <v>Chainstay Length in mm (g)</v>
      </c>
      <c r="D7" s="14">
        <v>415</v>
      </c>
      <c r="E7" s="14">
        <v>415</v>
      </c>
      <c r="F7" s="14">
        <v>425</v>
      </c>
      <c r="G7" s="14">
        <v>425</v>
      </c>
      <c r="H7" s="14">
        <v>425</v>
      </c>
      <c r="I7" s="14">
        <v>425</v>
      </c>
      <c r="J7" s="14">
        <v>425</v>
      </c>
      <c r="K7" t="s">
        <v>919</v>
      </c>
    </row>
    <row r="8" spans="1:11" ht="19">
      <c r="A8" s="2" t="s">
        <v>64</v>
      </c>
      <c r="B8" s="2" t="s">
        <v>56</v>
      </c>
      <c r="C8" s="14" t="str">
        <f t="shared" si="0"/>
        <v>Wheel Base in mm (h)</v>
      </c>
      <c r="D8" s="14">
        <v>988</v>
      </c>
      <c r="E8" s="14">
        <v>990</v>
      </c>
      <c r="F8" s="14">
        <v>1020</v>
      </c>
      <c r="G8" s="14">
        <v>1029</v>
      </c>
      <c r="H8" s="14">
        <v>1040</v>
      </c>
      <c r="I8" s="14">
        <v>1063</v>
      </c>
      <c r="J8" s="14">
        <v>1073</v>
      </c>
    </row>
    <row r="9" spans="1:11" ht="19">
      <c r="A9" s="2" t="s">
        <v>65</v>
      </c>
      <c r="B9" s="2" t="s">
        <v>54</v>
      </c>
      <c r="C9" s="14" t="str">
        <f t="shared" si="0"/>
        <v>Stack in mm (i)</v>
      </c>
      <c r="D9" s="14">
        <v>470</v>
      </c>
      <c r="E9" s="14">
        <v>490</v>
      </c>
      <c r="F9" s="14">
        <v>513</v>
      </c>
      <c r="G9" s="14">
        <v>536</v>
      </c>
      <c r="H9" s="14">
        <v>563</v>
      </c>
      <c r="I9" s="14">
        <v>584</v>
      </c>
      <c r="J9" s="14">
        <v>604</v>
      </c>
    </row>
    <row r="10" spans="1:11" ht="19">
      <c r="A10" s="2" t="s">
        <v>66</v>
      </c>
      <c r="B10" s="2" t="s">
        <v>55</v>
      </c>
      <c r="C10" s="14" t="str">
        <f t="shared" si="0"/>
        <v>Reach in mm (j)</v>
      </c>
      <c r="D10" s="14">
        <v>384</v>
      </c>
      <c r="E10" s="14">
        <v>388</v>
      </c>
      <c r="F10" s="14">
        <v>405</v>
      </c>
      <c r="G10" s="14">
        <v>421</v>
      </c>
      <c r="H10" s="14">
        <v>423</v>
      </c>
      <c r="I10" s="14">
        <v>441</v>
      </c>
      <c r="J10" s="14">
        <v>466</v>
      </c>
    </row>
    <row r="11" spans="1:11" ht="19">
      <c r="A11" s="2" t="s">
        <v>56</v>
      </c>
      <c r="B11" s="2" t="s">
        <v>57</v>
      </c>
      <c r="C11" s="14" t="str">
        <f t="shared" si="0"/>
        <v>Stand-over Height in mm (k)</v>
      </c>
      <c r="D11" s="14">
        <v>753</v>
      </c>
      <c r="E11" s="14">
        <v>778</v>
      </c>
      <c r="F11" s="14">
        <v>805</v>
      </c>
      <c r="G11" s="14">
        <v>834</v>
      </c>
      <c r="H11" s="14">
        <v>860</v>
      </c>
      <c r="I11" s="14">
        <v>888</v>
      </c>
      <c r="J11" s="14">
        <v>912</v>
      </c>
    </row>
    <row r="12" spans="1:11" ht="19">
      <c r="A12" s="2" t="s">
        <v>67</v>
      </c>
      <c r="B12" s="2" t="s">
        <v>65</v>
      </c>
      <c r="C12" s="14" t="str">
        <f t="shared" si="0"/>
        <v>Bottom Bracket Offset in mm (l)</v>
      </c>
      <c r="D12" s="14">
        <v>60</v>
      </c>
      <c r="E12" s="14">
        <v>60</v>
      </c>
      <c r="F12" s="14">
        <v>75</v>
      </c>
      <c r="G12" s="14">
        <v>75</v>
      </c>
      <c r="H12" s="14">
        <v>75</v>
      </c>
      <c r="I12" s="14">
        <v>75</v>
      </c>
      <c r="J12" s="14">
        <v>75</v>
      </c>
    </row>
    <row r="13" spans="1:11" ht="19">
      <c r="A13" s="2" t="s">
        <v>57</v>
      </c>
      <c r="B13" s="2" t="s">
        <v>464</v>
      </c>
      <c r="C13" s="14" t="str">
        <f t="shared" si="0"/>
        <v>Stack+ in mm</v>
      </c>
      <c r="D13" s="14">
        <v>595</v>
      </c>
      <c r="E13" s="14">
        <v>615</v>
      </c>
      <c r="F13" s="14">
        <v>638</v>
      </c>
      <c r="G13" s="14">
        <v>660</v>
      </c>
      <c r="H13" s="14">
        <v>688</v>
      </c>
      <c r="I13" s="14">
        <v>709</v>
      </c>
      <c r="J13" s="14">
        <v>729</v>
      </c>
    </row>
    <row r="14" spans="1:11" ht="19">
      <c r="A14" s="2" t="s">
        <v>69</v>
      </c>
      <c r="B14" s="2" t="s">
        <v>465</v>
      </c>
      <c r="C14" s="14" t="str">
        <f t="shared" si="0"/>
        <v>Reach+ in mm</v>
      </c>
      <c r="D14" s="14">
        <v>404</v>
      </c>
      <c r="E14" s="14">
        <v>425</v>
      </c>
      <c r="F14" s="14">
        <v>442</v>
      </c>
      <c r="G14" s="14">
        <v>461</v>
      </c>
      <c r="H14" s="14">
        <v>478</v>
      </c>
      <c r="I14" s="14">
        <v>497</v>
      </c>
      <c r="J14" s="14">
        <v>516</v>
      </c>
    </row>
    <row r="15" spans="1:11" ht="19">
      <c r="A15" s="2" t="s">
        <v>70</v>
      </c>
      <c r="B15" s="2" t="s">
        <v>67</v>
      </c>
      <c r="C15" s="2" t="s">
        <v>67</v>
      </c>
      <c r="D15" s="14">
        <v>43</v>
      </c>
      <c r="E15" s="14">
        <v>43</v>
      </c>
      <c r="F15" s="14">
        <v>43</v>
      </c>
      <c r="G15" s="14">
        <v>43</v>
      </c>
      <c r="H15" s="14">
        <v>43</v>
      </c>
      <c r="I15" s="14">
        <v>43</v>
      </c>
      <c r="J15" s="14">
        <v>43</v>
      </c>
      <c r="K15" t="s">
        <v>468</v>
      </c>
    </row>
    <row r="16" spans="1:11" ht="19">
      <c r="A16" s="2" t="s">
        <v>71</v>
      </c>
      <c r="B16" s="2" t="s">
        <v>69</v>
      </c>
      <c r="C16" s="2" t="s">
        <v>69</v>
      </c>
      <c r="D16" s="14">
        <v>165</v>
      </c>
      <c r="E16" s="14">
        <v>165</v>
      </c>
      <c r="F16" s="14">
        <v>170</v>
      </c>
      <c r="G16" s="14">
        <v>172.5</v>
      </c>
      <c r="H16" s="14">
        <v>172.5</v>
      </c>
      <c r="I16" s="14">
        <v>175</v>
      </c>
      <c r="J16" s="14">
        <v>175</v>
      </c>
    </row>
    <row r="17" spans="1:10" ht="19">
      <c r="A17" s="2" t="s">
        <v>68</v>
      </c>
      <c r="B17" s="2" t="s">
        <v>70</v>
      </c>
      <c r="C17" s="2" t="s">
        <v>70</v>
      </c>
      <c r="D17" s="2">
        <f>VALUE(RIGHT(D42,3))</f>
        <v>400</v>
      </c>
      <c r="E17" s="2">
        <f t="shared" ref="E17:J17" si="1">VALUE(RIGHT(E42,3))</f>
        <v>420</v>
      </c>
      <c r="F17" s="2">
        <f t="shared" si="1"/>
        <v>420</v>
      </c>
      <c r="G17" s="2">
        <f t="shared" si="1"/>
        <v>440</v>
      </c>
      <c r="H17" s="2">
        <f t="shared" si="1"/>
        <v>440</v>
      </c>
      <c r="I17" s="2">
        <f t="shared" si="1"/>
        <v>460</v>
      </c>
      <c r="J17" s="2">
        <f t="shared" si="1"/>
        <v>460</v>
      </c>
    </row>
    <row r="18" spans="1:10" ht="19">
      <c r="A18" s="2" t="s">
        <v>139</v>
      </c>
      <c r="B18" s="2" t="s">
        <v>71</v>
      </c>
      <c r="C18" s="2" t="s">
        <v>71</v>
      </c>
      <c r="D18" s="2">
        <f>VALUE(LEFT(D42,2))</f>
        <v>60</v>
      </c>
      <c r="E18" s="2">
        <f t="shared" ref="E18:I18" si="2">VALUE(LEFT(E42,2))</f>
        <v>75</v>
      </c>
      <c r="F18" s="2">
        <f t="shared" si="2"/>
        <v>75</v>
      </c>
      <c r="G18" s="2">
        <f t="shared" si="2"/>
        <v>75</v>
      </c>
      <c r="H18" s="2">
        <f t="shared" si="2"/>
        <v>90</v>
      </c>
      <c r="I18" s="2">
        <f t="shared" si="2"/>
        <v>90</v>
      </c>
      <c r="J18" s="2">
        <f>VALUE(LEFT(J42,3))</f>
        <v>105</v>
      </c>
    </row>
    <row r="19" spans="1:10" ht="19">
      <c r="A19" s="2" t="s">
        <v>140</v>
      </c>
      <c r="B19" s="2" t="s">
        <v>68</v>
      </c>
      <c r="C19" s="2" t="s">
        <v>68</v>
      </c>
      <c r="D19" s="2">
        <v>650</v>
      </c>
      <c r="E19" s="2">
        <v>650</v>
      </c>
      <c r="F19" s="2">
        <v>700</v>
      </c>
      <c r="G19" s="2">
        <v>700</v>
      </c>
      <c r="H19" s="2">
        <v>700</v>
      </c>
      <c r="I19" s="2">
        <v>700</v>
      </c>
      <c r="J19" s="2">
        <v>700</v>
      </c>
    </row>
    <row r="20" spans="1:10" ht="19">
      <c r="B20" s="2" t="s">
        <v>139</v>
      </c>
      <c r="C20" s="2" t="s">
        <v>139</v>
      </c>
      <c r="D20" s="2">
        <v>40</v>
      </c>
      <c r="E20" s="2">
        <v>40</v>
      </c>
      <c r="F20" s="2">
        <v>40</v>
      </c>
      <c r="G20" s="2">
        <v>40</v>
      </c>
      <c r="H20" s="2">
        <v>40</v>
      </c>
      <c r="I20" s="2">
        <v>40</v>
      </c>
      <c r="J20" s="2">
        <v>40</v>
      </c>
    </row>
    <row r="21" spans="1:10" ht="19">
      <c r="B21" s="2" t="s">
        <v>140</v>
      </c>
      <c r="C21" s="2" t="s">
        <v>140</v>
      </c>
      <c r="D21" s="2">
        <v>42</v>
      </c>
      <c r="E21" s="2">
        <v>42</v>
      </c>
      <c r="F21" s="2">
        <v>42</v>
      </c>
      <c r="G21" s="2">
        <v>42</v>
      </c>
      <c r="H21" s="2">
        <v>42</v>
      </c>
      <c r="I21" s="2">
        <v>42</v>
      </c>
      <c r="J21" s="2">
        <v>42</v>
      </c>
    </row>
    <row r="22" spans="1:10" ht="19">
      <c r="B22" s="2" t="s">
        <v>66</v>
      </c>
      <c r="C22" s="2" t="s">
        <v>66</v>
      </c>
      <c r="D22" s="38">
        <f>SQRT(D7^2+D12^2)</f>
        <v>419.31491745465007</v>
      </c>
      <c r="E22" s="38">
        <f t="shared" ref="E22:J22" si="3">SQRT(E7^2+E12^2)</f>
        <v>419.31491745465007</v>
      </c>
      <c r="F22" s="38">
        <f t="shared" si="3"/>
        <v>431.5669125408017</v>
      </c>
      <c r="G22" s="38">
        <f t="shared" si="3"/>
        <v>431.5669125408017</v>
      </c>
      <c r="H22" s="38">
        <f t="shared" si="3"/>
        <v>431.5669125408017</v>
      </c>
      <c r="I22" s="38">
        <f t="shared" si="3"/>
        <v>431.5669125408017</v>
      </c>
      <c r="J22" s="38">
        <f t="shared" si="3"/>
        <v>431.5669125408017</v>
      </c>
    </row>
    <row r="25" spans="1:10" ht="20">
      <c r="D25" s="13" t="s">
        <v>428</v>
      </c>
      <c r="E25" s="13" t="s">
        <v>16</v>
      </c>
      <c r="F25" s="13" t="s">
        <v>17</v>
      </c>
      <c r="G25" s="13" t="s">
        <v>18</v>
      </c>
      <c r="H25" s="13" t="s">
        <v>19</v>
      </c>
      <c r="I25" s="13" t="s">
        <v>20</v>
      </c>
      <c r="J25" s="13" t="s">
        <v>429</v>
      </c>
    </row>
    <row r="26" spans="1:10" ht="20">
      <c r="C26" s="13" t="s">
        <v>430</v>
      </c>
      <c r="D26" s="13" t="s">
        <v>431</v>
      </c>
      <c r="E26" s="13" t="s">
        <v>432</v>
      </c>
      <c r="F26" s="13" t="s">
        <v>433</v>
      </c>
      <c r="G26" s="13" t="s">
        <v>434</v>
      </c>
      <c r="H26" s="13" t="s">
        <v>435</v>
      </c>
      <c r="I26" s="13" t="s">
        <v>436</v>
      </c>
      <c r="J26" s="13" t="s">
        <v>437</v>
      </c>
    </row>
    <row r="27" spans="1:10" ht="20">
      <c r="C27" s="13" t="s">
        <v>438</v>
      </c>
      <c r="D27" s="13" t="s">
        <v>439</v>
      </c>
      <c r="E27" s="13" t="s">
        <v>440</v>
      </c>
      <c r="F27" s="13" t="s">
        <v>441</v>
      </c>
      <c r="G27" s="13" t="s">
        <v>442</v>
      </c>
      <c r="H27" s="13" t="s">
        <v>443</v>
      </c>
      <c r="I27" s="13" t="s">
        <v>444</v>
      </c>
      <c r="J27" s="13" t="s">
        <v>445</v>
      </c>
    </row>
    <row r="28" spans="1:10" ht="20">
      <c r="C28" s="13" t="s">
        <v>446</v>
      </c>
      <c r="D28" s="13">
        <v>432</v>
      </c>
      <c r="E28" s="13">
        <v>462</v>
      </c>
      <c r="F28" s="13">
        <v>492</v>
      </c>
      <c r="G28" s="13">
        <v>522</v>
      </c>
      <c r="H28" s="13">
        <v>552</v>
      </c>
      <c r="I28" s="13">
        <v>582</v>
      </c>
      <c r="J28" s="13">
        <v>612</v>
      </c>
    </row>
    <row r="29" spans="1:10" ht="20">
      <c r="C29" s="13" t="s">
        <v>447</v>
      </c>
      <c r="D29" s="13">
        <v>513</v>
      </c>
      <c r="E29" s="13">
        <v>523</v>
      </c>
      <c r="F29" s="13">
        <v>547</v>
      </c>
      <c r="G29" s="13">
        <v>569</v>
      </c>
      <c r="H29" s="13">
        <v>580</v>
      </c>
      <c r="I29" s="13">
        <v>604</v>
      </c>
      <c r="J29" s="13">
        <v>615</v>
      </c>
    </row>
    <row r="30" spans="1:10" ht="20">
      <c r="C30" s="13" t="s">
        <v>448</v>
      </c>
      <c r="D30" s="13">
        <v>70</v>
      </c>
      <c r="E30" s="13">
        <v>88</v>
      </c>
      <c r="F30" s="13">
        <v>78</v>
      </c>
      <c r="G30" s="13">
        <v>97</v>
      </c>
      <c r="H30" s="13">
        <v>125</v>
      </c>
      <c r="I30" s="13">
        <v>146</v>
      </c>
      <c r="J30" s="13">
        <v>167</v>
      </c>
    </row>
    <row r="31" spans="1:10" ht="20">
      <c r="C31" s="13" t="s">
        <v>449</v>
      </c>
      <c r="D31" s="13" t="s">
        <v>450</v>
      </c>
      <c r="E31" s="13" t="s">
        <v>451</v>
      </c>
      <c r="F31" s="13" t="s">
        <v>309</v>
      </c>
      <c r="G31" s="13" t="s">
        <v>452</v>
      </c>
      <c r="H31" s="13" t="s">
        <v>452</v>
      </c>
      <c r="I31" s="13" t="s">
        <v>453</v>
      </c>
      <c r="J31" s="13" t="s">
        <v>453</v>
      </c>
    </row>
    <row r="32" spans="1:10" ht="20">
      <c r="C32" s="13" t="s">
        <v>454</v>
      </c>
      <c r="D32" s="13" t="s">
        <v>455</v>
      </c>
      <c r="E32" s="13" t="s">
        <v>455</v>
      </c>
      <c r="F32" s="13" t="s">
        <v>455</v>
      </c>
      <c r="G32" s="13" t="s">
        <v>455</v>
      </c>
      <c r="H32" s="13" t="s">
        <v>455</v>
      </c>
      <c r="I32" s="13" t="s">
        <v>455</v>
      </c>
      <c r="J32" s="13" t="s">
        <v>455</v>
      </c>
    </row>
    <row r="33" spans="3:10" ht="20">
      <c r="C33" s="13" t="s">
        <v>456</v>
      </c>
      <c r="D33" s="13">
        <v>415</v>
      </c>
      <c r="E33" s="13">
        <v>415</v>
      </c>
      <c r="F33" s="13">
        <v>425</v>
      </c>
      <c r="G33" s="13">
        <v>425</v>
      </c>
      <c r="H33" s="13">
        <v>425</v>
      </c>
      <c r="I33" s="13">
        <v>425</v>
      </c>
      <c r="J33" s="13">
        <v>425</v>
      </c>
    </row>
    <row r="34" spans="3:10" ht="20">
      <c r="C34" s="13" t="s">
        <v>457</v>
      </c>
      <c r="D34" s="13">
        <v>988</v>
      </c>
      <c r="E34" s="13">
        <v>990</v>
      </c>
      <c r="F34" s="13">
        <v>1.02</v>
      </c>
      <c r="G34" s="13">
        <v>1.0289999999999999</v>
      </c>
      <c r="H34" s="13">
        <v>1.04</v>
      </c>
      <c r="I34" s="13">
        <v>1.0629999999999999</v>
      </c>
      <c r="J34" s="13">
        <v>1.073</v>
      </c>
    </row>
    <row r="35" spans="3:10" ht="20">
      <c r="C35" s="13" t="s">
        <v>458</v>
      </c>
      <c r="D35" s="13">
        <v>470</v>
      </c>
      <c r="E35" s="13">
        <v>490</v>
      </c>
      <c r="F35" s="13">
        <v>513</v>
      </c>
      <c r="G35" s="13">
        <v>536</v>
      </c>
      <c r="H35" s="13">
        <v>563</v>
      </c>
      <c r="I35" s="13">
        <v>584</v>
      </c>
      <c r="J35" s="13">
        <v>604</v>
      </c>
    </row>
    <row r="36" spans="3:10" ht="20">
      <c r="C36" s="13" t="s">
        <v>459</v>
      </c>
      <c r="D36" s="13">
        <v>384</v>
      </c>
      <c r="E36" s="13">
        <v>388</v>
      </c>
      <c r="F36" s="13">
        <v>405</v>
      </c>
      <c r="G36" s="13">
        <v>421</v>
      </c>
      <c r="H36" s="13">
        <v>423</v>
      </c>
      <c r="I36" s="13">
        <v>441</v>
      </c>
      <c r="J36" s="13">
        <v>466</v>
      </c>
    </row>
    <row r="37" spans="3:10" ht="20">
      <c r="C37" s="13" t="s">
        <v>460</v>
      </c>
      <c r="D37" s="13">
        <v>753</v>
      </c>
      <c r="E37" s="13">
        <v>778</v>
      </c>
      <c r="F37" s="13">
        <v>805</v>
      </c>
      <c r="G37" s="13">
        <v>834</v>
      </c>
      <c r="H37" s="13">
        <v>860</v>
      </c>
      <c r="I37" s="13">
        <v>888</v>
      </c>
      <c r="J37" s="13">
        <v>912</v>
      </c>
    </row>
    <row r="38" spans="3:10" ht="20">
      <c r="C38" s="13" t="s">
        <v>461</v>
      </c>
      <c r="D38" s="13">
        <v>60</v>
      </c>
      <c r="E38" s="13">
        <v>60</v>
      </c>
      <c r="F38" s="13">
        <v>75</v>
      </c>
      <c r="G38" s="13">
        <v>75</v>
      </c>
      <c r="H38" s="13">
        <v>75</v>
      </c>
      <c r="I38" s="13">
        <v>75</v>
      </c>
      <c r="J38" s="13">
        <v>75</v>
      </c>
    </row>
    <row r="39" spans="3:10" ht="20">
      <c r="C39" s="13" t="s">
        <v>462</v>
      </c>
      <c r="D39" s="13">
        <v>595</v>
      </c>
      <c r="E39" s="13">
        <v>615</v>
      </c>
      <c r="F39" s="13">
        <v>638</v>
      </c>
      <c r="G39" s="13">
        <v>660</v>
      </c>
      <c r="H39" s="13">
        <v>688</v>
      </c>
      <c r="I39" s="13">
        <v>709</v>
      </c>
      <c r="J39" s="13">
        <v>729</v>
      </c>
    </row>
    <row r="40" spans="3:10" ht="20">
      <c r="C40" s="13" t="s">
        <v>463</v>
      </c>
      <c r="D40" s="13">
        <v>404</v>
      </c>
      <c r="E40" s="13">
        <v>425</v>
      </c>
      <c r="F40" s="13">
        <v>442</v>
      </c>
      <c r="G40" s="13">
        <v>461</v>
      </c>
      <c r="H40" s="13">
        <v>478</v>
      </c>
      <c r="I40" s="13">
        <v>497</v>
      </c>
      <c r="J40" s="13">
        <v>516</v>
      </c>
    </row>
    <row r="42" spans="3:10" ht="20">
      <c r="C42" s="13" t="s">
        <v>475</v>
      </c>
      <c r="D42" s="15" t="s">
        <v>469</v>
      </c>
      <c r="E42" s="15" t="s">
        <v>470</v>
      </c>
      <c r="F42" s="15" t="s">
        <v>470</v>
      </c>
      <c r="G42" s="15" t="s">
        <v>471</v>
      </c>
      <c r="H42" s="15" t="s">
        <v>472</v>
      </c>
      <c r="I42" s="15" t="s">
        <v>473</v>
      </c>
      <c r="J42" s="15" t="s">
        <v>474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6843-C788-5348-8B7C-176274602F90}">
  <dimension ref="A1:K53"/>
  <sheetViews>
    <sheetView topLeftCell="A2" workbookViewId="0">
      <selection activeCell="J31" sqref="J31"/>
    </sheetView>
  </sheetViews>
  <sheetFormatPr baseColWidth="10" defaultRowHeight="20"/>
  <cols>
    <col min="1" max="1" width="29.33203125" style="22" bestFit="1" customWidth="1"/>
    <col min="2" max="2" width="38.6640625" style="22" bestFit="1" customWidth="1"/>
    <col min="3" max="16384" width="10.83203125" style="22"/>
  </cols>
  <sheetData>
    <row r="1" spans="1:11">
      <c r="A1" s="22" t="s">
        <v>72</v>
      </c>
      <c r="B1" s="33" t="s">
        <v>141</v>
      </c>
      <c r="C1" s="33" t="s">
        <v>909</v>
      </c>
      <c r="D1" s="33" t="s">
        <v>428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429</v>
      </c>
    </row>
    <row r="2" spans="1:11">
      <c r="A2" s="22" t="s">
        <v>60</v>
      </c>
      <c r="B2" s="33" t="str">
        <f>B35</f>
        <v>Seat Tube Length in mm (b)</v>
      </c>
      <c r="C2" s="33">
        <f t="shared" ref="C2:J2" si="0">C35</f>
        <v>402</v>
      </c>
      <c r="D2" s="33">
        <f t="shared" si="0"/>
        <v>432</v>
      </c>
      <c r="E2" s="33">
        <f t="shared" si="0"/>
        <v>462</v>
      </c>
      <c r="F2" s="33">
        <f t="shared" si="0"/>
        <v>492</v>
      </c>
      <c r="G2" s="33">
        <f t="shared" si="0"/>
        <v>522</v>
      </c>
      <c r="H2" s="33">
        <f t="shared" si="0"/>
        <v>552</v>
      </c>
      <c r="I2" s="33">
        <f t="shared" si="0"/>
        <v>582</v>
      </c>
      <c r="J2" s="33">
        <f t="shared" si="0"/>
        <v>612</v>
      </c>
    </row>
    <row r="3" spans="1:11">
      <c r="A3" s="22" t="s">
        <v>73</v>
      </c>
      <c r="B3" s="33" t="str">
        <f t="shared" ref="B3:J14" si="1">B36</f>
        <v>Top Tube Length in mm (c)</v>
      </c>
      <c r="C3" s="33">
        <f t="shared" si="1"/>
        <v>524</v>
      </c>
      <c r="D3" s="33">
        <f t="shared" si="1"/>
        <v>532</v>
      </c>
      <c r="E3" s="33">
        <f t="shared" si="1"/>
        <v>541</v>
      </c>
      <c r="F3" s="33">
        <f t="shared" si="1"/>
        <v>562</v>
      </c>
      <c r="G3" s="33">
        <f t="shared" si="1"/>
        <v>574</v>
      </c>
      <c r="H3" s="33">
        <f t="shared" si="1"/>
        <v>588</v>
      </c>
      <c r="I3" s="33">
        <f t="shared" si="1"/>
        <v>612</v>
      </c>
      <c r="J3" s="33">
        <f t="shared" si="1"/>
        <v>627</v>
      </c>
    </row>
    <row r="4" spans="1:11">
      <c r="A4" s="22" t="s">
        <v>64</v>
      </c>
      <c r="B4" s="33" t="str">
        <f t="shared" si="1"/>
        <v>Head Tube Length in mm (d)</v>
      </c>
      <c r="C4" s="33">
        <f t="shared" si="1"/>
        <v>115</v>
      </c>
      <c r="D4" s="33">
        <f t="shared" si="1"/>
        <v>122</v>
      </c>
      <c r="E4" s="33">
        <f t="shared" si="1"/>
        <v>135</v>
      </c>
      <c r="F4" s="33">
        <f t="shared" si="1"/>
        <v>121</v>
      </c>
      <c r="G4" s="33">
        <f t="shared" si="1"/>
        <v>141</v>
      </c>
      <c r="H4" s="33">
        <f t="shared" si="1"/>
        <v>166</v>
      </c>
      <c r="I4" s="33">
        <f t="shared" si="1"/>
        <v>186</v>
      </c>
      <c r="J4" s="33">
        <f t="shared" si="1"/>
        <v>205</v>
      </c>
    </row>
    <row r="5" spans="1:11">
      <c r="A5" s="22" t="s">
        <v>62</v>
      </c>
      <c r="B5" s="33" t="str">
        <f t="shared" si="1"/>
        <v>Head Tube Angle (e)</v>
      </c>
      <c r="C5" s="33">
        <f>C38</f>
        <v>69</v>
      </c>
      <c r="D5" s="33">
        <f t="shared" si="1"/>
        <v>69.75</v>
      </c>
      <c r="E5" s="33">
        <f t="shared" si="1"/>
        <v>70.5</v>
      </c>
      <c r="F5" s="33">
        <f t="shared" si="1"/>
        <v>70.25</v>
      </c>
      <c r="G5" s="33">
        <f t="shared" si="1"/>
        <v>71.5</v>
      </c>
      <c r="H5" s="33">
        <f t="shared" si="1"/>
        <v>72</v>
      </c>
      <c r="I5" s="33">
        <f t="shared" si="1"/>
        <v>72.5</v>
      </c>
      <c r="J5" s="33">
        <f t="shared" si="1"/>
        <v>72.5</v>
      </c>
    </row>
    <row r="6" spans="1:11">
      <c r="A6" s="22" t="s">
        <v>63</v>
      </c>
      <c r="B6" s="33" t="str">
        <f t="shared" si="1"/>
        <v>Seat Tube Angle (f)</v>
      </c>
      <c r="C6" s="33">
        <f t="shared" si="1"/>
        <v>73.5</v>
      </c>
      <c r="D6" s="33">
        <f t="shared" si="1"/>
        <v>73.5</v>
      </c>
      <c r="E6" s="33">
        <f t="shared" si="1"/>
        <v>73.5</v>
      </c>
      <c r="F6" s="33">
        <f t="shared" si="1"/>
        <v>73.5</v>
      </c>
      <c r="G6" s="33">
        <f t="shared" si="1"/>
        <v>73.5</v>
      </c>
      <c r="H6" s="33">
        <f t="shared" si="1"/>
        <v>73.5</v>
      </c>
      <c r="I6" s="33">
        <f t="shared" si="1"/>
        <v>73.5</v>
      </c>
      <c r="J6" s="33">
        <f t="shared" si="1"/>
        <v>73.5</v>
      </c>
    </row>
    <row r="7" spans="1:11">
      <c r="A7" s="22" t="s">
        <v>917</v>
      </c>
      <c r="B7" s="33" t="str">
        <f t="shared" si="1"/>
        <v>Chainstay Length in mm (g)</v>
      </c>
      <c r="C7" s="33">
        <f t="shared" si="1"/>
        <v>420</v>
      </c>
      <c r="D7" s="33">
        <f t="shared" si="1"/>
        <v>420</v>
      </c>
      <c r="E7" s="33">
        <f t="shared" si="1"/>
        <v>420</v>
      </c>
      <c r="F7" s="33">
        <f t="shared" si="1"/>
        <v>435</v>
      </c>
      <c r="G7" s="33">
        <f t="shared" si="1"/>
        <v>435</v>
      </c>
      <c r="H7" s="33">
        <f t="shared" si="1"/>
        <v>435</v>
      </c>
      <c r="I7" s="33">
        <f t="shared" si="1"/>
        <v>435</v>
      </c>
      <c r="J7" s="33">
        <f t="shared" si="1"/>
        <v>435</v>
      </c>
    </row>
    <row r="8" spans="1:11">
      <c r="A8" s="22" t="s">
        <v>56</v>
      </c>
      <c r="B8" s="33" t="str">
        <f t="shared" si="1"/>
        <v>Wheel Base in mm (h)</v>
      </c>
      <c r="C8" s="33">
        <f t="shared" si="1"/>
        <v>1007</v>
      </c>
      <c r="D8" s="33">
        <f t="shared" si="1"/>
        <v>1009</v>
      </c>
      <c r="E8" s="33">
        <f t="shared" si="1"/>
        <v>1012</v>
      </c>
      <c r="F8" s="33">
        <f t="shared" si="1"/>
        <v>1044</v>
      </c>
      <c r="G8" s="33">
        <f t="shared" si="1"/>
        <v>1045</v>
      </c>
      <c r="H8" s="33">
        <f t="shared" si="1"/>
        <v>1055</v>
      </c>
      <c r="I8" s="33">
        <f t="shared" si="1"/>
        <v>1074</v>
      </c>
      <c r="J8" s="33">
        <f t="shared" si="1"/>
        <v>1089</v>
      </c>
    </row>
    <row r="9" spans="1:11">
      <c r="A9" s="22" t="s">
        <v>939</v>
      </c>
      <c r="B9" s="33" t="str">
        <f t="shared" si="1"/>
        <v>Stack in mm (i)</v>
      </c>
      <c r="C9" s="33">
        <f t="shared" si="1"/>
        <v>512</v>
      </c>
      <c r="D9" s="33">
        <f t="shared" si="1"/>
        <v>522</v>
      </c>
      <c r="E9" s="33">
        <f t="shared" si="1"/>
        <v>537</v>
      </c>
      <c r="F9" s="33">
        <f t="shared" si="1"/>
        <v>556</v>
      </c>
      <c r="G9" s="33">
        <f t="shared" si="1"/>
        <v>579</v>
      </c>
      <c r="H9" s="33">
        <f t="shared" si="1"/>
        <v>605</v>
      </c>
      <c r="I9" s="33">
        <f t="shared" si="1"/>
        <v>626</v>
      </c>
      <c r="J9" s="33">
        <f t="shared" si="1"/>
        <v>644</v>
      </c>
      <c r="K9" s="22" t="s">
        <v>938</v>
      </c>
    </row>
    <row r="10" spans="1:11">
      <c r="A10" s="22" t="s">
        <v>940</v>
      </c>
      <c r="B10" s="33" t="str">
        <f t="shared" si="1"/>
        <v>Reach in mm (j)</v>
      </c>
      <c r="C10" s="33">
        <f t="shared" si="1"/>
        <v>372</v>
      </c>
      <c r="D10" s="33">
        <f t="shared" si="1"/>
        <v>377</v>
      </c>
      <c r="E10" s="33">
        <f t="shared" si="1"/>
        <v>382</v>
      </c>
      <c r="F10" s="33">
        <f t="shared" si="1"/>
        <v>397</v>
      </c>
      <c r="G10" s="33">
        <f t="shared" si="1"/>
        <v>402</v>
      </c>
      <c r="H10" s="33">
        <f t="shared" si="1"/>
        <v>409</v>
      </c>
      <c r="I10" s="33">
        <f t="shared" si="1"/>
        <v>427</v>
      </c>
      <c r="J10" s="33">
        <f t="shared" si="1"/>
        <v>436</v>
      </c>
    </row>
    <row r="11" spans="1:11">
      <c r="A11" s="22" t="s">
        <v>57</v>
      </c>
      <c r="B11" s="33" t="str">
        <f t="shared" si="1"/>
        <v>Stand-over Height in mm (k)</v>
      </c>
      <c r="C11" s="33">
        <f t="shared" si="1"/>
        <v>709</v>
      </c>
      <c r="D11" s="33">
        <f t="shared" si="1"/>
        <v>730</v>
      </c>
      <c r="E11" s="33">
        <f t="shared" si="1"/>
        <v>752</v>
      </c>
      <c r="F11" s="33">
        <f t="shared" si="1"/>
        <v>780</v>
      </c>
      <c r="G11" s="33">
        <f t="shared" si="1"/>
        <v>807</v>
      </c>
      <c r="H11" s="33">
        <f t="shared" si="1"/>
        <v>835</v>
      </c>
      <c r="I11" s="33">
        <f t="shared" si="1"/>
        <v>860</v>
      </c>
      <c r="J11" s="33">
        <f t="shared" si="1"/>
        <v>884</v>
      </c>
    </row>
    <row r="12" spans="1:11">
      <c r="A12" s="22" t="s">
        <v>65</v>
      </c>
      <c r="B12" s="33" t="str">
        <f t="shared" si="1"/>
        <v>Bottom Bracket Offset in mm (l)</v>
      </c>
      <c r="C12" s="33">
        <f t="shared" si="1"/>
        <v>60</v>
      </c>
      <c r="D12" s="33">
        <f t="shared" si="1"/>
        <v>60</v>
      </c>
      <c r="E12" s="33">
        <f t="shared" si="1"/>
        <v>60</v>
      </c>
      <c r="F12" s="33">
        <f t="shared" si="1"/>
        <v>75</v>
      </c>
      <c r="G12" s="33">
        <f t="shared" si="1"/>
        <v>75</v>
      </c>
      <c r="H12" s="33">
        <f t="shared" si="1"/>
        <v>75</v>
      </c>
      <c r="I12" s="33">
        <f t="shared" si="1"/>
        <v>75</v>
      </c>
      <c r="J12" s="33">
        <f t="shared" si="1"/>
        <v>75</v>
      </c>
    </row>
    <row r="13" spans="1:11">
      <c r="A13" s="22" t="s">
        <v>914</v>
      </c>
      <c r="B13" s="33" t="str">
        <f t="shared" si="1"/>
        <v>Stack+ in mm</v>
      </c>
      <c r="C13" s="33">
        <f t="shared" si="1"/>
        <v>602</v>
      </c>
      <c r="D13" s="33">
        <f t="shared" si="1"/>
        <v>612</v>
      </c>
      <c r="E13" s="33">
        <f t="shared" si="1"/>
        <v>626</v>
      </c>
      <c r="F13" s="33">
        <f t="shared" si="1"/>
        <v>645</v>
      </c>
      <c r="G13" s="33">
        <f t="shared" si="1"/>
        <v>670</v>
      </c>
      <c r="H13" s="33">
        <f t="shared" si="1"/>
        <v>697</v>
      </c>
      <c r="I13" s="33">
        <f t="shared" si="1"/>
        <v>717</v>
      </c>
      <c r="J13" s="33">
        <f t="shared" si="1"/>
        <v>738</v>
      </c>
    </row>
    <row r="14" spans="1:11">
      <c r="A14" s="22" t="s">
        <v>915</v>
      </c>
      <c r="B14" s="33" t="str">
        <f t="shared" si="1"/>
        <v>Reach+ in mm</v>
      </c>
      <c r="C14" s="33">
        <f t="shared" si="1"/>
        <v>417</v>
      </c>
      <c r="D14" s="33">
        <f t="shared" si="1"/>
        <v>423</v>
      </c>
      <c r="E14" s="33">
        <f t="shared" si="1"/>
        <v>429</v>
      </c>
      <c r="F14" s="33">
        <f t="shared" si="1"/>
        <v>444</v>
      </c>
      <c r="G14" s="33">
        <f t="shared" si="1"/>
        <v>460</v>
      </c>
      <c r="H14" s="33">
        <f t="shared" si="1"/>
        <v>477</v>
      </c>
      <c r="I14" s="33">
        <f t="shared" si="1"/>
        <v>496</v>
      </c>
      <c r="J14" s="33">
        <f t="shared" si="1"/>
        <v>515</v>
      </c>
    </row>
    <row r="15" spans="1:11">
      <c r="A15" s="22" t="s">
        <v>931</v>
      </c>
      <c r="B15" s="33" t="s">
        <v>926</v>
      </c>
      <c r="C15" s="33">
        <v>27.5</v>
      </c>
      <c r="D15" s="33">
        <v>27.5</v>
      </c>
      <c r="E15" s="33">
        <v>27.5</v>
      </c>
      <c r="F15" s="33">
        <v>27.5</v>
      </c>
      <c r="G15" s="33">
        <v>27.5</v>
      </c>
      <c r="H15" s="33">
        <v>27.5</v>
      </c>
      <c r="I15" s="33">
        <v>27.5</v>
      </c>
      <c r="J15" s="33">
        <v>27.5</v>
      </c>
    </row>
    <row r="16" spans="1:11">
      <c r="A16" s="22" t="s">
        <v>71</v>
      </c>
      <c r="B16" s="33" t="s">
        <v>906</v>
      </c>
      <c r="C16" s="33">
        <v>70</v>
      </c>
      <c r="D16" s="33">
        <v>70</v>
      </c>
      <c r="E16" s="33">
        <v>80</v>
      </c>
      <c r="F16" s="33">
        <v>80</v>
      </c>
      <c r="G16" s="33">
        <v>80</v>
      </c>
      <c r="H16" s="33">
        <v>90</v>
      </c>
      <c r="I16" s="33">
        <v>90</v>
      </c>
      <c r="J16" s="33">
        <v>100</v>
      </c>
    </row>
    <row r="17" spans="1:10">
      <c r="A17" s="22" t="s">
        <v>70</v>
      </c>
      <c r="B17" s="33" t="s">
        <v>907</v>
      </c>
      <c r="C17" s="33">
        <v>380</v>
      </c>
      <c r="D17" s="33">
        <v>400</v>
      </c>
      <c r="E17" s="33">
        <v>400</v>
      </c>
      <c r="F17" s="33">
        <v>420</v>
      </c>
      <c r="G17" s="33">
        <v>420</v>
      </c>
      <c r="H17" s="33">
        <v>440</v>
      </c>
      <c r="I17" s="33">
        <v>440</v>
      </c>
      <c r="J17" s="33">
        <v>440</v>
      </c>
    </row>
    <row r="18" spans="1:10">
      <c r="A18" s="22" t="s">
        <v>69</v>
      </c>
      <c r="B18" s="33" t="s">
        <v>908</v>
      </c>
      <c r="C18" s="33">
        <v>165</v>
      </c>
      <c r="D18" s="33">
        <v>165</v>
      </c>
      <c r="E18" s="33">
        <v>170</v>
      </c>
      <c r="F18" s="33">
        <v>172.5</v>
      </c>
      <c r="G18" s="33">
        <v>172.5</v>
      </c>
      <c r="H18" s="33">
        <v>175</v>
      </c>
      <c r="I18" s="33">
        <v>175</v>
      </c>
      <c r="J18" s="33">
        <v>175</v>
      </c>
    </row>
    <row r="19" spans="1:10">
      <c r="A19" s="22" t="s">
        <v>68</v>
      </c>
      <c r="B19" s="22" t="s">
        <v>68</v>
      </c>
      <c r="C19" s="22">
        <v>650</v>
      </c>
      <c r="D19" s="22">
        <v>650</v>
      </c>
      <c r="E19" s="22">
        <v>650</v>
      </c>
      <c r="F19" s="22">
        <v>700</v>
      </c>
      <c r="G19" s="22">
        <v>700</v>
      </c>
      <c r="H19" s="22">
        <v>700</v>
      </c>
      <c r="I19" s="22">
        <v>700</v>
      </c>
      <c r="J19" s="22">
        <v>700</v>
      </c>
    </row>
    <row r="20" spans="1:10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  <c r="I20" s="22">
        <v>45</v>
      </c>
      <c r="J20" s="22">
        <v>45</v>
      </c>
    </row>
    <row r="21" spans="1:10">
      <c r="A21" s="22" t="s">
        <v>140</v>
      </c>
      <c r="B21" s="22" t="s">
        <v>140</v>
      </c>
      <c r="F21" s="22">
        <v>50</v>
      </c>
      <c r="G21" s="22">
        <v>50</v>
      </c>
      <c r="H21" s="22">
        <v>50</v>
      </c>
      <c r="I21" s="22">
        <v>50</v>
      </c>
      <c r="J21" s="22">
        <v>50</v>
      </c>
    </row>
    <row r="22" spans="1:10">
      <c r="A22" s="22" t="s">
        <v>66</v>
      </c>
      <c r="B22" s="22" t="s">
        <v>930</v>
      </c>
      <c r="C22" s="35">
        <f t="shared" ref="C22:J22" si="2">SQRT(C7^2+C12^2)</f>
        <v>424.26406871192853</v>
      </c>
      <c r="D22" s="35">
        <f t="shared" si="2"/>
        <v>424.26406871192853</v>
      </c>
      <c r="E22" s="35">
        <f t="shared" si="2"/>
        <v>424.26406871192853</v>
      </c>
      <c r="F22" s="35">
        <f t="shared" si="2"/>
        <v>441.41816908686485</v>
      </c>
      <c r="G22" s="35">
        <f t="shared" si="2"/>
        <v>441.41816908686485</v>
      </c>
      <c r="H22" s="35">
        <f t="shared" si="2"/>
        <v>441.41816908686485</v>
      </c>
      <c r="I22" s="35">
        <f t="shared" si="2"/>
        <v>441.41816908686485</v>
      </c>
      <c r="J22" s="35">
        <f t="shared" si="2"/>
        <v>441.41816908686485</v>
      </c>
    </row>
    <row r="23" spans="1:10">
      <c r="A23" s="22" t="s">
        <v>54</v>
      </c>
      <c r="B23" s="22" t="s">
        <v>929</v>
      </c>
      <c r="C23" s="35">
        <f>C9</f>
        <v>512</v>
      </c>
      <c r="D23" s="35">
        <f t="shared" ref="D23:J23" si="3">D9</f>
        <v>522</v>
      </c>
      <c r="E23" s="35">
        <f t="shared" si="3"/>
        <v>537</v>
      </c>
      <c r="F23" s="35">
        <f t="shared" si="3"/>
        <v>556</v>
      </c>
      <c r="G23" s="35">
        <f t="shared" si="3"/>
        <v>579</v>
      </c>
      <c r="H23" s="35">
        <f t="shared" si="3"/>
        <v>605</v>
      </c>
      <c r="I23" s="35">
        <f t="shared" si="3"/>
        <v>626</v>
      </c>
      <c r="J23" s="35">
        <f t="shared" si="3"/>
        <v>644</v>
      </c>
    </row>
    <row r="24" spans="1:10">
      <c r="A24" s="22" t="s">
        <v>55</v>
      </c>
      <c r="B24" s="22" t="s">
        <v>932</v>
      </c>
      <c r="C24" s="35">
        <f>C10</f>
        <v>372</v>
      </c>
      <c r="D24" s="35">
        <f t="shared" ref="D24:J24" si="4">D10</f>
        <v>377</v>
      </c>
      <c r="E24" s="35">
        <f t="shared" si="4"/>
        <v>382</v>
      </c>
      <c r="F24" s="35">
        <f t="shared" si="4"/>
        <v>397</v>
      </c>
      <c r="G24" s="35">
        <f t="shared" si="4"/>
        <v>402</v>
      </c>
      <c r="H24" s="35">
        <f t="shared" si="4"/>
        <v>409</v>
      </c>
      <c r="I24" s="35">
        <f t="shared" si="4"/>
        <v>427</v>
      </c>
      <c r="J24" s="35">
        <f t="shared" si="4"/>
        <v>436</v>
      </c>
    </row>
    <row r="25" spans="1:10">
      <c r="A25" s="22" t="s">
        <v>933</v>
      </c>
      <c r="B25" s="22" t="s">
        <v>934</v>
      </c>
      <c r="C25" s="35">
        <f>(C23-C12)/TAN(C5*PI()/180)</f>
        <v>173.50654383600798</v>
      </c>
      <c r="D25" s="35">
        <f t="shared" ref="D25:J25" si="5">(D23-D12)/TAN(D5*PI()/180)</f>
        <v>170.44079842474011</v>
      </c>
      <c r="E25" s="35">
        <f t="shared" si="5"/>
        <v>168.91455909714307</v>
      </c>
      <c r="F25" s="35">
        <f t="shared" si="5"/>
        <v>172.6966462435042</v>
      </c>
      <c r="G25" s="35">
        <f t="shared" si="5"/>
        <v>168.63604102904486</v>
      </c>
      <c r="H25" s="35">
        <f t="shared" si="5"/>
        <v>172.20743900344036</v>
      </c>
      <c r="I25" s="35">
        <f t="shared" si="5"/>
        <v>173.72963267231998</v>
      </c>
      <c r="J25" s="35">
        <f t="shared" si="5"/>
        <v>179.4050108721417</v>
      </c>
    </row>
    <row r="26" spans="1:10">
      <c r="A26" s="22" t="s">
        <v>916</v>
      </c>
      <c r="B26" s="22" t="s">
        <v>935</v>
      </c>
      <c r="C26" s="35">
        <f>C8-C53-C24-C25</f>
        <v>45.80126234746146</v>
      </c>
      <c r="D26" s="35">
        <f t="shared" ref="D26:J26" si="6">D8-D53-D24-D25</f>
        <v>45.867007758729329</v>
      </c>
      <c r="E26" s="35">
        <f t="shared" si="6"/>
        <v>45.393247086326369</v>
      </c>
      <c r="F26" s="35">
        <f t="shared" si="6"/>
        <v>45.817648043924834</v>
      </c>
      <c r="G26" s="35">
        <f t="shared" si="6"/>
        <v>45.878253258384177</v>
      </c>
      <c r="H26" s="35">
        <f t="shared" si="6"/>
        <v>45.306855283988682</v>
      </c>
      <c r="I26" s="35">
        <f t="shared" si="6"/>
        <v>44.784661615109059</v>
      </c>
      <c r="J26" s="35">
        <f t="shared" si="6"/>
        <v>45.109283415287337</v>
      </c>
    </row>
    <row r="27" spans="1:10">
      <c r="A27" s="22" t="s">
        <v>67</v>
      </c>
      <c r="B27" s="22" t="s">
        <v>936</v>
      </c>
      <c r="C27" s="35">
        <f>ROUND(C26*SIN(C5*PI()/180),0)</f>
        <v>43</v>
      </c>
      <c r="D27" s="35">
        <f t="shared" ref="D27:J27" si="7">ROUND(D26*SIN(D5*PI()/180),0)</f>
        <v>43</v>
      </c>
      <c r="E27" s="35">
        <f t="shared" si="7"/>
        <v>43</v>
      </c>
      <c r="F27" s="35">
        <f t="shared" si="7"/>
        <v>43</v>
      </c>
      <c r="G27" s="35">
        <f t="shared" si="7"/>
        <v>44</v>
      </c>
      <c r="H27" s="35">
        <f t="shared" si="7"/>
        <v>43</v>
      </c>
      <c r="I27" s="35">
        <f t="shared" si="7"/>
        <v>43</v>
      </c>
      <c r="J27" s="35">
        <f t="shared" si="7"/>
        <v>43</v>
      </c>
    </row>
    <row r="28" spans="1:10">
      <c r="A28" s="22" t="s">
        <v>135</v>
      </c>
      <c r="B28" s="22" t="s">
        <v>981</v>
      </c>
      <c r="C28" s="40">
        <f t="shared" ref="C28:D28" si="8">((584+2*C20)/2*COS(C5*PI()/180)-C27)/SIN(C5*PI()/180)</f>
        <v>83.302945080542926</v>
      </c>
      <c r="D28" s="40">
        <f t="shared" si="8"/>
        <v>78.492995421564629</v>
      </c>
      <c r="E28" s="40">
        <f>((584+2*E20)/2*COS(E5*PI()/180)-E27)/SIN(E5*PI()/180)</f>
        <v>73.721464860690446</v>
      </c>
      <c r="F28" s="40">
        <f t="shared" ref="F28:J28" si="9">((622+2*F20)/2*COS(F5*PI()/180)-F27)/SIN(F5*PI()/180)</f>
        <v>82.129538318216547</v>
      </c>
      <c r="G28" s="40">
        <f t="shared" si="9"/>
        <v>72.71827218653354</v>
      </c>
      <c r="H28" s="40">
        <f t="shared" si="9"/>
        <v>70.458536216669174</v>
      </c>
      <c r="I28" s="40">
        <f t="shared" si="9"/>
        <v>67.159616459863329</v>
      </c>
      <c r="J28" s="40">
        <f t="shared" si="9"/>
        <v>67.159616459863329</v>
      </c>
    </row>
    <row r="29" spans="1:10">
      <c r="A29" s="22" t="s">
        <v>1752</v>
      </c>
      <c r="C29" s="40">
        <v>152</v>
      </c>
      <c r="D29" s="40">
        <f>VALUE(LEFT(D33,3))</f>
        <v>158</v>
      </c>
      <c r="E29" s="40">
        <f t="shared" ref="E29:I29" si="10">VALUE(LEFT(E33,3))</f>
        <v>166</v>
      </c>
      <c r="F29" s="40">
        <f t="shared" si="10"/>
        <v>172</v>
      </c>
      <c r="G29" s="40">
        <f t="shared" si="10"/>
        <v>178</v>
      </c>
      <c r="H29" s="40">
        <f t="shared" si="10"/>
        <v>184</v>
      </c>
      <c r="I29" s="40">
        <f t="shared" si="10"/>
        <v>189</v>
      </c>
      <c r="J29" s="40">
        <v>194</v>
      </c>
    </row>
    <row r="30" spans="1:10" ht="22">
      <c r="A30" s="22" t="s">
        <v>1753</v>
      </c>
      <c r="C30" s="15">
        <v>158</v>
      </c>
      <c r="D30" s="15">
        <f>VALUE(RIGHT(D33,3))</f>
        <v>166</v>
      </c>
      <c r="E30" s="15">
        <f t="shared" ref="E30:I30" si="11">VALUE(RIGHT(E33,3))</f>
        <v>172</v>
      </c>
      <c r="F30" s="15">
        <f t="shared" si="11"/>
        <v>178</v>
      </c>
      <c r="G30" s="15">
        <f t="shared" si="11"/>
        <v>184</v>
      </c>
      <c r="H30" s="15">
        <f t="shared" si="11"/>
        <v>189</v>
      </c>
      <c r="I30" s="15">
        <f t="shared" si="11"/>
        <v>194</v>
      </c>
      <c r="J30" s="15">
        <v>200</v>
      </c>
    </row>
    <row r="32" spans="1:10">
      <c r="B32" s="33"/>
      <c r="C32" s="33" t="s">
        <v>909</v>
      </c>
      <c r="D32" s="33" t="s">
        <v>428</v>
      </c>
      <c r="E32" s="33" t="s">
        <v>16</v>
      </c>
      <c r="F32" s="33" t="s">
        <v>17</v>
      </c>
      <c r="G32" s="33" t="s">
        <v>18</v>
      </c>
      <c r="H32" s="33" t="s">
        <v>19</v>
      </c>
      <c r="I32" s="33" t="s">
        <v>20</v>
      </c>
      <c r="J32" s="33" t="s">
        <v>429</v>
      </c>
    </row>
    <row r="33" spans="2:10">
      <c r="B33" s="33" t="s">
        <v>430</v>
      </c>
      <c r="C33" s="33" t="s">
        <v>910</v>
      </c>
      <c r="D33" s="33" t="s">
        <v>911</v>
      </c>
      <c r="E33" s="33" t="s">
        <v>432</v>
      </c>
      <c r="F33" s="33" t="s">
        <v>433</v>
      </c>
      <c r="G33" s="33" t="s">
        <v>434</v>
      </c>
      <c r="H33" s="33" t="s">
        <v>902</v>
      </c>
      <c r="I33" s="33" t="s">
        <v>903</v>
      </c>
      <c r="J33" s="33" t="s">
        <v>912</v>
      </c>
    </row>
    <row r="34" spans="2:10">
      <c r="B34" s="33" t="s">
        <v>438</v>
      </c>
      <c r="C34" s="33" t="s">
        <v>913</v>
      </c>
      <c r="D34" s="33" t="s">
        <v>439</v>
      </c>
      <c r="E34" s="33" t="s">
        <v>440</v>
      </c>
      <c r="F34" s="33" t="s">
        <v>441</v>
      </c>
      <c r="G34" s="33" t="s">
        <v>442</v>
      </c>
      <c r="H34" s="33" t="s">
        <v>443</v>
      </c>
      <c r="I34" s="33" t="s">
        <v>444</v>
      </c>
      <c r="J34" s="33" t="s">
        <v>445</v>
      </c>
    </row>
    <row r="35" spans="2:10">
      <c r="B35" s="33" t="s">
        <v>446</v>
      </c>
      <c r="C35" s="33">
        <v>402</v>
      </c>
      <c r="D35" s="33">
        <v>432</v>
      </c>
      <c r="E35" s="33">
        <v>462</v>
      </c>
      <c r="F35" s="33">
        <v>492</v>
      </c>
      <c r="G35" s="33">
        <v>522</v>
      </c>
      <c r="H35" s="33">
        <v>552</v>
      </c>
      <c r="I35" s="33">
        <v>582</v>
      </c>
      <c r="J35" s="33">
        <v>612</v>
      </c>
    </row>
    <row r="36" spans="2:10">
      <c r="B36" s="33" t="s">
        <v>447</v>
      </c>
      <c r="C36" s="33">
        <v>524</v>
      </c>
      <c r="D36" s="33">
        <v>532</v>
      </c>
      <c r="E36" s="33">
        <v>541</v>
      </c>
      <c r="F36" s="33">
        <v>562</v>
      </c>
      <c r="G36" s="33">
        <v>574</v>
      </c>
      <c r="H36" s="33">
        <v>588</v>
      </c>
      <c r="I36" s="33">
        <v>612</v>
      </c>
      <c r="J36" s="33">
        <v>627</v>
      </c>
    </row>
    <row r="37" spans="2:10">
      <c r="B37" s="33" t="s">
        <v>448</v>
      </c>
      <c r="C37" s="33">
        <v>115</v>
      </c>
      <c r="D37" s="33">
        <v>122</v>
      </c>
      <c r="E37" s="33">
        <v>135</v>
      </c>
      <c r="F37" s="33">
        <v>121</v>
      </c>
      <c r="G37" s="33">
        <v>141</v>
      </c>
      <c r="H37" s="33">
        <v>166</v>
      </c>
      <c r="I37" s="33">
        <v>186</v>
      </c>
      <c r="J37" s="33">
        <v>205</v>
      </c>
    </row>
    <row r="38" spans="2:10">
      <c r="B38" s="33" t="s">
        <v>449</v>
      </c>
      <c r="C38" s="33">
        <v>69</v>
      </c>
      <c r="D38" s="33">
        <v>69.75</v>
      </c>
      <c r="E38" s="33">
        <v>70.5</v>
      </c>
      <c r="F38" s="33">
        <v>70.25</v>
      </c>
      <c r="G38" s="33">
        <v>71.5</v>
      </c>
      <c r="H38" s="33">
        <v>72</v>
      </c>
      <c r="I38" s="33">
        <v>72.5</v>
      </c>
      <c r="J38" s="33">
        <v>72.5</v>
      </c>
    </row>
    <row r="39" spans="2:10">
      <c r="B39" s="33" t="s">
        <v>454</v>
      </c>
      <c r="C39" s="33">
        <v>73.5</v>
      </c>
      <c r="D39" s="33">
        <v>73.5</v>
      </c>
      <c r="E39" s="33">
        <v>73.5</v>
      </c>
      <c r="F39" s="33">
        <v>73.5</v>
      </c>
      <c r="G39" s="33">
        <v>73.5</v>
      </c>
      <c r="H39" s="33">
        <v>73.5</v>
      </c>
      <c r="I39" s="33">
        <v>73.5</v>
      </c>
      <c r="J39" s="33">
        <v>73.5</v>
      </c>
    </row>
    <row r="40" spans="2:10">
      <c r="B40" s="33" t="s">
        <v>456</v>
      </c>
      <c r="C40" s="33">
        <v>420</v>
      </c>
      <c r="D40" s="33">
        <v>420</v>
      </c>
      <c r="E40" s="33">
        <v>420</v>
      </c>
      <c r="F40" s="33">
        <v>435</v>
      </c>
      <c r="G40" s="33">
        <v>435</v>
      </c>
      <c r="H40" s="33">
        <v>435</v>
      </c>
      <c r="I40" s="33">
        <v>435</v>
      </c>
      <c r="J40" s="33">
        <v>435</v>
      </c>
    </row>
    <row r="41" spans="2:10">
      <c r="B41" s="33" t="s">
        <v>457</v>
      </c>
      <c r="C41" s="33">
        <v>1007</v>
      </c>
      <c r="D41" s="33">
        <v>1009</v>
      </c>
      <c r="E41" s="33">
        <v>1012</v>
      </c>
      <c r="F41" s="33">
        <v>1044</v>
      </c>
      <c r="G41" s="33">
        <v>1045</v>
      </c>
      <c r="H41" s="33">
        <v>1055</v>
      </c>
      <c r="I41" s="33">
        <v>1074</v>
      </c>
      <c r="J41" s="33">
        <v>1089</v>
      </c>
    </row>
    <row r="42" spans="2:10">
      <c r="B42" s="33" t="s">
        <v>458</v>
      </c>
      <c r="C42" s="33">
        <v>512</v>
      </c>
      <c r="D42" s="33">
        <v>522</v>
      </c>
      <c r="E42" s="33">
        <v>537</v>
      </c>
      <c r="F42" s="33">
        <v>556</v>
      </c>
      <c r="G42" s="33">
        <v>579</v>
      </c>
      <c r="H42" s="33">
        <v>605</v>
      </c>
      <c r="I42" s="33">
        <v>626</v>
      </c>
      <c r="J42" s="33">
        <v>644</v>
      </c>
    </row>
    <row r="43" spans="2:10">
      <c r="B43" s="33" t="s">
        <v>459</v>
      </c>
      <c r="C43" s="33">
        <v>372</v>
      </c>
      <c r="D43" s="33">
        <v>377</v>
      </c>
      <c r="E43" s="33">
        <v>382</v>
      </c>
      <c r="F43" s="33">
        <v>397</v>
      </c>
      <c r="G43" s="33">
        <v>402</v>
      </c>
      <c r="H43" s="33">
        <v>409</v>
      </c>
      <c r="I43" s="33">
        <v>427</v>
      </c>
      <c r="J43" s="33">
        <v>436</v>
      </c>
    </row>
    <row r="44" spans="2:10">
      <c r="B44" s="33" t="s">
        <v>460</v>
      </c>
      <c r="C44" s="33">
        <v>709</v>
      </c>
      <c r="D44" s="33">
        <v>730</v>
      </c>
      <c r="E44" s="33">
        <v>752</v>
      </c>
      <c r="F44" s="33">
        <v>780</v>
      </c>
      <c r="G44" s="33">
        <v>807</v>
      </c>
      <c r="H44" s="33">
        <v>835</v>
      </c>
      <c r="I44" s="33">
        <v>860</v>
      </c>
      <c r="J44" s="33">
        <v>884</v>
      </c>
    </row>
    <row r="45" spans="2:10">
      <c r="B45" s="33" t="s">
        <v>461</v>
      </c>
      <c r="C45" s="33">
        <v>60</v>
      </c>
      <c r="D45" s="33">
        <v>60</v>
      </c>
      <c r="E45" s="33">
        <v>60</v>
      </c>
      <c r="F45" s="33">
        <v>75</v>
      </c>
      <c r="G45" s="33">
        <v>75</v>
      </c>
      <c r="H45" s="33">
        <v>75</v>
      </c>
      <c r="I45" s="33">
        <v>75</v>
      </c>
      <c r="J45" s="33">
        <v>75</v>
      </c>
    </row>
    <row r="46" spans="2:10">
      <c r="B46" s="33" t="s">
        <v>462</v>
      </c>
      <c r="C46" s="33">
        <v>602</v>
      </c>
      <c r="D46" s="33">
        <v>612</v>
      </c>
      <c r="E46" s="33">
        <v>626</v>
      </c>
      <c r="F46" s="33">
        <v>645</v>
      </c>
      <c r="G46" s="33">
        <v>670</v>
      </c>
      <c r="H46" s="33">
        <v>697</v>
      </c>
      <c r="I46" s="33">
        <v>717</v>
      </c>
      <c r="J46" s="33">
        <v>738</v>
      </c>
    </row>
    <row r="47" spans="2:10">
      <c r="B47" s="33" t="s">
        <v>463</v>
      </c>
      <c r="C47" s="33">
        <v>417</v>
      </c>
      <c r="D47" s="33">
        <v>423</v>
      </c>
      <c r="E47" s="33">
        <v>429</v>
      </c>
      <c r="F47" s="33">
        <v>444</v>
      </c>
      <c r="G47" s="33">
        <v>460</v>
      </c>
      <c r="H47" s="33">
        <v>477</v>
      </c>
      <c r="I47" s="33">
        <v>496</v>
      </c>
      <c r="J47" s="33">
        <v>515</v>
      </c>
    </row>
    <row r="52" spans="2:10">
      <c r="B52" s="22" t="s">
        <v>2411</v>
      </c>
      <c r="C52" s="22">
        <f>C7</f>
        <v>420</v>
      </c>
      <c r="D52" s="22">
        <f t="shared" ref="D52:J52" si="12">D7</f>
        <v>420</v>
      </c>
      <c r="E52" s="22">
        <f t="shared" si="12"/>
        <v>420</v>
      </c>
      <c r="F52" s="22">
        <f t="shared" si="12"/>
        <v>435</v>
      </c>
      <c r="G52" s="22">
        <f t="shared" si="12"/>
        <v>435</v>
      </c>
      <c r="H52" s="22">
        <f t="shared" si="12"/>
        <v>435</v>
      </c>
      <c r="I52" s="22">
        <f t="shared" si="12"/>
        <v>435</v>
      </c>
      <c r="J52" s="22">
        <f t="shared" si="12"/>
        <v>435</v>
      </c>
    </row>
    <row r="53" spans="2:10">
      <c r="B53" s="22" t="s">
        <v>2410</v>
      </c>
      <c r="C53" s="22">
        <f>SQRT(C52^2 - C12^2)</f>
        <v>415.69219381653056</v>
      </c>
      <c r="D53" s="22">
        <f t="shared" ref="D53:J53" si="13">SQRT(D52^2 - D12^2)</f>
        <v>415.69219381653056</v>
      </c>
      <c r="E53" s="22">
        <f t="shared" si="13"/>
        <v>415.69219381653056</v>
      </c>
      <c r="F53" s="22">
        <f t="shared" si="13"/>
        <v>428.48570571257102</v>
      </c>
      <c r="G53" s="22">
        <f t="shared" si="13"/>
        <v>428.48570571257102</v>
      </c>
      <c r="H53" s="22">
        <f t="shared" si="13"/>
        <v>428.48570571257102</v>
      </c>
      <c r="I53" s="22">
        <f t="shared" si="13"/>
        <v>428.48570571257102</v>
      </c>
      <c r="J53" s="22">
        <f t="shared" si="13"/>
        <v>428.48570571257102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8906-A1FB-5247-9CD4-FB925257A7C8}">
  <dimension ref="A1:H25"/>
  <sheetViews>
    <sheetView zoomScale="110" zoomScaleNormal="110" workbookViewId="0">
      <selection activeCell="C23" sqref="C23"/>
    </sheetView>
  </sheetViews>
  <sheetFormatPr baseColWidth="10" defaultRowHeight="20"/>
  <cols>
    <col min="1" max="1" width="29.33203125" style="22" bestFit="1" customWidth="1"/>
    <col min="2" max="2" width="24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>
        <v>48</v>
      </c>
      <c r="D1" s="22">
        <v>51</v>
      </c>
      <c r="E1" s="22">
        <v>54</v>
      </c>
      <c r="F1" s="22">
        <v>56</v>
      </c>
      <c r="G1" s="22">
        <v>58</v>
      </c>
      <c r="H1" s="22">
        <v>61</v>
      </c>
    </row>
    <row r="2" spans="1:8">
      <c r="A2" s="22" t="s">
        <v>55</v>
      </c>
      <c r="B2" s="22" t="s">
        <v>1726</v>
      </c>
      <c r="C2" s="22">
        <v>370</v>
      </c>
      <c r="D2" s="22">
        <v>379</v>
      </c>
      <c r="E2" s="22">
        <v>388</v>
      </c>
      <c r="F2" s="22">
        <v>397</v>
      </c>
      <c r="G2" s="22">
        <v>406</v>
      </c>
      <c r="H2" s="22">
        <v>415</v>
      </c>
    </row>
    <row r="3" spans="1:8">
      <c r="A3" s="22" t="s">
        <v>54</v>
      </c>
      <c r="B3" s="22" t="s">
        <v>1727</v>
      </c>
      <c r="C3" s="22">
        <v>505</v>
      </c>
      <c r="D3" s="22">
        <v>530</v>
      </c>
      <c r="E3" s="22">
        <v>555</v>
      </c>
      <c r="F3" s="22">
        <v>580</v>
      </c>
      <c r="G3" s="22">
        <v>605</v>
      </c>
      <c r="H3" s="22">
        <v>630</v>
      </c>
    </row>
    <row r="4" spans="1:8">
      <c r="A4" s="22" t="s">
        <v>62</v>
      </c>
      <c r="B4" s="22" t="s">
        <v>3</v>
      </c>
      <c r="C4" s="22">
        <v>71</v>
      </c>
      <c r="D4" s="22">
        <v>71.5</v>
      </c>
      <c r="E4" s="22">
        <v>72</v>
      </c>
      <c r="F4" s="22">
        <v>72</v>
      </c>
      <c r="G4" s="22">
        <v>72</v>
      </c>
      <c r="H4" s="22">
        <v>72</v>
      </c>
    </row>
    <row r="5" spans="1:8">
      <c r="A5" s="22" t="s">
        <v>134</v>
      </c>
      <c r="B5" s="22" t="s">
        <v>1728</v>
      </c>
      <c r="C5" s="22">
        <v>583</v>
      </c>
      <c r="D5" s="22">
        <v>592</v>
      </c>
      <c r="E5" s="22">
        <v>602</v>
      </c>
      <c r="F5" s="22">
        <v>619</v>
      </c>
      <c r="G5" s="22">
        <v>637</v>
      </c>
      <c r="H5" s="22">
        <v>654</v>
      </c>
    </row>
    <row r="6" spans="1:8">
      <c r="A6" s="22" t="s">
        <v>65</v>
      </c>
      <c r="B6" s="22" t="s">
        <v>1729</v>
      </c>
      <c r="C6" s="22">
        <v>78.5</v>
      </c>
      <c r="D6" s="22">
        <v>78.5</v>
      </c>
      <c r="E6" s="22">
        <v>76</v>
      </c>
      <c r="F6" s="22">
        <v>76</v>
      </c>
      <c r="G6" s="22">
        <v>73.5</v>
      </c>
      <c r="H6" s="22">
        <v>73.5</v>
      </c>
    </row>
    <row r="7" spans="1:8">
      <c r="A7" s="22" t="s">
        <v>64</v>
      </c>
      <c r="B7" s="22" t="s">
        <v>1730</v>
      </c>
      <c r="C7" s="22">
        <v>83</v>
      </c>
      <c r="D7" s="22">
        <v>107</v>
      </c>
      <c r="E7" s="22">
        <v>133</v>
      </c>
      <c r="F7" s="22">
        <v>159</v>
      </c>
      <c r="G7" s="22">
        <v>188</v>
      </c>
      <c r="H7" s="22">
        <v>214</v>
      </c>
    </row>
    <row r="8" spans="1:8">
      <c r="A8" s="22" t="s">
        <v>73</v>
      </c>
      <c r="B8" s="22" t="s">
        <v>1731</v>
      </c>
      <c r="C8" s="22">
        <v>512</v>
      </c>
      <c r="D8" s="22">
        <v>532</v>
      </c>
      <c r="E8" s="22">
        <v>553</v>
      </c>
      <c r="F8" s="22">
        <v>575</v>
      </c>
      <c r="G8" s="22">
        <v>591</v>
      </c>
      <c r="H8" s="22">
        <v>608</v>
      </c>
    </row>
    <row r="9" spans="1:8">
      <c r="A9" s="22" t="s">
        <v>63</v>
      </c>
      <c r="B9" s="22" t="s">
        <v>4</v>
      </c>
      <c r="C9" s="22">
        <v>74.5</v>
      </c>
      <c r="D9" s="22">
        <v>74</v>
      </c>
      <c r="E9" s="22">
        <v>73.5</v>
      </c>
      <c r="F9" s="22">
        <v>73</v>
      </c>
      <c r="G9" s="22">
        <v>73</v>
      </c>
      <c r="H9" s="22">
        <v>73</v>
      </c>
    </row>
    <row r="10" spans="1:8">
      <c r="A10" s="22" t="s">
        <v>57</v>
      </c>
      <c r="B10" s="22" t="s">
        <v>1732</v>
      </c>
      <c r="C10" s="22">
        <v>690</v>
      </c>
      <c r="D10" s="22">
        <v>732</v>
      </c>
      <c r="E10" s="22">
        <v>764</v>
      </c>
      <c r="F10" s="22">
        <v>788</v>
      </c>
      <c r="G10" s="22">
        <v>814</v>
      </c>
      <c r="H10" s="22">
        <v>838</v>
      </c>
    </row>
    <row r="11" spans="1:8">
      <c r="A11" s="22" t="s">
        <v>135</v>
      </c>
      <c r="B11" s="22" t="s">
        <v>1733</v>
      </c>
      <c r="C11" s="22">
        <v>58.6</v>
      </c>
      <c r="D11" s="22">
        <v>58.6</v>
      </c>
      <c r="E11" s="22">
        <v>58.6</v>
      </c>
      <c r="F11" s="22">
        <v>58.6</v>
      </c>
      <c r="G11" s="22">
        <v>58.6</v>
      </c>
      <c r="H11" s="22">
        <v>58.6</v>
      </c>
    </row>
    <row r="12" spans="1:8">
      <c r="A12" s="22" t="s">
        <v>68</v>
      </c>
      <c r="B12" s="22" t="s">
        <v>11</v>
      </c>
      <c r="C12" s="22">
        <v>700</v>
      </c>
      <c r="D12" s="22">
        <v>700</v>
      </c>
      <c r="E12" s="22">
        <v>700</v>
      </c>
      <c r="F12" s="22">
        <v>700</v>
      </c>
      <c r="G12" s="22">
        <v>700</v>
      </c>
      <c r="H12" s="22">
        <v>700</v>
      </c>
    </row>
    <row r="13" spans="1:8">
      <c r="A13" s="22" t="s">
        <v>67</v>
      </c>
      <c r="B13" s="22" t="s">
        <v>1734</v>
      </c>
      <c r="C13" s="22">
        <f>VALUE(LEFT(C25,2))</f>
        <v>52</v>
      </c>
      <c r="D13" s="22">
        <f t="shared" ref="D13:H13" si="0">VALUE(LEFT(D25,2))</f>
        <v>49</v>
      </c>
      <c r="E13" s="22">
        <f t="shared" si="0"/>
        <v>46</v>
      </c>
      <c r="F13" s="22">
        <f t="shared" si="0"/>
        <v>46</v>
      </c>
      <c r="G13" s="22">
        <f t="shared" si="0"/>
        <v>46</v>
      </c>
      <c r="H13" s="22">
        <f t="shared" si="0"/>
        <v>46</v>
      </c>
    </row>
    <row r="14" spans="1:8">
      <c r="A14" s="22" t="s">
        <v>56</v>
      </c>
      <c r="B14" s="22" t="s">
        <v>1738</v>
      </c>
      <c r="C14" s="22">
        <v>990</v>
      </c>
      <c r="D14" s="22">
        <v>1000</v>
      </c>
      <c r="E14" s="22">
        <v>1010</v>
      </c>
      <c r="F14" s="22">
        <v>1027</v>
      </c>
      <c r="G14" s="22">
        <v>1046</v>
      </c>
      <c r="H14" s="22">
        <v>1063</v>
      </c>
    </row>
    <row r="15" spans="1:8">
      <c r="A15" s="22" t="s">
        <v>66</v>
      </c>
      <c r="B15" s="22" t="s">
        <v>1739</v>
      </c>
      <c r="C15" s="22">
        <v>420</v>
      </c>
      <c r="D15" s="22">
        <v>420</v>
      </c>
      <c r="E15" s="22">
        <v>420</v>
      </c>
      <c r="F15" s="22">
        <v>420</v>
      </c>
      <c r="G15" s="22">
        <v>420</v>
      </c>
      <c r="H15" s="22">
        <v>420</v>
      </c>
    </row>
    <row r="16" spans="1:8">
      <c r="A16" s="22" t="s">
        <v>60</v>
      </c>
      <c r="B16" s="22" t="s">
        <v>60</v>
      </c>
      <c r="C16" s="22">
        <f>C1*10</f>
        <v>480</v>
      </c>
      <c r="D16" s="22">
        <f t="shared" ref="D16:H16" si="1">D1*10</f>
        <v>510</v>
      </c>
      <c r="E16" s="22">
        <f t="shared" si="1"/>
        <v>540</v>
      </c>
      <c r="F16" s="22">
        <f t="shared" si="1"/>
        <v>560</v>
      </c>
      <c r="G16" s="22">
        <f t="shared" si="1"/>
        <v>580</v>
      </c>
      <c r="H16" s="22">
        <f t="shared" si="1"/>
        <v>610</v>
      </c>
    </row>
    <row r="17" spans="1:8">
      <c r="A17" s="22" t="s">
        <v>69</v>
      </c>
    </row>
    <row r="18" spans="1:8">
      <c r="A18" s="22" t="s">
        <v>70</v>
      </c>
    </row>
    <row r="19" spans="1:8">
      <c r="A19" s="22" t="s">
        <v>71</v>
      </c>
    </row>
    <row r="20" spans="1:8">
      <c r="A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</row>
    <row r="21" spans="1:8">
      <c r="A21" s="22" t="s">
        <v>139</v>
      </c>
      <c r="C21" s="22">
        <v>38</v>
      </c>
      <c r="D21" s="22">
        <v>38</v>
      </c>
      <c r="E21" s="22">
        <v>38</v>
      </c>
      <c r="F21" s="22">
        <v>38</v>
      </c>
      <c r="G21" s="22">
        <v>38</v>
      </c>
      <c r="H21" s="22">
        <v>38</v>
      </c>
    </row>
    <row r="22" spans="1:8">
      <c r="A22" s="22" t="s">
        <v>140</v>
      </c>
      <c r="C22" s="22">
        <v>42</v>
      </c>
      <c r="D22" s="22">
        <v>42</v>
      </c>
      <c r="E22" s="22">
        <v>42</v>
      </c>
      <c r="F22" s="22">
        <v>42</v>
      </c>
      <c r="G22" s="22">
        <v>42</v>
      </c>
      <c r="H22" s="22">
        <v>42</v>
      </c>
    </row>
    <row r="23" spans="1:8">
      <c r="A23" s="22" t="s">
        <v>1752</v>
      </c>
      <c r="C23" s="22">
        <v>150</v>
      </c>
      <c r="D23" s="22">
        <v>160</v>
      </c>
      <c r="E23" s="22">
        <v>168</v>
      </c>
      <c r="F23" s="22">
        <v>176</v>
      </c>
      <c r="G23" s="22">
        <v>184</v>
      </c>
      <c r="H23" s="22">
        <v>192</v>
      </c>
    </row>
    <row r="24" spans="1:8">
      <c r="A24" s="22" t="s">
        <v>1753</v>
      </c>
      <c r="C24" s="22">
        <v>160</v>
      </c>
      <c r="D24" s="22">
        <v>168</v>
      </c>
      <c r="E24" s="22">
        <v>176</v>
      </c>
      <c r="F24" s="22">
        <v>184</v>
      </c>
      <c r="G24" s="22">
        <v>192</v>
      </c>
      <c r="H24" s="22">
        <v>200</v>
      </c>
    </row>
    <row r="25" spans="1:8">
      <c r="B25" s="22" t="s">
        <v>1734</v>
      </c>
      <c r="C25" s="22" t="s">
        <v>1735</v>
      </c>
      <c r="D25" s="22" t="s">
        <v>1736</v>
      </c>
      <c r="E25" s="22" t="s">
        <v>1737</v>
      </c>
      <c r="F25" s="22" t="s">
        <v>1737</v>
      </c>
      <c r="G25" s="22" t="s">
        <v>1737</v>
      </c>
      <c r="H25" s="22" t="s">
        <v>1737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D47E-CCE5-8045-9F98-A54D70F48240}">
  <dimension ref="A1:G32"/>
  <sheetViews>
    <sheetView topLeftCell="A14" workbookViewId="0">
      <selection activeCell="C27" sqref="C27:E27"/>
    </sheetView>
  </sheetViews>
  <sheetFormatPr baseColWidth="10" defaultRowHeight="20"/>
  <cols>
    <col min="1" max="1" width="29.33203125" style="22" bestFit="1" customWidth="1"/>
    <col min="2" max="2" width="20.83203125" style="22" bestFit="1" customWidth="1"/>
    <col min="3" max="16384" width="10.83203125" style="22"/>
  </cols>
  <sheetData>
    <row r="1" spans="1:6">
      <c r="A1" s="22" t="s">
        <v>2412</v>
      </c>
      <c r="B1" s="2" t="s">
        <v>2451</v>
      </c>
    </row>
    <row r="2" spans="1:6">
      <c r="A2" s="22" t="s">
        <v>2423</v>
      </c>
      <c r="B2" s="2">
        <v>2023</v>
      </c>
    </row>
    <row r="3" spans="1:6">
      <c r="A3" s="22" t="s">
        <v>2424</v>
      </c>
      <c r="B3" s="114">
        <v>45111</v>
      </c>
    </row>
    <row r="4" spans="1:6">
      <c r="A4" s="22" t="s">
        <v>2414</v>
      </c>
      <c r="B4" s="2" t="s">
        <v>2452</v>
      </c>
    </row>
    <row r="5" spans="1:6">
      <c r="A5" s="22" t="s">
        <v>2415</v>
      </c>
      <c r="B5" s="2" t="s">
        <v>76</v>
      </c>
    </row>
    <row r="6" spans="1:6">
      <c r="A6" s="22" t="s">
        <v>72</v>
      </c>
      <c r="B6" s="22" t="s">
        <v>2453</v>
      </c>
      <c r="C6" s="22" t="s">
        <v>17</v>
      </c>
      <c r="D6" s="22" t="s">
        <v>18</v>
      </c>
      <c r="E6" s="22" t="s">
        <v>19</v>
      </c>
      <c r="F6" s="22" t="s">
        <v>20</v>
      </c>
    </row>
    <row r="7" spans="1:6">
      <c r="A7" s="22" t="s">
        <v>73</v>
      </c>
      <c r="B7" s="22" t="s">
        <v>2454</v>
      </c>
      <c r="C7" s="22">
        <v>565</v>
      </c>
      <c r="D7" s="22">
        <v>587</v>
      </c>
      <c r="E7" s="22">
        <v>600</v>
      </c>
      <c r="F7" s="22">
        <v>615</v>
      </c>
    </row>
    <row r="8" spans="1:6">
      <c r="A8" s="22" t="s">
        <v>60</v>
      </c>
      <c r="B8" s="22" t="s">
        <v>2455</v>
      </c>
      <c r="C8" s="22">
        <v>465</v>
      </c>
      <c r="D8" s="22">
        <v>520</v>
      </c>
      <c r="E8" s="22">
        <v>555</v>
      </c>
      <c r="F8" s="22">
        <v>570</v>
      </c>
    </row>
    <row r="9" spans="1:6">
      <c r="A9" s="22" t="s">
        <v>66</v>
      </c>
      <c r="B9" s="22" t="s">
        <v>2456</v>
      </c>
      <c r="C9" s="22">
        <v>445</v>
      </c>
      <c r="D9" s="22">
        <v>445</v>
      </c>
      <c r="E9" s="22">
        <v>447</v>
      </c>
      <c r="F9" s="22">
        <v>449</v>
      </c>
    </row>
    <row r="10" spans="1:6">
      <c r="A10" s="22" t="s">
        <v>56</v>
      </c>
      <c r="B10" s="22" t="s">
        <v>2457</v>
      </c>
      <c r="C10" s="22">
        <v>1066</v>
      </c>
      <c r="D10" s="22">
        <v>1110</v>
      </c>
      <c r="E10" s="22">
        <v>1085</v>
      </c>
      <c r="F10" s="22">
        <v>1106</v>
      </c>
    </row>
    <row r="11" spans="1:6">
      <c r="A11" s="22" t="s">
        <v>65</v>
      </c>
      <c r="B11" s="22" t="s">
        <v>2458</v>
      </c>
      <c r="C11" s="22">
        <v>77</v>
      </c>
      <c r="D11" s="22">
        <v>75</v>
      </c>
      <c r="E11" s="22">
        <v>73</v>
      </c>
      <c r="F11" s="22">
        <v>70</v>
      </c>
    </row>
    <row r="12" spans="1:6">
      <c r="A12" s="22" t="s">
        <v>64</v>
      </c>
      <c r="B12" s="22" t="s">
        <v>2459</v>
      </c>
      <c r="C12" s="22">
        <v>120</v>
      </c>
      <c r="D12" s="22">
        <v>130</v>
      </c>
      <c r="E12" s="22">
        <v>155</v>
      </c>
      <c r="F12" s="22">
        <v>175</v>
      </c>
    </row>
    <row r="13" spans="1:6">
      <c r="A13" s="22" t="s">
        <v>63</v>
      </c>
      <c r="B13" s="22" t="s">
        <v>2460</v>
      </c>
      <c r="C13" s="22">
        <v>74.25</v>
      </c>
      <c r="D13" s="22">
        <v>74</v>
      </c>
      <c r="E13" s="22">
        <v>74</v>
      </c>
      <c r="F13" s="22">
        <v>74</v>
      </c>
    </row>
    <row r="14" spans="1:6">
      <c r="A14" s="22" t="s">
        <v>62</v>
      </c>
      <c r="B14" s="22" t="s">
        <v>2461</v>
      </c>
      <c r="C14" s="22">
        <v>69.5</v>
      </c>
      <c r="D14" s="22">
        <v>69</v>
      </c>
      <c r="E14" s="22">
        <v>70</v>
      </c>
      <c r="F14" s="22">
        <v>70</v>
      </c>
    </row>
    <row r="15" spans="1:6">
      <c r="A15" s="22" t="s">
        <v>495</v>
      </c>
      <c r="B15" s="22" t="s">
        <v>2462</v>
      </c>
      <c r="C15" s="22">
        <v>485</v>
      </c>
      <c r="D15" s="22">
        <v>485</v>
      </c>
      <c r="E15" s="22">
        <v>485</v>
      </c>
      <c r="F15" s="22">
        <v>485</v>
      </c>
    </row>
    <row r="16" spans="1:6">
      <c r="A16" s="22" t="s">
        <v>67</v>
      </c>
      <c r="B16" s="22" t="s">
        <v>2463</v>
      </c>
      <c r="C16" s="22">
        <v>50</v>
      </c>
      <c r="D16" s="22">
        <v>50</v>
      </c>
      <c r="E16" s="22">
        <v>50</v>
      </c>
      <c r="F16" s="22">
        <v>50</v>
      </c>
    </row>
    <row r="17" spans="1:7">
      <c r="A17" s="22" t="s">
        <v>54</v>
      </c>
      <c r="B17" s="22" t="s">
        <v>2464</v>
      </c>
      <c r="C17" s="22">
        <v>623</v>
      </c>
      <c r="D17" s="22">
        <v>633</v>
      </c>
      <c r="E17" s="22">
        <v>654</v>
      </c>
      <c r="F17" s="22">
        <v>670</v>
      </c>
    </row>
    <row r="18" spans="1:7">
      <c r="A18" s="22" t="s">
        <v>55</v>
      </c>
      <c r="B18" s="22" t="s">
        <v>2465</v>
      </c>
      <c r="C18" s="22">
        <v>385</v>
      </c>
      <c r="D18" s="22">
        <v>406</v>
      </c>
      <c r="E18" s="22">
        <v>412</v>
      </c>
      <c r="F18" s="22">
        <v>423</v>
      </c>
    </row>
    <row r="19" spans="1:7">
      <c r="A19" s="22" t="s">
        <v>57</v>
      </c>
      <c r="B19" s="22" t="s">
        <v>57</v>
      </c>
    </row>
    <row r="20" spans="1:7">
      <c r="A20" s="22" t="s">
        <v>69</v>
      </c>
      <c r="B20" s="22" t="s">
        <v>69</v>
      </c>
    </row>
    <row r="21" spans="1:7">
      <c r="A21" s="22" t="s">
        <v>70</v>
      </c>
      <c r="B21" s="22" t="s">
        <v>70</v>
      </c>
    </row>
    <row r="22" spans="1:7">
      <c r="A22" s="22" t="s">
        <v>71</v>
      </c>
      <c r="B22" s="22" t="s">
        <v>71</v>
      </c>
    </row>
    <row r="23" spans="1:7">
      <c r="A23" s="22" t="s">
        <v>68</v>
      </c>
      <c r="B23" s="22" t="s">
        <v>68</v>
      </c>
      <c r="C23" s="22">
        <v>29</v>
      </c>
      <c r="D23" s="22">
        <v>29</v>
      </c>
      <c r="E23" s="22">
        <v>29</v>
      </c>
      <c r="F23" s="22">
        <v>29</v>
      </c>
    </row>
    <row r="24" spans="1:7">
      <c r="A24" s="22" t="s">
        <v>139</v>
      </c>
      <c r="B24" s="22" t="s">
        <v>139</v>
      </c>
      <c r="C24" s="22">
        <f>2.2*2.54*10</f>
        <v>55.88000000000001</v>
      </c>
      <c r="D24" s="22">
        <f t="shared" ref="D24:F24" si="0">2.2*2.54*10</f>
        <v>55.88000000000001</v>
      </c>
      <c r="E24" s="22">
        <f t="shared" si="0"/>
        <v>55.88000000000001</v>
      </c>
      <c r="F24" s="22">
        <f t="shared" si="0"/>
        <v>55.88000000000001</v>
      </c>
      <c r="G24" s="22" t="s">
        <v>2466</v>
      </c>
    </row>
    <row r="25" spans="1:7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1">2.4*25.4</f>
        <v>60.959999999999994</v>
      </c>
      <c r="E25" s="22">
        <f t="shared" si="1"/>
        <v>60.959999999999994</v>
      </c>
      <c r="F25" s="22">
        <f t="shared" si="1"/>
        <v>60.959999999999994</v>
      </c>
    </row>
    <row r="26" spans="1:7">
      <c r="A26" s="22" t="s">
        <v>1752</v>
      </c>
      <c r="C26" s="22">
        <f>C28</f>
        <v>163</v>
      </c>
      <c r="D26" s="22">
        <f>AVERAGE(D28,C29)</f>
        <v>171</v>
      </c>
      <c r="E26" s="22">
        <f t="shared" ref="E26:F26" si="2">AVERAGE(E28,D29)</f>
        <v>179</v>
      </c>
      <c r="F26" s="22">
        <f t="shared" si="2"/>
        <v>189</v>
      </c>
    </row>
    <row r="27" spans="1:7">
      <c r="A27" s="22" t="s">
        <v>1753</v>
      </c>
      <c r="C27" s="22">
        <f>D26</f>
        <v>171</v>
      </c>
      <c r="D27" s="22">
        <f t="shared" ref="D27:E27" si="3">E26</f>
        <v>179</v>
      </c>
      <c r="E27" s="22">
        <f t="shared" si="3"/>
        <v>189</v>
      </c>
      <c r="F27" s="22">
        <f t="shared" ref="F27" si="4">F29</f>
        <v>200</v>
      </c>
    </row>
    <row r="28" spans="1:7">
      <c r="C28" s="22">
        <f>VALUE(LEFT(C30,3))</f>
        <v>163</v>
      </c>
      <c r="D28" s="22">
        <f>VALUE(LEFT(D30,3))</f>
        <v>170</v>
      </c>
      <c r="E28" s="22">
        <f>VALUE(LEFT(E30,3))</f>
        <v>178</v>
      </c>
      <c r="F28" s="22">
        <f>VALUE(LEFT(F30,3))</f>
        <v>188</v>
      </c>
    </row>
    <row r="29" spans="1:7">
      <c r="C29" s="22">
        <f>VALUE(RIGHT(C30,3))</f>
        <v>172</v>
      </c>
      <c r="D29" s="22">
        <f>VALUE(RIGHT(D30,3))</f>
        <v>180</v>
      </c>
      <c r="E29" s="22">
        <f>VALUE(RIGHT(E30,3))</f>
        <v>190</v>
      </c>
      <c r="F29" s="22">
        <f>VALUE(RIGHT(F30,3))</f>
        <v>200</v>
      </c>
    </row>
    <row r="30" spans="1:7">
      <c r="B30" s="22" t="s">
        <v>1562</v>
      </c>
      <c r="C30" s="22" t="s">
        <v>1563</v>
      </c>
      <c r="D30" s="22" t="s">
        <v>1564</v>
      </c>
      <c r="E30" s="22" t="s">
        <v>1565</v>
      </c>
      <c r="F30" s="22" t="s">
        <v>1566</v>
      </c>
    </row>
    <row r="32" spans="1:7">
      <c r="C32" s="22" t="s">
        <v>2467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20B4-CF7F-FB4F-969E-00570E2FE1EF}">
  <dimension ref="A1:G31"/>
  <sheetViews>
    <sheetView topLeftCell="A15" workbookViewId="0">
      <selection activeCell="H28" sqref="H28"/>
    </sheetView>
  </sheetViews>
  <sheetFormatPr baseColWidth="10" defaultRowHeight="20"/>
  <cols>
    <col min="1" max="1" width="29.33203125" style="22" bestFit="1" customWidth="1"/>
    <col min="2" max="2" width="20.83203125" style="22" bestFit="1" customWidth="1"/>
    <col min="3" max="16384" width="10.83203125" style="22"/>
  </cols>
  <sheetData>
    <row r="1" spans="1:7">
      <c r="A1" s="22" t="s">
        <v>2412</v>
      </c>
      <c r="B1" s="2" t="s">
        <v>2451</v>
      </c>
    </row>
    <row r="2" spans="1:7">
      <c r="A2" s="22" t="s">
        <v>2423</v>
      </c>
      <c r="B2" s="116" t="s">
        <v>2472</v>
      </c>
    </row>
    <row r="3" spans="1:7">
      <c r="A3" s="22" t="s">
        <v>2424</v>
      </c>
      <c r="B3" s="114"/>
    </row>
    <row r="4" spans="1:7">
      <c r="A4" s="22" t="s">
        <v>2414</v>
      </c>
      <c r="B4" s="2"/>
    </row>
    <row r="5" spans="1:7">
      <c r="A5" s="22" t="s">
        <v>2415</v>
      </c>
      <c r="B5" s="2" t="s">
        <v>76</v>
      </c>
    </row>
    <row r="6" spans="1:7">
      <c r="A6" s="22" t="s">
        <v>72</v>
      </c>
      <c r="B6" s="22" t="s">
        <v>141</v>
      </c>
      <c r="C6" s="22" t="s">
        <v>17</v>
      </c>
      <c r="D6" s="22" t="s">
        <v>18</v>
      </c>
      <c r="E6" s="22" t="s">
        <v>19</v>
      </c>
      <c r="F6" s="22" t="s">
        <v>20</v>
      </c>
    </row>
    <row r="7" spans="1:7">
      <c r="A7" s="22" t="s">
        <v>73</v>
      </c>
      <c r="B7" s="22" t="s">
        <v>577</v>
      </c>
      <c r="C7" s="22">
        <v>545</v>
      </c>
      <c r="D7" s="22">
        <v>565</v>
      </c>
      <c r="E7" s="22">
        <v>580</v>
      </c>
      <c r="F7" s="22">
        <v>600</v>
      </c>
    </row>
    <row r="8" spans="1:7">
      <c r="A8" s="22" t="s">
        <v>60</v>
      </c>
      <c r="B8" s="22" t="s">
        <v>173</v>
      </c>
      <c r="C8" s="22">
        <v>445</v>
      </c>
      <c r="D8" s="22">
        <v>500</v>
      </c>
      <c r="E8" s="22">
        <v>545</v>
      </c>
      <c r="F8" s="22">
        <v>565</v>
      </c>
    </row>
    <row r="9" spans="1:7">
      <c r="A9" s="22" t="s">
        <v>66</v>
      </c>
      <c r="B9" s="22" t="s">
        <v>1559</v>
      </c>
      <c r="C9" s="22">
        <v>445</v>
      </c>
      <c r="D9" s="22">
        <v>445</v>
      </c>
      <c r="E9" s="22">
        <v>450</v>
      </c>
      <c r="F9" s="22">
        <v>450</v>
      </c>
      <c r="G9" s="22" t="s">
        <v>1567</v>
      </c>
    </row>
    <row r="10" spans="1:7">
      <c r="A10" s="22" t="s">
        <v>55</v>
      </c>
      <c r="B10" s="22" t="s">
        <v>1</v>
      </c>
      <c r="C10" s="22">
        <v>365</v>
      </c>
      <c r="D10" s="22">
        <v>383</v>
      </c>
      <c r="E10" s="22">
        <v>385</v>
      </c>
      <c r="F10" s="22">
        <v>396</v>
      </c>
    </row>
    <row r="11" spans="1:7">
      <c r="A11" s="22" t="s">
        <v>54</v>
      </c>
      <c r="B11" s="22" t="s">
        <v>0</v>
      </c>
      <c r="C11" s="22">
        <v>625</v>
      </c>
      <c r="D11" s="22">
        <v>637</v>
      </c>
      <c r="E11" s="22">
        <v>670</v>
      </c>
      <c r="F11" s="22">
        <v>689</v>
      </c>
    </row>
    <row r="12" spans="1:7">
      <c r="A12" s="22" t="s">
        <v>56</v>
      </c>
      <c r="B12" s="22" t="s">
        <v>1560</v>
      </c>
      <c r="C12" s="22">
        <v>1066</v>
      </c>
      <c r="D12" s="22">
        <v>1081</v>
      </c>
      <c r="E12" s="22">
        <v>1085</v>
      </c>
      <c r="F12" s="22">
        <v>1106</v>
      </c>
    </row>
    <row r="13" spans="1:7">
      <c r="A13" s="22" t="s">
        <v>65</v>
      </c>
      <c r="B13" s="22" t="s">
        <v>174</v>
      </c>
      <c r="C13" s="22">
        <v>70</v>
      </c>
      <c r="D13" s="22">
        <v>70</v>
      </c>
      <c r="E13" s="22">
        <v>70</v>
      </c>
      <c r="F13" s="22">
        <v>70</v>
      </c>
    </row>
    <row r="14" spans="1:7">
      <c r="A14" s="22" t="s">
        <v>64</v>
      </c>
      <c r="B14" s="22" t="s">
        <v>5</v>
      </c>
      <c r="C14" s="22">
        <v>130</v>
      </c>
      <c r="D14" s="22">
        <v>140</v>
      </c>
      <c r="E14" s="22">
        <v>170</v>
      </c>
      <c r="F14" s="22">
        <v>190</v>
      </c>
    </row>
    <row r="15" spans="1:7">
      <c r="A15" s="22" t="s">
        <v>63</v>
      </c>
      <c r="B15" s="22" t="s">
        <v>4</v>
      </c>
      <c r="C15" s="22">
        <v>74</v>
      </c>
      <c r="D15" s="22">
        <v>74</v>
      </c>
      <c r="E15" s="22">
        <v>73.5</v>
      </c>
      <c r="F15" s="22">
        <v>73.5</v>
      </c>
    </row>
    <row r="16" spans="1:7">
      <c r="A16" s="22" t="s">
        <v>62</v>
      </c>
      <c r="B16" s="22" t="s">
        <v>3</v>
      </c>
      <c r="C16" s="22">
        <v>69.5</v>
      </c>
      <c r="D16" s="22">
        <v>70</v>
      </c>
      <c r="E16" s="22">
        <v>71</v>
      </c>
      <c r="F16" s="22">
        <v>71</v>
      </c>
    </row>
    <row r="17" spans="1:6">
      <c r="A17" s="22" t="s">
        <v>495</v>
      </c>
      <c r="B17" s="22" t="s">
        <v>178</v>
      </c>
      <c r="C17" s="22">
        <v>485</v>
      </c>
      <c r="D17" s="22">
        <v>485</v>
      </c>
      <c r="E17" s="22">
        <v>485</v>
      </c>
      <c r="F17" s="22">
        <v>485</v>
      </c>
    </row>
    <row r="18" spans="1:6">
      <c r="A18" s="22" t="s">
        <v>67</v>
      </c>
      <c r="B18" s="22" t="s">
        <v>1561</v>
      </c>
      <c r="C18" s="22">
        <v>50</v>
      </c>
      <c r="D18" s="22">
        <v>50</v>
      </c>
      <c r="E18" s="22">
        <v>50</v>
      </c>
      <c r="F18" s="22">
        <v>50</v>
      </c>
    </row>
    <row r="19" spans="1:6">
      <c r="A19" s="22" t="s">
        <v>57</v>
      </c>
      <c r="B19" s="22" t="s">
        <v>57</v>
      </c>
    </row>
    <row r="20" spans="1:6">
      <c r="A20" s="22" t="s">
        <v>69</v>
      </c>
      <c r="B20" s="22" t="s">
        <v>69</v>
      </c>
    </row>
    <row r="21" spans="1:6">
      <c r="A21" s="22" t="s">
        <v>70</v>
      </c>
      <c r="B21" s="22" t="s">
        <v>70</v>
      </c>
    </row>
    <row r="22" spans="1:6">
      <c r="A22" s="22" t="s">
        <v>71</v>
      </c>
      <c r="B22" s="22" t="s">
        <v>71</v>
      </c>
    </row>
    <row r="23" spans="1:6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</row>
    <row r="24" spans="1:6">
      <c r="A24" s="22" t="s">
        <v>139</v>
      </c>
      <c r="B24" s="22" t="s">
        <v>139</v>
      </c>
    </row>
    <row r="25" spans="1:6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0">2.4*25.4</f>
        <v>60.959999999999994</v>
      </c>
      <c r="E25" s="22">
        <f t="shared" si="0"/>
        <v>60.959999999999994</v>
      </c>
      <c r="F25" s="22">
        <f t="shared" si="0"/>
        <v>60.959999999999994</v>
      </c>
    </row>
    <row r="26" spans="1:6">
      <c r="A26" s="22" t="s">
        <v>1752</v>
      </c>
      <c r="C26" s="22">
        <f>C28</f>
        <v>163</v>
      </c>
      <c r="D26" s="22">
        <f>AVERAGE(C29,D28)</f>
        <v>171</v>
      </c>
      <c r="E26" s="22">
        <f t="shared" ref="E26:F26" si="1">AVERAGE(D29,E28)</f>
        <v>179</v>
      </c>
      <c r="F26" s="22">
        <f t="shared" si="1"/>
        <v>189</v>
      </c>
    </row>
    <row r="27" spans="1:6">
      <c r="A27" s="22" t="s">
        <v>1753</v>
      </c>
      <c r="C27" s="22">
        <f>D26</f>
        <v>171</v>
      </c>
      <c r="D27" s="22">
        <f t="shared" ref="D27:E27" si="2">E26</f>
        <v>179</v>
      </c>
      <c r="E27" s="22">
        <f t="shared" si="2"/>
        <v>189</v>
      </c>
      <c r="F27" s="22">
        <f t="shared" ref="F27" si="3">F29</f>
        <v>200</v>
      </c>
    </row>
    <row r="28" spans="1:6">
      <c r="C28" s="22">
        <f>VALUE(LEFT(C31,3))</f>
        <v>163</v>
      </c>
      <c r="D28" s="22">
        <f t="shared" ref="D28:F28" si="4">VALUE(LEFT(D31,3))</f>
        <v>170</v>
      </c>
      <c r="E28" s="22">
        <f t="shared" si="4"/>
        <v>178</v>
      </c>
      <c r="F28" s="22">
        <f t="shared" si="4"/>
        <v>188</v>
      </c>
    </row>
    <row r="29" spans="1:6">
      <c r="C29" s="22">
        <f>VALUE(RIGHT(C31,3))</f>
        <v>172</v>
      </c>
      <c r="D29" s="22">
        <f t="shared" ref="D29:F29" si="5">VALUE(RIGHT(D31,3))</f>
        <v>180</v>
      </c>
      <c r="E29" s="22">
        <f t="shared" si="5"/>
        <v>190</v>
      </c>
      <c r="F29" s="22">
        <f t="shared" si="5"/>
        <v>200</v>
      </c>
    </row>
    <row r="31" spans="1:6">
      <c r="B31" s="22" t="s">
        <v>1562</v>
      </c>
      <c r="C31" s="22" t="s">
        <v>1563</v>
      </c>
      <c r="D31" s="22" t="s">
        <v>1564</v>
      </c>
      <c r="E31" s="22" t="s">
        <v>1565</v>
      </c>
      <c r="F31" s="22" t="s">
        <v>1566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BB5E-3304-BA48-83A7-49C52A90F313}">
  <dimension ref="A1:I39"/>
  <sheetViews>
    <sheetView workbookViewId="0">
      <selection activeCell="E32" sqref="E32"/>
    </sheetView>
  </sheetViews>
  <sheetFormatPr baseColWidth="10" defaultRowHeight="20"/>
  <cols>
    <col min="1" max="1" width="29.33203125" style="22" bestFit="1" customWidth="1"/>
    <col min="2" max="2" width="24.33203125" style="22" bestFit="1" customWidth="1"/>
    <col min="3" max="16384" width="10.83203125" style="22"/>
  </cols>
  <sheetData>
    <row r="1" spans="1:9">
      <c r="A1" s="22" t="s">
        <v>2412</v>
      </c>
      <c r="B1" s="22" t="s">
        <v>2471</v>
      </c>
    </row>
    <row r="2" spans="1:9">
      <c r="A2" s="22" t="s">
        <v>2423</v>
      </c>
      <c r="B2" s="22">
        <v>2023</v>
      </c>
      <c r="C2" s="22" t="s">
        <v>2483</v>
      </c>
    </row>
    <row r="3" spans="1:9">
      <c r="A3" s="22" t="s">
        <v>2424</v>
      </c>
      <c r="B3" s="114">
        <v>45111</v>
      </c>
    </row>
    <row r="4" spans="1:9">
      <c r="A4" s="22" t="s">
        <v>2414</v>
      </c>
      <c r="B4" s="22" t="s">
        <v>2473</v>
      </c>
    </row>
    <row r="5" spans="1:9">
      <c r="A5" s="22" t="s">
        <v>2415</v>
      </c>
      <c r="B5" s="22" t="s">
        <v>2474</v>
      </c>
    </row>
    <row r="6" spans="1:9">
      <c r="A6" s="22" t="s">
        <v>72</v>
      </c>
      <c r="B6" s="27" t="str">
        <f>B28</f>
        <v>Measurement</v>
      </c>
      <c r="C6" s="27">
        <f t="shared" ref="C6:H6" si="0">C28</f>
        <v>50</v>
      </c>
      <c r="D6" s="27">
        <f t="shared" si="0"/>
        <v>52</v>
      </c>
      <c r="E6" s="27">
        <f t="shared" si="0"/>
        <v>54</v>
      </c>
      <c r="F6" s="27">
        <f t="shared" si="0"/>
        <v>56</v>
      </c>
      <c r="G6" s="27">
        <f t="shared" si="0"/>
        <v>58</v>
      </c>
      <c r="H6" s="27">
        <f t="shared" si="0"/>
        <v>60</v>
      </c>
    </row>
    <row r="7" spans="1:9">
      <c r="A7" s="22" t="s">
        <v>73</v>
      </c>
      <c r="B7" s="27" t="str">
        <f t="shared" ref="B7:B17" si="1">B29</f>
        <v>Effective Top Tube</v>
      </c>
      <c r="C7" s="22">
        <f>C29</f>
        <v>520</v>
      </c>
      <c r="D7" s="22">
        <v>530</v>
      </c>
      <c r="E7" s="22">
        <v>545</v>
      </c>
      <c r="F7" s="22">
        <v>560</v>
      </c>
      <c r="G7" s="22">
        <v>575</v>
      </c>
      <c r="H7" s="22">
        <v>590</v>
      </c>
    </row>
    <row r="8" spans="1:9">
      <c r="A8" s="22" t="s">
        <v>62</v>
      </c>
      <c r="B8" s="27" t="str">
        <f t="shared" si="1"/>
        <v>Head Tube Angle</v>
      </c>
      <c r="C8" s="22">
        <f>VALUE(LEFT(C30,4))</f>
        <v>71.5</v>
      </c>
      <c r="D8" s="22">
        <f t="shared" ref="D8" si="2">VALUE(LEFT(D30,4))</f>
        <v>71.5</v>
      </c>
      <c r="E8" s="22">
        <f>VALUE(LEFT(E30,2))</f>
        <v>72</v>
      </c>
      <c r="F8" s="22">
        <f t="shared" ref="F8:H8" si="3">VALUE(LEFT(F30,2))</f>
        <v>72</v>
      </c>
      <c r="G8" s="22">
        <f t="shared" si="3"/>
        <v>72</v>
      </c>
      <c r="H8" s="22">
        <f t="shared" si="3"/>
        <v>72</v>
      </c>
    </row>
    <row r="9" spans="1:9">
      <c r="A9" s="22" t="s">
        <v>64</v>
      </c>
      <c r="B9" s="27" t="str">
        <f t="shared" si="1"/>
        <v>Head Tube Length</v>
      </c>
      <c r="C9" s="22">
        <f t="shared" ref="C9:H17" si="4">VALUE(LEFT(C31,4))</f>
        <v>100</v>
      </c>
      <c r="D9" s="22">
        <f t="shared" si="4"/>
        <v>130</v>
      </c>
      <c r="E9" s="22">
        <f t="shared" si="4"/>
        <v>140</v>
      </c>
      <c r="F9" s="22">
        <f t="shared" si="4"/>
        <v>160</v>
      </c>
      <c r="G9" s="22">
        <f t="shared" si="4"/>
        <v>180</v>
      </c>
      <c r="H9" s="22">
        <f t="shared" si="4"/>
        <v>200</v>
      </c>
    </row>
    <row r="10" spans="1:9">
      <c r="A10" s="22" t="s">
        <v>63</v>
      </c>
      <c r="B10" s="27" t="str">
        <f t="shared" si="1"/>
        <v>Seat Tube Angle</v>
      </c>
      <c r="C10" s="22">
        <f t="shared" si="4"/>
        <v>74.5</v>
      </c>
      <c r="D10" s="22">
        <f>VALUE(LEFT(D32,2))</f>
        <v>74</v>
      </c>
      <c r="E10" s="22">
        <f>VALUE(LEFT(E32,2))</f>
        <v>74</v>
      </c>
      <c r="F10" s="22">
        <f t="shared" si="4"/>
        <v>73.5</v>
      </c>
      <c r="G10" s="22">
        <f t="shared" si="4"/>
        <v>73.5</v>
      </c>
      <c r="H10" s="22">
        <f t="shared" si="4"/>
        <v>73.5</v>
      </c>
    </row>
    <row r="11" spans="1:9">
      <c r="A11" s="22" t="s">
        <v>60</v>
      </c>
      <c r="B11" s="27" t="str">
        <f t="shared" si="1"/>
        <v>Seat Tube Length</v>
      </c>
      <c r="C11" s="22">
        <f t="shared" si="4"/>
        <v>465</v>
      </c>
      <c r="D11" s="22">
        <f t="shared" si="4"/>
        <v>500</v>
      </c>
      <c r="E11" s="22">
        <f t="shared" si="4"/>
        <v>515</v>
      </c>
      <c r="F11" s="22">
        <f t="shared" si="4"/>
        <v>530</v>
      </c>
      <c r="G11" s="22">
        <f t="shared" si="4"/>
        <v>545</v>
      </c>
      <c r="H11" s="22">
        <f t="shared" si="4"/>
        <v>575</v>
      </c>
    </row>
    <row r="12" spans="1:9">
      <c r="A12" s="22" t="s">
        <v>66</v>
      </c>
      <c r="B12" s="27" t="str">
        <f t="shared" si="1"/>
        <v>Chainstay Length</v>
      </c>
      <c r="C12" s="22">
        <f>VALUE(LEFT(C34,3))</f>
        <v>425</v>
      </c>
      <c r="D12" s="22">
        <f t="shared" ref="D12:H12" si="5">VALUE(LEFT(D34,3))</f>
        <v>425</v>
      </c>
      <c r="E12" s="22">
        <f t="shared" si="5"/>
        <v>425</v>
      </c>
      <c r="F12" s="22">
        <f t="shared" si="5"/>
        <v>425</v>
      </c>
      <c r="G12" s="22">
        <f t="shared" si="5"/>
        <v>425</v>
      </c>
      <c r="H12" s="22">
        <f t="shared" si="5"/>
        <v>425</v>
      </c>
      <c r="I12" s="22" t="s">
        <v>820</v>
      </c>
    </row>
    <row r="13" spans="1:9">
      <c r="A13" s="22" t="s">
        <v>65</v>
      </c>
      <c r="B13" s="27" t="str">
        <f t="shared" si="1"/>
        <v>Bottom Bracket Drop</v>
      </c>
      <c r="C13" s="22">
        <f t="shared" si="4"/>
        <v>72</v>
      </c>
      <c r="D13" s="22">
        <f t="shared" si="4"/>
        <v>72</v>
      </c>
      <c r="E13" s="22">
        <f t="shared" si="4"/>
        <v>72</v>
      </c>
      <c r="F13" s="22">
        <f t="shared" si="4"/>
        <v>72</v>
      </c>
      <c r="G13" s="22">
        <f t="shared" si="4"/>
        <v>70</v>
      </c>
      <c r="H13" s="22">
        <f t="shared" si="4"/>
        <v>70</v>
      </c>
    </row>
    <row r="14" spans="1:9">
      <c r="A14" s="22" t="s">
        <v>56</v>
      </c>
      <c r="B14" s="27" t="str">
        <f t="shared" si="1"/>
        <v>Wheelbase</v>
      </c>
      <c r="C14" s="22">
        <f>VALUE(LEFT(C36,3))</f>
        <v>997</v>
      </c>
      <c r="D14" s="22">
        <f>VALUE(LEFT(D36,4))</f>
        <v>1008</v>
      </c>
      <c r="E14" s="22">
        <f t="shared" ref="E14:H14" si="6">VALUE(LEFT(E36,4))</f>
        <v>1019</v>
      </c>
      <c r="F14" s="22">
        <f t="shared" si="6"/>
        <v>1029</v>
      </c>
      <c r="G14" s="22">
        <f t="shared" si="6"/>
        <v>1045</v>
      </c>
      <c r="H14" s="22">
        <f t="shared" si="6"/>
        <v>1066</v>
      </c>
      <c r="I14" s="22" t="s">
        <v>820</v>
      </c>
    </row>
    <row r="15" spans="1:9">
      <c r="A15" s="22" t="s">
        <v>57</v>
      </c>
      <c r="B15" s="27" t="str">
        <f t="shared" si="1"/>
        <v>Standover Height</v>
      </c>
      <c r="C15" s="22">
        <f>VALUE(LEFT(C37,4)) * 2.54 * 10</f>
        <v>721.3599999999999</v>
      </c>
      <c r="D15" s="22">
        <f t="shared" ref="D15:H15" si="7">VALUE(LEFT(D37,4)) * 2.54 * 10</f>
        <v>756.92000000000007</v>
      </c>
      <c r="E15" s="22">
        <f t="shared" si="7"/>
        <v>769.62</v>
      </c>
      <c r="F15" s="22">
        <f t="shared" si="7"/>
        <v>784.86</v>
      </c>
      <c r="G15" s="22">
        <f t="shared" si="7"/>
        <v>807.72</v>
      </c>
      <c r="H15" s="22">
        <f t="shared" si="7"/>
        <v>830.58</v>
      </c>
    </row>
    <row r="16" spans="1:9">
      <c r="A16" s="22" t="s">
        <v>55</v>
      </c>
      <c r="B16" s="27" t="str">
        <f t="shared" si="1"/>
        <v>Reach</v>
      </c>
      <c r="C16" s="22">
        <f t="shared" si="4"/>
        <v>370</v>
      </c>
      <c r="D16" s="22">
        <f t="shared" si="4"/>
        <v>373</v>
      </c>
      <c r="E16" s="22">
        <f t="shared" si="4"/>
        <v>384</v>
      </c>
      <c r="F16" s="22">
        <f t="shared" si="4"/>
        <v>389</v>
      </c>
      <c r="G16" s="22">
        <f t="shared" si="4"/>
        <v>399</v>
      </c>
      <c r="H16" s="22">
        <f t="shared" si="4"/>
        <v>413</v>
      </c>
    </row>
    <row r="17" spans="1:9">
      <c r="A17" s="22" t="s">
        <v>54</v>
      </c>
      <c r="B17" s="27" t="str">
        <f t="shared" si="1"/>
        <v>Stack</v>
      </c>
      <c r="C17" s="22">
        <f t="shared" si="4"/>
        <v>534</v>
      </c>
      <c r="D17" s="22">
        <f t="shared" si="4"/>
        <v>562</v>
      </c>
      <c r="E17" s="22">
        <f t="shared" si="4"/>
        <v>574</v>
      </c>
      <c r="F17" s="22">
        <f t="shared" si="4"/>
        <v>593</v>
      </c>
      <c r="G17" s="22">
        <f t="shared" si="4"/>
        <v>609</v>
      </c>
      <c r="H17" s="22">
        <f t="shared" si="4"/>
        <v>628</v>
      </c>
    </row>
    <row r="18" spans="1:9">
      <c r="A18" s="22" t="s">
        <v>67</v>
      </c>
      <c r="B18" s="22" t="s">
        <v>67</v>
      </c>
      <c r="C18" s="22">
        <v>50</v>
      </c>
      <c r="D18" s="22">
        <v>50</v>
      </c>
      <c r="E18" s="22">
        <v>50</v>
      </c>
      <c r="F18" s="22">
        <v>50</v>
      </c>
      <c r="G18" s="22">
        <v>50</v>
      </c>
      <c r="H18" s="22">
        <v>50</v>
      </c>
      <c r="I18" s="22" t="s">
        <v>2482</v>
      </c>
    </row>
    <row r="19" spans="1:9">
      <c r="A19" s="22" t="s">
        <v>69</v>
      </c>
      <c r="B19" s="22" t="s">
        <v>69</v>
      </c>
    </row>
    <row r="20" spans="1:9">
      <c r="A20" s="22" t="s">
        <v>70</v>
      </c>
      <c r="B20" s="22" t="s">
        <v>70</v>
      </c>
    </row>
    <row r="21" spans="1:9">
      <c r="A21" s="22" t="s">
        <v>71</v>
      </c>
      <c r="B21" s="22" t="s">
        <v>71</v>
      </c>
    </row>
    <row r="22" spans="1: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>
        <v>700</v>
      </c>
      <c r="H22" s="22">
        <v>700</v>
      </c>
      <c r="I22" s="22" t="s">
        <v>2470</v>
      </c>
    </row>
    <row r="23" spans="1:9">
      <c r="A23" s="22" t="s">
        <v>139</v>
      </c>
      <c r="B23" s="22" t="s">
        <v>139</v>
      </c>
      <c r="C23" s="22">
        <v>38</v>
      </c>
      <c r="D23" s="22">
        <v>38</v>
      </c>
      <c r="E23" s="22">
        <v>38</v>
      </c>
      <c r="F23" s="22">
        <v>38</v>
      </c>
      <c r="G23" s="22">
        <v>38</v>
      </c>
      <c r="H23" s="22">
        <v>38</v>
      </c>
      <c r="I23" s="22" t="s">
        <v>2469</v>
      </c>
    </row>
    <row r="24" spans="1:9">
      <c r="A24" s="22" t="s">
        <v>140</v>
      </c>
      <c r="B24" s="22" t="s">
        <v>140</v>
      </c>
      <c r="C24" s="22">
        <v>50</v>
      </c>
      <c r="D24" s="22">
        <v>50</v>
      </c>
      <c r="E24" s="22">
        <v>50</v>
      </c>
      <c r="F24" s="22">
        <v>50</v>
      </c>
      <c r="G24" s="22">
        <v>50</v>
      </c>
      <c r="H24" s="22">
        <v>50</v>
      </c>
      <c r="I24" s="22" t="s">
        <v>821</v>
      </c>
    </row>
    <row r="25" spans="1:9">
      <c r="A25" s="22" t="s">
        <v>1752</v>
      </c>
    </row>
    <row r="26" spans="1:9">
      <c r="A26" s="22" t="s">
        <v>1753</v>
      </c>
    </row>
    <row r="28" spans="1:9">
      <c r="B28" s="27" t="s">
        <v>789</v>
      </c>
      <c r="C28" s="27">
        <v>50</v>
      </c>
      <c r="D28" s="27">
        <v>52</v>
      </c>
      <c r="E28" s="27">
        <v>54</v>
      </c>
      <c r="F28" s="27">
        <v>56</v>
      </c>
      <c r="G28" s="27">
        <v>58</v>
      </c>
      <c r="H28" s="22">
        <v>60</v>
      </c>
    </row>
    <row r="29" spans="1:9">
      <c r="B29" s="22" t="s">
        <v>577</v>
      </c>
      <c r="C29" s="22">
        <v>520</v>
      </c>
      <c r="D29" s="22">
        <v>535</v>
      </c>
      <c r="E29" s="22">
        <v>550</v>
      </c>
      <c r="F29" s="22">
        <v>565</v>
      </c>
      <c r="G29" s="22">
        <v>580</v>
      </c>
      <c r="H29" s="22">
        <v>600</v>
      </c>
    </row>
    <row r="30" spans="1:9">
      <c r="B30" s="22" t="s">
        <v>3</v>
      </c>
      <c r="C30" s="22" t="s">
        <v>790</v>
      </c>
      <c r="D30" s="22" t="s">
        <v>790</v>
      </c>
      <c r="E30" s="22" t="s">
        <v>791</v>
      </c>
      <c r="F30" s="22" t="s">
        <v>791</v>
      </c>
      <c r="G30" s="22" t="s">
        <v>791</v>
      </c>
      <c r="H30" s="22" t="s">
        <v>791</v>
      </c>
    </row>
    <row r="31" spans="1:9">
      <c r="B31" s="22" t="s">
        <v>5</v>
      </c>
      <c r="C31" s="22">
        <v>100</v>
      </c>
      <c r="D31" s="22">
        <v>130</v>
      </c>
      <c r="E31" s="22">
        <v>140</v>
      </c>
      <c r="F31" s="22">
        <v>160</v>
      </c>
      <c r="G31" s="22">
        <v>180</v>
      </c>
      <c r="H31" s="22">
        <v>200</v>
      </c>
    </row>
    <row r="32" spans="1:9">
      <c r="B32" s="22" t="s">
        <v>4</v>
      </c>
      <c r="C32" s="22" t="s">
        <v>799</v>
      </c>
      <c r="D32" s="22" t="s">
        <v>32</v>
      </c>
      <c r="E32" s="22" t="s">
        <v>32</v>
      </c>
      <c r="F32" s="22" t="s">
        <v>33</v>
      </c>
      <c r="G32" s="22" t="s">
        <v>33</v>
      </c>
      <c r="H32" s="22" t="s">
        <v>33</v>
      </c>
    </row>
    <row r="33" spans="2:8">
      <c r="B33" s="22" t="s">
        <v>173</v>
      </c>
      <c r="C33" s="22">
        <v>465</v>
      </c>
      <c r="D33" s="22">
        <v>500</v>
      </c>
      <c r="E33" s="22">
        <v>515</v>
      </c>
      <c r="F33" s="22">
        <v>530</v>
      </c>
      <c r="G33" s="22">
        <v>545</v>
      </c>
      <c r="H33" s="22">
        <v>575</v>
      </c>
    </row>
    <row r="34" spans="2:8">
      <c r="B34" s="22" t="s">
        <v>7</v>
      </c>
      <c r="C34" s="22" t="s">
        <v>801</v>
      </c>
      <c r="D34" s="22" t="s">
        <v>801</v>
      </c>
      <c r="E34" s="22" t="s">
        <v>801</v>
      </c>
      <c r="F34" s="22" t="s">
        <v>801</v>
      </c>
      <c r="G34" s="22" t="s">
        <v>801</v>
      </c>
      <c r="H34" s="22" t="s">
        <v>801</v>
      </c>
    </row>
    <row r="35" spans="2:8">
      <c r="B35" s="22" t="s">
        <v>6</v>
      </c>
      <c r="C35" s="22">
        <v>72</v>
      </c>
      <c r="D35" s="22">
        <v>72</v>
      </c>
      <c r="E35" s="22">
        <v>72</v>
      </c>
      <c r="F35" s="22">
        <v>72</v>
      </c>
      <c r="G35" s="22">
        <v>70</v>
      </c>
      <c r="H35" s="22">
        <v>70</v>
      </c>
    </row>
    <row r="36" spans="2:8">
      <c r="B36" s="22" t="s">
        <v>9</v>
      </c>
      <c r="C36" s="22" t="s">
        <v>802</v>
      </c>
      <c r="D36" s="22" t="s">
        <v>2475</v>
      </c>
      <c r="E36" s="22" t="s">
        <v>2476</v>
      </c>
      <c r="F36" s="22" t="s">
        <v>2477</v>
      </c>
      <c r="G36" s="22" t="s">
        <v>2478</v>
      </c>
      <c r="H36" s="22" t="s">
        <v>2479</v>
      </c>
    </row>
    <row r="37" spans="2:8">
      <c r="B37" s="22" t="s">
        <v>176</v>
      </c>
      <c r="C37" s="22" t="s">
        <v>2480</v>
      </c>
      <c r="D37" s="22" t="s">
        <v>809</v>
      </c>
      <c r="E37" s="22" t="s">
        <v>810</v>
      </c>
      <c r="F37" s="22" t="s">
        <v>811</v>
      </c>
      <c r="G37" s="22" t="s">
        <v>812</v>
      </c>
      <c r="H37" s="22" t="s">
        <v>2481</v>
      </c>
    </row>
    <row r="38" spans="2:8">
      <c r="B38" s="22" t="s">
        <v>1</v>
      </c>
      <c r="C38" s="22">
        <v>370</v>
      </c>
      <c r="D38" s="22">
        <v>373</v>
      </c>
      <c r="E38" s="22">
        <v>384</v>
      </c>
      <c r="F38" s="22">
        <v>389</v>
      </c>
      <c r="G38" s="22">
        <v>399</v>
      </c>
      <c r="H38" s="22">
        <v>413</v>
      </c>
    </row>
    <row r="39" spans="2:8">
      <c r="B39" s="22" t="s">
        <v>0</v>
      </c>
      <c r="C39" s="22">
        <v>534</v>
      </c>
      <c r="D39" s="22">
        <v>562</v>
      </c>
      <c r="E39" s="22">
        <v>574</v>
      </c>
      <c r="F39" s="22">
        <v>593</v>
      </c>
      <c r="G39" s="22">
        <v>609</v>
      </c>
      <c r="H39" s="22">
        <v>628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4D28-D320-BE41-90CB-CA655A0811A8}">
  <dimension ref="A1:I35"/>
  <sheetViews>
    <sheetView workbookViewId="0">
      <selection activeCell="A22" sqref="A22"/>
    </sheetView>
  </sheetViews>
  <sheetFormatPr baseColWidth="10" defaultRowHeight="16"/>
  <cols>
    <col min="1" max="1" width="29.33203125" bestFit="1" customWidth="1"/>
    <col min="2" max="2" width="24.33203125" bestFit="1" customWidth="1"/>
  </cols>
  <sheetData>
    <row r="1" spans="1:9" ht="20">
      <c r="A1" s="22" t="s">
        <v>72</v>
      </c>
      <c r="B1" s="27" t="s">
        <v>789</v>
      </c>
      <c r="C1" s="27">
        <v>50</v>
      </c>
      <c r="D1" s="27">
        <v>52</v>
      </c>
      <c r="E1" s="27">
        <v>54</v>
      </c>
      <c r="F1" s="27">
        <v>56</v>
      </c>
      <c r="G1" s="27">
        <v>58</v>
      </c>
      <c r="H1" s="27">
        <v>60</v>
      </c>
      <c r="I1" s="22"/>
    </row>
    <row r="2" spans="1:9" ht="20">
      <c r="A2" s="22" t="s">
        <v>73</v>
      </c>
      <c r="B2" s="22" t="s">
        <v>577</v>
      </c>
      <c r="C2" s="22">
        <v>518</v>
      </c>
      <c r="D2" s="22">
        <v>530</v>
      </c>
      <c r="E2" s="22">
        <v>545</v>
      </c>
      <c r="F2" s="22">
        <v>560</v>
      </c>
      <c r="G2" s="22">
        <v>575</v>
      </c>
      <c r="H2" s="22">
        <v>590</v>
      </c>
      <c r="I2" s="22"/>
    </row>
    <row r="3" spans="1:9" ht="20">
      <c r="A3" s="22" t="s">
        <v>62</v>
      </c>
      <c r="B3" s="22" t="s">
        <v>3</v>
      </c>
      <c r="C3" s="22">
        <v>71</v>
      </c>
      <c r="D3" s="22">
        <v>71</v>
      </c>
      <c r="E3" s="22">
        <v>71.5</v>
      </c>
      <c r="F3" s="22">
        <v>71.5</v>
      </c>
      <c r="G3" s="22">
        <v>72</v>
      </c>
      <c r="H3" s="22">
        <v>72</v>
      </c>
      <c r="I3" s="22"/>
    </row>
    <row r="4" spans="1:9" ht="20">
      <c r="A4" s="22" t="s">
        <v>64</v>
      </c>
      <c r="B4" s="22" t="s">
        <v>792</v>
      </c>
      <c r="C4" s="22">
        <f t="shared" ref="C4:H4" si="0">VALUE(LEFT(C26,3))</f>
        <v>100</v>
      </c>
      <c r="D4" s="22">
        <f t="shared" si="0"/>
        <v>120</v>
      </c>
      <c r="E4" s="22">
        <f t="shared" si="0"/>
        <v>130</v>
      </c>
      <c r="F4" s="22">
        <f t="shared" si="0"/>
        <v>150</v>
      </c>
      <c r="G4" s="22">
        <f t="shared" si="0"/>
        <v>170</v>
      </c>
      <c r="H4" s="22">
        <f t="shared" si="0"/>
        <v>190</v>
      </c>
      <c r="I4" s="22"/>
    </row>
    <row r="5" spans="1:9" ht="20">
      <c r="A5" s="22" t="s">
        <v>63</v>
      </c>
      <c r="B5" s="22" t="s">
        <v>4</v>
      </c>
      <c r="C5" s="22">
        <v>74.5</v>
      </c>
      <c r="D5" s="22">
        <v>74</v>
      </c>
      <c r="E5" s="22">
        <v>73.5</v>
      </c>
      <c r="F5" s="22">
        <v>73.5</v>
      </c>
      <c r="G5" s="22">
        <v>73</v>
      </c>
      <c r="H5" s="22">
        <v>73</v>
      </c>
      <c r="I5" s="22"/>
    </row>
    <row r="6" spans="1:9" ht="20">
      <c r="A6" s="22" t="s">
        <v>60</v>
      </c>
      <c r="B6" s="22" t="s">
        <v>173</v>
      </c>
      <c r="C6" s="22">
        <v>485</v>
      </c>
      <c r="D6" s="22">
        <v>500</v>
      </c>
      <c r="E6" s="22">
        <v>515</v>
      </c>
      <c r="F6" s="22">
        <v>530</v>
      </c>
      <c r="G6" s="22">
        <v>545</v>
      </c>
      <c r="H6" s="22">
        <v>560</v>
      </c>
      <c r="I6" s="22"/>
    </row>
    <row r="7" spans="1:9" ht="20">
      <c r="A7" s="22" t="s">
        <v>66</v>
      </c>
      <c r="B7" s="22" t="s">
        <v>7</v>
      </c>
      <c r="C7" s="22">
        <f t="shared" ref="C7:H7" si="1">VALUE(LEFT(C29,3))</f>
        <v>425</v>
      </c>
      <c r="D7" s="22">
        <f t="shared" si="1"/>
        <v>425</v>
      </c>
      <c r="E7" s="22">
        <f t="shared" si="1"/>
        <v>425</v>
      </c>
      <c r="F7" s="22">
        <f t="shared" si="1"/>
        <v>425</v>
      </c>
      <c r="G7" s="22">
        <f t="shared" si="1"/>
        <v>425</v>
      </c>
      <c r="H7" s="22">
        <f t="shared" si="1"/>
        <v>425</v>
      </c>
      <c r="I7" s="22" t="s">
        <v>820</v>
      </c>
    </row>
    <row r="8" spans="1:9" ht="20">
      <c r="A8" s="22" t="s">
        <v>65</v>
      </c>
      <c r="B8" s="22" t="s">
        <v>6</v>
      </c>
      <c r="C8" s="22">
        <v>70.5</v>
      </c>
      <c r="D8" s="22">
        <v>70.5</v>
      </c>
      <c r="E8" s="22">
        <v>68</v>
      </c>
      <c r="F8" s="22">
        <v>68</v>
      </c>
      <c r="G8" s="22">
        <v>65.5</v>
      </c>
      <c r="H8" s="22">
        <v>65.5</v>
      </c>
      <c r="I8" s="22"/>
    </row>
    <row r="9" spans="1:9" ht="20">
      <c r="A9" s="22" t="s">
        <v>56</v>
      </c>
      <c r="B9" s="22" t="s">
        <v>9</v>
      </c>
      <c r="C9" s="22">
        <f>VALUE(LEFT(C31,3))</f>
        <v>997</v>
      </c>
      <c r="D9" s="22">
        <f>VALUE(LEFT(D31,4))</f>
        <v>1004</v>
      </c>
      <c r="E9" s="22">
        <f>VALUE(LEFT(E31,4))</f>
        <v>1012</v>
      </c>
      <c r="F9" s="22">
        <f>VALUE(LEFT(F31,4))</f>
        <v>1027</v>
      </c>
      <c r="G9" s="22">
        <f>VALUE(LEFT(G31,4))</f>
        <v>1034</v>
      </c>
      <c r="H9" s="22">
        <f>VALUE(LEFT(H31,4))</f>
        <v>1044</v>
      </c>
      <c r="I9" s="22" t="s">
        <v>820</v>
      </c>
    </row>
    <row r="10" spans="1:9" ht="20">
      <c r="A10" s="22" t="s">
        <v>57</v>
      </c>
      <c r="B10" s="22" t="s">
        <v>176</v>
      </c>
      <c r="C10" s="22">
        <f t="shared" ref="C10:H10" si="2">VALUE(LEFT(C32,4)) * 25.4</f>
        <v>739.14</v>
      </c>
      <c r="D10" s="22">
        <f t="shared" si="2"/>
        <v>756.92</v>
      </c>
      <c r="E10" s="22">
        <f t="shared" si="2"/>
        <v>769.62</v>
      </c>
      <c r="F10" s="22">
        <f t="shared" si="2"/>
        <v>784.8599999999999</v>
      </c>
      <c r="G10" s="22">
        <f t="shared" si="2"/>
        <v>807.72</v>
      </c>
      <c r="H10" s="22">
        <f t="shared" si="2"/>
        <v>820.41999999999985</v>
      </c>
    </row>
    <row r="11" spans="1:9" ht="20">
      <c r="A11" s="22" t="s">
        <v>55</v>
      </c>
      <c r="B11" s="22" t="s">
        <v>1</v>
      </c>
      <c r="C11" s="22">
        <v>369</v>
      </c>
      <c r="D11" s="22">
        <v>371</v>
      </c>
      <c r="E11" s="22">
        <v>378</v>
      </c>
      <c r="F11" s="22">
        <v>388</v>
      </c>
      <c r="G11" s="22">
        <v>392</v>
      </c>
      <c r="H11" s="22">
        <v>401</v>
      </c>
      <c r="I11" s="22"/>
    </row>
    <row r="12" spans="1:9" ht="20">
      <c r="A12" s="22" t="s">
        <v>54</v>
      </c>
      <c r="B12" s="22" t="s">
        <v>0</v>
      </c>
      <c r="C12" s="22">
        <f t="shared" ref="C12:H12" si="3">VALUE(LEFT(C34,3))</f>
        <v>531</v>
      </c>
      <c r="D12" s="22">
        <f t="shared" si="3"/>
        <v>551</v>
      </c>
      <c r="E12" s="22">
        <f t="shared" si="3"/>
        <v>560</v>
      </c>
      <c r="F12" s="22">
        <f t="shared" si="3"/>
        <v>579</v>
      </c>
      <c r="G12" s="22">
        <f t="shared" si="3"/>
        <v>597</v>
      </c>
      <c r="H12" s="22">
        <f t="shared" si="3"/>
        <v>616</v>
      </c>
      <c r="I12" s="22"/>
    </row>
    <row r="13" spans="1:9" ht="20">
      <c r="A13" s="22" t="s">
        <v>67</v>
      </c>
      <c r="B13" s="22" t="s">
        <v>67</v>
      </c>
      <c r="C13" s="22">
        <v>47</v>
      </c>
      <c r="D13" s="22">
        <v>47</v>
      </c>
      <c r="E13" s="22">
        <v>47</v>
      </c>
      <c r="F13" s="22">
        <v>47</v>
      </c>
      <c r="G13" s="22">
        <v>47</v>
      </c>
      <c r="H13" s="22">
        <v>47</v>
      </c>
      <c r="I13" s="22" t="s">
        <v>2468</v>
      </c>
    </row>
    <row r="14" spans="1:9" ht="20">
      <c r="A14" s="22" t="s">
        <v>69</v>
      </c>
      <c r="B14" s="22" t="s">
        <v>69</v>
      </c>
      <c r="C14" s="22"/>
      <c r="D14" s="22"/>
      <c r="E14" s="22"/>
      <c r="F14" s="22"/>
      <c r="G14" s="22"/>
      <c r="H14" s="22"/>
      <c r="I14" s="22"/>
    </row>
    <row r="15" spans="1:9" ht="20">
      <c r="A15" s="22" t="s">
        <v>70</v>
      </c>
      <c r="B15" s="22" t="s">
        <v>70</v>
      </c>
      <c r="C15" s="22"/>
      <c r="D15" s="22"/>
      <c r="E15" s="22"/>
      <c r="F15" s="22"/>
      <c r="G15" s="22"/>
      <c r="H15" s="22"/>
      <c r="I15" s="22"/>
    </row>
    <row r="16" spans="1:9" ht="20">
      <c r="A16" s="22" t="s">
        <v>71</v>
      </c>
      <c r="B16" s="22" t="s">
        <v>71</v>
      </c>
      <c r="C16" s="22"/>
      <c r="D16" s="22"/>
      <c r="E16" s="22"/>
      <c r="F16" s="22"/>
      <c r="G16" s="22"/>
      <c r="H16" s="22"/>
      <c r="I16" s="22"/>
    </row>
    <row r="17" spans="1:9" ht="20">
      <c r="A17" s="22" t="s">
        <v>68</v>
      </c>
      <c r="B17" s="22" t="s">
        <v>68</v>
      </c>
      <c r="C17" s="22">
        <v>700</v>
      </c>
      <c r="D17" s="22">
        <v>700</v>
      </c>
      <c r="E17" s="22">
        <v>700</v>
      </c>
      <c r="F17" s="22">
        <v>700</v>
      </c>
      <c r="G17" s="22">
        <v>700</v>
      </c>
      <c r="H17" s="22">
        <v>700</v>
      </c>
      <c r="I17" s="22" t="s">
        <v>2470</v>
      </c>
    </row>
    <row r="18" spans="1:9" ht="20">
      <c r="A18" s="22" t="s">
        <v>139</v>
      </c>
      <c r="B18" s="22" t="s">
        <v>139</v>
      </c>
      <c r="C18" s="22">
        <v>38</v>
      </c>
      <c r="D18" s="22">
        <v>38</v>
      </c>
      <c r="E18" s="22">
        <v>38</v>
      </c>
      <c r="F18" s="22">
        <v>38</v>
      </c>
      <c r="G18" s="22">
        <v>38</v>
      </c>
      <c r="H18" s="22">
        <v>38</v>
      </c>
      <c r="I18" s="22" t="s">
        <v>2469</v>
      </c>
    </row>
    <row r="19" spans="1:9" ht="20">
      <c r="A19" s="22" t="s">
        <v>140</v>
      </c>
      <c r="B19" s="22" t="s">
        <v>140</v>
      </c>
      <c r="C19" s="22">
        <v>42</v>
      </c>
      <c r="D19" s="22">
        <v>42</v>
      </c>
      <c r="E19" s="22">
        <v>42</v>
      </c>
      <c r="F19" s="22">
        <v>42</v>
      </c>
      <c r="G19" s="22">
        <v>42</v>
      </c>
      <c r="H19" s="22">
        <v>42</v>
      </c>
      <c r="I19" s="22" t="s">
        <v>821</v>
      </c>
    </row>
    <row r="20" spans="1:9" ht="20">
      <c r="A20" s="22" t="s">
        <v>1752</v>
      </c>
    </row>
    <row r="21" spans="1:9" ht="20">
      <c r="A21" s="22" t="s">
        <v>1753</v>
      </c>
    </row>
    <row r="23" spans="1:9" ht="19">
      <c r="C23" s="27">
        <v>50</v>
      </c>
      <c r="D23" s="27">
        <v>52</v>
      </c>
      <c r="E23" s="27">
        <v>54</v>
      </c>
      <c r="F23" s="27">
        <v>56</v>
      </c>
      <c r="G23" s="27">
        <v>58</v>
      </c>
      <c r="H23" s="27">
        <v>60</v>
      </c>
    </row>
    <row r="24" spans="1:9" ht="20">
      <c r="C24" s="22">
        <v>518</v>
      </c>
      <c r="D24" s="22">
        <v>530</v>
      </c>
      <c r="E24" s="22">
        <v>545</v>
      </c>
      <c r="F24" s="22">
        <v>560</v>
      </c>
      <c r="G24" s="22">
        <v>575</v>
      </c>
      <c r="H24" s="22">
        <v>590</v>
      </c>
    </row>
    <row r="25" spans="1:9" ht="20">
      <c r="C25" s="22" t="s">
        <v>309</v>
      </c>
      <c r="D25" s="22" t="s">
        <v>309</v>
      </c>
      <c r="E25" s="22" t="s">
        <v>790</v>
      </c>
      <c r="F25" s="22" t="s">
        <v>790</v>
      </c>
      <c r="G25" s="22" t="s">
        <v>791</v>
      </c>
      <c r="H25" s="22" t="s">
        <v>791</v>
      </c>
    </row>
    <row r="26" spans="1:9" ht="20">
      <c r="C26" s="22" t="s">
        <v>793</v>
      </c>
      <c r="D26" s="22" t="s">
        <v>794</v>
      </c>
      <c r="E26" s="22" t="s">
        <v>795</v>
      </c>
      <c r="F26" s="22" t="s">
        <v>796</v>
      </c>
      <c r="G26" s="22" t="s">
        <v>797</v>
      </c>
      <c r="H26" s="22" t="s">
        <v>798</v>
      </c>
    </row>
    <row r="27" spans="1:9" ht="20">
      <c r="C27" s="22" t="s">
        <v>799</v>
      </c>
      <c r="D27" s="22" t="s">
        <v>32</v>
      </c>
      <c r="E27" s="22" t="s">
        <v>33</v>
      </c>
      <c r="F27" s="22" t="s">
        <v>33</v>
      </c>
      <c r="G27" s="22" t="s">
        <v>800</v>
      </c>
      <c r="H27" s="22" t="s">
        <v>800</v>
      </c>
    </row>
    <row r="28" spans="1:9" ht="20">
      <c r="C28" s="22">
        <v>485</v>
      </c>
      <c r="D28" s="22">
        <v>500</v>
      </c>
      <c r="E28" s="22">
        <v>515</v>
      </c>
      <c r="F28" s="22">
        <v>530</v>
      </c>
      <c r="G28" s="22">
        <v>545</v>
      </c>
      <c r="H28" s="22">
        <v>560</v>
      </c>
    </row>
    <row r="29" spans="1:9" ht="20">
      <c r="C29" s="22" t="s">
        <v>801</v>
      </c>
      <c r="D29" s="22" t="s">
        <v>801</v>
      </c>
      <c r="E29" s="22" t="s">
        <v>801</v>
      </c>
      <c r="F29" s="22" t="s">
        <v>801</v>
      </c>
      <c r="G29" s="22" t="s">
        <v>801</v>
      </c>
      <c r="H29" s="22" t="s">
        <v>801</v>
      </c>
    </row>
    <row r="30" spans="1:9" ht="20">
      <c r="C30" s="22">
        <v>70.5</v>
      </c>
      <c r="D30" s="22">
        <v>70.5</v>
      </c>
      <c r="E30" s="22">
        <v>68</v>
      </c>
      <c r="F30" s="22">
        <v>68</v>
      </c>
      <c r="G30" s="22">
        <v>65.5</v>
      </c>
      <c r="H30" s="22">
        <v>65.5</v>
      </c>
    </row>
    <row r="31" spans="1:9" ht="20">
      <c r="C31" s="22" t="s">
        <v>802</v>
      </c>
      <c r="D31" s="22" t="s">
        <v>803</v>
      </c>
      <c r="E31" s="22" t="s">
        <v>804</v>
      </c>
      <c r="F31" s="22" t="s">
        <v>805</v>
      </c>
      <c r="G31" s="22" t="s">
        <v>806</v>
      </c>
      <c r="H31" s="22" t="s">
        <v>807</v>
      </c>
    </row>
    <row r="32" spans="1:9" ht="20">
      <c r="C32" s="22" t="s">
        <v>808</v>
      </c>
      <c r="D32" s="22" t="s">
        <v>809</v>
      </c>
      <c r="E32" s="22" t="s">
        <v>810</v>
      </c>
      <c r="F32" s="22" t="s">
        <v>811</v>
      </c>
      <c r="G32" s="22" t="s">
        <v>812</v>
      </c>
      <c r="H32" s="22" t="s">
        <v>813</v>
      </c>
    </row>
    <row r="33" spans="3:8" ht="20">
      <c r="C33" s="22">
        <v>369</v>
      </c>
      <c r="D33" s="22">
        <v>371</v>
      </c>
      <c r="E33" s="22">
        <v>378</v>
      </c>
      <c r="F33" s="22">
        <v>388</v>
      </c>
      <c r="G33" s="22">
        <v>392</v>
      </c>
      <c r="H33" s="22">
        <v>401</v>
      </c>
    </row>
    <row r="34" spans="3:8" ht="20">
      <c r="C34" s="22" t="s">
        <v>814</v>
      </c>
      <c r="D34" s="22" t="s">
        <v>815</v>
      </c>
      <c r="E34" s="22" t="s">
        <v>816</v>
      </c>
      <c r="F34" s="22" t="s">
        <v>817</v>
      </c>
      <c r="G34" s="22" t="s">
        <v>818</v>
      </c>
      <c r="H34" s="22" t="s">
        <v>819</v>
      </c>
    </row>
    <row r="35" spans="3:8" ht="20">
      <c r="C35" s="22">
        <v>50</v>
      </c>
      <c r="D35" s="22">
        <v>50</v>
      </c>
      <c r="E35" s="22">
        <v>50</v>
      </c>
      <c r="F35" s="22">
        <v>50</v>
      </c>
      <c r="G35" s="22">
        <v>50</v>
      </c>
      <c r="H35" s="22">
        <v>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3082-F32D-3C40-9F8E-307EB5D45BBE}">
  <dimension ref="A1:N66"/>
  <sheetViews>
    <sheetView topLeftCell="A21" workbookViewId="0">
      <selection activeCell="O33" sqref="O33"/>
    </sheetView>
  </sheetViews>
  <sheetFormatPr baseColWidth="10" defaultRowHeight="20"/>
  <cols>
    <col min="1" max="1" width="29.33203125" style="22" bestFit="1" customWidth="1"/>
    <col min="2" max="2" width="23.33203125" style="22" bestFit="1" customWidth="1"/>
    <col min="3" max="16384" width="10.83203125" style="22"/>
  </cols>
  <sheetData>
    <row r="1" spans="1:6">
      <c r="A1" s="22" t="s">
        <v>2412</v>
      </c>
      <c r="B1" s="2" t="s">
        <v>2508</v>
      </c>
    </row>
    <row r="2" spans="1:6">
      <c r="A2" s="22" t="s">
        <v>2423</v>
      </c>
      <c r="B2" s="116"/>
    </row>
    <row r="3" spans="1:6">
      <c r="A3" s="22" t="s">
        <v>2424</v>
      </c>
      <c r="B3" s="114">
        <v>45111</v>
      </c>
    </row>
    <row r="4" spans="1:6">
      <c r="A4" s="22" t="s">
        <v>2414</v>
      </c>
      <c r="B4" s="2" t="s">
        <v>2484</v>
      </c>
    </row>
    <row r="5" spans="1:6">
      <c r="A5" s="22" t="s">
        <v>2415</v>
      </c>
      <c r="B5" s="2" t="s">
        <v>76</v>
      </c>
    </row>
    <row r="6" spans="1:6">
      <c r="A6" s="22" t="s">
        <v>72</v>
      </c>
      <c r="B6" s="27" t="str">
        <f>B29</f>
        <v>Measurement</v>
      </c>
      <c r="C6" s="27" t="str">
        <f t="shared" ref="C6:F6" si="0">C29</f>
        <v>SM</v>
      </c>
      <c r="D6" s="27" t="str">
        <f t="shared" si="0"/>
        <v>MD</v>
      </c>
      <c r="E6" s="27" t="str">
        <f t="shared" si="0"/>
        <v>LG</v>
      </c>
      <c r="F6" s="27" t="str">
        <f t="shared" si="0"/>
        <v>XL</v>
      </c>
    </row>
    <row r="7" spans="1:6">
      <c r="A7" s="22" t="s">
        <v>73</v>
      </c>
      <c r="B7" s="27" t="str">
        <f t="shared" ref="B7:F17" si="1">B30</f>
        <v>Effective Top Tube</v>
      </c>
      <c r="C7" s="22">
        <f>C30</f>
        <v>575</v>
      </c>
      <c r="D7" s="22">
        <f t="shared" ref="D7:F7" si="2">D30</f>
        <v>600</v>
      </c>
      <c r="E7" s="22">
        <f t="shared" si="2"/>
        <v>620</v>
      </c>
      <c r="F7" s="22">
        <f t="shared" si="2"/>
        <v>640</v>
      </c>
    </row>
    <row r="8" spans="1:6">
      <c r="A8" s="22" t="s">
        <v>62</v>
      </c>
      <c r="B8" s="27" t="str">
        <f t="shared" si="1"/>
        <v>Head Tube Angle</v>
      </c>
      <c r="C8" s="22">
        <f>VALUE(LEFT(C31,2))</f>
        <v>68</v>
      </c>
      <c r="D8" s="22">
        <f t="shared" ref="D8:F8" si="3">VALUE(LEFT(D31,2))</f>
        <v>68</v>
      </c>
      <c r="E8" s="22">
        <f t="shared" si="3"/>
        <v>68</v>
      </c>
      <c r="F8" s="22">
        <f t="shared" si="3"/>
        <v>68</v>
      </c>
    </row>
    <row r="9" spans="1:6">
      <c r="A9" s="22" t="s">
        <v>64</v>
      </c>
      <c r="B9" s="27" t="str">
        <f t="shared" si="1"/>
        <v>Head Tube Length</v>
      </c>
      <c r="C9" s="22">
        <f>C32</f>
        <v>90</v>
      </c>
      <c r="D9" s="22">
        <f t="shared" ref="D9:F9" si="4">D32</f>
        <v>110</v>
      </c>
      <c r="E9" s="22">
        <f t="shared" si="4"/>
        <v>120</v>
      </c>
      <c r="F9" s="22">
        <f t="shared" si="4"/>
        <v>140</v>
      </c>
    </row>
    <row r="10" spans="1:6">
      <c r="A10" s="22" t="s">
        <v>63</v>
      </c>
      <c r="B10" s="27" t="str">
        <f t="shared" si="1"/>
        <v>Seat Tube Angle</v>
      </c>
      <c r="C10" s="22">
        <f>VALUE(LEFT(C33,2))</f>
        <v>74</v>
      </c>
      <c r="D10" s="22">
        <f>VALUE(LEFT(D33,4))</f>
        <v>73.5</v>
      </c>
      <c r="E10" s="22">
        <f t="shared" ref="E10:F10" si="5">VALUE(LEFT(E33,4))</f>
        <v>73.5</v>
      </c>
      <c r="F10" s="22">
        <f t="shared" si="5"/>
        <v>73.5</v>
      </c>
    </row>
    <row r="11" spans="1:6">
      <c r="A11" s="22" t="s">
        <v>60</v>
      </c>
      <c r="B11" s="27" t="str">
        <f t="shared" si="1"/>
        <v>Seat Tube Length</v>
      </c>
      <c r="C11" s="22">
        <f>VALUE(LEFT(C34,2))*2.54*10</f>
        <v>381</v>
      </c>
      <c r="D11" s="22">
        <f t="shared" ref="D11:F11" si="6">VALUE(LEFT(D34,2))*2.54*10</f>
        <v>406.4</v>
      </c>
      <c r="E11" s="22">
        <f t="shared" si="6"/>
        <v>457.2</v>
      </c>
      <c r="F11" s="22">
        <f t="shared" si="6"/>
        <v>508</v>
      </c>
    </row>
    <row r="12" spans="1:6">
      <c r="A12" s="22" t="s">
        <v>66</v>
      </c>
      <c r="B12" s="27" t="str">
        <f t="shared" si="1"/>
        <v>Chainstay Length</v>
      </c>
      <c r="C12" s="22">
        <f>VALUE(LEFT(C35,3))</f>
        <v>440</v>
      </c>
      <c r="D12" s="22">
        <f t="shared" ref="D12:F12" si="7">VALUE(LEFT(D35,3))</f>
        <v>440</v>
      </c>
      <c r="E12" s="22">
        <f t="shared" si="7"/>
        <v>440</v>
      </c>
      <c r="F12" s="22">
        <f t="shared" si="7"/>
        <v>440</v>
      </c>
    </row>
    <row r="13" spans="1:6">
      <c r="A13" s="22" t="s">
        <v>65</v>
      </c>
      <c r="B13" s="27" t="str">
        <f t="shared" si="1"/>
        <v>Bottom Bracket Drop</v>
      </c>
      <c r="C13" s="22">
        <f t="shared" si="1"/>
        <v>60</v>
      </c>
      <c r="D13" s="22">
        <f t="shared" ref="D13:F13" si="8">D36</f>
        <v>60</v>
      </c>
      <c r="E13" s="22">
        <f t="shared" si="8"/>
        <v>60</v>
      </c>
      <c r="F13" s="22">
        <f t="shared" si="8"/>
        <v>60</v>
      </c>
    </row>
    <row r="14" spans="1:6">
      <c r="A14" s="22" t="s">
        <v>56</v>
      </c>
      <c r="B14" s="27" t="str">
        <f t="shared" si="1"/>
        <v>Wheelbase</v>
      </c>
      <c r="C14" s="22">
        <f>VALUE(LEFT(C37,4))</f>
        <v>1106</v>
      </c>
      <c r="D14" s="22">
        <f t="shared" ref="D14:F14" si="9">VALUE(LEFT(D37,4))</f>
        <v>1126</v>
      </c>
      <c r="E14" s="22">
        <f t="shared" si="9"/>
        <v>1147</v>
      </c>
      <c r="F14" s="22">
        <f t="shared" si="9"/>
        <v>1169</v>
      </c>
    </row>
    <row r="15" spans="1:6">
      <c r="A15" s="22" t="s">
        <v>57</v>
      </c>
      <c r="B15" s="27" t="str">
        <f t="shared" si="1"/>
        <v>Standover Height</v>
      </c>
      <c r="C15" s="22">
        <f>VALUE(LEFT(C38,2))*2.54*10</f>
        <v>736.59999999999991</v>
      </c>
      <c r="D15" s="22">
        <f t="shared" ref="D15:F15" si="10">VALUE(LEFT(D38,2))*2.54*10</f>
        <v>762</v>
      </c>
      <c r="E15" s="22">
        <f t="shared" si="10"/>
        <v>787.4</v>
      </c>
      <c r="F15" s="22">
        <f t="shared" si="10"/>
        <v>838.2</v>
      </c>
    </row>
    <row r="16" spans="1:6">
      <c r="A16" s="22" t="s">
        <v>55</v>
      </c>
      <c r="B16" s="27" t="str">
        <f t="shared" si="1"/>
        <v>Reach</v>
      </c>
      <c r="C16" s="22">
        <f t="shared" si="1"/>
        <v>393</v>
      </c>
      <c r="D16" s="22">
        <f t="shared" si="1"/>
        <v>406</v>
      </c>
      <c r="E16" s="22">
        <f t="shared" si="1"/>
        <v>423</v>
      </c>
      <c r="F16" s="22">
        <f t="shared" si="1"/>
        <v>438</v>
      </c>
    </row>
    <row r="17" spans="1:14">
      <c r="A17" s="22" t="s">
        <v>54</v>
      </c>
      <c r="B17" s="27" t="str">
        <f t="shared" si="1"/>
        <v>Stack</v>
      </c>
      <c r="C17" s="22">
        <f t="shared" si="1"/>
        <v>628</v>
      </c>
      <c r="D17" s="22">
        <f t="shared" si="1"/>
        <v>646</v>
      </c>
      <c r="E17" s="22">
        <f t="shared" si="1"/>
        <v>656</v>
      </c>
      <c r="F17" s="22">
        <f t="shared" si="1"/>
        <v>674</v>
      </c>
    </row>
    <row r="18" spans="1:14">
      <c r="A18" s="22" t="s">
        <v>495</v>
      </c>
      <c r="B18" s="22" t="s">
        <v>495</v>
      </c>
      <c r="C18" s="22">
        <v>530</v>
      </c>
      <c r="D18" s="22">
        <v>530</v>
      </c>
      <c r="E18" s="22">
        <v>530</v>
      </c>
      <c r="F18" s="22">
        <v>530</v>
      </c>
      <c r="G18" s="63" t="s">
        <v>2485</v>
      </c>
    </row>
    <row r="19" spans="1:14">
      <c r="A19" s="22" t="s">
        <v>67</v>
      </c>
      <c r="B19" s="22" t="s">
        <v>67</v>
      </c>
      <c r="C19" s="22">
        <v>44</v>
      </c>
      <c r="D19" s="22">
        <v>44</v>
      </c>
      <c r="E19" s="22">
        <v>44</v>
      </c>
      <c r="F19" s="22">
        <v>44</v>
      </c>
      <c r="G19" s="63" t="s">
        <v>2485</v>
      </c>
    </row>
    <row r="20" spans="1:14">
      <c r="A20" s="22" t="s">
        <v>69</v>
      </c>
      <c r="B20" s="22" t="s">
        <v>69</v>
      </c>
      <c r="C20" s="27"/>
      <c r="D20" s="27"/>
      <c r="E20" s="27"/>
      <c r="F20" s="27"/>
    </row>
    <row r="21" spans="1:14">
      <c r="A21" s="22" t="s">
        <v>70</v>
      </c>
      <c r="B21" s="22" t="s">
        <v>70</v>
      </c>
    </row>
    <row r="22" spans="1:14">
      <c r="A22" s="22" t="s">
        <v>71</v>
      </c>
      <c r="B22" s="22" t="s">
        <v>71</v>
      </c>
    </row>
    <row r="23" spans="1:14">
      <c r="A23" s="22" t="s">
        <v>68</v>
      </c>
      <c r="B23" s="22" t="s">
        <v>68</v>
      </c>
      <c r="C23" s="22">
        <v>29</v>
      </c>
      <c r="D23" s="22">
        <v>29</v>
      </c>
      <c r="E23" s="22">
        <v>29</v>
      </c>
      <c r="F23" s="22">
        <v>29</v>
      </c>
    </row>
    <row r="24" spans="1:14">
      <c r="A24" s="22" t="s">
        <v>139</v>
      </c>
      <c r="B24" s="22" t="s">
        <v>139</v>
      </c>
      <c r="C24" s="22">
        <f>2.25*2.54*10</f>
        <v>57.15</v>
      </c>
      <c r="D24" s="22">
        <f t="shared" ref="D24:F24" si="11">2.25*2.54*10</f>
        <v>57.15</v>
      </c>
      <c r="E24" s="22">
        <f t="shared" si="11"/>
        <v>57.15</v>
      </c>
      <c r="F24" s="22">
        <f t="shared" si="11"/>
        <v>57.15</v>
      </c>
      <c r="G24" s="22" t="s">
        <v>2499</v>
      </c>
    </row>
    <row r="25" spans="1:14">
      <c r="A25" s="22" t="s">
        <v>140</v>
      </c>
      <c r="B25" s="22" t="s">
        <v>140</v>
      </c>
      <c r="C25" s="22">
        <f>2.4*25.4</f>
        <v>60.959999999999994</v>
      </c>
      <c r="D25" s="22">
        <f t="shared" ref="D25:F25" si="12">2.4*25.4</f>
        <v>60.959999999999994</v>
      </c>
      <c r="E25" s="22">
        <f t="shared" si="12"/>
        <v>60.959999999999994</v>
      </c>
      <c r="F25" s="22">
        <f t="shared" si="12"/>
        <v>60.959999999999994</v>
      </c>
    </row>
    <row r="26" spans="1:14">
      <c r="A26" s="22" t="s">
        <v>1752</v>
      </c>
    </row>
    <row r="27" spans="1:14">
      <c r="A27" s="22" t="s">
        <v>1753</v>
      </c>
    </row>
    <row r="28" spans="1:14" ht="24">
      <c r="B28" s="119" t="s">
        <v>2498</v>
      </c>
      <c r="C28" s="117" t="s">
        <v>168</v>
      </c>
      <c r="D28" s="117" t="s">
        <v>169</v>
      </c>
      <c r="E28" s="117" t="s">
        <v>170</v>
      </c>
      <c r="F28" s="117" t="s">
        <v>20</v>
      </c>
      <c r="H28" s="150" t="s">
        <v>789</v>
      </c>
      <c r="I28" s="150" t="s">
        <v>17</v>
      </c>
      <c r="J28" s="150" t="s">
        <v>18</v>
      </c>
      <c r="K28" s="150" t="s">
        <v>2172</v>
      </c>
      <c r="L28" s="150" t="s">
        <v>19</v>
      </c>
      <c r="M28" s="150" t="s">
        <v>2843</v>
      </c>
      <c r="N28" s="150" t="s">
        <v>20</v>
      </c>
    </row>
    <row r="29" spans="1:14" ht="21">
      <c r="B29" s="22" t="s">
        <v>789</v>
      </c>
      <c r="C29" s="22" t="s">
        <v>168</v>
      </c>
      <c r="D29" s="22" t="s">
        <v>169</v>
      </c>
      <c r="E29" s="22" t="s">
        <v>170</v>
      </c>
      <c r="F29" s="22" t="s">
        <v>20</v>
      </c>
      <c r="H29" s="118" t="s">
        <v>2844</v>
      </c>
      <c r="I29" s="118" t="s">
        <v>2845</v>
      </c>
      <c r="J29" s="118" t="s">
        <v>2846</v>
      </c>
      <c r="K29" s="118" t="s">
        <v>2847</v>
      </c>
      <c r="L29" s="118" t="s">
        <v>2848</v>
      </c>
      <c r="M29" s="118" t="s">
        <v>2849</v>
      </c>
      <c r="N29" s="118" t="s">
        <v>2850</v>
      </c>
    </row>
    <row r="30" spans="1:14" ht="21">
      <c r="B30" s="118" t="s">
        <v>577</v>
      </c>
      <c r="C30" s="118">
        <v>575</v>
      </c>
      <c r="D30" s="118">
        <v>600</v>
      </c>
      <c r="E30" s="118">
        <v>620</v>
      </c>
      <c r="F30" s="118">
        <v>640</v>
      </c>
      <c r="H30" s="118" t="s">
        <v>2851</v>
      </c>
      <c r="I30" s="118" t="s">
        <v>2852</v>
      </c>
      <c r="J30" s="118" t="s">
        <v>2853</v>
      </c>
      <c r="K30" s="118" t="s">
        <v>2853</v>
      </c>
      <c r="L30" s="118" t="s">
        <v>2854</v>
      </c>
      <c r="M30" s="118" t="s">
        <v>2854</v>
      </c>
      <c r="N30" s="118" t="s">
        <v>2855</v>
      </c>
    </row>
    <row r="31" spans="1:14" ht="21">
      <c r="B31" s="118" t="s">
        <v>3</v>
      </c>
      <c r="C31" s="118" t="s">
        <v>1184</v>
      </c>
      <c r="D31" s="118" t="s">
        <v>1184</v>
      </c>
      <c r="E31" s="118" t="s">
        <v>1184</v>
      </c>
      <c r="F31" s="118" t="s">
        <v>1184</v>
      </c>
      <c r="H31" s="118" t="s">
        <v>2856</v>
      </c>
      <c r="I31" s="118" t="s">
        <v>2857</v>
      </c>
      <c r="J31" s="118" t="s">
        <v>2857</v>
      </c>
      <c r="K31" s="118" t="s">
        <v>2857</v>
      </c>
      <c r="L31" s="118" t="s">
        <v>2857</v>
      </c>
      <c r="M31" s="118" t="s">
        <v>2852</v>
      </c>
      <c r="N31" s="118" t="s">
        <v>2858</v>
      </c>
    </row>
    <row r="32" spans="1:14" ht="21">
      <c r="B32" s="118" t="s">
        <v>5</v>
      </c>
      <c r="C32" s="118">
        <v>90</v>
      </c>
      <c r="D32" s="118">
        <v>110</v>
      </c>
      <c r="E32" s="118">
        <v>120</v>
      </c>
      <c r="F32" s="118">
        <v>140</v>
      </c>
      <c r="H32" s="118" t="s">
        <v>577</v>
      </c>
      <c r="I32" s="118">
        <v>575</v>
      </c>
      <c r="J32" s="118">
        <v>600</v>
      </c>
      <c r="K32" s="118">
        <v>610</v>
      </c>
      <c r="L32" s="118">
        <v>620</v>
      </c>
      <c r="M32" s="118">
        <v>630</v>
      </c>
      <c r="N32" s="118">
        <v>640</v>
      </c>
    </row>
    <row r="33" spans="2:14" ht="21">
      <c r="B33" s="118" t="s">
        <v>4</v>
      </c>
      <c r="C33" s="118" t="s">
        <v>32</v>
      </c>
      <c r="D33" s="118" t="s">
        <v>33</v>
      </c>
      <c r="E33" s="118" t="s">
        <v>33</v>
      </c>
      <c r="F33" s="118" t="s">
        <v>33</v>
      </c>
      <c r="H33" s="118" t="s">
        <v>3</v>
      </c>
      <c r="I33" s="118" t="s">
        <v>1184</v>
      </c>
      <c r="J33" s="118" t="s">
        <v>1184</v>
      </c>
      <c r="K33" s="118" t="s">
        <v>1184</v>
      </c>
      <c r="L33" s="118" t="s">
        <v>1184</v>
      </c>
      <c r="M33" s="118" t="s">
        <v>1184</v>
      </c>
      <c r="N33" s="118" t="s">
        <v>1184</v>
      </c>
    </row>
    <row r="34" spans="2:14" ht="21">
      <c r="B34" s="118" t="s">
        <v>173</v>
      </c>
      <c r="C34" s="118" t="s">
        <v>752</v>
      </c>
      <c r="D34" s="118" t="s">
        <v>1655</v>
      </c>
      <c r="E34" s="118" t="s">
        <v>1656</v>
      </c>
      <c r="F34" s="118" t="s">
        <v>1657</v>
      </c>
      <c r="H34" s="118" t="s">
        <v>5</v>
      </c>
      <c r="I34" s="118">
        <v>95</v>
      </c>
      <c r="J34" s="118">
        <v>110</v>
      </c>
      <c r="K34" s="118">
        <v>115</v>
      </c>
      <c r="L34" s="118">
        <v>120</v>
      </c>
      <c r="M34" s="118">
        <v>130</v>
      </c>
      <c r="N34" s="118">
        <v>140</v>
      </c>
    </row>
    <row r="35" spans="2:14" ht="21">
      <c r="B35" s="118" t="s">
        <v>7</v>
      </c>
      <c r="C35" s="118" t="s">
        <v>1658</v>
      </c>
      <c r="D35" s="118" t="s">
        <v>1658</v>
      </c>
      <c r="E35" s="118" t="s">
        <v>1658</v>
      </c>
      <c r="F35" s="118" t="s">
        <v>1658</v>
      </c>
      <c r="H35" s="118" t="s">
        <v>4</v>
      </c>
      <c r="I35" s="118" t="s">
        <v>32</v>
      </c>
      <c r="J35" s="118" t="s">
        <v>33</v>
      </c>
      <c r="K35" s="118" t="s">
        <v>33</v>
      </c>
      <c r="L35" s="118" t="s">
        <v>33</v>
      </c>
      <c r="M35" s="118" t="s">
        <v>33</v>
      </c>
      <c r="N35" s="118" t="s">
        <v>33</v>
      </c>
    </row>
    <row r="36" spans="2:14" ht="21">
      <c r="B36" s="118" t="s">
        <v>6</v>
      </c>
      <c r="C36" s="118">
        <v>60</v>
      </c>
      <c r="D36" s="118">
        <v>60</v>
      </c>
      <c r="E36" s="118">
        <v>60</v>
      </c>
      <c r="F36" s="118">
        <v>60</v>
      </c>
      <c r="H36" s="118" t="s">
        <v>173</v>
      </c>
      <c r="I36" s="118" t="s">
        <v>752</v>
      </c>
      <c r="J36" s="118" t="s">
        <v>1655</v>
      </c>
      <c r="K36" s="118" t="s">
        <v>1655</v>
      </c>
      <c r="L36" s="118" t="s">
        <v>1656</v>
      </c>
      <c r="M36" s="118" t="s">
        <v>1656</v>
      </c>
      <c r="N36" s="118" t="s">
        <v>1657</v>
      </c>
    </row>
    <row r="37" spans="2:14" ht="21">
      <c r="B37" s="118" t="s">
        <v>9</v>
      </c>
      <c r="C37" s="118" t="s">
        <v>2486</v>
      </c>
      <c r="D37" s="118" t="s">
        <v>1659</v>
      </c>
      <c r="E37" s="118" t="s">
        <v>1660</v>
      </c>
      <c r="F37" s="118" t="s">
        <v>1661</v>
      </c>
      <c r="H37" s="118" t="s">
        <v>7</v>
      </c>
      <c r="I37" s="118" t="s">
        <v>1658</v>
      </c>
      <c r="J37" s="118" t="s">
        <v>1658</v>
      </c>
      <c r="K37" s="118" t="s">
        <v>1658</v>
      </c>
      <c r="L37" s="118" t="s">
        <v>1658</v>
      </c>
      <c r="M37" s="118" t="s">
        <v>1658</v>
      </c>
      <c r="N37" s="118" t="s">
        <v>1658</v>
      </c>
    </row>
    <row r="38" spans="2:14" ht="21">
      <c r="B38" s="118" t="s">
        <v>176</v>
      </c>
      <c r="C38" s="118" t="s">
        <v>1662</v>
      </c>
      <c r="D38" s="118" t="s">
        <v>1663</v>
      </c>
      <c r="E38" s="118" t="s">
        <v>812</v>
      </c>
      <c r="F38" s="118" t="s">
        <v>1664</v>
      </c>
      <c r="H38" s="118" t="s">
        <v>6</v>
      </c>
      <c r="I38" s="118">
        <v>60</v>
      </c>
      <c r="J38" s="118">
        <v>60</v>
      </c>
      <c r="K38" s="118">
        <v>60</v>
      </c>
      <c r="L38" s="118">
        <v>60</v>
      </c>
      <c r="M38" s="118">
        <v>60</v>
      </c>
      <c r="N38" s="118">
        <v>60</v>
      </c>
    </row>
    <row r="39" spans="2:14" ht="21">
      <c r="B39" s="118" t="s">
        <v>1</v>
      </c>
      <c r="C39" s="118">
        <v>393</v>
      </c>
      <c r="D39" s="118">
        <v>406</v>
      </c>
      <c r="E39" s="118">
        <v>423</v>
      </c>
      <c r="F39" s="118">
        <v>438</v>
      </c>
      <c r="H39" s="118" t="s">
        <v>9</v>
      </c>
      <c r="I39" s="118" t="s">
        <v>2486</v>
      </c>
      <c r="J39" s="118" t="s">
        <v>1659</v>
      </c>
      <c r="K39" s="118" t="s">
        <v>2859</v>
      </c>
      <c r="L39" s="118" t="s">
        <v>1660</v>
      </c>
      <c r="M39" s="118" t="s">
        <v>2860</v>
      </c>
      <c r="N39" s="118" t="s">
        <v>1661</v>
      </c>
    </row>
    <row r="40" spans="2:14" ht="21">
      <c r="B40" s="118" t="s">
        <v>0</v>
      </c>
      <c r="C40" s="118">
        <v>628</v>
      </c>
      <c r="D40" s="118">
        <v>646</v>
      </c>
      <c r="E40" s="118">
        <v>656</v>
      </c>
      <c r="F40" s="118">
        <v>674</v>
      </c>
      <c r="H40" s="118" t="s">
        <v>176</v>
      </c>
      <c r="I40" s="118" t="s">
        <v>2861</v>
      </c>
      <c r="J40" s="118" t="s">
        <v>809</v>
      </c>
      <c r="K40" s="118" t="s">
        <v>809</v>
      </c>
      <c r="L40" s="118" t="s">
        <v>2862</v>
      </c>
      <c r="M40" s="118" t="s">
        <v>2863</v>
      </c>
      <c r="N40" s="118" t="s">
        <v>2864</v>
      </c>
    </row>
    <row r="41" spans="2:14" ht="21">
      <c r="H41" s="118" t="s">
        <v>1</v>
      </c>
      <c r="I41" s="118">
        <v>391</v>
      </c>
      <c r="J41" s="118">
        <v>406</v>
      </c>
      <c r="K41" s="118">
        <v>414</v>
      </c>
      <c r="L41" s="118">
        <v>423</v>
      </c>
      <c r="M41" s="118">
        <v>431</v>
      </c>
      <c r="N41" s="118">
        <v>438</v>
      </c>
    </row>
    <row r="42" spans="2:14" ht="21">
      <c r="H42" s="118" t="s">
        <v>0</v>
      </c>
      <c r="I42" s="118">
        <v>632</v>
      </c>
      <c r="J42" s="118">
        <v>646</v>
      </c>
      <c r="K42" s="118">
        <v>651</v>
      </c>
      <c r="L42" s="118">
        <v>656</v>
      </c>
      <c r="M42" s="118">
        <v>665</v>
      </c>
      <c r="N42" s="118">
        <v>674</v>
      </c>
    </row>
    <row r="43" spans="2:14" ht="21">
      <c r="H43" s="118" t="s">
        <v>2865</v>
      </c>
      <c r="I43" s="118"/>
      <c r="J43" s="118"/>
      <c r="K43" s="118"/>
      <c r="L43" s="118"/>
      <c r="M43" s="118"/>
      <c r="N43"/>
    </row>
    <row r="55" spans="2:6" ht="24">
      <c r="B55" s="117"/>
      <c r="C55" s="117"/>
      <c r="D55" s="117"/>
      <c r="E55" s="117"/>
      <c r="F55" s="117"/>
    </row>
    <row r="56" spans="2:6" ht="21">
      <c r="B56" s="118"/>
      <c r="C56" s="118"/>
      <c r="D56" s="118"/>
      <c r="E56" s="118"/>
      <c r="F56" s="118"/>
    </row>
    <row r="57" spans="2:6" ht="21">
      <c r="B57" s="118"/>
      <c r="C57" s="118"/>
      <c r="D57" s="118"/>
      <c r="E57" s="118"/>
      <c r="F57" s="118"/>
    </row>
    <row r="58" spans="2:6" ht="21">
      <c r="B58" s="118"/>
      <c r="C58" s="118"/>
      <c r="D58" s="118"/>
      <c r="E58" s="118"/>
      <c r="F58" s="118"/>
    </row>
    <row r="59" spans="2:6" ht="21">
      <c r="B59" s="118"/>
      <c r="C59" s="118"/>
      <c r="D59" s="118"/>
      <c r="E59" s="118"/>
      <c r="F59" s="118"/>
    </row>
    <row r="60" spans="2:6" ht="21">
      <c r="B60" s="118"/>
      <c r="C60" s="118"/>
      <c r="D60" s="118"/>
      <c r="E60" s="118"/>
      <c r="F60" s="118"/>
    </row>
    <row r="61" spans="2:6" ht="21">
      <c r="B61" s="118"/>
      <c r="C61" s="118"/>
      <c r="D61" s="118"/>
      <c r="E61" s="118"/>
      <c r="F61" s="118"/>
    </row>
    <row r="62" spans="2:6" ht="21">
      <c r="B62" s="118"/>
      <c r="C62" s="118"/>
      <c r="D62" s="118"/>
      <c r="E62" s="118"/>
      <c r="F62" s="118"/>
    </row>
    <row r="63" spans="2:6" ht="21">
      <c r="B63" s="118"/>
      <c r="C63" s="118"/>
      <c r="D63" s="118"/>
      <c r="E63" s="118"/>
      <c r="F63" s="118"/>
    </row>
    <row r="64" spans="2:6" ht="21">
      <c r="B64" s="118"/>
      <c r="C64" s="118"/>
      <c r="D64" s="118"/>
      <c r="E64" s="118"/>
      <c r="F64" s="118"/>
    </row>
    <row r="65" spans="2:6" ht="21">
      <c r="B65" s="118"/>
      <c r="C65" s="118"/>
      <c r="D65" s="118"/>
      <c r="E65" s="118"/>
      <c r="F65" s="118"/>
    </row>
    <row r="66" spans="2:6" ht="21">
      <c r="B66" s="118"/>
      <c r="C66" s="118"/>
      <c r="D66" s="118"/>
      <c r="E66" s="118"/>
      <c r="F66" s="11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3B53-1BD8-8848-ACA7-507906FBEEB4}">
  <dimension ref="A1:G35"/>
  <sheetViews>
    <sheetView workbookViewId="0">
      <selection activeCell="C12" sqref="C12:F12"/>
    </sheetView>
  </sheetViews>
  <sheetFormatPr baseColWidth="10" defaultRowHeight="20"/>
  <cols>
    <col min="1" max="1" width="29.33203125" style="22" bestFit="1" customWidth="1"/>
    <col min="2" max="2" width="23.33203125" style="22" bestFit="1" customWidth="1"/>
    <col min="3" max="16384" width="10.83203125" style="22"/>
  </cols>
  <sheetData>
    <row r="1" spans="1:7">
      <c r="A1" s="22" t="s">
        <v>72</v>
      </c>
      <c r="B1" s="27" t="str">
        <f>B24</f>
        <v>Measurement</v>
      </c>
      <c r="C1" s="27" t="str">
        <f t="shared" ref="C1:F2" si="0">C24</f>
        <v>SM</v>
      </c>
      <c r="D1" s="27" t="str">
        <f t="shared" si="0"/>
        <v>MD</v>
      </c>
      <c r="E1" s="27" t="str">
        <f t="shared" si="0"/>
        <v>LG</v>
      </c>
      <c r="F1" s="27" t="str">
        <f t="shared" si="0"/>
        <v>XL</v>
      </c>
    </row>
    <row r="2" spans="1:7">
      <c r="A2" s="22" t="s">
        <v>73</v>
      </c>
      <c r="B2" s="27" t="str">
        <f t="shared" ref="B2:F12" si="1">B25</f>
        <v>Effective Top Tube</v>
      </c>
      <c r="C2" s="22">
        <f>C25</f>
        <v>569</v>
      </c>
      <c r="D2" s="22">
        <f t="shared" si="0"/>
        <v>594</v>
      </c>
      <c r="E2" s="22">
        <f t="shared" si="0"/>
        <v>614</v>
      </c>
      <c r="F2" s="22">
        <f t="shared" si="0"/>
        <v>634</v>
      </c>
    </row>
    <row r="3" spans="1:7">
      <c r="A3" s="22" t="s">
        <v>62</v>
      </c>
      <c r="B3" s="27" t="str">
        <f t="shared" si="1"/>
        <v>Head Tube Angle</v>
      </c>
      <c r="C3" s="22">
        <f>VALUE(LEFT(C26,4))</f>
        <v>69.900000000000006</v>
      </c>
      <c r="D3" s="22">
        <f t="shared" ref="D3:F3" si="2">VALUE(LEFT(D26,4))</f>
        <v>69.900000000000006</v>
      </c>
      <c r="E3" s="22">
        <f t="shared" si="2"/>
        <v>69.900000000000006</v>
      </c>
      <c r="F3" s="22">
        <f t="shared" si="2"/>
        <v>69.900000000000006</v>
      </c>
    </row>
    <row r="4" spans="1:7">
      <c r="A4" s="22" t="s">
        <v>64</v>
      </c>
      <c r="B4" s="27" t="str">
        <f t="shared" si="1"/>
        <v>Head Tube Length</v>
      </c>
      <c r="C4" s="22">
        <f>C27</f>
        <v>90</v>
      </c>
      <c r="D4" s="22">
        <f t="shared" ref="D4:F4" si="3">D27</f>
        <v>110</v>
      </c>
      <c r="E4" s="22">
        <f t="shared" si="3"/>
        <v>120</v>
      </c>
      <c r="F4" s="22">
        <f t="shared" si="3"/>
        <v>140</v>
      </c>
    </row>
    <row r="5" spans="1:7">
      <c r="A5" s="22" t="s">
        <v>63</v>
      </c>
      <c r="B5" s="27" t="str">
        <f t="shared" si="1"/>
        <v>Seat Tube Angle</v>
      </c>
      <c r="C5" s="22">
        <f>VALUE(LEFT(C28,2))</f>
        <v>76</v>
      </c>
      <c r="D5" s="22">
        <f>VALUE(LEFT(D28,4))</f>
        <v>75.400000000000006</v>
      </c>
      <c r="E5" s="22">
        <f t="shared" ref="E5:F5" si="4">VALUE(LEFT(E28,4))</f>
        <v>75.400000000000006</v>
      </c>
      <c r="F5" s="22">
        <f t="shared" si="4"/>
        <v>75.400000000000006</v>
      </c>
    </row>
    <row r="6" spans="1:7">
      <c r="A6" s="22" t="s">
        <v>60</v>
      </c>
      <c r="B6" s="27" t="str">
        <f t="shared" si="1"/>
        <v>Seat Tube Length</v>
      </c>
      <c r="C6" s="22">
        <f>VALUE(LEFT(C29,2))*2.54*10</f>
        <v>381</v>
      </c>
      <c r="D6" s="22">
        <f t="shared" ref="D6:F6" si="5">VALUE(LEFT(D29,2))*2.54*10</f>
        <v>406.4</v>
      </c>
      <c r="E6" s="22">
        <f t="shared" si="5"/>
        <v>457.2</v>
      </c>
      <c r="F6" s="22">
        <f t="shared" si="5"/>
        <v>508</v>
      </c>
    </row>
    <row r="7" spans="1:7">
      <c r="A7" s="22" t="s">
        <v>66</v>
      </c>
      <c r="B7" s="27" t="str">
        <f t="shared" si="1"/>
        <v>Chainstay Length</v>
      </c>
      <c r="C7" s="22">
        <f>VALUE(LEFT(C30,3))</f>
        <v>440</v>
      </c>
      <c r="D7" s="22">
        <f t="shared" ref="D7:F7" si="6">VALUE(LEFT(D30,3))</f>
        <v>440</v>
      </c>
      <c r="E7" s="22">
        <f t="shared" si="6"/>
        <v>440</v>
      </c>
      <c r="F7" s="22">
        <f t="shared" si="6"/>
        <v>440</v>
      </c>
    </row>
    <row r="8" spans="1:7">
      <c r="A8" s="22" t="s">
        <v>65</v>
      </c>
      <c r="B8" s="27" t="str">
        <f t="shared" si="1"/>
        <v>Bottom Bracket Drop</v>
      </c>
      <c r="C8" s="22">
        <f t="shared" si="1"/>
        <v>74</v>
      </c>
      <c r="D8" s="22">
        <f t="shared" si="1"/>
        <v>74</v>
      </c>
      <c r="E8" s="22">
        <f t="shared" si="1"/>
        <v>74</v>
      </c>
      <c r="F8" s="22">
        <f t="shared" si="1"/>
        <v>74</v>
      </c>
    </row>
    <row r="9" spans="1:7">
      <c r="A9" s="22" t="s">
        <v>56</v>
      </c>
      <c r="B9" s="27" t="str">
        <f t="shared" si="1"/>
        <v>Wheelbase</v>
      </c>
      <c r="C9" s="22">
        <f>VALUE(LEFT(C32,4))</f>
        <v>1091</v>
      </c>
      <c r="D9" s="22">
        <f t="shared" ref="D9:F9" si="7">VALUE(LEFT(D32,4))</f>
        <v>1112</v>
      </c>
      <c r="E9" s="22">
        <f t="shared" si="7"/>
        <v>1133</v>
      </c>
      <c r="F9" s="22">
        <f t="shared" si="7"/>
        <v>1155</v>
      </c>
    </row>
    <row r="10" spans="1:7">
      <c r="A10" s="22" t="s">
        <v>57</v>
      </c>
      <c r="B10" s="27" t="str">
        <f t="shared" si="1"/>
        <v>Standover Height</v>
      </c>
      <c r="C10" s="22">
        <f>VALUE(LEFT(C33,2))*2.54*10</f>
        <v>711.2</v>
      </c>
      <c r="D10" s="22">
        <f t="shared" ref="D10:F10" si="8">VALUE(LEFT(D33,2))*2.54*10</f>
        <v>736.59999999999991</v>
      </c>
      <c r="E10" s="22">
        <f t="shared" si="8"/>
        <v>762</v>
      </c>
      <c r="F10" s="22">
        <f t="shared" si="8"/>
        <v>812.8</v>
      </c>
    </row>
    <row r="11" spans="1:7">
      <c r="A11" s="22" t="s">
        <v>55</v>
      </c>
      <c r="B11" s="27" t="str">
        <f t="shared" si="1"/>
        <v>Reach</v>
      </c>
      <c r="C11" s="22">
        <f t="shared" si="1"/>
        <v>414</v>
      </c>
      <c r="D11" s="22">
        <f t="shared" si="1"/>
        <v>428</v>
      </c>
      <c r="E11" s="22">
        <f t="shared" si="1"/>
        <v>444</v>
      </c>
      <c r="F11" s="22">
        <f t="shared" si="1"/>
        <v>459</v>
      </c>
    </row>
    <row r="12" spans="1:7">
      <c r="A12" s="22" t="s">
        <v>54</v>
      </c>
      <c r="B12" s="27" t="str">
        <f t="shared" si="1"/>
        <v>Stack</v>
      </c>
      <c r="C12" s="22">
        <f t="shared" si="1"/>
        <v>614</v>
      </c>
      <c r="D12" s="22">
        <f t="shared" si="1"/>
        <v>632</v>
      </c>
      <c r="E12" s="22">
        <f t="shared" si="1"/>
        <v>641</v>
      </c>
      <c r="F12" s="22">
        <f t="shared" si="1"/>
        <v>634</v>
      </c>
    </row>
    <row r="13" spans="1:7">
      <c r="A13" s="22" t="s">
        <v>495</v>
      </c>
      <c r="B13" s="22" t="s">
        <v>495</v>
      </c>
      <c r="C13" s="22">
        <v>490</v>
      </c>
      <c r="D13" s="22">
        <v>490</v>
      </c>
      <c r="E13" s="22">
        <v>490</v>
      </c>
      <c r="F13" s="22">
        <v>490</v>
      </c>
      <c r="G13" s="63" t="s">
        <v>1665</v>
      </c>
    </row>
    <row r="14" spans="1:7">
      <c r="A14" s="22" t="s">
        <v>67</v>
      </c>
      <c r="B14" s="22" t="s">
        <v>67</v>
      </c>
      <c r="C14" s="22">
        <v>44</v>
      </c>
      <c r="D14" s="22">
        <v>44</v>
      </c>
      <c r="E14" s="22">
        <v>44</v>
      </c>
      <c r="F14" s="22">
        <v>44</v>
      </c>
      <c r="G14" s="63" t="s">
        <v>1665</v>
      </c>
    </row>
    <row r="15" spans="1:7">
      <c r="A15" s="22" t="s">
        <v>69</v>
      </c>
      <c r="B15" s="22" t="s">
        <v>69</v>
      </c>
      <c r="C15" s="27"/>
      <c r="D15" s="27"/>
      <c r="E15" s="27"/>
      <c r="F15" s="27"/>
    </row>
    <row r="16" spans="1:7">
      <c r="A16" s="22" t="s">
        <v>70</v>
      </c>
      <c r="B16" s="22" t="s">
        <v>70</v>
      </c>
    </row>
    <row r="17" spans="1:7">
      <c r="A17" s="22" t="s">
        <v>71</v>
      </c>
      <c r="B17" s="22" t="s">
        <v>71</v>
      </c>
    </row>
    <row r="18" spans="1:7">
      <c r="A18" s="22" t="s">
        <v>68</v>
      </c>
      <c r="B18" s="22" t="s">
        <v>68</v>
      </c>
      <c r="C18" s="22">
        <v>29</v>
      </c>
      <c r="D18" s="22">
        <v>29</v>
      </c>
      <c r="E18" s="22">
        <v>29</v>
      </c>
      <c r="F18" s="22">
        <v>29</v>
      </c>
    </row>
    <row r="19" spans="1:7">
      <c r="A19" s="22" t="s">
        <v>139</v>
      </c>
      <c r="B19" s="22" t="s">
        <v>139</v>
      </c>
      <c r="C19" s="22">
        <f>2.25*2.54*10</f>
        <v>57.15</v>
      </c>
      <c r="D19" s="22">
        <f t="shared" ref="D19:F19" si="9">2.25*2.54*10</f>
        <v>57.15</v>
      </c>
      <c r="E19" s="22">
        <f t="shared" si="9"/>
        <v>57.15</v>
      </c>
      <c r="F19" s="22">
        <f t="shared" si="9"/>
        <v>57.15</v>
      </c>
      <c r="G19" s="22" t="s">
        <v>2499</v>
      </c>
    </row>
    <row r="20" spans="1:7">
      <c r="A20" s="22" t="s">
        <v>140</v>
      </c>
      <c r="B20" s="22" t="s">
        <v>140</v>
      </c>
      <c r="C20" s="22">
        <f>2.4*25.4</f>
        <v>60.959999999999994</v>
      </c>
      <c r="D20" s="22">
        <f t="shared" ref="D20:F20" si="10">2.4*25.4</f>
        <v>60.959999999999994</v>
      </c>
      <c r="E20" s="22">
        <f t="shared" si="10"/>
        <v>60.959999999999994</v>
      </c>
      <c r="F20" s="22">
        <f t="shared" si="10"/>
        <v>60.959999999999994</v>
      </c>
    </row>
    <row r="21" spans="1:7">
      <c r="A21" s="22" t="s">
        <v>1752</v>
      </c>
    </row>
    <row r="22" spans="1:7">
      <c r="A22" s="22" t="s">
        <v>1753</v>
      </c>
    </row>
    <row r="23" spans="1:7" ht="24">
      <c r="B23" s="119" t="s">
        <v>2487</v>
      </c>
      <c r="C23"/>
      <c r="D23"/>
      <c r="E23"/>
      <c r="F23"/>
    </row>
    <row r="24" spans="1:7" ht="24">
      <c r="B24" s="117" t="s">
        <v>789</v>
      </c>
      <c r="C24" s="117" t="s">
        <v>168</v>
      </c>
      <c r="D24" s="117" t="s">
        <v>169</v>
      </c>
      <c r="E24" s="117" t="s">
        <v>170</v>
      </c>
      <c r="F24" s="117" t="s">
        <v>20</v>
      </c>
    </row>
    <row r="25" spans="1:7" ht="21">
      <c r="B25" s="118" t="s">
        <v>577</v>
      </c>
      <c r="C25" s="118">
        <v>569</v>
      </c>
      <c r="D25" s="118">
        <v>594</v>
      </c>
      <c r="E25" s="118">
        <v>614</v>
      </c>
      <c r="F25" s="118">
        <v>634</v>
      </c>
    </row>
    <row r="26" spans="1:7" ht="21">
      <c r="B26" s="118" t="s">
        <v>3</v>
      </c>
      <c r="C26" s="118" t="s">
        <v>2488</v>
      </c>
      <c r="D26" s="118" t="s">
        <v>2488</v>
      </c>
      <c r="E26" s="118" t="s">
        <v>2488</v>
      </c>
      <c r="F26" s="118" t="s">
        <v>2488</v>
      </c>
    </row>
    <row r="27" spans="1:7" ht="21">
      <c r="B27" s="118" t="s">
        <v>5</v>
      </c>
      <c r="C27" s="118">
        <v>90</v>
      </c>
      <c r="D27" s="118">
        <v>110</v>
      </c>
      <c r="E27" s="118">
        <v>120</v>
      </c>
      <c r="F27" s="118">
        <v>140</v>
      </c>
    </row>
    <row r="28" spans="1:7" ht="21">
      <c r="B28" s="118" t="s">
        <v>4</v>
      </c>
      <c r="C28" s="118" t="s">
        <v>2489</v>
      </c>
      <c r="D28" s="118" t="s">
        <v>2490</v>
      </c>
      <c r="E28" s="118" t="s">
        <v>2490</v>
      </c>
      <c r="F28" s="118" t="s">
        <v>2490</v>
      </c>
    </row>
    <row r="29" spans="1:7" ht="21">
      <c r="B29" s="118" t="s">
        <v>173</v>
      </c>
      <c r="C29" s="118" t="s">
        <v>752</v>
      </c>
      <c r="D29" s="118" t="s">
        <v>1655</v>
      </c>
      <c r="E29" s="118" t="s">
        <v>1656</v>
      </c>
      <c r="F29" s="118" t="s">
        <v>1657</v>
      </c>
    </row>
    <row r="30" spans="1:7" ht="21">
      <c r="B30" s="118" t="s">
        <v>7</v>
      </c>
      <c r="C30" s="118" t="s">
        <v>1658</v>
      </c>
      <c r="D30" s="118" t="s">
        <v>1658</v>
      </c>
      <c r="E30" s="118" t="s">
        <v>1658</v>
      </c>
      <c r="F30" s="118" t="s">
        <v>1658</v>
      </c>
    </row>
    <row r="31" spans="1:7" ht="21">
      <c r="B31" s="118" t="s">
        <v>6</v>
      </c>
      <c r="C31" s="118">
        <v>74</v>
      </c>
      <c r="D31" s="118">
        <v>74</v>
      </c>
      <c r="E31" s="118">
        <v>74</v>
      </c>
      <c r="F31" s="118">
        <v>74</v>
      </c>
    </row>
    <row r="32" spans="1:7" ht="21">
      <c r="B32" s="118" t="s">
        <v>9</v>
      </c>
      <c r="C32" s="118" t="s">
        <v>2491</v>
      </c>
      <c r="D32" s="118" t="s">
        <v>2492</v>
      </c>
      <c r="E32" s="118" t="s">
        <v>2493</v>
      </c>
      <c r="F32" s="118" t="s">
        <v>2494</v>
      </c>
    </row>
    <row r="33" spans="2:6" ht="21">
      <c r="B33" s="118" t="s">
        <v>176</v>
      </c>
      <c r="C33" s="118" t="s">
        <v>2480</v>
      </c>
      <c r="D33" s="118" t="s">
        <v>2495</v>
      </c>
      <c r="E33" s="118" t="s">
        <v>2496</v>
      </c>
      <c r="F33" s="118" t="s">
        <v>2497</v>
      </c>
    </row>
    <row r="34" spans="2:6" ht="21">
      <c r="B34" s="118" t="s">
        <v>1</v>
      </c>
      <c r="C34" s="118">
        <v>414</v>
      </c>
      <c r="D34" s="118">
        <v>428</v>
      </c>
      <c r="E34" s="118">
        <v>444</v>
      </c>
      <c r="F34" s="118">
        <v>459</v>
      </c>
    </row>
    <row r="35" spans="2:6" ht="21">
      <c r="B35" s="118" t="s">
        <v>0</v>
      </c>
      <c r="C35" s="118">
        <v>614</v>
      </c>
      <c r="D35" s="118">
        <v>632</v>
      </c>
      <c r="E35" s="118">
        <v>641</v>
      </c>
      <c r="F35" s="118">
        <v>634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8780-2024-9A4A-A21A-103D6D641FDD}">
  <dimension ref="A1:I63"/>
  <sheetViews>
    <sheetView workbookViewId="0">
      <selection activeCell="C31" sqref="C31"/>
    </sheetView>
  </sheetViews>
  <sheetFormatPr baseColWidth="10" defaultRowHeight="16"/>
  <cols>
    <col min="1" max="3" width="23.1640625" bestFit="1" customWidth="1"/>
  </cols>
  <sheetData>
    <row r="1" spans="1:9" ht="19">
      <c r="A1" s="2"/>
      <c r="B1" s="2" t="s">
        <v>72</v>
      </c>
      <c r="C1" s="2" t="s">
        <v>15</v>
      </c>
      <c r="D1" s="12" t="s">
        <v>17</v>
      </c>
      <c r="E1" s="12" t="s">
        <v>18</v>
      </c>
      <c r="F1" s="12" t="s">
        <v>19</v>
      </c>
      <c r="G1" s="12" t="s">
        <v>20</v>
      </c>
      <c r="H1" s="2"/>
      <c r="I1" s="2"/>
    </row>
    <row r="2" spans="1:9" ht="19">
      <c r="A2" s="2" t="s">
        <v>72</v>
      </c>
      <c r="B2" s="2" t="s">
        <v>60</v>
      </c>
      <c r="C2" s="12" t="s">
        <v>588</v>
      </c>
      <c r="D2" s="2">
        <v>400</v>
      </c>
      <c r="E2" s="2">
        <v>460</v>
      </c>
      <c r="F2" s="2">
        <v>510</v>
      </c>
      <c r="G2" s="2">
        <v>550</v>
      </c>
      <c r="H2" s="2"/>
      <c r="I2" s="2"/>
    </row>
    <row r="3" spans="1:9" ht="19">
      <c r="A3" s="2" t="s">
        <v>54</v>
      </c>
      <c r="B3" s="2" t="s">
        <v>427</v>
      </c>
      <c r="C3" s="12" t="s">
        <v>17</v>
      </c>
      <c r="D3" s="2">
        <v>360</v>
      </c>
      <c r="E3" s="2">
        <v>420</v>
      </c>
      <c r="F3" s="2">
        <v>470</v>
      </c>
      <c r="G3" s="2">
        <v>510</v>
      </c>
      <c r="H3" s="2"/>
      <c r="I3" s="2"/>
    </row>
    <row r="4" spans="1:9" ht="19">
      <c r="A4" s="2" t="s">
        <v>55</v>
      </c>
      <c r="B4" s="2" t="s">
        <v>73</v>
      </c>
      <c r="C4" s="12" t="s">
        <v>589</v>
      </c>
      <c r="D4" s="2">
        <v>540</v>
      </c>
      <c r="E4" s="2">
        <v>570</v>
      </c>
      <c r="F4" s="2">
        <v>600</v>
      </c>
      <c r="G4" s="2">
        <v>620</v>
      </c>
      <c r="H4" s="2"/>
      <c r="I4" s="2"/>
    </row>
    <row r="5" spans="1:9" ht="19">
      <c r="A5" s="2" t="s">
        <v>60</v>
      </c>
      <c r="B5" s="2" t="s">
        <v>61</v>
      </c>
      <c r="C5" s="12" t="s">
        <v>590</v>
      </c>
      <c r="D5" s="2">
        <v>533</v>
      </c>
      <c r="E5" s="2">
        <v>552</v>
      </c>
      <c r="F5" s="2">
        <v>576</v>
      </c>
      <c r="G5" s="2">
        <v>593</v>
      </c>
      <c r="H5" s="2"/>
      <c r="I5" s="2"/>
    </row>
    <row r="6" spans="1:9" ht="19">
      <c r="A6" s="2" t="s">
        <v>73</v>
      </c>
      <c r="B6" s="2" t="s">
        <v>64</v>
      </c>
      <c r="C6" s="12" t="s">
        <v>591</v>
      </c>
      <c r="D6" s="2">
        <v>133</v>
      </c>
      <c r="E6" s="2">
        <v>153</v>
      </c>
      <c r="F6" s="2">
        <v>173</v>
      </c>
      <c r="G6" s="2">
        <v>193</v>
      </c>
      <c r="H6" s="2"/>
      <c r="I6" s="2"/>
    </row>
    <row r="7" spans="1:9" ht="19">
      <c r="A7" s="2" t="s">
        <v>62</v>
      </c>
      <c r="B7" s="2" t="s">
        <v>62</v>
      </c>
      <c r="C7" s="12" t="s">
        <v>592</v>
      </c>
      <c r="D7" s="2">
        <v>68</v>
      </c>
      <c r="E7" s="2">
        <v>69</v>
      </c>
      <c r="F7" s="2">
        <v>69</v>
      </c>
      <c r="G7" s="2">
        <v>69</v>
      </c>
      <c r="H7" s="2"/>
      <c r="I7" s="2"/>
    </row>
    <row r="8" spans="1:9" ht="19">
      <c r="A8" s="2" t="s">
        <v>63</v>
      </c>
      <c r="B8" s="2" t="s">
        <v>63</v>
      </c>
      <c r="C8" s="12" t="s">
        <v>593</v>
      </c>
      <c r="D8" s="2">
        <v>74</v>
      </c>
      <c r="E8" s="2">
        <v>73.5</v>
      </c>
      <c r="F8" s="2">
        <v>73</v>
      </c>
      <c r="G8" s="2">
        <v>72.5</v>
      </c>
      <c r="H8" s="2"/>
      <c r="I8" s="2"/>
    </row>
    <row r="9" spans="1:9" ht="19">
      <c r="A9" s="2" t="s">
        <v>64</v>
      </c>
      <c r="B9" s="2" t="s">
        <v>67</v>
      </c>
      <c r="C9" s="12" t="s">
        <v>594</v>
      </c>
      <c r="D9" s="2">
        <v>50</v>
      </c>
      <c r="E9" s="2">
        <v>50</v>
      </c>
      <c r="F9" s="2">
        <v>50</v>
      </c>
      <c r="G9" s="2">
        <v>50</v>
      </c>
      <c r="H9" s="2"/>
      <c r="I9" s="2"/>
    </row>
    <row r="10" spans="1:9" ht="19">
      <c r="A10" s="2" t="s">
        <v>65</v>
      </c>
      <c r="B10" s="2" t="s">
        <v>66</v>
      </c>
      <c r="C10" s="12" t="s">
        <v>27</v>
      </c>
      <c r="D10" s="2">
        <v>450</v>
      </c>
      <c r="E10" s="2">
        <v>450</v>
      </c>
      <c r="F10" s="2">
        <v>450</v>
      </c>
      <c r="G10" s="2">
        <v>450</v>
      </c>
      <c r="H10" s="2"/>
      <c r="I10" s="2"/>
    </row>
    <row r="11" spans="1:9" ht="19">
      <c r="A11" s="2" t="s">
        <v>66</v>
      </c>
      <c r="B11" s="2" t="s">
        <v>480</v>
      </c>
      <c r="C11" s="12" t="s">
        <v>578</v>
      </c>
      <c r="D11" s="2">
        <v>642</v>
      </c>
      <c r="E11" s="2">
        <v>657</v>
      </c>
      <c r="F11" s="2">
        <v>682</v>
      </c>
      <c r="G11" s="2">
        <v>697</v>
      </c>
      <c r="H11" s="2"/>
      <c r="I11" s="2"/>
    </row>
    <row r="12" spans="1:9" ht="19">
      <c r="A12" s="2" t="s">
        <v>56</v>
      </c>
      <c r="B12" s="2" t="s">
        <v>56</v>
      </c>
      <c r="C12" s="12" t="s">
        <v>596</v>
      </c>
      <c r="D12" s="2">
        <v>1083</v>
      </c>
      <c r="E12" s="2">
        <v>1098</v>
      </c>
      <c r="F12" s="2">
        <v>1123</v>
      </c>
      <c r="G12" s="2">
        <v>1138</v>
      </c>
      <c r="H12" s="2"/>
      <c r="I12" s="2"/>
    </row>
    <row r="13" spans="1:9" ht="19">
      <c r="A13" s="2" t="s">
        <v>67</v>
      </c>
      <c r="B13" s="2" t="s">
        <v>65</v>
      </c>
      <c r="C13" s="12" t="s">
        <v>30</v>
      </c>
      <c r="D13" s="2">
        <v>70</v>
      </c>
      <c r="E13" s="2">
        <v>70</v>
      </c>
      <c r="F13" s="2">
        <v>70</v>
      </c>
      <c r="G13" s="2">
        <v>70</v>
      </c>
      <c r="H13" s="2"/>
      <c r="I13" s="2"/>
    </row>
    <row r="14" spans="1:9" ht="19">
      <c r="A14" s="2" t="s">
        <v>57</v>
      </c>
      <c r="B14" s="2" t="s">
        <v>495</v>
      </c>
      <c r="C14" s="12" t="s">
        <v>597</v>
      </c>
      <c r="D14" s="2">
        <v>468</v>
      </c>
      <c r="E14" s="2">
        <v>468</v>
      </c>
      <c r="F14" s="2">
        <v>468</v>
      </c>
      <c r="G14" s="2">
        <v>468</v>
      </c>
      <c r="H14" s="2"/>
      <c r="I14" s="2"/>
    </row>
    <row r="15" spans="1:9" ht="19">
      <c r="A15" s="2" t="s">
        <v>69</v>
      </c>
      <c r="B15" s="2" t="s">
        <v>54</v>
      </c>
      <c r="C15" s="12" t="s">
        <v>0</v>
      </c>
      <c r="D15" s="2">
        <v>620</v>
      </c>
      <c r="E15" s="2">
        <v>644</v>
      </c>
      <c r="F15" s="2">
        <v>663</v>
      </c>
      <c r="G15" s="2">
        <v>682</v>
      </c>
      <c r="H15" s="2"/>
      <c r="I15" s="2"/>
    </row>
    <row r="16" spans="1:9" ht="19">
      <c r="A16" s="2" t="s">
        <v>70</v>
      </c>
      <c r="B16" s="2" t="s">
        <v>55</v>
      </c>
      <c r="C16" s="12" t="s">
        <v>1</v>
      </c>
      <c r="D16" s="2">
        <v>362</v>
      </c>
      <c r="E16" s="2">
        <v>379</v>
      </c>
      <c r="F16" s="2">
        <v>397</v>
      </c>
      <c r="G16" s="2">
        <v>405</v>
      </c>
      <c r="H16" s="2"/>
      <c r="I16" s="2"/>
    </row>
    <row r="17" spans="1:9" ht="19">
      <c r="A17" s="2" t="s">
        <v>71</v>
      </c>
      <c r="B17" s="2" t="s">
        <v>57</v>
      </c>
      <c r="C17" s="2" t="s">
        <v>57</v>
      </c>
      <c r="D17" s="2"/>
      <c r="E17" s="2"/>
      <c r="F17" s="2"/>
      <c r="G17" s="2"/>
      <c r="H17" s="2"/>
      <c r="I17" s="2"/>
    </row>
    <row r="18" spans="1:9" ht="19">
      <c r="A18" s="2" t="s">
        <v>68</v>
      </c>
      <c r="B18" s="2" t="s">
        <v>69</v>
      </c>
      <c r="C18" s="2" t="s">
        <v>69</v>
      </c>
      <c r="D18" s="2">
        <v>170</v>
      </c>
      <c r="E18" s="2">
        <v>170</v>
      </c>
      <c r="F18" s="2">
        <v>175</v>
      </c>
      <c r="G18" s="2">
        <v>175</v>
      </c>
      <c r="H18" s="2"/>
      <c r="I18" s="2"/>
    </row>
    <row r="19" spans="1:9" ht="19">
      <c r="A19" s="2" t="s">
        <v>139</v>
      </c>
      <c r="B19" s="2" t="s">
        <v>70</v>
      </c>
      <c r="C19" s="2" t="s">
        <v>70</v>
      </c>
      <c r="D19" s="2">
        <v>560</v>
      </c>
      <c r="E19" s="2">
        <v>560</v>
      </c>
      <c r="F19" s="2">
        <v>560</v>
      </c>
      <c r="G19" s="2">
        <v>560</v>
      </c>
      <c r="H19" s="2"/>
      <c r="I19" s="2"/>
    </row>
    <row r="20" spans="1:9" ht="19">
      <c r="A20" s="2" t="s">
        <v>140</v>
      </c>
      <c r="B20" s="2" t="s">
        <v>71</v>
      </c>
      <c r="C20" s="2" t="s">
        <v>71</v>
      </c>
      <c r="D20" s="2">
        <v>90</v>
      </c>
      <c r="E20" s="2">
        <v>90</v>
      </c>
      <c r="F20" s="2">
        <v>100</v>
      </c>
      <c r="G20" s="2">
        <v>100</v>
      </c>
      <c r="H20" s="2"/>
      <c r="I20" s="2"/>
    </row>
    <row r="21" spans="1:9" ht="19">
      <c r="A21" s="2"/>
      <c r="B21" s="2" t="s">
        <v>68</v>
      </c>
      <c r="C21" s="2" t="s">
        <v>68</v>
      </c>
      <c r="D21" s="2">
        <v>29</v>
      </c>
      <c r="E21" s="2">
        <v>29</v>
      </c>
      <c r="F21" s="2">
        <v>29</v>
      </c>
      <c r="G21" s="2">
        <v>29</v>
      </c>
      <c r="H21" s="2"/>
      <c r="I21" s="2"/>
    </row>
    <row r="22" spans="1:9" ht="19">
      <c r="A22" s="2"/>
      <c r="B22" s="2" t="s">
        <v>139</v>
      </c>
      <c r="C22" s="2" t="s">
        <v>139</v>
      </c>
      <c r="D22" s="2">
        <f>2.25*25.4</f>
        <v>57.15</v>
      </c>
      <c r="E22" s="2">
        <f t="shared" ref="E22:G22" si="0">2.25*25.4</f>
        <v>57.15</v>
      </c>
      <c r="F22" s="2">
        <f t="shared" si="0"/>
        <v>57.15</v>
      </c>
      <c r="G22" s="2">
        <f t="shared" si="0"/>
        <v>57.15</v>
      </c>
      <c r="H22" s="2"/>
      <c r="I22" s="2"/>
    </row>
    <row r="23" spans="1:9" ht="19">
      <c r="A23" s="2"/>
      <c r="B23" s="2" t="s">
        <v>140</v>
      </c>
      <c r="C23" s="2" t="s">
        <v>140</v>
      </c>
      <c r="D23" s="2">
        <f>3*25.4</f>
        <v>76.199999999999989</v>
      </c>
      <c r="E23" s="2">
        <f t="shared" ref="E23:G23" si="1">3*25.4</f>
        <v>76.199999999999989</v>
      </c>
      <c r="F23" s="2">
        <f t="shared" si="1"/>
        <v>76.199999999999989</v>
      </c>
      <c r="G23" s="2">
        <f t="shared" si="1"/>
        <v>76.199999999999989</v>
      </c>
      <c r="H23" s="2"/>
      <c r="I23" s="2"/>
    </row>
    <row r="24" spans="1:9" ht="19">
      <c r="A24" s="2"/>
      <c r="B24" s="2"/>
      <c r="C24" s="2"/>
      <c r="D24" s="2"/>
      <c r="E24" s="2"/>
      <c r="F24" s="2"/>
      <c r="G24" s="2"/>
      <c r="H24" s="2"/>
      <c r="I24" s="2"/>
    </row>
    <row r="25" spans="1:9" ht="19">
      <c r="A25" s="2"/>
      <c r="B25" s="2"/>
      <c r="C25" s="12"/>
      <c r="D25" s="2"/>
      <c r="E25" s="2"/>
      <c r="F25" s="2"/>
      <c r="G25" s="2"/>
      <c r="H25" s="2"/>
      <c r="I25" s="2"/>
    </row>
    <row r="26" spans="1:9" ht="19">
      <c r="A26" s="2"/>
      <c r="B26" s="2" t="s">
        <v>60</v>
      </c>
      <c r="C26" s="12" t="s">
        <v>588</v>
      </c>
      <c r="D26" s="2"/>
      <c r="E26" s="2"/>
      <c r="F26" s="2"/>
      <c r="G26" s="2"/>
      <c r="H26" s="2"/>
      <c r="I26" s="2"/>
    </row>
    <row r="27" spans="1:9" ht="19">
      <c r="A27" s="2"/>
      <c r="B27" s="2" t="s">
        <v>427</v>
      </c>
      <c r="C27" s="12" t="s">
        <v>17</v>
      </c>
      <c r="D27" s="2"/>
      <c r="E27" s="2"/>
      <c r="F27" s="2"/>
      <c r="G27" s="2"/>
      <c r="H27" s="2"/>
      <c r="I27" s="2"/>
    </row>
    <row r="28" spans="1:9" ht="19">
      <c r="A28" s="2"/>
      <c r="B28" s="2" t="s">
        <v>73</v>
      </c>
      <c r="C28" s="12" t="s">
        <v>589</v>
      </c>
      <c r="D28" s="2"/>
      <c r="E28" s="2"/>
      <c r="F28" s="2"/>
      <c r="G28" s="2"/>
      <c r="H28" s="2"/>
      <c r="I28" s="2"/>
    </row>
    <row r="29" spans="1:9" ht="19">
      <c r="A29" s="2"/>
      <c r="B29" s="2" t="s">
        <v>61</v>
      </c>
      <c r="C29" s="12" t="s">
        <v>590</v>
      </c>
      <c r="D29" s="2"/>
      <c r="E29" s="2"/>
      <c r="F29" s="2"/>
      <c r="G29" s="2"/>
      <c r="H29" s="2"/>
      <c r="I29" s="2"/>
    </row>
    <row r="30" spans="1:9" ht="19">
      <c r="A30" s="2"/>
      <c r="B30" s="2" t="s">
        <v>64</v>
      </c>
      <c r="C30" s="12" t="s">
        <v>591</v>
      </c>
      <c r="D30" s="2"/>
      <c r="E30" s="2"/>
      <c r="F30" s="2"/>
      <c r="G30" s="2"/>
      <c r="H30" s="2"/>
      <c r="I30" s="2"/>
    </row>
    <row r="31" spans="1:9" ht="19">
      <c r="A31" s="2"/>
      <c r="B31" s="2" t="s">
        <v>62</v>
      </c>
      <c r="C31" s="12" t="s">
        <v>592</v>
      </c>
      <c r="D31" s="2"/>
      <c r="E31" s="2"/>
      <c r="F31" s="2"/>
      <c r="G31" s="2"/>
      <c r="H31" s="2"/>
      <c r="I31" s="2"/>
    </row>
    <row r="32" spans="1:9" ht="19">
      <c r="A32" s="2"/>
      <c r="B32" s="2" t="s">
        <v>63</v>
      </c>
      <c r="C32" s="12" t="s">
        <v>593</v>
      </c>
      <c r="D32" s="2"/>
      <c r="E32" s="2"/>
      <c r="F32" s="2"/>
      <c r="G32" s="2"/>
      <c r="H32" s="2"/>
      <c r="I32" s="2"/>
    </row>
    <row r="33" spans="1:9" ht="19">
      <c r="A33" s="2"/>
      <c r="B33" s="2" t="s">
        <v>598</v>
      </c>
      <c r="C33" s="12" t="s">
        <v>594</v>
      </c>
      <c r="D33" s="2" t="s">
        <v>595</v>
      </c>
      <c r="E33" s="2" t="s">
        <v>595</v>
      </c>
      <c r="F33" s="2" t="s">
        <v>595</v>
      </c>
      <c r="G33" s="2" t="s">
        <v>595</v>
      </c>
      <c r="H33" s="2" t="s">
        <v>599</v>
      </c>
      <c r="I33" s="2"/>
    </row>
    <row r="34" spans="1:9" ht="19">
      <c r="A34" s="2"/>
      <c r="B34" s="2" t="s">
        <v>66</v>
      </c>
      <c r="C34" s="12" t="s">
        <v>27</v>
      </c>
      <c r="D34" s="2"/>
      <c r="E34" s="2"/>
      <c r="F34" s="2"/>
      <c r="G34" s="2"/>
      <c r="H34" s="2"/>
      <c r="I34" s="2"/>
    </row>
    <row r="35" spans="1:9" ht="19">
      <c r="A35" s="2"/>
      <c r="B35" s="2" t="s">
        <v>480</v>
      </c>
      <c r="C35" s="12" t="s">
        <v>578</v>
      </c>
      <c r="D35" s="2"/>
      <c r="E35" s="2"/>
      <c r="F35" s="2"/>
      <c r="G35" s="2"/>
      <c r="H35" s="2"/>
      <c r="I35" s="2"/>
    </row>
    <row r="36" spans="1:9" ht="19">
      <c r="A36" s="2"/>
      <c r="B36" s="2" t="s">
        <v>56</v>
      </c>
      <c r="C36" s="12" t="s">
        <v>596</v>
      </c>
      <c r="D36" s="2"/>
      <c r="E36" s="2"/>
      <c r="F36" s="2"/>
      <c r="G36" s="2"/>
      <c r="H36" s="2"/>
      <c r="I36" s="2"/>
    </row>
    <row r="37" spans="1:9" ht="19">
      <c r="A37" s="2"/>
      <c r="B37" s="2" t="s">
        <v>65</v>
      </c>
      <c r="C37" s="12" t="s">
        <v>30</v>
      </c>
      <c r="D37" s="2"/>
      <c r="E37" s="2"/>
      <c r="F37" s="2"/>
      <c r="G37" s="2"/>
      <c r="H37" s="2"/>
      <c r="I37" s="2"/>
    </row>
    <row r="38" spans="1:9" ht="19">
      <c r="A38" s="2"/>
      <c r="B38" s="2" t="s">
        <v>495</v>
      </c>
      <c r="C38" s="12" t="s">
        <v>597</v>
      </c>
      <c r="D38" s="2"/>
      <c r="E38" s="2"/>
      <c r="F38" s="2"/>
      <c r="G38" s="2"/>
      <c r="H38" s="2"/>
      <c r="I38" s="2"/>
    </row>
    <row r="39" spans="1:9" ht="19">
      <c r="A39" s="2"/>
      <c r="B39" s="2" t="s">
        <v>54</v>
      </c>
      <c r="C39" s="12" t="s">
        <v>0</v>
      </c>
      <c r="D39" s="2"/>
      <c r="E39" s="2"/>
      <c r="F39" s="2"/>
      <c r="G39" s="2"/>
      <c r="H39" s="2"/>
      <c r="I39" s="2"/>
    </row>
    <row r="40" spans="1:9" ht="19">
      <c r="A40" s="2"/>
      <c r="B40" s="2" t="s">
        <v>55</v>
      </c>
      <c r="C40" s="12" t="s">
        <v>1</v>
      </c>
      <c r="D40" s="2"/>
      <c r="E40" s="2"/>
      <c r="F40" s="2"/>
      <c r="G40" s="2"/>
      <c r="H40" s="2"/>
      <c r="I40" s="2"/>
    </row>
    <row r="41" spans="1:9" ht="19">
      <c r="A41" s="2"/>
      <c r="B41" s="2"/>
      <c r="C41" s="2"/>
      <c r="D41" s="2"/>
      <c r="E41" s="2"/>
      <c r="F41" s="2"/>
      <c r="G41" s="2"/>
      <c r="H41" s="2"/>
      <c r="I41" s="2"/>
    </row>
    <row r="42" spans="1:9" ht="19">
      <c r="A42" s="2"/>
      <c r="B42" s="2"/>
      <c r="C42" s="2"/>
      <c r="D42" s="2"/>
      <c r="E42" s="2"/>
      <c r="F42" s="2"/>
      <c r="G42" s="2"/>
      <c r="H42" s="2"/>
      <c r="I42" s="2"/>
    </row>
    <row r="43" spans="1:9" ht="19">
      <c r="A43" s="2"/>
      <c r="B43" s="2"/>
      <c r="C43" s="2"/>
      <c r="D43" s="2"/>
      <c r="E43" s="2"/>
      <c r="F43" s="2"/>
      <c r="G43" s="2"/>
      <c r="H43" s="2"/>
      <c r="I43" s="2"/>
    </row>
    <row r="44" spans="1:9" ht="19">
      <c r="A44" s="2"/>
      <c r="B44" s="2"/>
      <c r="C44" s="2"/>
      <c r="D44" s="2"/>
      <c r="E44" s="2"/>
      <c r="F44" s="2"/>
      <c r="G44" s="2"/>
      <c r="H44" s="2"/>
      <c r="I44" s="2"/>
    </row>
    <row r="45" spans="1:9" ht="19">
      <c r="A45" s="2"/>
      <c r="B45" s="2"/>
      <c r="C45" s="2"/>
      <c r="D45" s="2"/>
      <c r="E45" s="2"/>
      <c r="F45" s="2"/>
      <c r="G45" s="2"/>
      <c r="H45" s="2"/>
      <c r="I45" s="2"/>
    </row>
    <row r="46" spans="1:9" ht="19">
      <c r="A46" s="2"/>
      <c r="B46" s="2"/>
      <c r="C46" s="2"/>
      <c r="D46" s="2"/>
      <c r="E46" s="2"/>
      <c r="F46" s="2"/>
      <c r="G46" s="2"/>
      <c r="H46" s="2"/>
      <c r="I46" s="2"/>
    </row>
    <row r="47" spans="1:9" ht="19">
      <c r="A47" s="2"/>
      <c r="B47" s="2"/>
      <c r="C47" s="2"/>
      <c r="D47" s="2"/>
      <c r="E47" s="2"/>
      <c r="F47" s="2"/>
      <c r="G47" s="2"/>
      <c r="H47" s="2"/>
      <c r="I47" s="2"/>
    </row>
    <row r="48" spans="1:9" ht="19">
      <c r="A48" s="2"/>
      <c r="B48" s="2"/>
      <c r="C48" s="2"/>
      <c r="D48" s="2"/>
      <c r="E48" s="2"/>
      <c r="F48" s="2"/>
      <c r="G48" s="2"/>
      <c r="H48" s="2"/>
      <c r="I48" s="2"/>
    </row>
    <row r="49" spans="1:9" ht="19">
      <c r="A49" s="2"/>
      <c r="B49" s="2"/>
      <c r="C49" s="2"/>
      <c r="D49" s="2"/>
      <c r="E49" s="2"/>
      <c r="F49" s="2"/>
      <c r="G49" s="2"/>
      <c r="H49" s="2"/>
      <c r="I49" s="2"/>
    </row>
    <row r="50" spans="1:9" ht="19">
      <c r="A50" s="2"/>
      <c r="B50" s="2"/>
      <c r="C50" s="2"/>
      <c r="D50" s="2"/>
      <c r="E50" s="2"/>
      <c r="F50" s="2"/>
      <c r="G50" s="2"/>
      <c r="H50" s="2"/>
      <c r="I50" s="2"/>
    </row>
    <row r="51" spans="1:9" ht="19">
      <c r="A51" s="2"/>
      <c r="B51" s="2"/>
      <c r="C51" s="2"/>
      <c r="D51" s="2"/>
      <c r="E51" s="2"/>
      <c r="F51" s="2"/>
      <c r="G51" s="2"/>
      <c r="H51" s="2"/>
      <c r="I51" s="2"/>
    </row>
    <row r="52" spans="1:9" ht="19">
      <c r="A52" s="2"/>
      <c r="B52" s="2"/>
      <c r="C52" s="2"/>
      <c r="D52" s="2"/>
      <c r="E52" s="2"/>
      <c r="F52" s="2"/>
      <c r="G52" s="2"/>
      <c r="H52" s="2"/>
      <c r="I52" s="2"/>
    </row>
    <row r="53" spans="1:9" ht="19">
      <c r="A53" s="2"/>
      <c r="B53" s="2"/>
      <c r="C53" s="2"/>
      <c r="D53" s="2"/>
      <c r="E53" s="2"/>
      <c r="F53" s="2"/>
      <c r="G53" s="2"/>
      <c r="H53" s="2"/>
      <c r="I53" s="2"/>
    </row>
    <row r="54" spans="1:9" ht="19">
      <c r="A54" s="2"/>
      <c r="B54" s="2"/>
      <c r="C54" s="2"/>
      <c r="D54" s="2"/>
      <c r="E54" s="2"/>
      <c r="F54" s="2"/>
      <c r="G54" s="2"/>
      <c r="H54" s="2"/>
      <c r="I54" s="2"/>
    </row>
    <row r="55" spans="1:9" ht="19">
      <c r="A55" s="2"/>
      <c r="B55" s="2"/>
      <c r="C55" s="2"/>
      <c r="D55" s="2"/>
      <c r="E55" s="2"/>
      <c r="F55" s="2"/>
      <c r="G55" s="2"/>
      <c r="H55" s="2"/>
      <c r="I55" s="2"/>
    </row>
    <row r="56" spans="1:9" ht="19">
      <c r="A56" s="2"/>
      <c r="B56" s="2"/>
      <c r="C56" s="2"/>
      <c r="D56" s="2"/>
      <c r="E56" s="2"/>
      <c r="F56" s="2"/>
      <c r="G56" s="2"/>
      <c r="H56" s="2"/>
      <c r="I56" s="2"/>
    </row>
    <row r="57" spans="1:9" ht="19">
      <c r="A57" s="2"/>
      <c r="B57" s="2"/>
      <c r="C57" s="2"/>
      <c r="D57" s="2"/>
      <c r="E57" s="2"/>
      <c r="F57" s="2"/>
      <c r="G57" s="2"/>
      <c r="H57" s="2"/>
      <c r="I57" s="2"/>
    </row>
    <row r="58" spans="1:9" ht="19">
      <c r="A58" s="2"/>
      <c r="B58" s="2"/>
      <c r="C58" s="2"/>
      <c r="D58" s="2"/>
      <c r="E58" s="2"/>
      <c r="F58" s="2"/>
      <c r="G58" s="2"/>
      <c r="H58" s="2"/>
      <c r="I58" s="2"/>
    </row>
    <row r="59" spans="1:9" ht="19">
      <c r="A59" s="2"/>
      <c r="B59" s="2"/>
      <c r="C59" s="2"/>
      <c r="D59" s="2"/>
      <c r="E59" s="2"/>
      <c r="F59" s="2"/>
      <c r="G59" s="2"/>
      <c r="H59" s="2"/>
      <c r="I59" s="2"/>
    </row>
    <row r="60" spans="1:9" ht="19">
      <c r="A60" s="2"/>
      <c r="B60" s="2"/>
      <c r="C60" s="2"/>
      <c r="D60" s="2"/>
      <c r="E60" s="2"/>
      <c r="F60" s="2"/>
      <c r="G60" s="2"/>
      <c r="H60" s="2"/>
      <c r="I60" s="2"/>
    </row>
    <row r="61" spans="1:9" ht="19">
      <c r="A61" s="2"/>
      <c r="B61" s="2"/>
      <c r="C61" s="2"/>
      <c r="D61" s="2"/>
      <c r="E61" s="2"/>
      <c r="F61" s="2"/>
      <c r="G61" s="2"/>
      <c r="H61" s="2"/>
      <c r="I61" s="2"/>
    </row>
    <row r="62" spans="1:9" ht="19">
      <c r="A62" s="2"/>
      <c r="B62" s="2"/>
      <c r="C62" s="2"/>
      <c r="D62" s="2"/>
      <c r="E62" s="2"/>
      <c r="F62" s="2"/>
      <c r="G62" s="2"/>
      <c r="H62" s="2"/>
      <c r="I62" s="2"/>
    </row>
    <row r="63" spans="1:9" ht="19">
      <c r="A63" s="2"/>
      <c r="B63" s="2"/>
      <c r="C63" s="2"/>
      <c r="D63" s="2"/>
      <c r="E63" s="2"/>
      <c r="F63" s="2"/>
      <c r="G63" s="2"/>
      <c r="H63" s="2"/>
      <c r="I63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2834-8BC6-3D42-AEF5-38A1B5E6D6BF}">
  <dimension ref="A1:J51"/>
  <sheetViews>
    <sheetView topLeftCell="A3" workbookViewId="0">
      <selection activeCell="J24" sqref="J24"/>
    </sheetView>
  </sheetViews>
  <sheetFormatPr baseColWidth="10" defaultRowHeight="20"/>
  <cols>
    <col min="1" max="2" width="29.33203125" style="22" customWidth="1"/>
    <col min="3" max="7" width="11.5" style="22" customWidth="1"/>
    <col min="8" max="16384" width="10.83203125" style="22"/>
  </cols>
  <sheetData>
    <row r="1" spans="1:10">
      <c r="A1" s="22" t="s">
        <v>72</v>
      </c>
      <c r="B1" s="22" t="s">
        <v>167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10">
      <c r="A2" s="22" t="s">
        <v>60</v>
      </c>
      <c r="B2" s="22" t="str">
        <f>_xlfn.CONCAT(B27," ",C27)</f>
        <v>1 SEAT TUBE LENGTH</v>
      </c>
      <c r="C2" s="22">
        <v>460</v>
      </c>
      <c r="D2" s="22">
        <v>480</v>
      </c>
      <c r="E2" s="22">
        <v>500</v>
      </c>
      <c r="F2" s="22">
        <v>520</v>
      </c>
      <c r="G2" s="22">
        <v>540</v>
      </c>
    </row>
    <row r="3" spans="1:10">
      <c r="A3" s="22" t="s">
        <v>63</v>
      </c>
      <c r="B3" s="22" t="str">
        <f t="shared" ref="B3:B14" si="0">_xlfn.CONCAT(B28," ",C28)</f>
        <v>2 SEAT TUBE ANGLE</v>
      </c>
      <c r="C3" s="22">
        <v>72.5</v>
      </c>
      <c r="D3" s="22">
        <v>72.5</v>
      </c>
      <c r="E3" s="22">
        <v>72.5</v>
      </c>
      <c r="F3" s="22">
        <v>72.5</v>
      </c>
      <c r="G3" s="22">
        <v>72.5</v>
      </c>
    </row>
    <row r="4" spans="1:10">
      <c r="A4" s="22" t="s">
        <v>62</v>
      </c>
      <c r="B4" s="22" t="str">
        <f t="shared" si="0"/>
        <v>3 HEAD TUBE ANGLE</v>
      </c>
      <c r="C4" s="22">
        <v>70.5</v>
      </c>
      <c r="D4" s="22">
        <v>70.8</v>
      </c>
      <c r="E4" s="22">
        <v>71</v>
      </c>
      <c r="F4" s="22">
        <v>71.2</v>
      </c>
      <c r="G4" s="22">
        <v>71.400000000000006</v>
      </c>
    </row>
    <row r="5" spans="1:10">
      <c r="A5" s="22" t="s">
        <v>64</v>
      </c>
      <c r="B5" s="22" t="str">
        <f t="shared" si="0"/>
        <v>4 HEAD TUBE LENGTH</v>
      </c>
      <c r="C5" s="22">
        <v>135</v>
      </c>
      <c r="D5" s="22">
        <v>145</v>
      </c>
      <c r="E5" s="22">
        <v>155</v>
      </c>
      <c r="F5" s="22">
        <v>170</v>
      </c>
      <c r="G5" s="22">
        <v>185</v>
      </c>
    </row>
    <row r="6" spans="1:10">
      <c r="A6" s="22" t="s">
        <v>56</v>
      </c>
      <c r="B6" s="22" t="str">
        <f t="shared" si="0"/>
        <v>5 WHEELBASE</v>
      </c>
      <c r="C6" s="22">
        <v>1010</v>
      </c>
      <c r="D6" s="22">
        <v>1035</v>
      </c>
      <c r="E6" s="22">
        <v>1056.5</v>
      </c>
      <c r="F6" s="22">
        <v>1079.5</v>
      </c>
      <c r="G6" s="22">
        <v>1107.4000000000001</v>
      </c>
    </row>
    <row r="7" spans="1:10">
      <c r="A7" s="22" t="s">
        <v>73</v>
      </c>
      <c r="B7" s="22" t="str">
        <f t="shared" si="0"/>
        <v>6 TOP TUBE LENGTH</v>
      </c>
      <c r="C7" s="22">
        <v>522</v>
      </c>
      <c r="D7" s="22">
        <v>547</v>
      </c>
      <c r="E7" s="22">
        <v>570</v>
      </c>
      <c r="F7" s="22">
        <v>596</v>
      </c>
      <c r="G7" s="22">
        <v>625</v>
      </c>
      <c r="J7"/>
    </row>
    <row r="8" spans="1:10">
      <c r="A8" s="22" t="s">
        <v>1906</v>
      </c>
      <c r="B8" s="22" t="str">
        <f t="shared" si="0"/>
        <v>7 CHAIN STAY LENGTH</v>
      </c>
      <c r="C8" s="22">
        <v>420</v>
      </c>
      <c r="D8" s="22">
        <v>425</v>
      </c>
      <c r="E8" s="22">
        <v>425</v>
      </c>
      <c r="F8" s="22">
        <v>425</v>
      </c>
      <c r="G8" s="22">
        <v>425</v>
      </c>
    </row>
    <row r="9" spans="1:10">
      <c r="A9" s="22" t="s">
        <v>65</v>
      </c>
      <c r="B9" s="22" t="str">
        <f t="shared" si="0"/>
        <v>8 BOTTOM BRACKET HEIGHT</v>
      </c>
      <c r="C9" s="22">
        <v>65</v>
      </c>
      <c r="D9" s="22">
        <v>70</v>
      </c>
      <c r="E9" s="22">
        <v>70</v>
      </c>
      <c r="F9" s="22">
        <v>70</v>
      </c>
      <c r="G9" s="22">
        <v>70</v>
      </c>
    </row>
    <row r="10" spans="1:10">
      <c r="A10" s="22" t="s">
        <v>495</v>
      </c>
      <c r="B10" s="22" t="str">
        <f t="shared" si="0"/>
        <v>9 FORK LENGTH</v>
      </c>
      <c r="C10" s="22">
        <v>10</v>
      </c>
      <c r="D10" s="22">
        <v>410</v>
      </c>
      <c r="E10" s="22">
        <v>410</v>
      </c>
      <c r="F10" s="22">
        <v>410</v>
      </c>
      <c r="G10" s="22">
        <v>410</v>
      </c>
    </row>
    <row r="11" spans="1:10">
      <c r="A11" s="22" t="s">
        <v>57</v>
      </c>
      <c r="B11" s="22" t="str">
        <f t="shared" si="0"/>
        <v>10 STANDOVER HEIGHT</v>
      </c>
      <c r="C11" s="22">
        <v>739</v>
      </c>
      <c r="D11" s="22">
        <v>749.6</v>
      </c>
      <c r="E11" s="22">
        <v>767.4</v>
      </c>
      <c r="F11" s="22">
        <v>774.4</v>
      </c>
      <c r="G11" s="22">
        <v>800</v>
      </c>
    </row>
    <row r="12" spans="1:10">
      <c r="A12" s="22" t="s">
        <v>55</v>
      </c>
      <c r="B12" s="22" t="str">
        <f t="shared" si="0"/>
        <v>11 REACH</v>
      </c>
      <c r="C12" s="22">
        <v>360</v>
      </c>
      <c r="D12" s="22">
        <v>380</v>
      </c>
      <c r="E12" s="22">
        <v>400</v>
      </c>
      <c r="F12" s="22">
        <v>420</v>
      </c>
      <c r="G12" s="22">
        <v>445</v>
      </c>
    </row>
    <row r="13" spans="1:10">
      <c r="A13" s="22" t="s">
        <v>54</v>
      </c>
      <c r="B13" s="22" t="str">
        <f t="shared" si="0"/>
        <v>12 STACK</v>
      </c>
      <c r="C13" s="22">
        <v>564</v>
      </c>
      <c r="D13" s="22">
        <v>580</v>
      </c>
      <c r="E13" s="22">
        <v>590</v>
      </c>
      <c r="F13" s="22">
        <v>605</v>
      </c>
      <c r="G13" s="22">
        <v>620</v>
      </c>
    </row>
    <row r="14" spans="1:10">
      <c r="A14" s="22" t="s">
        <v>67</v>
      </c>
      <c r="B14" s="22" t="str">
        <f t="shared" si="0"/>
        <v>13 FORK OFFSET</v>
      </c>
      <c r="C14" s="22">
        <v>55</v>
      </c>
      <c r="D14" s="22">
        <v>55</v>
      </c>
      <c r="E14" s="22">
        <v>55</v>
      </c>
      <c r="F14" s="22">
        <v>55</v>
      </c>
      <c r="G14" s="22">
        <v>55</v>
      </c>
    </row>
    <row r="15" spans="1:10">
      <c r="A15" s="22" t="s">
        <v>66</v>
      </c>
      <c r="B15" s="22" t="s">
        <v>66</v>
      </c>
      <c r="C15" s="22">
        <f>SQRT(C8^2+C9^2)</f>
        <v>425</v>
      </c>
      <c r="D15" s="22">
        <f t="shared" ref="D15:G15" si="1">SQRT(D8^2+D9^2)</f>
        <v>430.72613108563542</v>
      </c>
      <c r="E15" s="22">
        <f t="shared" si="1"/>
        <v>430.72613108563542</v>
      </c>
      <c r="F15" s="22">
        <f t="shared" si="1"/>
        <v>430.72613108563542</v>
      </c>
      <c r="G15" s="22">
        <f t="shared" si="1"/>
        <v>430.72613108563542</v>
      </c>
    </row>
    <row r="16" spans="1:10">
      <c r="A16" s="22" t="s">
        <v>69</v>
      </c>
      <c r="B16" s="22" t="s">
        <v>69</v>
      </c>
      <c r="C16" s="22">
        <v>170</v>
      </c>
      <c r="D16" s="22">
        <v>170</v>
      </c>
      <c r="E16" s="22">
        <v>172.5</v>
      </c>
      <c r="F16" s="22">
        <v>172.5</v>
      </c>
      <c r="G16" s="22">
        <v>175</v>
      </c>
    </row>
    <row r="17" spans="1:7">
      <c r="A17" s="22" t="s">
        <v>70</v>
      </c>
      <c r="B17" s="22" t="s">
        <v>70</v>
      </c>
    </row>
    <row r="18" spans="1:7">
      <c r="A18" s="22" t="s">
        <v>71</v>
      </c>
      <c r="B18" s="22" t="s">
        <v>71</v>
      </c>
      <c r="C18" s="22">
        <v>70</v>
      </c>
      <c r="D18" s="22">
        <v>70</v>
      </c>
      <c r="E18" s="22">
        <v>70</v>
      </c>
      <c r="F18" s="22">
        <v>70</v>
      </c>
      <c r="G18" s="22">
        <v>70</v>
      </c>
    </row>
    <row r="19" spans="1:7">
      <c r="A19" s="22" t="s">
        <v>68</v>
      </c>
      <c r="B19" s="22" t="s">
        <v>68</v>
      </c>
      <c r="C19" s="22">
        <v>650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47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140</v>
      </c>
      <c r="B21" s="22" t="s">
        <v>140</v>
      </c>
      <c r="C21" s="22">
        <v>47</v>
      </c>
      <c r="D21" s="22">
        <v>47</v>
      </c>
      <c r="E21" s="22">
        <v>47</v>
      </c>
      <c r="F21" s="22">
        <v>47</v>
      </c>
      <c r="G21" s="22">
        <v>47</v>
      </c>
    </row>
    <row r="22" spans="1:7">
      <c r="A22" s="22" t="s">
        <v>1752</v>
      </c>
      <c r="B22" s="22" t="s">
        <v>1752</v>
      </c>
      <c r="C22" s="22">
        <f>C24</f>
        <v>148</v>
      </c>
      <c r="D22" s="22">
        <f>AVERAGE(D24,C25)</f>
        <v>159</v>
      </c>
      <c r="E22" s="22">
        <f t="shared" ref="E22:G22" si="2">AVERAGE(E24,D25)</f>
        <v>169</v>
      </c>
      <c r="F22" s="22">
        <f t="shared" si="2"/>
        <v>179</v>
      </c>
      <c r="G22" s="22">
        <f t="shared" si="2"/>
        <v>189</v>
      </c>
    </row>
    <row r="23" spans="1:7">
      <c r="A23" s="22" t="s">
        <v>1753</v>
      </c>
      <c r="B23" s="22" t="s">
        <v>1753</v>
      </c>
      <c r="C23" s="22">
        <f>D22</f>
        <v>159</v>
      </c>
      <c r="D23" s="22">
        <f t="shared" ref="D23:F23" si="3">E22</f>
        <v>169</v>
      </c>
      <c r="E23" s="22">
        <f t="shared" si="3"/>
        <v>179</v>
      </c>
      <c r="F23" s="22">
        <f t="shared" si="3"/>
        <v>189</v>
      </c>
      <c r="G23" s="22">
        <f t="shared" ref="G23" si="4">G25</f>
        <v>200</v>
      </c>
    </row>
    <row r="24" spans="1:7">
      <c r="C24" s="22">
        <v>148</v>
      </c>
      <c r="D24" s="22">
        <v>158</v>
      </c>
      <c r="E24" s="22">
        <v>168</v>
      </c>
      <c r="F24" s="22">
        <v>178</v>
      </c>
      <c r="G24" s="22">
        <v>188</v>
      </c>
    </row>
    <row r="25" spans="1:7">
      <c r="C25" s="22">
        <v>160</v>
      </c>
      <c r="D25" s="22">
        <v>170</v>
      </c>
      <c r="E25" s="22">
        <v>180</v>
      </c>
      <c r="F25" s="22">
        <v>190</v>
      </c>
      <c r="G25" s="22">
        <v>200</v>
      </c>
    </row>
    <row r="27" spans="1:7">
      <c r="B27" s="22">
        <v>1</v>
      </c>
      <c r="C27" s="22" t="s">
        <v>409</v>
      </c>
    </row>
    <row r="28" spans="1:7">
      <c r="B28" s="22">
        <v>2</v>
      </c>
      <c r="C28" s="22" t="s">
        <v>31</v>
      </c>
    </row>
    <row r="29" spans="1:7">
      <c r="B29" s="22">
        <v>3</v>
      </c>
      <c r="C29" s="22" t="s">
        <v>34</v>
      </c>
    </row>
    <row r="30" spans="1:7">
      <c r="B30" s="22">
        <v>4</v>
      </c>
      <c r="C30" s="22" t="s">
        <v>29</v>
      </c>
    </row>
    <row r="31" spans="1:7">
      <c r="B31" s="22">
        <v>5</v>
      </c>
      <c r="C31" s="22" t="s">
        <v>36</v>
      </c>
    </row>
    <row r="32" spans="1:7">
      <c r="B32" s="22">
        <v>6</v>
      </c>
      <c r="C32" s="22" t="s">
        <v>1913</v>
      </c>
    </row>
    <row r="33" spans="2:3">
      <c r="B33" s="22">
        <v>7</v>
      </c>
      <c r="C33" s="22" t="s">
        <v>670</v>
      </c>
    </row>
    <row r="34" spans="2:3">
      <c r="B34" s="22">
        <v>8</v>
      </c>
      <c r="C34" s="22" t="s">
        <v>2335</v>
      </c>
    </row>
    <row r="35" spans="2:3">
      <c r="B35" s="22">
        <v>9</v>
      </c>
      <c r="C35" s="22" t="s">
        <v>567</v>
      </c>
    </row>
    <row r="36" spans="2:3">
      <c r="B36" s="22">
        <v>10</v>
      </c>
      <c r="C36" s="22" t="s">
        <v>1825</v>
      </c>
    </row>
    <row r="37" spans="2:3">
      <c r="B37" s="22">
        <v>11</v>
      </c>
      <c r="C37" s="22" t="s">
        <v>40</v>
      </c>
    </row>
    <row r="38" spans="2:3">
      <c r="B38" s="22">
        <v>12</v>
      </c>
      <c r="C38" s="22" t="s">
        <v>39</v>
      </c>
    </row>
    <row r="39" spans="2:3">
      <c r="B39" s="22">
        <v>13</v>
      </c>
      <c r="C39" s="22" t="s">
        <v>568</v>
      </c>
    </row>
    <row r="43" spans="2:3">
      <c r="C43" s="104" t="s">
        <v>2350</v>
      </c>
    </row>
    <row r="44" spans="2:3">
      <c r="C44" s="105" t="s">
        <v>17</v>
      </c>
    </row>
    <row r="45" spans="2:3">
      <c r="C45" s="104" t="s">
        <v>2351</v>
      </c>
    </row>
    <row r="46" spans="2:3">
      <c r="C46" s="105" t="s">
        <v>18</v>
      </c>
    </row>
    <row r="47" spans="2:3">
      <c r="C47" s="104" t="s">
        <v>2352</v>
      </c>
    </row>
    <row r="48" spans="2:3">
      <c r="C48" s="105" t="s">
        <v>19</v>
      </c>
    </row>
    <row r="49" spans="3:3">
      <c r="C49" s="104" t="s">
        <v>2353</v>
      </c>
    </row>
    <row r="50" spans="3:3">
      <c r="C50" s="105" t="s">
        <v>20</v>
      </c>
    </row>
    <row r="51" spans="3:3">
      <c r="C51" s="104" t="s">
        <v>2354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2D58-4C88-6A45-B7BD-2259E3BF0950}">
  <dimension ref="A1:F31"/>
  <sheetViews>
    <sheetView topLeftCell="A11" workbookViewId="0">
      <selection activeCell="C22" sqref="C22:E22"/>
    </sheetView>
  </sheetViews>
  <sheetFormatPr baseColWidth="10" defaultRowHeight="20"/>
  <cols>
    <col min="1" max="1" width="29.33203125" style="22" bestFit="1" customWidth="1"/>
    <col min="2" max="2" width="42.1640625" style="22" bestFit="1" customWidth="1"/>
    <col min="3" max="6" width="18.5" style="22" bestFit="1" customWidth="1"/>
    <col min="7" max="16384" width="10.83203125" style="22"/>
  </cols>
  <sheetData>
    <row r="1" spans="1:6">
      <c r="A1" s="22" t="s">
        <v>72</v>
      </c>
      <c r="B1" s="22" t="s">
        <v>15</v>
      </c>
      <c r="C1" s="22" t="s">
        <v>220</v>
      </c>
      <c r="D1" s="22" t="s">
        <v>221</v>
      </c>
      <c r="E1" s="22" t="s">
        <v>223</v>
      </c>
      <c r="F1" s="22" t="s">
        <v>20</v>
      </c>
    </row>
    <row r="2" spans="1:6">
      <c r="A2" s="22" t="s">
        <v>60</v>
      </c>
      <c r="B2" s="22" t="s">
        <v>1642</v>
      </c>
      <c r="C2" s="22">
        <v>435</v>
      </c>
      <c r="D2" s="22">
        <v>470</v>
      </c>
      <c r="E2" s="22">
        <v>505</v>
      </c>
      <c r="F2" s="22">
        <v>540</v>
      </c>
    </row>
    <row r="3" spans="1:6">
      <c r="A3" s="22" t="s">
        <v>73</v>
      </c>
      <c r="B3" s="22" t="s">
        <v>1643</v>
      </c>
      <c r="C3" s="22">
        <v>561</v>
      </c>
      <c r="D3" s="22">
        <v>588</v>
      </c>
      <c r="E3" s="22">
        <v>613</v>
      </c>
      <c r="F3" s="22">
        <v>639</v>
      </c>
    </row>
    <row r="4" spans="1:6">
      <c r="A4" s="22" t="s">
        <v>66</v>
      </c>
      <c r="B4" s="22" t="s">
        <v>7</v>
      </c>
      <c r="C4" s="22">
        <v>438</v>
      </c>
      <c r="D4" s="22">
        <v>438</v>
      </c>
      <c r="E4" s="22">
        <v>438</v>
      </c>
      <c r="F4" s="22">
        <v>438</v>
      </c>
    </row>
    <row r="5" spans="1:6">
      <c r="A5" s="22" t="s">
        <v>62</v>
      </c>
      <c r="B5" s="22" t="s">
        <v>487</v>
      </c>
      <c r="C5" s="22">
        <v>68</v>
      </c>
      <c r="D5" s="22">
        <v>69</v>
      </c>
      <c r="E5" s="22">
        <v>69</v>
      </c>
      <c r="F5" s="22">
        <v>69</v>
      </c>
    </row>
    <row r="6" spans="1:6">
      <c r="A6" s="22" t="s">
        <v>63</v>
      </c>
      <c r="B6" s="22" t="s">
        <v>485</v>
      </c>
      <c r="C6" s="22">
        <v>74</v>
      </c>
      <c r="D6" s="22">
        <v>74</v>
      </c>
      <c r="E6" s="22">
        <v>74</v>
      </c>
      <c r="F6" s="22">
        <v>74</v>
      </c>
    </row>
    <row r="7" spans="1:6">
      <c r="A7" s="22" t="s">
        <v>65</v>
      </c>
      <c r="B7" s="22" t="s">
        <v>174</v>
      </c>
      <c r="C7" s="22">
        <v>70</v>
      </c>
      <c r="D7" s="22">
        <v>70</v>
      </c>
      <c r="E7" s="22">
        <v>70</v>
      </c>
      <c r="F7" s="22">
        <v>70</v>
      </c>
    </row>
    <row r="8" spans="1:6">
      <c r="A8" s="22" t="s">
        <v>64</v>
      </c>
      <c r="B8" s="22" t="s">
        <v>5</v>
      </c>
      <c r="C8" s="22">
        <v>100</v>
      </c>
      <c r="D8" s="22">
        <v>113</v>
      </c>
      <c r="E8" s="22">
        <v>126</v>
      </c>
      <c r="F8" s="22">
        <v>139</v>
      </c>
    </row>
    <row r="9" spans="1:6">
      <c r="A9" s="22" t="s">
        <v>55</v>
      </c>
      <c r="B9" s="22" t="s">
        <v>1</v>
      </c>
      <c r="C9" s="22">
        <v>388</v>
      </c>
      <c r="D9" s="22">
        <v>410</v>
      </c>
      <c r="E9" s="22">
        <v>432</v>
      </c>
      <c r="F9" s="22">
        <v>454</v>
      </c>
    </row>
    <row r="10" spans="1:6">
      <c r="A10" s="22" t="s">
        <v>54</v>
      </c>
      <c r="B10" s="22" t="s">
        <v>0</v>
      </c>
      <c r="C10" s="22">
        <v>604</v>
      </c>
      <c r="D10" s="22">
        <v>621</v>
      </c>
      <c r="E10" s="22">
        <v>633</v>
      </c>
      <c r="F10" s="22">
        <v>645</v>
      </c>
    </row>
    <row r="11" spans="1:6">
      <c r="A11" s="22" t="s">
        <v>56</v>
      </c>
      <c r="B11" s="22" t="s">
        <v>9</v>
      </c>
      <c r="C11" s="22">
        <v>1092</v>
      </c>
      <c r="D11" s="22">
        <v>1109</v>
      </c>
      <c r="E11" s="22">
        <v>1136</v>
      </c>
      <c r="F11" s="22">
        <v>1162</v>
      </c>
    </row>
    <row r="12" spans="1:6">
      <c r="A12" s="22" t="s">
        <v>67</v>
      </c>
      <c r="B12" s="22" t="s">
        <v>247</v>
      </c>
      <c r="C12" s="22">
        <v>44</v>
      </c>
      <c r="D12" s="22">
        <v>44</v>
      </c>
      <c r="E12" s="22">
        <v>44</v>
      </c>
      <c r="F12" s="22">
        <v>44</v>
      </c>
    </row>
    <row r="13" spans="1:6">
      <c r="A13" s="22" t="s">
        <v>495</v>
      </c>
      <c r="B13" s="22" t="s">
        <v>1652</v>
      </c>
      <c r="C13" s="22">
        <v>483</v>
      </c>
      <c r="D13" s="22">
        <v>483</v>
      </c>
      <c r="E13" s="22">
        <v>483</v>
      </c>
      <c r="F13" s="22">
        <v>483</v>
      </c>
    </row>
    <row r="14" spans="1:6">
      <c r="A14" s="22" t="s">
        <v>57</v>
      </c>
      <c r="B14" s="22" t="s">
        <v>57</v>
      </c>
    </row>
    <row r="15" spans="1:6">
      <c r="A15" s="22" t="s">
        <v>69</v>
      </c>
      <c r="B15" s="22" t="s">
        <v>69</v>
      </c>
    </row>
    <row r="16" spans="1:6">
      <c r="A16" s="22" t="s">
        <v>70</v>
      </c>
      <c r="B16" s="22" t="s">
        <v>70</v>
      </c>
    </row>
    <row r="17" spans="1:6">
      <c r="A17" s="22" t="s">
        <v>71</v>
      </c>
      <c r="B17" s="22" t="s">
        <v>71</v>
      </c>
    </row>
    <row r="18" spans="1:6">
      <c r="A18" s="22" t="s">
        <v>68</v>
      </c>
      <c r="B18" s="22" t="s">
        <v>68</v>
      </c>
      <c r="C18" s="22">
        <v>29</v>
      </c>
      <c r="D18" s="22">
        <v>29</v>
      </c>
      <c r="E18" s="22">
        <v>29</v>
      </c>
      <c r="F18" s="22">
        <v>29</v>
      </c>
    </row>
    <row r="19" spans="1:6">
      <c r="A19" s="22" t="s">
        <v>139</v>
      </c>
      <c r="B19" s="22" t="s">
        <v>139</v>
      </c>
      <c r="C19" s="22">
        <f>2.4*25.4</f>
        <v>60.959999999999994</v>
      </c>
      <c r="D19" s="22">
        <f t="shared" ref="D19:F19" si="0">2.4*25.4</f>
        <v>60.959999999999994</v>
      </c>
      <c r="E19" s="22">
        <f t="shared" si="0"/>
        <v>60.959999999999994</v>
      </c>
      <c r="F19" s="22">
        <f t="shared" si="0"/>
        <v>60.959999999999994</v>
      </c>
    </row>
    <row r="20" spans="1:6">
      <c r="A20" s="22" t="s">
        <v>140</v>
      </c>
      <c r="B20" s="22" t="s">
        <v>140</v>
      </c>
    </row>
    <row r="21" spans="1:6">
      <c r="A21" s="22" t="s">
        <v>1752</v>
      </c>
      <c r="C21" s="22">
        <f>C23</f>
        <v>165</v>
      </c>
      <c r="D21" s="22">
        <f>AVERAGE(D23,C24)</f>
        <v>171</v>
      </c>
      <c r="E21" s="22">
        <f t="shared" ref="E21:F21" si="1">AVERAGE(E23,D24)</f>
        <v>179</v>
      </c>
      <c r="F21" s="22">
        <f t="shared" si="1"/>
        <v>187</v>
      </c>
    </row>
    <row r="22" spans="1:6">
      <c r="A22" s="22" t="s">
        <v>1753</v>
      </c>
      <c r="C22" s="22">
        <f>D21</f>
        <v>171</v>
      </c>
      <c r="D22" s="22">
        <f t="shared" ref="D22:E22" si="2">E21</f>
        <v>179</v>
      </c>
      <c r="E22" s="22">
        <f t="shared" si="2"/>
        <v>187</v>
      </c>
      <c r="F22" s="22">
        <f t="shared" ref="F22" si="3">F24</f>
        <v>195</v>
      </c>
    </row>
    <row r="23" spans="1:6">
      <c r="C23" s="22">
        <f>VALUE(LEFT(C26,3))</f>
        <v>165</v>
      </c>
      <c r="D23" s="22">
        <f t="shared" ref="D23:F23" si="4">VALUE(LEFT(D26,3))</f>
        <v>170</v>
      </c>
      <c r="E23" s="22">
        <f t="shared" si="4"/>
        <v>178</v>
      </c>
      <c r="F23" s="22">
        <f t="shared" si="4"/>
        <v>186</v>
      </c>
    </row>
    <row r="24" spans="1:6">
      <c r="C24" s="22">
        <f>VALUE(MID(C26,9,3))</f>
        <v>172</v>
      </c>
      <c r="D24" s="22">
        <f t="shared" ref="D24:F24" si="5">VALUE(MID(D26,9,3))</f>
        <v>180</v>
      </c>
      <c r="E24" s="22">
        <f t="shared" si="5"/>
        <v>188</v>
      </c>
      <c r="F24" s="22">
        <f t="shared" si="5"/>
        <v>195</v>
      </c>
    </row>
    <row r="26" spans="1:6">
      <c r="B26" s="22" t="s">
        <v>1644</v>
      </c>
      <c r="C26" s="22" t="s">
        <v>1645</v>
      </c>
      <c r="D26" s="22" t="s">
        <v>1646</v>
      </c>
      <c r="E26" s="22" t="s">
        <v>1647</v>
      </c>
      <c r="F26" s="22" t="s">
        <v>1648</v>
      </c>
    </row>
    <row r="27" spans="1:6">
      <c r="B27" s="22" t="s">
        <v>13</v>
      </c>
      <c r="C27" s="22" t="s">
        <v>1649</v>
      </c>
      <c r="D27" s="22" t="s">
        <v>1650</v>
      </c>
      <c r="E27" s="22" t="s">
        <v>1650</v>
      </c>
      <c r="F27" s="22" t="s">
        <v>1650</v>
      </c>
    </row>
    <row r="28" spans="1:6">
      <c r="B28" s="22" t="s">
        <v>1651</v>
      </c>
    </row>
    <row r="29" spans="1:6">
      <c r="B29" s="22" t="s">
        <v>1652</v>
      </c>
      <c r="C29" s="22">
        <v>483</v>
      </c>
      <c r="D29" s="22">
        <v>483</v>
      </c>
      <c r="E29" s="22">
        <v>483</v>
      </c>
      <c r="F29" s="22">
        <v>483</v>
      </c>
    </row>
    <row r="30" spans="1:6">
      <c r="B30" s="22" t="s">
        <v>247</v>
      </c>
      <c r="C30" s="22">
        <v>44</v>
      </c>
      <c r="D30" s="22">
        <v>44</v>
      </c>
      <c r="E30" s="22">
        <v>44</v>
      </c>
      <c r="F30" s="22">
        <v>44</v>
      </c>
    </row>
    <row r="31" spans="1:6">
      <c r="B31" s="22" t="s">
        <v>1653</v>
      </c>
      <c r="C31" s="22" t="s">
        <v>1654</v>
      </c>
      <c r="D31" s="22" t="s">
        <v>1654</v>
      </c>
      <c r="E31" s="22" t="s">
        <v>1654</v>
      </c>
      <c r="F31" s="22" t="s">
        <v>1654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E846-198B-024A-98D9-C0225CEAE423}">
  <dimension ref="A1:O50"/>
  <sheetViews>
    <sheetView workbookViewId="0">
      <selection activeCell="H32" sqref="H32"/>
    </sheetView>
  </sheetViews>
  <sheetFormatPr baseColWidth="10" defaultRowHeight="20"/>
  <cols>
    <col min="1" max="1" width="29.33203125" style="22" customWidth="1"/>
    <col min="2" max="2" width="22.83203125" style="22" bestFit="1" customWidth="1"/>
    <col min="3" max="16384" width="10.83203125" style="22"/>
  </cols>
  <sheetData>
    <row r="1" spans="1:9">
      <c r="A1" s="22" t="s">
        <v>2412</v>
      </c>
      <c r="B1" s="22" t="s">
        <v>2595</v>
      </c>
    </row>
    <row r="2" spans="1:9">
      <c r="A2" s="22" t="s">
        <v>2423</v>
      </c>
      <c r="B2" s="22">
        <v>2023</v>
      </c>
    </row>
    <row r="3" spans="1:9">
      <c r="A3" s="22" t="s">
        <v>2424</v>
      </c>
      <c r="B3" s="114">
        <v>45133</v>
      </c>
    </row>
    <row r="4" spans="1:9">
      <c r="A4" s="22" t="s">
        <v>2414</v>
      </c>
      <c r="B4" s="22" t="s">
        <v>2596</v>
      </c>
    </row>
    <row r="5" spans="1:9">
      <c r="A5" s="22" t="s">
        <v>2415</v>
      </c>
      <c r="B5" s="22" t="s">
        <v>76</v>
      </c>
    </row>
    <row r="6" spans="1:9">
      <c r="A6" s="22" t="s">
        <v>72</v>
      </c>
      <c r="B6" s="22" t="s">
        <v>2115</v>
      </c>
      <c r="C6" s="22" t="s">
        <v>16</v>
      </c>
      <c r="D6" s="22" t="s">
        <v>168</v>
      </c>
      <c r="E6" s="22" t="s">
        <v>169</v>
      </c>
      <c r="F6" s="22" t="s">
        <v>2597</v>
      </c>
      <c r="G6" s="22" t="s">
        <v>170</v>
      </c>
      <c r="H6" s="22" t="s">
        <v>20</v>
      </c>
    </row>
    <row r="7" spans="1:9">
      <c r="A7" s="22" t="s">
        <v>73</v>
      </c>
      <c r="B7" s="22" t="s">
        <v>577</v>
      </c>
      <c r="C7" s="22">
        <v>547</v>
      </c>
      <c r="D7" s="22">
        <v>581</v>
      </c>
      <c r="E7" s="22">
        <v>609</v>
      </c>
      <c r="F7" s="22">
        <v>624</v>
      </c>
      <c r="G7" s="22">
        <v>639</v>
      </c>
      <c r="H7" s="22">
        <v>668</v>
      </c>
      <c r="I7"/>
    </row>
    <row r="8" spans="1:9">
      <c r="A8" s="22" t="s">
        <v>60</v>
      </c>
      <c r="B8" s="22" t="s">
        <v>173</v>
      </c>
      <c r="C8" s="22">
        <v>470</v>
      </c>
      <c r="D8" s="22">
        <v>520</v>
      </c>
      <c r="E8" s="22">
        <v>550</v>
      </c>
      <c r="F8" s="22">
        <v>565</v>
      </c>
      <c r="G8" s="22">
        <v>580</v>
      </c>
      <c r="H8" s="22">
        <v>610</v>
      </c>
    </row>
    <row r="9" spans="1:9">
      <c r="A9" s="22" t="s">
        <v>63</v>
      </c>
      <c r="B9" s="22" t="s">
        <v>4</v>
      </c>
      <c r="C9" s="22">
        <v>74.75</v>
      </c>
      <c r="D9" s="22">
        <v>74.75</v>
      </c>
      <c r="E9" s="22">
        <v>74.75</v>
      </c>
      <c r="F9" s="22">
        <v>74.75</v>
      </c>
      <c r="G9" s="22">
        <v>74.75</v>
      </c>
      <c r="H9" s="22">
        <v>74.75</v>
      </c>
    </row>
    <row r="10" spans="1:9">
      <c r="A10" s="22" t="s">
        <v>62</v>
      </c>
      <c r="B10" s="22" t="s">
        <v>3</v>
      </c>
      <c r="C10" s="22">
        <v>68</v>
      </c>
      <c r="D10" s="22">
        <v>69</v>
      </c>
      <c r="E10" s="22">
        <v>69</v>
      </c>
      <c r="F10" s="22">
        <v>69</v>
      </c>
      <c r="G10" s="22">
        <v>69</v>
      </c>
      <c r="H10" s="22">
        <v>69</v>
      </c>
    </row>
    <row r="11" spans="1:9">
      <c r="A11" s="22" t="s">
        <v>66</v>
      </c>
      <c r="B11" s="22" t="s">
        <v>581</v>
      </c>
      <c r="C11" s="22">
        <v>440</v>
      </c>
      <c r="D11" s="22">
        <v>460</v>
      </c>
      <c r="E11" s="22">
        <v>460</v>
      </c>
      <c r="F11" s="22">
        <v>460</v>
      </c>
      <c r="G11" s="22">
        <v>460</v>
      </c>
      <c r="H11" s="22">
        <v>460</v>
      </c>
    </row>
    <row r="12" spans="1:9">
      <c r="A12" s="22" t="s">
        <v>65</v>
      </c>
      <c r="B12" s="22" t="s">
        <v>174</v>
      </c>
      <c r="C12" s="22">
        <v>75</v>
      </c>
      <c r="D12" s="22">
        <v>90</v>
      </c>
      <c r="E12" s="22">
        <v>88</v>
      </c>
      <c r="F12" s="22">
        <v>88</v>
      </c>
      <c r="G12" s="22">
        <v>85</v>
      </c>
      <c r="H12" s="22">
        <v>85</v>
      </c>
    </row>
    <row r="13" spans="1:9">
      <c r="A13" s="22" t="s">
        <v>137</v>
      </c>
      <c r="B13" s="22" t="s">
        <v>615</v>
      </c>
      <c r="C13" s="22">
        <v>283</v>
      </c>
      <c r="D13" s="22">
        <v>287</v>
      </c>
      <c r="E13" s="22">
        <v>289.5</v>
      </c>
      <c r="F13" s="22">
        <v>289.5</v>
      </c>
      <c r="G13" s="22">
        <v>292</v>
      </c>
      <c r="H13" s="22">
        <v>292</v>
      </c>
    </row>
    <row r="14" spans="1:9">
      <c r="A14" s="22" t="s">
        <v>56</v>
      </c>
      <c r="B14" s="22" t="s">
        <v>9</v>
      </c>
      <c r="C14" s="22">
        <v>1086</v>
      </c>
      <c r="D14" s="22">
        <v>1125</v>
      </c>
      <c r="E14" s="22">
        <v>1156</v>
      </c>
      <c r="F14" s="22">
        <v>1172</v>
      </c>
      <c r="G14" s="22">
        <v>1189</v>
      </c>
      <c r="H14" s="22">
        <v>1219</v>
      </c>
    </row>
    <row r="15" spans="1:9">
      <c r="A15" s="22" t="s">
        <v>64</v>
      </c>
      <c r="B15" s="22" t="s">
        <v>5</v>
      </c>
      <c r="C15" s="22">
        <v>130</v>
      </c>
      <c r="D15" s="22">
        <v>146</v>
      </c>
      <c r="E15" s="22">
        <v>160</v>
      </c>
      <c r="F15" s="22">
        <v>168</v>
      </c>
      <c r="G15" s="22">
        <v>177</v>
      </c>
      <c r="H15" s="22">
        <v>192</v>
      </c>
    </row>
    <row r="16" spans="1:9">
      <c r="A16" s="22" t="s">
        <v>55</v>
      </c>
      <c r="B16" s="22" t="s">
        <v>1</v>
      </c>
      <c r="C16" s="22">
        <v>390</v>
      </c>
      <c r="D16" s="22">
        <v>415</v>
      </c>
      <c r="E16" s="22">
        <v>440</v>
      </c>
      <c r="F16" s="22">
        <v>453</v>
      </c>
      <c r="G16" s="22">
        <v>466</v>
      </c>
      <c r="H16" s="22">
        <v>491</v>
      </c>
    </row>
    <row r="17" spans="1:15">
      <c r="A17" s="22" t="s">
        <v>54</v>
      </c>
      <c r="B17" s="22" t="s">
        <v>0</v>
      </c>
      <c r="C17" s="22">
        <v>578</v>
      </c>
      <c r="D17" s="22">
        <v>613</v>
      </c>
      <c r="E17" s="22">
        <v>625</v>
      </c>
      <c r="F17" s="22">
        <v>631</v>
      </c>
      <c r="G17" s="22">
        <v>637</v>
      </c>
      <c r="H17" s="22">
        <v>651</v>
      </c>
    </row>
    <row r="18" spans="1:15">
      <c r="A18" s="22" t="s">
        <v>134</v>
      </c>
      <c r="B18" s="22" t="s">
        <v>478</v>
      </c>
      <c r="C18" s="22">
        <v>657</v>
      </c>
      <c r="D18" s="22">
        <v>680</v>
      </c>
      <c r="E18" s="22">
        <v>710</v>
      </c>
      <c r="F18" s="22">
        <v>726</v>
      </c>
      <c r="G18" s="22">
        <v>742</v>
      </c>
      <c r="H18" s="22">
        <v>772</v>
      </c>
    </row>
    <row r="19" spans="1:15">
      <c r="A19" s="22" t="s">
        <v>57</v>
      </c>
      <c r="B19" s="22" t="s">
        <v>14</v>
      </c>
      <c r="C19" s="22">
        <v>773</v>
      </c>
      <c r="D19" s="22">
        <v>821</v>
      </c>
      <c r="E19" s="22">
        <v>843</v>
      </c>
      <c r="F19" s="22">
        <v>854</v>
      </c>
      <c r="G19" s="22">
        <v>867</v>
      </c>
      <c r="H19" s="22">
        <v>888</v>
      </c>
    </row>
    <row r="20" spans="1:15">
      <c r="A20" s="22" t="s">
        <v>67</v>
      </c>
      <c r="B20" s="22" t="s">
        <v>67</v>
      </c>
      <c r="C20" s="22">
        <v>55</v>
      </c>
      <c r="D20" s="22">
        <v>55</v>
      </c>
      <c r="E20" s="22">
        <v>55</v>
      </c>
      <c r="F20" s="22">
        <v>55</v>
      </c>
      <c r="G20" s="22">
        <v>55</v>
      </c>
      <c r="H20" s="22">
        <v>55</v>
      </c>
    </row>
    <row r="21" spans="1:15">
      <c r="A21" s="22" t="s">
        <v>495</v>
      </c>
      <c r="B21" s="22" t="s">
        <v>495</v>
      </c>
      <c r="C21" s="22">
        <v>430</v>
      </c>
      <c r="D21" s="22">
        <v>430</v>
      </c>
      <c r="E21" s="22">
        <v>430</v>
      </c>
      <c r="F21" s="22">
        <v>430</v>
      </c>
      <c r="G21" s="22">
        <v>430</v>
      </c>
      <c r="H21" s="22">
        <v>430</v>
      </c>
    </row>
    <row r="22" spans="1:15">
      <c r="A22" s="22" t="s">
        <v>69</v>
      </c>
      <c r="B22" s="22" t="s">
        <v>69</v>
      </c>
    </row>
    <row r="23" spans="1:15">
      <c r="A23" s="22" t="s">
        <v>70</v>
      </c>
      <c r="B23" s="22" t="s">
        <v>70</v>
      </c>
    </row>
    <row r="24" spans="1:15">
      <c r="A24" s="22" t="s">
        <v>71</v>
      </c>
      <c r="B24" s="22" t="s">
        <v>71</v>
      </c>
      <c r="C24" s="22">
        <v>60</v>
      </c>
      <c r="D24" s="22">
        <v>60</v>
      </c>
      <c r="E24" s="22">
        <v>60</v>
      </c>
      <c r="F24" s="22">
        <v>60</v>
      </c>
      <c r="G24" s="22">
        <v>60</v>
      </c>
      <c r="H24" s="22">
        <v>60</v>
      </c>
    </row>
    <row r="25" spans="1:15">
      <c r="A25" s="22" t="s">
        <v>68</v>
      </c>
      <c r="B25" s="22" t="s">
        <v>68</v>
      </c>
      <c r="C25" s="22">
        <v>29</v>
      </c>
      <c r="D25" s="22">
        <v>29</v>
      </c>
      <c r="E25" s="22">
        <v>29</v>
      </c>
      <c r="F25" s="22">
        <v>29</v>
      </c>
      <c r="G25" s="22">
        <v>29</v>
      </c>
      <c r="H25" s="22">
        <v>29</v>
      </c>
    </row>
    <row r="26" spans="1:15">
      <c r="A26" s="22" t="s">
        <v>139</v>
      </c>
      <c r="B26" s="22" t="s">
        <v>139</v>
      </c>
      <c r="C26" s="22">
        <f>2.6*2.54*10</f>
        <v>66.040000000000006</v>
      </c>
      <c r="D26" s="22">
        <f t="shared" ref="D26:H26" si="0">2.6*2.54*10</f>
        <v>66.040000000000006</v>
      </c>
      <c r="E26" s="22">
        <f t="shared" si="0"/>
        <v>66.040000000000006</v>
      </c>
      <c r="F26" s="22">
        <f t="shared" si="0"/>
        <v>66.040000000000006</v>
      </c>
      <c r="G26" s="22">
        <f t="shared" si="0"/>
        <v>66.040000000000006</v>
      </c>
      <c r="H26" s="22">
        <f t="shared" si="0"/>
        <v>66.040000000000006</v>
      </c>
    </row>
    <row r="27" spans="1:15">
      <c r="A27" s="22" t="s">
        <v>140</v>
      </c>
      <c r="B27" s="22" t="s">
        <v>140</v>
      </c>
    </row>
    <row r="28" spans="1:15">
      <c r="A28" s="22" t="s">
        <v>1752</v>
      </c>
      <c r="C28" s="22">
        <f>C30</f>
        <v>154</v>
      </c>
      <c r="D28" s="22">
        <f>C29</f>
        <v>161.5</v>
      </c>
      <c r="E28" s="22">
        <f t="shared" ref="E28:H28" si="1">D29</f>
        <v>168</v>
      </c>
      <c r="F28" s="22">
        <f t="shared" si="1"/>
        <v>174</v>
      </c>
      <c r="G28" s="22">
        <f t="shared" si="1"/>
        <v>179</v>
      </c>
      <c r="H28" s="22">
        <f t="shared" si="1"/>
        <v>185.5</v>
      </c>
    </row>
    <row r="29" spans="1:15">
      <c r="A29" s="22" t="s">
        <v>1753</v>
      </c>
      <c r="C29" s="22">
        <f>AVERAGE(C31,D30)</f>
        <v>161.5</v>
      </c>
      <c r="D29" s="22">
        <f>AVERAGE(D31,E30)</f>
        <v>168</v>
      </c>
      <c r="E29" s="22">
        <f t="shared" ref="E29:H29" si="2">AVERAGE(E31,F30)</f>
        <v>174</v>
      </c>
      <c r="F29" s="22">
        <f t="shared" si="2"/>
        <v>179</v>
      </c>
      <c r="G29" s="22">
        <f t="shared" si="2"/>
        <v>185.5</v>
      </c>
      <c r="H29" s="22">
        <f t="shared" si="2"/>
        <v>194</v>
      </c>
    </row>
    <row r="30" spans="1:15">
      <c r="C30" s="22">
        <v>154</v>
      </c>
      <c r="D30" s="22">
        <v>160</v>
      </c>
      <c r="E30" s="22">
        <v>166</v>
      </c>
      <c r="F30" s="22">
        <v>170</v>
      </c>
      <c r="G30" s="22">
        <v>175</v>
      </c>
      <c r="H30" s="22">
        <v>184</v>
      </c>
    </row>
    <row r="31" spans="1:15">
      <c r="C31" s="22">
        <v>163</v>
      </c>
      <c r="D31" s="22">
        <v>170</v>
      </c>
      <c r="E31" s="22">
        <v>178</v>
      </c>
      <c r="F31" s="22">
        <v>183</v>
      </c>
      <c r="G31" s="22">
        <v>187</v>
      </c>
      <c r="H31" s="22">
        <v>194</v>
      </c>
    </row>
    <row r="32" spans="1:15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1:1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</row>
    <row r="35" spans="1:1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8" spans="1:15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1:15" ht="51" customHeight="1">
      <c r="A39" s="27"/>
    </row>
    <row r="40" spans="1:15">
      <c r="A40" s="29"/>
    </row>
    <row r="41" spans="1:15">
      <c r="A41" s="29"/>
    </row>
    <row r="42" spans="1:15">
      <c r="A42" s="29"/>
    </row>
    <row r="43" spans="1:15">
      <c r="A43" s="29"/>
      <c r="B43" s="29"/>
      <c r="C43" s="29"/>
      <c r="D43" s="29"/>
    </row>
    <row r="44" spans="1:15">
      <c r="A44" s="29"/>
      <c r="B44" s="29"/>
      <c r="C44" s="29"/>
      <c r="D44" s="29"/>
    </row>
    <row r="45" spans="1:15">
      <c r="A45" s="29"/>
      <c r="B45" s="29"/>
      <c r="C45" s="29"/>
      <c r="D45" s="29"/>
    </row>
    <row r="46" spans="1:15">
      <c r="A46" s="29"/>
      <c r="B46" s="29"/>
      <c r="C46" s="29"/>
      <c r="D46" s="29"/>
    </row>
    <row r="47" spans="1:15">
      <c r="A47" s="29"/>
      <c r="B47" s="29"/>
      <c r="C47" s="29"/>
      <c r="D47" s="29"/>
    </row>
    <row r="48" spans="1:15">
      <c r="A48" s="29"/>
      <c r="B48" s="29"/>
      <c r="C48" s="29"/>
      <c r="D48" s="29"/>
    </row>
    <row r="49" spans="1:4">
      <c r="A49" s="29"/>
      <c r="B49" s="29"/>
      <c r="C49" s="29"/>
      <c r="D49" s="29"/>
    </row>
    <row r="50" spans="1:4">
      <c r="A50" s="29"/>
      <c r="B50" s="29"/>
      <c r="C50" s="29"/>
      <c r="D50" s="29"/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6072B-D491-B241-8750-44F8DA32B630}">
  <dimension ref="A1:H29"/>
  <sheetViews>
    <sheetView topLeftCell="A18" workbookViewId="0">
      <selection activeCell="C22" sqref="C22:F22"/>
    </sheetView>
  </sheetViews>
  <sheetFormatPr baseColWidth="10" defaultRowHeight="20"/>
  <cols>
    <col min="1" max="1" width="29.33203125" style="22" bestFit="1" customWidth="1"/>
    <col min="2" max="2" width="23.5" style="22" bestFit="1" customWidth="1"/>
    <col min="3" max="16384" width="10.83203125" style="22"/>
  </cols>
  <sheetData>
    <row r="1" spans="1:8">
      <c r="A1" s="22" t="s">
        <v>72</v>
      </c>
      <c r="B1" s="22" t="s">
        <v>138</v>
      </c>
      <c r="C1" s="22" t="s">
        <v>1759</v>
      </c>
      <c r="D1" s="22" t="s">
        <v>1760</v>
      </c>
      <c r="E1" s="22" t="s">
        <v>1761</v>
      </c>
      <c r="F1" s="22" t="s">
        <v>1762</v>
      </c>
      <c r="G1" s="22" t="s">
        <v>1763</v>
      </c>
    </row>
    <row r="2" spans="1:8">
      <c r="A2" s="22" t="s">
        <v>60</v>
      </c>
      <c r="B2" s="22" t="s">
        <v>1764</v>
      </c>
      <c r="C2" s="22">
        <v>400</v>
      </c>
      <c r="D2" s="22">
        <v>440</v>
      </c>
      <c r="E2" s="22">
        <v>490</v>
      </c>
      <c r="F2" s="22">
        <v>530</v>
      </c>
      <c r="G2" s="22">
        <v>570</v>
      </c>
    </row>
    <row r="3" spans="1:8">
      <c r="A3" s="22" t="s">
        <v>63</v>
      </c>
      <c r="B3" s="22" t="s">
        <v>1765</v>
      </c>
      <c r="C3" s="22">
        <v>74</v>
      </c>
      <c r="D3" s="22">
        <v>74</v>
      </c>
      <c r="E3" s="22">
        <v>73.5</v>
      </c>
      <c r="F3" s="22">
        <v>73</v>
      </c>
      <c r="G3" s="22">
        <v>73</v>
      </c>
    </row>
    <row r="4" spans="1:8">
      <c r="A4" s="22" t="s">
        <v>62</v>
      </c>
      <c r="B4" s="22" t="s">
        <v>1766</v>
      </c>
      <c r="C4" s="22">
        <v>70</v>
      </c>
      <c r="D4" s="22">
        <v>70.5</v>
      </c>
      <c r="E4" s="22">
        <v>71</v>
      </c>
      <c r="F4" s="22">
        <v>71</v>
      </c>
      <c r="G4" s="22">
        <v>71.5</v>
      </c>
    </row>
    <row r="5" spans="1:8">
      <c r="A5" s="22" t="s">
        <v>73</v>
      </c>
      <c r="B5" s="22" t="s">
        <v>1767</v>
      </c>
      <c r="C5" s="22">
        <v>530</v>
      </c>
      <c r="D5" s="22">
        <v>545</v>
      </c>
      <c r="E5" s="22">
        <v>565</v>
      </c>
      <c r="F5" s="22">
        <v>586</v>
      </c>
      <c r="G5" s="22">
        <v>601</v>
      </c>
    </row>
    <row r="6" spans="1:8">
      <c r="A6" s="22" t="s">
        <v>55</v>
      </c>
      <c r="B6" s="22" t="s">
        <v>1768</v>
      </c>
      <c r="C6" s="22">
        <v>381</v>
      </c>
      <c r="D6" s="22">
        <v>388</v>
      </c>
      <c r="E6" s="22">
        <v>395</v>
      </c>
      <c r="F6" s="22">
        <v>402</v>
      </c>
      <c r="G6" s="22">
        <v>409</v>
      </c>
    </row>
    <row r="7" spans="1:8">
      <c r="A7" s="22" t="s">
        <v>66</v>
      </c>
      <c r="B7" s="22" t="s">
        <v>1769</v>
      </c>
      <c r="C7" s="22">
        <v>430</v>
      </c>
      <c r="D7" s="22">
        <v>430</v>
      </c>
      <c r="E7" s="22">
        <v>430</v>
      </c>
      <c r="F7" s="22">
        <v>430</v>
      </c>
      <c r="G7" s="22">
        <v>430</v>
      </c>
    </row>
    <row r="8" spans="1:8">
      <c r="A8" s="22" t="s">
        <v>56</v>
      </c>
      <c r="B8" s="22" t="s">
        <v>1770</v>
      </c>
      <c r="C8" s="22">
        <v>1022</v>
      </c>
      <c r="D8" s="22">
        <v>1035</v>
      </c>
      <c r="E8" s="22">
        <v>1046</v>
      </c>
      <c r="F8" s="22">
        <v>1062</v>
      </c>
      <c r="G8" s="22">
        <v>1073</v>
      </c>
    </row>
    <row r="9" spans="1:8">
      <c r="A9" s="22" t="s">
        <v>137</v>
      </c>
      <c r="B9" s="22" t="s">
        <v>1771</v>
      </c>
      <c r="C9" s="22">
        <v>283</v>
      </c>
      <c r="D9" s="22">
        <v>283</v>
      </c>
      <c r="E9" s="22">
        <v>283</v>
      </c>
      <c r="F9" s="22">
        <v>283</v>
      </c>
      <c r="G9" s="22">
        <v>283</v>
      </c>
    </row>
    <row r="10" spans="1:8">
      <c r="A10" s="22" t="s">
        <v>57</v>
      </c>
      <c r="B10" s="22" t="s">
        <v>1772</v>
      </c>
      <c r="C10" s="22">
        <v>686</v>
      </c>
      <c r="D10" s="22">
        <v>716</v>
      </c>
      <c r="E10" s="22">
        <v>747</v>
      </c>
      <c r="F10" s="22">
        <v>780</v>
      </c>
      <c r="G10" s="22">
        <v>814</v>
      </c>
    </row>
    <row r="11" spans="1:8">
      <c r="A11" s="22" t="s">
        <v>54</v>
      </c>
      <c r="B11" s="22" t="s">
        <v>1773</v>
      </c>
      <c r="C11" s="22">
        <v>519</v>
      </c>
      <c r="D11" s="22">
        <v>544</v>
      </c>
      <c r="E11" s="22">
        <v>575</v>
      </c>
      <c r="F11" s="22">
        <v>603</v>
      </c>
      <c r="G11" s="22">
        <v>629</v>
      </c>
    </row>
    <row r="12" spans="1:8">
      <c r="A12" s="22" t="s">
        <v>64</v>
      </c>
      <c r="B12" s="22" t="s">
        <v>1774</v>
      </c>
      <c r="C12" s="22">
        <v>100</v>
      </c>
      <c r="D12" s="22">
        <v>130</v>
      </c>
      <c r="E12" s="22">
        <v>155</v>
      </c>
      <c r="F12" s="22">
        <v>185</v>
      </c>
      <c r="G12" s="22">
        <v>210</v>
      </c>
    </row>
    <row r="13" spans="1:8">
      <c r="A13" s="22" t="s">
        <v>65</v>
      </c>
      <c r="B13" s="22" t="s">
        <v>65</v>
      </c>
      <c r="C13" s="22">
        <f>C27-C9</f>
        <v>73</v>
      </c>
      <c r="D13" s="22">
        <f>D27-D9</f>
        <v>73</v>
      </c>
      <c r="E13" s="22">
        <f>E27-E9</f>
        <v>73</v>
      </c>
      <c r="F13" s="22">
        <f>F27-F9</f>
        <v>73</v>
      </c>
      <c r="G13" s="22">
        <f>G27-G9</f>
        <v>73</v>
      </c>
    </row>
    <row r="14" spans="1:8">
      <c r="A14" s="22" t="s">
        <v>67</v>
      </c>
      <c r="B14" s="22" t="s">
        <v>67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  <c r="H14" s="22" t="s">
        <v>1782</v>
      </c>
    </row>
    <row r="15" spans="1:8">
      <c r="A15" s="22" t="s">
        <v>69</v>
      </c>
      <c r="B15" s="22" t="s">
        <v>69</v>
      </c>
    </row>
    <row r="16" spans="1:8">
      <c r="A16" s="22" t="s">
        <v>70</v>
      </c>
      <c r="B16" s="22" t="s">
        <v>70</v>
      </c>
    </row>
    <row r="17" spans="1:7">
      <c r="A17" s="22" t="s">
        <v>71</v>
      </c>
      <c r="B17" s="22" t="s">
        <v>71</v>
      </c>
    </row>
    <row r="18" spans="1:7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7">
      <c r="A19" s="22" t="s">
        <v>139</v>
      </c>
      <c r="B19" s="22" t="s">
        <v>139</v>
      </c>
      <c r="C19" s="22">
        <v>45</v>
      </c>
      <c r="D19" s="22">
        <v>45</v>
      </c>
      <c r="E19" s="22">
        <v>45</v>
      </c>
      <c r="F19" s="22">
        <v>45</v>
      </c>
      <c r="G19" s="22">
        <v>45</v>
      </c>
    </row>
    <row r="20" spans="1:7">
      <c r="A20" s="22" t="s">
        <v>140</v>
      </c>
      <c r="B20" s="22" t="s">
        <v>140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1752</v>
      </c>
      <c r="B21" s="22" t="s">
        <v>1752</v>
      </c>
      <c r="C21" s="22">
        <f>C23</f>
        <v>147</v>
      </c>
      <c r="D21" s="22">
        <f>AVERAGE(D23,C24)</f>
        <v>158.5</v>
      </c>
      <c r="E21" s="22">
        <f t="shared" ref="E21:G21" si="0">AVERAGE(E23,D24)</f>
        <v>170</v>
      </c>
      <c r="F21" s="22">
        <f t="shared" si="0"/>
        <v>179</v>
      </c>
      <c r="G21" s="22">
        <f t="shared" si="0"/>
        <v>186</v>
      </c>
    </row>
    <row r="22" spans="1:7">
      <c r="A22" s="22" t="s">
        <v>1753</v>
      </c>
      <c r="B22" s="22" t="s">
        <v>1753</v>
      </c>
      <c r="C22" s="22">
        <f>D21</f>
        <v>158.5</v>
      </c>
      <c r="D22" s="22">
        <f t="shared" ref="D22:F22" si="1">E21</f>
        <v>170</v>
      </c>
      <c r="E22" s="22">
        <f t="shared" si="1"/>
        <v>179</v>
      </c>
      <c r="F22" s="22">
        <f t="shared" si="1"/>
        <v>186</v>
      </c>
      <c r="G22" s="22">
        <f t="shared" ref="G22" si="2">G24</f>
        <v>193</v>
      </c>
    </row>
    <row r="23" spans="1:7">
      <c r="C23" s="22">
        <f>VALUE(LEFT(C26,3))</f>
        <v>147</v>
      </c>
      <c r="D23" s="22">
        <f t="shared" ref="D23:G23" si="3">VALUE(LEFT(D26,3))</f>
        <v>157</v>
      </c>
      <c r="E23" s="22">
        <f t="shared" si="3"/>
        <v>169</v>
      </c>
      <c r="F23" s="22">
        <f t="shared" si="3"/>
        <v>178</v>
      </c>
      <c r="G23" s="22">
        <f t="shared" si="3"/>
        <v>185</v>
      </c>
    </row>
    <row r="24" spans="1:7">
      <c r="C24" s="22">
        <f>VALUE(RIGHT(C26,3))</f>
        <v>160</v>
      </c>
      <c r="D24" s="22">
        <f t="shared" ref="D24:G24" si="4">VALUE(RIGHT(D26,3))</f>
        <v>171</v>
      </c>
      <c r="E24" s="22">
        <f t="shared" si="4"/>
        <v>180</v>
      </c>
      <c r="F24" s="22">
        <f t="shared" si="4"/>
        <v>187</v>
      </c>
      <c r="G24" s="22">
        <f t="shared" si="4"/>
        <v>193</v>
      </c>
    </row>
    <row r="26" spans="1:7">
      <c r="B26" s="22" t="s">
        <v>1775</v>
      </c>
      <c r="C26" s="22" t="s">
        <v>1776</v>
      </c>
      <c r="D26" s="22" t="s">
        <v>1777</v>
      </c>
      <c r="E26" s="22" t="s">
        <v>1778</v>
      </c>
      <c r="F26" s="22" t="s">
        <v>1779</v>
      </c>
      <c r="G26" s="22" t="s">
        <v>1780</v>
      </c>
    </row>
    <row r="27" spans="1:7">
      <c r="B27" s="22" t="s">
        <v>1781</v>
      </c>
      <c r="C27" s="22">
        <f>622/2+C19</f>
        <v>356</v>
      </c>
      <c r="D27" s="22">
        <f>622/2+D19</f>
        <v>356</v>
      </c>
      <c r="E27" s="22">
        <f>622/2+E19</f>
        <v>356</v>
      </c>
      <c r="F27" s="22">
        <f>622/2+F19</f>
        <v>356</v>
      </c>
      <c r="G27" s="22">
        <f>622/2+G19</f>
        <v>356</v>
      </c>
    </row>
    <row r="29" spans="1:7">
      <c r="C29" s="22">
        <f>1.9*25.4</f>
        <v>48.26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BE9D-D6EF-3444-87B4-41CE7ED99FE6}">
  <dimension ref="A1:O54"/>
  <sheetViews>
    <sheetView workbookViewId="0">
      <selection activeCell="K24" sqref="K24"/>
    </sheetView>
  </sheetViews>
  <sheetFormatPr baseColWidth="10" defaultRowHeight="20"/>
  <cols>
    <col min="1" max="1" width="29.33203125" style="22" bestFit="1" customWidth="1"/>
    <col min="2" max="2" width="23" style="22" bestFit="1" customWidth="1"/>
    <col min="3" max="8" width="11.1640625" style="22" bestFit="1" customWidth="1"/>
    <col min="9" max="12" width="11" style="22" bestFit="1" customWidth="1"/>
    <col min="13" max="13" width="11.1640625" style="22" bestFit="1" customWidth="1"/>
    <col min="14" max="15" width="11" style="22" bestFit="1" customWidth="1"/>
    <col min="16" max="16384" width="10.83203125" style="22"/>
  </cols>
  <sheetData>
    <row r="1" spans="1:8">
      <c r="A1" s="22" t="s">
        <v>2412</v>
      </c>
      <c r="B1" s="22" t="s">
        <v>2517</v>
      </c>
    </row>
    <row r="2" spans="1:8">
      <c r="A2" s="22" t="s">
        <v>2423</v>
      </c>
      <c r="B2" s="22">
        <v>2023</v>
      </c>
    </row>
    <row r="3" spans="1:8">
      <c r="A3" s="22" t="s">
        <v>2424</v>
      </c>
      <c r="B3" s="114">
        <v>45112</v>
      </c>
    </row>
    <row r="4" spans="1:8">
      <c r="A4" s="22" t="s">
        <v>2414</v>
      </c>
      <c r="B4" s="22" t="s">
        <v>2515</v>
      </c>
    </row>
    <row r="5" spans="1:8">
      <c r="A5" s="22" t="s">
        <v>2415</v>
      </c>
      <c r="B5" s="22" t="s">
        <v>2474</v>
      </c>
    </row>
    <row r="6" spans="1:8">
      <c r="A6" s="22" t="s">
        <v>72</v>
      </c>
      <c r="B6" s="27" t="s">
        <v>757</v>
      </c>
      <c r="C6" s="29">
        <v>50</v>
      </c>
      <c r="D6" s="29">
        <v>52</v>
      </c>
      <c r="E6" s="29">
        <v>54</v>
      </c>
      <c r="F6" s="29">
        <v>56</v>
      </c>
      <c r="G6" s="29">
        <v>58</v>
      </c>
      <c r="H6" s="29">
        <v>60</v>
      </c>
    </row>
    <row r="7" spans="1:8">
      <c r="A7" s="22" t="s">
        <v>73</v>
      </c>
      <c r="B7" s="27" t="s">
        <v>758</v>
      </c>
      <c r="C7" s="29">
        <v>500</v>
      </c>
      <c r="D7" s="29">
        <v>520</v>
      </c>
      <c r="E7" s="29">
        <v>540</v>
      </c>
      <c r="F7" s="29">
        <v>560</v>
      </c>
      <c r="G7" s="29">
        <v>580</v>
      </c>
      <c r="H7" s="29">
        <v>600</v>
      </c>
    </row>
    <row r="8" spans="1:8">
      <c r="A8" s="22" t="s">
        <v>60</v>
      </c>
      <c r="B8" s="27" t="s">
        <v>759</v>
      </c>
      <c r="C8" s="29">
        <v>450</v>
      </c>
      <c r="D8" s="29">
        <v>480</v>
      </c>
      <c r="E8" s="29">
        <v>510</v>
      </c>
      <c r="F8" s="29">
        <v>540</v>
      </c>
      <c r="G8" s="29">
        <v>570</v>
      </c>
      <c r="H8" s="29">
        <v>600</v>
      </c>
    </row>
    <row r="9" spans="1:8">
      <c r="A9" s="22" t="s">
        <v>64</v>
      </c>
      <c r="B9" s="27" t="s">
        <v>760</v>
      </c>
      <c r="C9" s="29">
        <v>115</v>
      </c>
      <c r="D9" s="29">
        <v>130</v>
      </c>
      <c r="E9" s="29">
        <v>155</v>
      </c>
      <c r="F9" s="29">
        <v>175</v>
      </c>
      <c r="G9" s="29">
        <v>195</v>
      </c>
      <c r="H9" s="29">
        <v>215</v>
      </c>
    </row>
    <row r="10" spans="1:8">
      <c r="A10" s="22" t="s">
        <v>66</v>
      </c>
      <c r="B10" s="27" t="s">
        <v>761</v>
      </c>
      <c r="C10" s="29">
        <v>425</v>
      </c>
      <c r="D10" s="29">
        <v>430</v>
      </c>
      <c r="E10" s="29">
        <v>430</v>
      </c>
      <c r="F10" s="29">
        <v>430</v>
      </c>
      <c r="G10" s="29">
        <v>430</v>
      </c>
      <c r="H10" s="29">
        <v>430</v>
      </c>
    </row>
    <row r="11" spans="1:8">
      <c r="A11" s="22" t="s">
        <v>65</v>
      </c>
      <c r="B11" s="27" t="s">
        <v>762</v>
      </c>
      <c r="C11" s="29">
        <v>75</v>
      </c>
      <c r="D11" s="29">
        <v>75</v>
      </c>
      <c r="E11" s="29">
        <v>75</v>
      </c>
      <c r="F11" s="29">
        <v>75</v>
      </c>
      <c r="G11" s="29">
        <v>75</v>
      </c>
      <c r="H11" s="29">
        <v>75</v>
      </c>
    </row>
    <row r="12" spans="1:8">
      <c r="A12" s="22" t="s">
        <v>63</v>
      </c>
      <c r="B12" s="27" t="s">
        <v>763</v>
      </c>
      <c r="C12" s="29">
        <v>76</v>
      </c>
      <c r="D12" s="29">
        <v>75</v>
      </c>
      <c r="E12" s="29">
        <v>74</v>
      </c>
      <c r="F12" s="29">
        <v>73</v>
      </c>
      <c r="G12" s="29">
        <v>73</v>
      </c>
      <c r="H12" s="29">
        <v>73</v>
      </c>
    </row>
    <row r="13" spans="1:8">
      <c r="A13" s="22" t="s">
        <v>62</v>
      </c>
      <c r="B13" s="27" t="s">
        <v>764</v>
      </c>
      <c r="C13" s="29">
        <v>70</v>
      </c>
      <c r="D13" s="29">
        <v>70.5</v>
      </c>
      <c r="E13" s="29">
        <v>71</v>
      </c>
      <c r="F13" s="29">
        <v>71</v>
      </c>
      <c r="G13" s="29">
        <v>71.5</v>
      </c>
      <c r="H13" s="29">
        <v>71.5</v>
      </c>
    </row>
    <row r="14" spans="1:8">
      <c r="A14" s="22" t="s">
        <v>163</v>
      </c>
      <c r="B14" s="27" t="s">
        <v>765</v>
      </c>
      <c r="C14" s="29">
        <v>399</v>
      </c>
      <c r="D14" s="29">
        <v>399</v>
      </c>
      <c r="E14" s="29">
        <v>399</v>
      </c>
      <c r="F14" s="29">
        <v>399</v>
      </c>
      <c r="G14" s="29">
        <v>399</v>
      </c>
      <c r="H14" s="29">
        <v>399</v>
      </c>
    </row>
    <row r="15" spans="1:8">
      <c r="A15" s="22" t="s">
        <v>54</v>
      </c>
      <c r="B15" s="27" t="s">
        <v>766</v>
      </c>
      <c r="C15" s="29">
        <v>551</v>
      </c>
      <c r="D15" s="29">
        <v>567</v>
      </c>
      <c r="E15" s="29">
        <v>583</v>
      </c>
      <c r="F15" s="29">
        <v>602</v>
      </c>
      <c r="G15" s="29">
        <v>623</v>
      </c>
      <c r="H15" s="29">
        <v>643</v>
      </c>
    </row>
    <row r="16" spans="1:8">
      <c r="A16" s="22" t="s">
        <v>55</v>
      </c>
      <c r="B16" s="27" t="s">
        <v>767</v>
      </c>
      <c r="C16" s="29">
        <v>360</v>
      </c>
      <c r="D16" s="29">
        <v>365</v>
      </c>
      <c r="E16" s="29">
        <v>371</v>
      </c>
      <c r="F16" s="29">
        <v>375</v>
      </c>
      <c r="G16" s="29">
        <v>389</v>
      </c>
      <c r="H16" s="29">
        <v>403</v>
      </c>
    </row>
    <row r="17" spans="1:9">
      <c r="A17" s="22" t="s">
        <v>56</v>
      </c>
      <c r="B17" s="27" t="s">
        <v>768</v>
      </c>
      <c r="C17" s="29">
        <v>1005</v>
      </c>
      <c r="D17" s="29">
        <v>1016</v>
      </c>
      <c r="E17" s="29">
        <v>1022</v>
      </c>
      <c r="F17" s="29">
        <v>1033</v>
      </c>
      <c r="G17" s="29">
        <v>1048</v>
      </c>
      <c r="H17" s="29">
        <v>1069</v>
      </c>
    </row>
    <row r="18" spans="1:9">
      <c r="A18" s="22" t="s">
        <v>772</v>
      </c>
      <c r="B18" s="27" t="s">
        <v>769</v>
      </c>
      <c r="C18" s="29">
        <v>38</v>
      </c>
      <c r="D18" s="29">
        <v>38</v>
      </c>
      <c r="E18" s="29">
        <v>38</v>
      </c>
      <c r="F18" s="29">
        <v>44</v>
      </c>
      <c r="G18" s="29">
        <v>44</v>
      </c>
      <c r="H18" s="29">
        <v>44</v>
      </c>
    </row>
    <row r="19" spans="1:9">
      <c r="A19" s="22" t="s">
        <v>773</v>
      </c>
      <c r="B19" s="27" t="s">
        <v>770</v>
      </c>
      <c r="C19" s="29">
        <v>32</v>
      </c>
      <c r="D19" s="29">
        <v>32</v>
      </c>
      <c r="E19" s="29">
        <v>32</v>
      </c>
      <c r="F19" s="29">
        <v>35</v>
      </c>
      <c r="G19" s="29">
        <v>35</v>
      </c>
      <c r="H19" s="29">
        <v>35</v>
      </c>
    </row>
    <row r="20" spans="1:9">
      <c r="A20" s="22" t="s">
        <v>67</v>
      </c>
      <c r="B20" s="22" t="s">
        <v>67</v>
      </c>
      <c r="C20" s="22">
        <v>50</v>
      </c>
      <c r="D20" s="22">
        <v>50</v>
      </c>
      <c r="E20" s="22">
        <v>50</v>
      </c>
      <c r="F20" s="22">
        <v>50</v>
      </c>
      <c r="G20" s="22">
        <v>50</v>
      </c>
      <c r="H20" s="22">
        <v>50</v>
      </c>
      <c r="I20" s="22" t="s">
        <v>2516</v>
      </c>
    </row>
    <row r="21" spans="1:9">
      <c r="A21" s="22" t="s">
        <v>57</v>
      </c>
      <c r="B21" s="22" t="s">
        <v>57</v>
      </c>
    </row>
    <row r="22" spans="1:9">
      <c r="A22" s="22" t="s">
        <v>69</v>
      </c>
      <c r="B22" s="22" t="s">
        <v>69</v>
      </c>
    </row>
    <row r="23" spans="1:9">
      <c r="A23" s="22" t="s">
        <v>70</v>
      </c>
      <c r="B23" s="22" t="s">
        <v>70</v>
      </c>
    </row>
    <row r="24" spans="1:9">
      <c r="A24" s="22" t="s">
        <v>71</v>
      </c>
      <c r="B24" s="22" t="s">
        <v>71</v>
      </c>
    </row>
    <row r="25" spans="1:9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</row>
    <row r="26" spans="1:9">
      <c r="A26" s="22" t="s">
        <v>139</v>
      </c>
      <c r="B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  <c r="H26" s="22">
        <v>45</v>
      </c>
      <c r="I26" s="22" t="s">
        <v>2518</v>
      </c>
    </row>
    <row r="27" spans="1:9">
      <c r="A27" s="22" t="s">
        <v>140</v>
      </c>
      <c r="B27" s="22" t="s">
        <v>140</v>
      </c>
      <c r="C27" s="22">
        <v>50</v>
      </c>
      <c r="D27" s="22">
        <v>50</v>
      </c>
      <c r="E27" s="22">
        <v>50</v>
      </c>
      <c r="F27" s="22">
        <v>50</v>
      </c>
      <c r="G27" s="22">
        <v>50</v>
      </c>
      <c r="H27" s="22">
        <v>50</v>
      </c>
      <c r="I27" s="22" t="s">
        <v>2519</v>
      </c>
    </row>
    <row r="28" spans="1:9">
      <c r="A28" s="22" t="s">
        <v>1752</v>
      </c>
      <c r="C28" s="22">
        <f>C30-4</f>
        <v>154</v>
      </c>
      <c r="D28" s="22">
        <f t="shared" ref="D28:H28" si="0">D30-4</f>
        <v>162</v>
      </c>
      <c r="E28" s="22">
        <f t="shared" si="0"/>
        <v>170</v>
      </c>
      <c r="F28" s="22">
        <f t="shared" si="0"/>
        <v>178</v>
      </c>
      <c r="G28" s="22">
        <f t="shared" si="0"/>
        <v>186</v>
      </c>
      <c r="H28" s="22">
        <f t="shared" si="0"/>
        <v>194</v>
      </c>
    </row>
    <row r="29" spans="1:9">
      <c r="A29" s="22" t="s">
        <v>1753</v>
      </c>
      <c r="C29" s="22">
        <f>C30+4</f>
        <v>162</v>
      </c>
      <c r="D29" s="22">
        <f t="shared" ref="D29:H29" si="1">D30+4</f>
        <v>170</v>
      </c>
      <c r="E29" s="22">
        <f t="shared" si="1"/>
        <v>178</v>
      </c>
      <c r="F29" s="22">
        <f t="shared" si="1"/>
        <v>186</v>
      </c>
      <c r="G29" s="22">
        <f t="shared" si="1"/>
        <v>194</v>
      </c>
      <c r="H29" s="22">
        <f t="shared" si="1"/>
        <v>202</v>
      </c>
    </row>
    <row r="30" spans="1:9">
      <c r="A30" s="22" t="s">
        <v>2514</v>
      </c>
      <c r="C30" s="22">
        <v>158</v>
      </c>
      <c r="D30" s="22">
        <v>166</v>
      </c>
      <c r="E30" s="22">
        <v>174</v>
      </c>
      <c r="F30" s="22">
        <v>182</v>
      </c>
      <c r="G30" s="22">
        <v>190</v>
      </c>
      <c r="H30" s="22">
        <v>198</v>
      </c>
    </row>
    <row r="33" spans="1:1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1:15">
      <c r="B34" s="27" t="s">
        <v>757</v>
      </c>
      <c r="C34" s="27" t="s">
        <v>758</v>
      </c>
      <c r="D34" s="27" t="s">
        <v>759</v>
      </c>
      <c r="E34" s="27" t="s">
        <v>760</v>
      </c>
      <c r="F34" s="27" t="s">
        <v>761</v>
      </c>
      <c r="G34" s="27" t="s">
        <v>762</v>
      </c>
      <c r="H34" s="27" t="s">
        <v>763</v>
      </c>
      <c r="I34" s="27" t="s">
        <v>764</v>
      </c>
      <c r="J34" s="27" t="s">
        <v>765</v>
      </c>
      <c r="K34" s="27" t="s">
        <v>766</v>
      </c>
      <c r="L34" s="27" t="s">
        <v>767</v>
      </c>
      <c r="M34" s="27" t="s">
        <v>768</v>
      </c>
      <c r="N34" s="27" t="s">
        <v>769</v>
      </c>
      <c r="O34" s="27" t="s">
        <v>770</v>
      </c>
    </row>
    <row r="35" spans="1:15">
      <c r="B35" s="29">
        <v>50</v>
      </c>
      <c r="C35" s="29">
        <v>500</v>
      </c>
      <c r="D35" s="29">
        <v>450</v>
      </c>
      <c r="E35" s="29">
        <v>115</v>
      </c>
      <c r="F35" s="29">
        <v>425</v>
      </c>
      <c r="G35" s="29">
        <v>75</v>
      </c>
      <c r="H35" s="29">
        <v>76</v>
      </c>
      <c r="I35" s="29">
        <v>70</v>
      </c>
      <c r="J35" s="29">
        <v>399</v>
      </c>
      <c r="K35" s="29">
        <v>551</v>
      </c>
      <c r="L35" s="29">
        <v>360</v>
      </c>
      <c r="M35" s="29">
        <v>1005</v>
      </c>
      <c r="N35" s="29">
        <v>38</v>
      </c>
      <c r="O35" s="29">
        <v>32</v>
      </c>
    </row>
    <row r="36" spans="1:15">
      <c r="B36" s="29">
        <v>52</v>
      </c>
      <c r="C36" s="29">
        <v>520</v>
      </c>
      <c r="D36" s="29">
        <v>480</v>
      </c>
      <c r="E36" s="29">
        <v>130</v>
      </c>
      <c r="F36" s="29">
        <v>430</v>
      </c>
      <c r="G36" s="29">
        <v>75</v>
      </c>
      <c r="H36" s="29">
        <v>75</v>
      </c>
      <c r="I36" s="29">
        <v>70.5</v>
      </c>
      <c r="J36" s="29">
        <v>399</v>
      </c>
      <c r="K36" s="29">
        <v>567</v>
      </c>
      <c r="L36" s="29">
        <v>365</v>
      </c>
      <c r="M36" s="29">
        <v>1016</v>
      </c>
      <c r="N36" s="29">
        <v>38</v>
      </c>
      <c r="O36" s="29">
        <v>32</v>
      </c>
    </row>
    <row r="37" spans="1:15">
      <c r="B37" s="29">
        <v>54</v>
      </c>
      <c r="C37" s="29">
        <v>540</v>
      </c>
      <c r="D37" s="29">
        <v>510</v>
      </c>
      <c r="E37" s="29">
        <v>155</v>
      </c>
      <c r="F37" s="29">
        <v>430</v>
      </c>
      <c r="G37" s="29">
        <v>75</v>
      </c>
      <c r="H37" s="29">
        <v>74</v>
      </c>
      <c r="I37" s="29">
        <v>71</v>
      </c>
      <c r="J37" s="29">
        <v>399</v>
      </c>
      <c r="K37" s="29">
        <v>583</v>
      </c>
      <c r="L37" s="29">
        <v>371</v>
      </c>
      <c r="M37" s="29">
        <v>1022</v>
      </c>
      <c r="N37" s="29">
        <v>38</v>
      </c>
      <c r="O37" s="29">
        <v>32</v>
      </c>
    </row>
    <row r="38" spans="1:15">
      <c r="B38" s="29">
        <v>56</v>
      </c>
      <c r="C38" s="29">
        <v>560</v>
      </c>
      <c r="D38" s="29">
        <v>540</v>
      </c>
      <c r="E38" s="29">
        <v>175</v>
      </c>
      <c r="F38" s="29">
        <v>430</v>
      </c>
      <c r="G38" s="29">
        <v>75</v>
      </c>
      <c r="H38" s="29">
        <v>73</v>
      </c>
      <c r="I38" s="29">
        <v>71</v>
      </c>
      <c r="J38" s="29">
        <v>399</v>
      </c>
      <c r="K38" s="29">
        <v>602</v>
      </c>
      <c r="L38" s="29">
        <v>375</v>
      </c>
      <c r="M38" s="29">
        <v>1033</v>
      </c>
      <c r="N38" s="29">
        <v>44</v>
      </c>
      <c r="O38" s="29">
        <v>35</v>
      </c>
    </row>
    <row r="39" spans="1:15">
      <c r="B39" s="29">
        <v>58</v>
      </c>
      <c r="C39" s="29">
        <v>580</v>
      </c>
      <c r="D39" s="29">
        <v>570</v>
      </c>
      <c r="E39" s="29">
        <v>195</v>
      </c>
      <c r="F39" s="29">
        <v>430</v>
      </c>
      <c r="G39" s="29">
        <v>75</v>
      </c>
      <c r="H39" s="29">
        <v>73</v>
      </c>
      <c r="I39" s="29">
        <v>71.5</v>
      </c>
      <c r="J39" s="29">
        <v>399</v>
      </c>
      <c r="K39" s="29">
        <v>623</v>
      </c>
      <c r="L39" s="29">
        <v>389</v>
      </c>
      <c r="M39" s="29">
        <v>1048</v>
      </c>
      <c r="N39" s="29">
        <v>44</v>
      </c>
      <c r="O39" s="29">
        <v>35</v>
      </c>
    </row>
    <row r="40" spans="1:15" ht="51" customHeight="1">
      <c r="A40" s="27"/>
      <c r="B40" s="29">
        <v>60</v>
      </c>
      <c r="C40" s="29">
        <v>600</v>
      </c>
      <c r="D40" s="29">
        <v>600</v>
      </c>
      <c r="E40" s="29">
        <v>215</v>
      </c>
      <c r="F40" s="29">
        <v>430</v>
      </c>
      <c r="G40" s="29">
        <v>75</v>
      </c>
      <c r="H40" s="29">
        <v>73</v>
      </c>
      <c r="I40" s="29">
        <v>71.5</v>
      </c>
      <c r="J40" s="29">
        <v>399</v>
      </c>
      <c r="K40" s="29">
        <v>643</v>
      </c>
      <c r="L40" s="29">
        <v>403</v>
      </c>
      <c r="M40" s="29">
        <v>1069</v>
      </c>
      <c r="N40" s="29">
        <v>44</v>
      </c>
      <c r="O40" s="29">
        <v>35</v>
      </c>
    </row>
    <row r="41" spans="1:15">
      <c r="A41" s="29"/>
      <c r="B41" s="29"/>
      <c r="C41" s="29"/>
      <c r="D41" s="29"/>
    </row>
    <row r="42" spans="1:15">
      <c r="A42" s="29"/>
      <c r="B42" s="29"/>
      <c r="C42" s="29"/>
      <c r="D42" s="29"/>
    </row>
    <row r="43" spans="1:15">
      <c r="A43" s="29"/>
      <c r="B43" s="27" t="s">
        <v>774</v>
      </c>
      <c r="C43" s="27" t="s">
        <v>775</v>
      </c>
      <c r="D43" s="27" t="s">
        <v>776</v>
      </c>
      <c r="E43" s="27" t="s">
        <v>777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</row>
    <row r="44" spans="1:15">
      <c r="A44" s="29"/>
      <c r="B44" s="29">
        <v>50</v>
      </c>
      <c r="C44" s="29">
        <v>158</v>
      </c>
      <c r="D44" s="29" t="s">
        <v>778</v>
      </c>
      <c r="E44" s="29">
        <v>660</v>
      </c>
    </row>
    <row r="45" spans="1:15">
      <c r="A45" s="29"/>
      <c r="B45" s="29">
        <v>51</v>
      </c>
      <c r="C45" s="29">
        <v>162</v>
      </c>
      <c r="D45" s="29" t="s">
        <v>779</v>
      </c>
      <c r="E45" s="29">
        <v>680</v>
      </c>
    </row>
    <row r="46" spans="1:15">
      <c r="A46" s="29"/>
      <c r="B46" s="29">
        <v>52</v>
      </c>
      <c r="C46" s="29">
        <v>166</v>
      </c>
      <c r="D46" s="29" t="s">
        <v>780</v>
      </c>
      <c r="E46" s="29">
        <v>700</v>
      </c>
    </row>
    <row r="47" spans="1:15">
      <c r="A47" s="29"/>
      <c r="B47" s="29">
        <v>53</v>
      </c>
      <c r="C47" s="29">
        <v>170</v>
      </c>
      <c r="D47" s="29" t="s">
        <v>781</v>
      </c>
      <c r="E47" s="29">
        <v>720</v>
      </c>
    </row>
    <row r="48" spans="1:15">
      <c r="A48" s="29"/>
      <c r="B48" s="29">
        <v>54</v>
      </c>
      <c r="C48" s="29">
        <v>174</v>
      </c>
      <c r="D48" s="29" t="s">
        <v>782</v>
      </c>
      <c r="E48" s="29">
        <v>740</v>
      </c>
    </row>
    <row r="49" spans="1:5">
      <c r="A49" s="29"/>
      <c r="B49" s="29">
        <v>55</v>
      </c>
      <c r="C49" s="29">
        <v>178</v>
      </c>
      <c r="D49" s="29" t="s">
        <v>783</v>
      </c>
      <c r="E49" s="29">
        <v>760</v>
      </c>
    </row>
    <row r="50" spans="1:5">
      <c r="A50" s="29"/>
      <c r="B50" s="29">
        <v>56</v>
      </c>
      <c r="C50" s="29">
        <v>182</v>
      </c>
      <c r="D50" s="29" t="s">
        <v>784</v>
      </c>
      <c r="E50" s="29">
        <v>780</v>
      </c>
    </row>
    <row r="51" spans="1:5">
      <c r="A51" s="29"/>
      <c r="B51" s="29">
        <v>57</v>
      </c>
      <c r="C51" s="29">
        <v>186</v>
      </c>
      <c r="D51" s="29" t="s">
        <v>785</v>
      </c>
      <c r="E51" s="29">
        <v>800</v>
      </c>
    </row>
    <row r="52" spans="1:5">
      <c r="B52" s="29">
        <v>58</v>
      </c>
      <c r="C52" s="29">
        <v>190</v>
      </c>
      <c r="D52" s="29" t="s">
        <v>786</v>
      </c>
      <c r="E52" s="29">
        <v>820</v>
      </c>
    </row>
    <row r="53" spans="1:5">
      <c r="B53" s="29">
        <v>59</v>
      </c>
      <c r="C53" s="29">
        <v>194</v>
      </c>
      <c r="D53" s="29" t="s">
        <v>787</v>
      </c>
      <c r="E53" s="29">
        <v>840</v>
      </c>
    </row>
    <row r="54" spans="1:5">
      <c r="B54" s="29">
        <v>60</v>
      </c>
      <c r="C54" s="29">
        <v>198</v>
      </c>
      <c r="D54" s="29" t="s">
        <v>788</v>
      </c>
      <c r="E54" s="29">
        <v>860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9629-7A90-F948-AF7F-705F618F0B4D}">
  <dimension ref="A1:X29"/>
  <sheetViews>
    <sheetView topLeftCell="A3" workbookViewId="0">
      <selection activeCell="A25" sqref="A25:B26"/>
    </sheetView>
  </sheetViews>
  <sheetFormatPr baseColWidth="10" defaultRowHeight="20"/>
  <cols>
    <col min="1" max="1" width="29.33203125" style="22" bestFit="1" customWidth="1"/>
    <col min="2" max="2" width="32" style="22" bestFit="1" customWidth="1"/>
    <col min="3" max="16384" width="10.83203125" style="22"/>
  </cols>
  <sheetData>
    <row r="1" spans="1:24">
      <c r="A1" s="22" t="s">
        <v>72</v>
      </c>
      <c r="B1" s="22" t="s">
        <v>2115</v>
      </c>
      <c r="C1" s="22">
        <v>49</v>
      </c>
      <c r="D1" s="22">
        <v>52</v>
      </c>
      <c r="E1" s="22">
        <v>54</v>
      </c>
      <c r="F1" s="22">
        <v>56</v>
      </c>
      <c r="G1" s="22">
        <v>58</v>
      </c>
      <c r="H1" s="22">
        <v>60</v>
      </c>
      <c r="I1"/>
    </row>
    <row r="2" spans="1:24">
      <c r="A2" s="22" t="s">
        <v>55</v>
      </c>
      <c r="B2" s="22" t="s">
        <v>1</v>
      </c>
      <c r="C2" s="22">
        <v>367</v>
      </c>
      <c r="D2" s="22">
        <v>378</v>
      </c>
      <c r="E2" s="22">
        <v>389</v>
      </c>
      <c r="F2" s="22">
        <v>397</v>
      </c>
      <c r="G2" s="22">
        <v>405</v>
      </c>
      <c r="H2" s="22">
        <v>415</v>
      </c>
    </row>
    <row r="3" spans="1:24">
      <c r="A3" s="22" t="s">
        <v>54</v>
      </c>
      <c r="B3" s="22" t="s">
        <v>0</v>
      </c>
      <c r="C3" s="22">
        <v>520</v>
      </c>
      <c r="D3" s="22">
        <v>543</v>
      </c>
      <c r="E3" s="22">
        <v>565</v>
      </c>
      <c r="F3" s="22">
        <v>587</v>
      </c>
      <c r="G3" s="22">
        <v>605</v>
      </c>
      <c r="H3" s="22">
        <v>630</v>
      </c>
      <c r="R3" s="22" t="s">
        <v>2115</v>
      </c>
      <c r="S3" s="22">
        <v>49</v>
      </c>
      <c r="T3" s="22">
        <v>52</v>
      </c>
      <c r="U3" s="22">
        <v>54</v>
      </c>
      <c r="V3" s="22">
        <v>56</v>
      </c>
      <c r="W3" s="22">
        <v>58</v>
      </c>
      <c r="X3" s="22">
        <v>60</v>
      </c>
    </row>
    <row r="4" spans="1:24">
      <c r="A4" s="22" t="s">
        <v>73</v>
      </c>
      <c r="B4" s="22" t="s">
        <v>1714</v>
      </c>
      <c r="C4" s="22">
        <v>511</v>
      </c>
      <c r="D4" s="22">
        <v>534</v>
      </c>
      <c r="E4" s="22">
        <v>554</v>
      </c>
      <c r="F4" s="22">
        <v>571</v>
      </c>
      <c r="G4" s="22">
        <v>588</v>
      </c>
      <c r="H4" s="22">
        <v>611</v>
      </c>
      <c r="R4" s="22" t="s">
        <v>1</v>
      </c>
      <c r="S4" s="22">
        <v>367</v>
      </c>
      <c r="T4" s="22">
        <v>378</v>
      </c>
      <c r="U4" s="22">
        <v>389</v>
      </c>
      <c r="V4" s="22">
        <v>397</v>
      </c>
      <c r="W4" s="22">
        <v>405</v>
      </c>
      <c r="X4" s="22">
        <v>415</v>
      </c>
    </row>
    <row r="5" spans="1:24">
      <c r="A5" s="22" t="s">
        <v>67</v>
      </c>
      <c r="B5" s="22" t="s">
        <v>179</v>
      </c>
      <c r="C5" s="22">
        <v>57</v>
      </c>
      <c r="D5" s="22">
        <v>57</v>
      </c>
      <c r="E5" s="22">
        <v>55</v>
      </c>
      <c r="F5" s="22">
        <v>55</v>
      </c>
      <c r="G5" s="22">
        <v>53</v>
      </c>
      <c r="H5" s="22">
        <v>53</v>
      </c>
      <c r="R5" s="22" t="s">
        <v>0</v>
      </c>
      <c r="S5" s="22">
        <v>520</v>
      </c>
      <c r="T5" s="22">
        <v>543</v>
      </c>
      <c r="U5" s="22">
        <v>565</v>
      </c>
      <c r="V5" s="22">
        <v>587</v>
      </c>
      <c r="W5" s="22">
        <v>605</v>
      </c>
      <c r="X5" s="22">
        <v>630</v>
      </c>
    </row>
    <row r="6" spans="1:24">
      <c r="A6" s="22" t="s">
        <v>60</v>
      </c>
      <c r="B6" s="22" t="s">
        <v>2403</v>
      </c>
      <c r="C6" s="22">
        <v>439</v>
      </c>
      <c r="D6" s="22">
        <v>459</v>
      </c>
      <c r="E6" s="22">
        <v>480</v>
      </c>
      <c r="F6" s="22">
        <v>500</v>
      </c>
      <c r="G6" s="22">
        <v>518</v>
      </c>
      <c r="H6" s="22">
        <v>540</v>
      </c>
      <c r="R6" s="22" t="s">
        <v>1714</v>
      </c>
      <c r="S6" s="22">
        <v>511</v>
      </c>
      <c r="T6" s="22">
        <v>534</v>
      </c>
      <c r="U6" s="22">
        <v>554</v>
      </c>
      <c r="V6" s="22">
        <v>571</v>
      </c>
      <c r="W6" s="22">
        <v>588</v>
      </c>
      <c r="X6" s="22">
        <v>611</v>
      </c>
    </row>
    <row r="7" spans="1:24">
      <c r="A7" s="22" t="s">
        <v>2408</v>
      </c>
      <c r="B7" s="22" t="s">
        <v>2404</v>
      </c>
      <c r="C7" s="22">
        <v>764</v>
      </c>
      <c r="D7" s="22">
        <v>784</v>
      </c>
      <c r="E7" s="22">
        <v>805</v>
      </c>
      <c r="F7" s="22">
        <v>825</v>
      </c>
      <c r="G7" s="22">
        <v>843</v>
      </c>
      <c r="H7" s="22">
        <v>865</v>
      </c>
      <c r="R7" s="22" t="s">
        <v>179</v>
      </c>
      <c r="S7" s="22">
        <v>57</v>
      </c>
      <c r="T7" s="22">
        <v>57</v>
      </c>
      <c r="U7" s="22">
        <v>55</v>
      </c>
      <c r="V7" s="22">
        <v>55</v>
      </c>
      <c r="W7" s="22">
        <v>53</v>
      </c>
      <c r="X7" s="22">
        <v>53</v>
      </c>
    </row>
    <row r="8" spans="1:24">
      <c r="A8" s="22" t="s">
        <v>2409</v>
      </c>
      <c r="B8" s="22" t="s">
        <v>2405</v>
      </c>
      <c r="C8" s="22">
        <v>800</v>
      </c>
      <c r="D8" s="22">
        <v>820</v>
      </c>
      <c r="E8" s="22">
        <v>841</v>
      </c>
      <c r="F8" s="22">
        <v>861</v>
      </c>
      <c r="G8" s="22">
        <v>879</v>
      </c>
      <c r="H8" s="22">
        <v>901</v>
      </c>
      <c r="R8" s="22" t="s">
        <v>2403</v>
      </c>
      <c r="S8" s="22">
        <v>439</v>
      </c>
      <c r="T8" s="22">
        <v>459</v>
      </c>
      <c r="U8" s="22">
        <v>480</v>
      </c>
      <c r="V8" s="22">
        <v>500</v>
      </c>
      <c r="W8" s="22">
        <v>518</v>
      </c>
      <c r="X8" s="22">
        <v>540</v>
      </c>
    </row>
    <row r="9" spans="1:24">
      <c r="A9" s="22" t="s">
        <v>63</v>
      </c>
      <c r="B9" s="22" t="s">
        <v>4</v>
      </c>
      <c r="C9" s="22">
        <v>74.5</v>
      </c>
      <c r="D9" s="22">
        <v>74</v>
      </c>
      <c r="E9" s="22">
        <v>73.75</v>
      </c>
      <c r="F9" s="22">
        <v>73.5</v>
      </c>
      <c r="G9" s="22">
        <v>73.2</v>
      </c>
      <c r="H9" s="22">
        <v>72.75</v>
      </c>
      <c r="R9" s="22" t="s">
        <v>2404</v>
      </c>
      <c r="S9" s="22">
        <v>764</v>
      </c>
      <c r="T9" s="22">
        <v>784</v>
      </c>
      <c r="U9" s="22">
        <v>805</v>
      </c>
      <c r="V9" s="22">
        <v>825</v>
      </c>
      <c r="W9" s="22">
        <v>843</v>
      </c>
      <c r="X9" s="22">
        <v>865</v>
      </c>
    </row>
    <row r="10" spans="1:24">
      <c r="A10" s="22" t="s">
        <v>62</v>
      </c>
      <c r="B10" s="22" t="s">
        <v>3</v>
      </c>
      <c r="C10" s="22">
        <v>71</v>
      </c>
      <c r="D10" s="22">
        <v>71</v>
      </c>
      <c r="E10" s="22">
        <v>71.25</v>
      </c>
      <c r="F10" s="22">
        <v>71.25</v>
      </c>
      <c r="G10" s="22">
        <v>71.5</v>
      </c>
      <c r="H10" s="22">
        <v>71.5</v>
      </c>
      <c r="R10" s="22" t="s">
        <v>2405</v>
      </c>
      <c r="S10" s="22">
        <v>800</v>
      </c>
      <c r="T10" s="22">
        <v>820</v>
      </c>
      <c r="U10" s="22">
        <v>841</v>
      </c>
      <c r="V10" s="22">
        <v>861</v>
      </c>
      <c r="W10" s="22">
        <v>879</v>
      </c>
      <c r="X10" s="22">
        <v>901</v>
      </c>
    </row>
    <row r="11" spans="1:24">
      <c r="A11" s="22" t="s">
        <v>64</v>
      </c>
      <c r="B11" s="22" t="s">
        <v>5</v>
      </c>
      <c r="C11" s="22">
        <v>92</v>
      </c>
      <c r="D11" s="22">
        <v>117</v>
      </c>
      <c r="E11" s="22">
        <v>140</v>
      </c>
      <c r="F11" s="22">
        <v>163</v>
      </c>
      <c r="G11" s="22">
        <v>183</v>
      </c>
      <c r="H11" s="22">
        <v>209</v>
      </c>
      <c r="R11" s="22" t="s">
        <v>4</v>
      </c>
      <c r="S11" s="22">
        <v>74.5</v>
      </c>
      <c r="T11" s="22">
        <v>74</v>
      </c>
      <c r="U11" s="22">
        <v>73.75</v>
      </c>
      <c r="V11" s="22">
        <v>73.5</v>
      </c>
      <c r="W11" s="22">
        <v>73.2</v>
      </c>
      <c r="X11" s="22">
        <v>72.75</v>
      </c>
    </row>
    <row r="12" spans="1:24">
      <c r="A12" s="22" t="s">
        <v>65</v>
      </c>
      <c r="B12" s="22" t="s">
        <v>174</v>
      </c>
      <c r="C12" s="22">
        <v>77</v>
      </c>
      <c r="D12" s="22">
        <v>77</v>
      </c>
      <c r="E12" s="22">
        <v>75</v>
      </c>
      <c r="F12" s="22">
        <v>75</v>
      </c>
      <c r="G12" s="22">
        <v>73</v>
      </c>
      <c r="H12" s="22">
        <v>73</v>
      </c>
      <c r="R12" s="22" t="s">
        <v>3</v>
      </c>
      <c r="S12" s="22">
        <v>71</v>
      </c>
      <c r="T12" s="22">
        <v>71</v>
      </c>
      <c r="U12" s="22">
        <v>71.25</v>
      </c>
      <c r="V12" s="22">
        <v>71.25</v>
      </c>
      <c r="W12" s="22">
        <v>71.5</v>
      </c>
      <c r="X12" s="22">
        <v>71.5</v>
      </c>
    </row>
    <row r="13" spans="1:24">
      <c r="A13" s="22" t="s">
        <v>66</v>
      </c>
      <c r="B13" s="22" t="s">
        <v>7</v>
      </c>
      <c r="C13" s="22">
        <v>420</v>
      </c>
      <c r="D13" s="22">
        <v>420</v>
      </c>
      <c r="E13" s="22">
        <v>420</v>
      </c>
      <c r="F13" s="22">
        <v>420</v>
      </c>
      <c r="G13" s="22">
        <v>420</v>
      </c>
      <c r="H13" s="22">
        <v>420</v>
      </c>
      <c r="R13" s="22" t="s">
        <v>5</v>
      </c>
      <c r="S13" s="22">
        <v>92</v>
      </c>
      <c r="T13" s="22">
        <v>117</v>
      </c>
      <c r="U13" s="22">
        <v>140</v>
      </c>
      <c r="V13" s="22">
        <v>163</v>
      </c>
      <c r="W13" s="22">
        <v>183</v>
      </c>
      <c r="X13" s="22">
        <v>209</v>
      </c>
    </row>
    <row r="14" spans="1:24">
      <c r="A14" s="22" t="s">
        <v>56</v>
      </c>
      <c r="B14" s="22" t="s">
        <v>1560</v>
      </c>
      <c r="C14" s="22">
        <v>993</v>
      </c>
      <c r="D14" s="22">
        <v>1012</v>
      </c>
      <c r="E14" s="22">
        <v>1027</v>
      </c>
      <c r="F14" s="22">
        <v>1042</v>
      </c>
      <c r="G14" s="22">
        <v>1053</v>
      </c>
      <c r="H14" s="22">
        <v>1071</v>
      </c>
      <c r="R14" s="22" t="s">
        <v>174</v>
      </c>
      <c r="S14" s="22">
        <v>77</v>
      </c>
      <c r="T14" s="22">
        <v>77</v>
      </c>
      <c r="U14" s="22">
        <v>75</v>
      </c>
      <c r="V14" s="22">
        <v>75</v>
      </c>
      <c r="W14" s="22">
        <v>73</v>
      </c>
      <c r="X14" s="22">
        <v>73</v>
      </c>
    </row>
    <row r="15" spans="1:24">
      <c r="A15" s="22" t="s">
        <v>134</v>
      </c>
      <c r="B15" s="22" t="s">
        <v>478</v>
      </c>
      <c r="C15" s="22">
        <v>580</v>
      </c>
      <c r="D15" s="22">
        <v>599</v>
      </c>
      <c r="E15" s="22">
        <v>613</v>
      </c>
      <c r="F15" s="22">
        <v>629</v>
      </c>
      <c r="G15" s="22">
        <v>639</v>
      </c>
      <c r="H15" s="22">
        <v>657</v>
      </c>
      <c r="R15" s="22" t="s">
        <v>7</v>
      </c>
      <c r="S15" s="22">
        <v>420</v>
      </c>
      <c r="T15" s="22">
        <v>420</v>
      </c>
      <c r="U15" s="22">
        <v>420</v>
      </c>
      <c r="V15" s="22">
        <v>420</v>
      </c>
      <c r="W15" s="22">
        <v>420</v>
      </c>
      <c r="X15" s="22">
        <v>420</v>
      </c>
    </row>
    <row r="16" spans="1:24">
      <c r="A16" s="22" t="s">
        <v>2410</v>
      </c>
      <c r="B16" s="22" t="s">
        <v>1281</v>
      </c>
      <c r="C16" s="22">
        <v>412.9</v>
      </c>
      <c r="D16" s="22">
        <v>412.9</v>
      </c>
      <c r="E16" s="22">
        <v>413.2</v>
      </c>
      <c r="F16" s="22">
        <v>413.2</v>
      </c>
      <c r="G16" s="22">
        <v>413.6</v>
      </c>
      <c r="H16" s="22">
        <v>413.6</v>
      </c>
      <c r="R16" s="22" t="s">
        <v>1560</v>
      </c>
      <c r="S16" s="22">
        <v>993</v>
      </c>
      <c r="T16" s="22">
        <v>1012</v>
      </c>
      <c r="U16" s="22">
        <v>1027</v>
      </c>
      <c r="V16" s="22">
        <v>1042</v>
      </c>
      <c r="W16" s="22">
        <v>1053</v>
      </c>
      <c r="X16" s="22">
        <v>1071</v>
      </c>
    </row>
    <row r="17" spans="1:24">
      <c r="A17" s="22" t="s">
        <v>57</v>
      </c>
      <c r="B17" s="22" t="s">
        <v>2407</v>
      </c>
      <c r="C17" s="22">
        <v>702</v>
      </c>
      <c r="D17" s="22">
        <v>722</v>
      </c>
      <c r="E17" s="22">
        <v>744</v>
      </c>
      <c r="F17" s="22">
        <v>764</v>
      </c>
      <c r="G17" s="22">
        <v>784</v>
      </c>
      <c r="H17" s="22">
        <v>807</v>
      </c>
      <c r="R17" s="22" t="s">
        <v>478</v>
      </c>
      <c r="S17" s="22">
        <v>580</v>
      </c>
      <c r="T17" s="22">
        <v>599</v>
      </c>
      <c r="U17" s="22">
        <v>613</v>
      </c>
      <c r="V17" s="22">
        <v>629</v>
      </c>
      <c r="W17" s="22">
        <v>639</v>
      </c>
      <c r="X17" s="22">
        <v>657</v>
      </c>
    </row>
    <row r="18" spans="1:24">
      <c r="A18" s="22" t="s">
        <v>135</v>
      </c>
      <c r="B18" s="22" t="s">
        <v>2406</v>
      </c>
      <c r="C18" s="22">
        <v>61.4</v>
      </c>
      <c r="D18" s="22">
        <v>61.4</v>
      </c>
      <c r="E18" s="22">
        <v>61.9</v>
      </c>
      <c r="F18" s="22">
        <v>61.9</v>
      </c>
      <c r="G18" s="22">
        <v>62.4</v>
      </c>
      <c r="H18" s="22">
        <v>62.4</v>
      </c>
      <c r="R18" s="22" t="s">
        <v>1281</v>
      </c>
      <c r="S18" s="22">
        <v>412.9</v>
      </c>
      <c r="T18" s="22">
        <v>412.9</v>
      </c>
      <c r="U18" s="22">
        <v>413.2</v>
      </c>
      <c r="V18" s="22">
        <v>413.2</v>
      </c>
      <c r="W18" s="22">
        <v>413.6</v>
      </c>
      <c r="X18" s="22">
        <v>413.6</v>
      </c>
    </row>
    <row r="19" spans="1:24">
      <c r="A19" s="22" t="s">
        <v>69</v>
      </c>
      <c r="B19" s="22" t="s">
        <v>69</v>
      </c>
      <c r="C19" s="22">
        <v>165</v>
      </c>
      <c r="D19" s="22">
        <v>170</v>
      </c>
      <c r="E19" s="22">
        <v>172.5</v>
      </c>
      <c r="F19" s="22">
        <v>172.5</v>
      </c>
      <c r="G19" s="22">
        <v>172.5</v>
      </c>
      <c r="H19" s="22">
        <v>175</v>
      </c>
    </row>
    <row r="20" spans="1:24">
      <c r="A20" s="22" t="s">
        <v>70</v>
      </c>
      <c r="B20" s="22" t="s">
        <v>70</v>
      </c>
    </row>
    <row r="21" spans="1:24">
      <c r="A21" s="22" t="s">
        <v>71</v>
      </c>
      <c r="B21" s="22" t="s">
        <v>71</v>
      </c>
      <c r="C21" s="22">
        <v>80</v>
      </c>
      <c r="D21" s="22">
        <v>80</v>
      </c>
      <c r="E21" s="22">
        <v>90</v>
      </c>
      <c r="F21" s="22">
        <v>90</v>
      </c>
      <c r="G21" s="22">
        <v>90</v>
      </c>
      <c r="H21" s="22">
        <v>100</v>
      </c>
    </row>
    <row r="22" spans="1:24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>
        <v>700</v>
      </c>
      <c r="H22" s="22">
        <v>700</v>
      </c>
    </row>
    <row r="23" spans="1:24">
      <c r="A23" s="22" t="s">
        <v>139</v>
      </c>
      <c r="B23" s="22" t="s">
        <v>139</v>
      </c>
      <c r="C23" s="22">
        <v>40</v>
      </c>
      <c r="D23" s="22">
        <v>40</v>
      </c>
      <c r="E23" s="22">
        <v>40</v>
      </c>
      <c r="F23" s="22">
        <v>40</v>
      </c>
      <c r="G23" s="22">
        <v>40</v>
      </c>
      <c r="H23" s="22">
        <v>40</v>
      </c>
    </row>
    <row r="24" spans="1:24">
      <c r="A24" s="22" t="s">
        <v>140</v>
      </c>
      <c r="B24" s="22" t="s">
        <v>140</v>
      </c>
      <c r="C24" s="22">
        <v>50</v>
      </c>
      <c r="D24" s="22">
        <v>50</v>
      </c>
      <c r="E24" s="22">
        <v>50</v>
      </c>
      <c r="F24" s="22">
        <v>50</v>
      </c>
      <c r="G24" s="22">
        <v>50</v>
      </c>
      <c r="H24" s="22">
        <v>50</v>
      </c>
    </row>
    <row r="25" spans="1:24">
      <c r="A25" s="22" t="s">
        <v>1752</v>
      </c>
      <c r="B25" s="22" t="s">
        <v>1752</v>
      </c>
      <c r="R25" s="22" t="s">
        <v>2407</v>
      </c>
      <c r="S25" s="22">
        <v>702</v>
      </c>
      <c r="T25" s="22">
        <v>722</v>
      </c>
      <c r="U25" s="22">
        <v>744</v>
      </c>
      <c r="V25" s="22">
        <v>764</v>
      </c>
      <c r="W25" s="22">
        <v>784</v>
      </c>
      <c r="X25" s="22">
        <v>807</v>
      </c>
    </row>
    <row r="26" spans="1:24">
      <c r="A26" s="22" t="s">
        <v>1753</v>
      </c>
      <c r="B26" s="22" t="s">
        <v>1753</v>
      </c>
    </row>
    <row r="29" spans="1:24">
      <c r="R29" s="22" t="s">
        <v>2406</v>
      </c>
      <c r="S29" s="22">
        <v>61.4</v>
      </c>
      <c r="T29" s="22">
        <v>61.4</v>
      </c>
      <c r="U29" s="22">
        <v>61.9</v>
      </c>
      <c r="V29" s="22">
        <v>61.9</v>
      </c>
      <c r="W29" s="22">
        <v>62.4</v>
      </c>
      <c r="X29" s="22">
        <v>62.4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08FC-3EA7-4D41-8597-7039EB5A251B}">
  <dimension ref="A1:H53"/>
  <sheetViews>
    <sheetView topLeftCell="A26" zoomScaleNormal="100" workbookViewId="0">
      <selection activeCell="C23" sqref="C23"/>
    </sheetView>
  </sheetViews>
  <sheetFormatPr baseColWidth="10" defaultRowHeight="20"/>
  <cols>
    <col min="1" max="2" width="29.33203125" style="22" bestFit="1" customWidth="1"/>
    <col min="3" max="3" width="30.1640625" style="22" bestFit="1" customWidth="1"/>
    <col min="4" max="7" width="21.83203125" style="22" bestFit="1" customWidth="1"/>
    <col min="8" max="16384" width="10.83203125" style="22"/>
  </cols>
  <sheetData>
    <row r="1" spans="1:8">
      <c r="A1" s="22" t="s">
        <v>72</v>
      </c>
      <c r="B1" s="22" t="s">
        <v>72</v>
      </c>
      <c r="C1" s="22" t="s">
        <v>77</v>
      </c>
      <c r="D1" s="22" t="str">
        <f>D26</f>
        <v>S</v>
      </c>
      <c r="E1" s="22" t="str">
        <f t="shared" ref="E1:G1" si="0">E26</f>
        <v>M</v>
      </c>
      <c r="F1" s="22" t="str">
        <f t="shared" si="0"/>
        <v>L</v>
      </c>
      <c r="G1" s="22" t="str">
        <f t="shared" si="0"/>
        <v>XL</v>
      </c>
    </row>
    <row r="2" spans="1:8">
      <c r="A2" s="22" t="s">
        <v>54</v>
      </c>
      <c r="B2" s="22" t="s">
        <v>62</v>
      </c>
      <c r="C2" s="22" t="s">
        <v>117</v>
      </c>
      <c r="D2" s="22">
        <v>66.67</v>
      </c>
      <c r="E2" s="22">
        <v>66.67</v>
      </c>
      <c r="F2" s="22">
        <v>66.67</v>
      </c>
      <c r="G2" s="22">
        <v>66.67</v>
      </c>
      <c r="H2" s="22" t="s">
        <v>920</v>
      </c>
    </row>
    <row r="3" spans="1:8">
      <c r="A3" s="22" t="s">
        <v>55</v>
      </c>
      <c r="B3" s="22" t="s">
        <v>63</v>
      </c>
      <c r="C3" s="22" t="s">
        <v>118</v>
      </c>
      <c r="D3" s="22">
        <v>73</v>
      </c>
      <c r="E3" s="22">
        <v>73.5</v>
      </c>
      <c r="F3" s="22">
        <v>74</v>
      </c>
      <c r="G3" s="22">
        <v>74.5</v>
      </c>
    </row>
    <row r="4" spans="1:8">
      <c r="A4" s="22" t="s">
        <v>60</v>
      </c>
      <c r="B4" s="22" t="s">
        <v>73</v>
      </c>
      <c r="C4" s="22" t="s">
        <v>119</v>
      </c>
      <c r="D4" s="22">
        <v>586</v>
      </c>
      <c r="E4" s="22">
        <v>605</v>
      </c>
      <c r="F4" s="22">
        <v>624</v>
      </c>
      <c r="G4" s="22">
        <v>643</v>
      </c>
      <c r="H4" s="34"/>
    </row>
    <row r="5" spans="1:8">
      <c r="A5" s="22" t="s">
        <v>73</v>
      </c>
      <c r="B5" s="22" t="s">
        <v>60</v>
      </c>
      <c r="C5" s="22" t="s">
        <v>120</v>
      </c>
      <c r="D5" s="22">
        <v>450</v>
      </c>
      <c r="E5" s="22">
        <v>470</v>
      </c>
      <c r="F5" s="22">
        <v>490</v>
      </c>
      <c r="G5" s="22">
        <v>510</v>
      </c>
    </row>
    <row r="6" spans="1:8">
      <c r="A6" s="22" t="s">
        <v>62</v>
      </c>
      <c r="B6" s="22" t="s">
        <v>137</v>
      </c>
      <c r="C6" s="22" t="s">
        <v>121</v>
      </c>
      <c r="D6" s="22">
        <v>278</v>
      </c>
      <c r="E6" s="22">
        <v>278</v>
      </c>
      <c r="F6" s="22">
        <v>278</v>
      </c>
      <c r="G6" s="22">
        <v>278</v>
      </c>
    </row>
    <row r="7" spans="1:8">
      <c r="A7" s="22" t="s">
        <v>63</v>
      </c>
      <c r="B7" s="22" t="s">
        <v>65</v>
      </c>
      <c r="C7" s="22" t="s">
        <v>122</v>
      </c>
      <c r="D7" s="22">
        <v>80</v>
      </c>
      <c r="E7" s="22">
        <v>80</v>
      </c>
      <c r="F7" s="22">
        <v>80</v>
      </c>
      <c r="G7" s="22">
        <v>80</v>
      </c>
    </row>
    <row r="8" spans="1:8">
      <c r="A8" s="22" t="s">
        <v>64</v>
      </c>
      <c r="B8" s="22" t="s">
        <v>64</v>
      </c>
      <c r="C8" s="22" t="s">
        <v>123</v>
      </c>
      <c r="D8" s="22">
        <v>140</v>
      </c>
      <c r="E8" s="22">
        <v>160</v>
      </c>
      <c r="F8" s="22">
        <v>180</v>
      </c>
      <c r="G8" s="22">
        <v>200</v>
      </c>
    </row>
    <row r="9" spans="1:8">
      <c r="A9" s="22" t="s">
        <v>65</v>
      </c>
      <c r="B9" s="22" t="s">
        <v>917</v>
      </c>
      <c r="C9" s="22" t="s">
        <v>124</v>
      </c>
      <c r="D9" s="22">
        <v>430</v>
      </c>
      <c r="E9" s="22">
        <v>430</v>
      </c>
      <c r="F9" s="22">
        <v>430</v>
      </c>
      <c r="G9" s="22">
        <v>430</v>
      </c>
      <c r="H9" s="22" t="s">
        <v>919</v>
      </c>
    </row>
    <row r="10" spans="1:8">
      <c r="A10" s="22" t="s">
        <v>66</v>
      </c>
      <c r="B10" s="22" t="s">
        <v>56</v>
      </c>
      <c r="C10" s="22" t="s">
        <v>125</v>
      </c>
      <c r="D10" s="22">
        <v>1090</v>
      </c>
      <c r="E10" s="22">
        <v>1120</v>
      </c>
      <c r="F10" s="22">
        <v>1150</v>
      </c>
      <c r="G10" s="22">
        <v>1180</v>
      </c>
    </row>
    <row r="11" spans="1:8">
      <c r="A11" s="22" t="s">
        <v>56</v>
      </c>
      <c r="B11" s="22" t="s">
        <v>136</v>
      </c>
      <c r="C11" s="22" t="s">
        <v>126</v>
      </c>
      <c r="D11" s="22">
        <v>428</v>
      </c>
      <c r="E11" s="22">
        <v>428</v>
      </c>
      <c r="F11" s="22">
        <v>428</v>
      </c>
      <c r="G11" s="22">
        <v>428</v>
      </c>
    </row>
    <row r="12" spans="1:8">
      <c r="A12" s="22" t="s">
        <v>67</v>
      </c>
      <c r="B12" s="22" t="s">
        <v>67</v>
      </c>
      <c r="C12" s="22" t="s">
        <v>127</v>
      </c>
      <c r="D12" s="22">
        <v>57</v>
      </c>
      <c r="E12" s="22">
        <v>57</v>
      </c>
      <c r="F12" s="22">
        <v>57</v>
      </c>
      <c r="G12" s="22">
        <v>57</v>
      </c>
    </row>
    <row r="13" spans="1:8">
      <c r="A13" s="22" t="s">
        <v>57</v>
      </c>
      <c r="B13" s="22" t="s">
        <v>135</v>
      </c>
      <c r="C13" s="22" t="s">
        <v>128</v>
      </c>
      <c r="D13" s="22">
        <v>93</v>
      </c>
      <c r="E13" s="22">
        <v>93</v>
      </c>
      <c r="F13" s="22">
        <v>93</v>
      </c>
      <c r="G13" s="22">
        <v>93</v>
      </c>
    </row>
    <row r="14" spans="1:8">
      <c r="A14" s="22" t="s">
        <v>69</v>
      </c>
      <c r="B14" s="22" t="s">
        <v>134</v>
      </c>
      <c r="C14" s="22" t="s">
        <v>129</v>
      </c>
      <c r="D14" s="22">
        <v>680</v>
      </c>
      <c r="E14" s="22">
        <v>708</v>
      </c>
      <c r="F14" s="22">
        <v>736</v>
      </c>
      <c r="G14" s="22">
        <v>763</v>
      </c>
    </row>
    <row r="15" spans="1:8">
      <c r="A15" s="22" t="s">
        <v>70</v>
      </c>
      <c r="B15" s="22" t="s">
        <v>55</v>
      </c>
      <c r="C15" s="22" t="s">
        <v>130</v>
      </c>
      <c r="D15" s="22">
        <v>400</v>
      </c>
      <c r="E15" s="22">
        <v>420</v>
      </c>
      <c r="F15" s="22">
        <v>440</v>
      </c>
      <c r="G15" s="22">
        <v>460</v>
      </c>
    </row>
    <row r="16" spans="1:8">
      <c r="A16" s="22" t="s">
        <v>71</v>
      </c>
      <c r="B16" s="22" t="s">
        <v>54</v>
      </c>
      <c r="C16" s="22" t="s">
        <v>131</v>
      </c>
      <c r="D16" s="22">
        <v>575</v>
      </c>
      <c r="E16" s="22">
        <v>594</v>
      </c>
      <c r="F16" s="22">
        <v>612</v>
      </c>
      <c r="G16" s="22">
        <v>631</v>
      </c>
      <c r="H16" s="22" t="s">
        <v>921</v>
      </c>
    </row>
    <row r="17" spans="1:7">
      <c r="A17" s="22" t="s">
        <v>68</v>
      </c>
      <c r="B17" s="22" t="s">
        <v>57</v>
      </c>
      <c r="C17" s="22" t="s">
        <v>112</v>
      </c>
      <c r="D17" s="22">
        <v>662</v>
      </c>
      <c r="E17" s="22">
        <v>671</v>
      </c>
      <c r="F17" s="22">
        <v>682</v>
      </c>
      <c r="G17" s="22">
        <v>696</v>
      </c>
    </row>
    <row r="18" spans="1:7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</row>
    <row r="19" spans="1:7">
      <c r="A19" s="22" t="s">
        <v>140</v>
      </c>
      <c r="B19" s="22" t="s">
        <v>139</v>
      </c>
      <c r="C19" s="22" t="s">
        <v>139</v>
      </c>
      <c r="D19" s="22">
        <v>50</v>
      </c>
      <c r="E19" s="22">
        <v>50</v>
      </c>
      <c r="F19" s="22">
        <v>50</v>
      </c>
      <c r="G19" s="22">
        <v>50</v>
      </c>
    </row>
    <row r="20" spans="1:7">
      <c r="B20" s="22" t="s">
        <v>140</v>
      </c>
      <c r="C20" s="22" t="s">
        <v>140</v>
      </c>
      <c r="D20" s="22">
        <v>50</v>
      </c>
      <c r="E20" s="22">
        <v>50</v>
      </c>
      <c r="F20" s="22">
        <v>50</v>
      </c>
      <c r="G20" s="22">
        <v>50</v>
      </c>
    </row>
    <row r="21" spans="1:7">
      <c r="B21" s="22" t="s">
        <v>69</v>
      </c>
      <c r="C21" s="22" t="s">
        <v>69</v>
      </c>
      <c r="D21" s="22">
        <f>VALUE(LEFT(D51,4))</f>
        <v>172</v>
      </c>
      <c r="E21" s="22">
        <v>172.5</v>
      </c>
      <c r="F21" s="22">
        <v>172.5</v>
      </c>
      <c r="G21" s="22">
        <v>172.5</v>
      </c>
    </row>
    <row r="22" spans="1:7">
      <c r="A22" s="22" t="s">
        <v>917</v>
      </c>
      <c r="B22" s="22" t="s">
        <v>70</v>
      </c>
      <c r="C22" s="22" t="s">
        <v>70</v>
      </c>
      <c r="D22" s="22">
        <f>VALUE(LEFT(D50,2))*10</f>
        <v>420</v>
      </c>
      <c r="E22" s="22">
        <f t="shared" ref="E22:G22" si="1">VALUE(LEFT(E50,2))*10</f>
        <v>440</v>
      </c>
      <c r="F22" s="22">
        <f t="shared" si="1"/>
        <v>460</v>
      </c>
      <c r="G22" s="22">
        <f t="shared" si="1"/>
        <v>460</v>
      </c>
    </row>
    <row r="23" spans="1:7">
      <c r="A23" s="22" t="s">
        <v>163</v>
      </c>
      <c r="B23" s="22" t="s">
        <v>71</v>
      </c>
      <c r="C23" s="22" t="s">
        <v>71</v>
      </c>
      <c r="D23" s="22">
        <v>50</v>
      </c>
      <c r="E23" s="22">
        <v>50</v>
      </c>
      <c r="F23" s="22">
        <v>50</v>
      </c>
      <c r="G23" s="22">
        <v>50</v>
      </c>
    </row>
    <row r="24" spans="1:7">
      <c r="B24" s="22" t="s">
        <v>66</v>
      </c>
      <c r="C24" s="22" t="s">
        <v>66</v>
      </c>
      <c r="D24" s="35">
        <f>SQRT(D9^2+D7^2)</f>
        <v>437.37855457258075</v>
      </c>
      <c r="E24" s="35">
        <f t="shared" ref="E24:G24" si="2">SQRT(E9^2+E7^2)</f>
        <v>437.37855457258075</v>
      </c>
      <c r="F24" s="35">
        <f t="shared" si="2"/>
        <v>437.37855457258075</v>
      </c>
      <c r="G24" s="35">
        <f t="shared" si="2"/>
        <v>437.37855457258075</v>
      </c>
    </row>
    <row r="26" spans="1:7">
      <c r="C26" s="22" t="s">
        <v>77</v>
      </c>
      <c r="D26" s="22" t="s">
        <v>17</v>
      </c>
      <c r="E26" s="22" t="s">
        <v>18</v>
      </c>
      <c r="F26" s="22" t="s">
        <v>19</v>
      </c>
      <c r="G26" s="22" t="s">
        <v>20</v>
      </c>
    </row>
    <row r="27" spans="1:7">
      <c r="C27" s="22" t="s">
        <v>117</v>
      </c>
      <c r="D27" s="22">
        <v>66.67</v>
      </c>
      <c r="E27" s="22">
        <v>66.67</v>
      </c>
      <c r="F27" s="22">
        <v>66.67</v>
      </c>
      <c r="G27" s="22">
        <v>66.67</v>
      </c>
    </row>
    <row r="28" spans="1:7">
      <c r="C28" s="22" t="s">
        <v>118</v>
      </c>
      <c r="D28" s="22">
        <v>73</v>
      </c>
      <c r="E28" s="22">
        <v>73.5</v>
      </c>
      <c r="F28" s="22">
        <v>74</v>
      </c>
      <c r="G28" s="22">
        <v>74.5</v>
      </c>
    </row>
    <row r="29" spans="1:7">
      <c r="C29" s="22" t="s">
        <v>119</v>
      </c>
      <c r="D29" s="22" t="s">
        <v>78</v>
      </c>
      <c r="E29" s="22" t="s">
        <v>79</v>
      </c>
      <c r="F29" s="22" t="s">
        <v>80</v>
      </c>
      <c r="G29" s="22" t="s">
        <v>81</v>
      </c>
    </row>
    <row r="30" spans="1:7">
      <c r="C30" s="22" t="s">
        <v>120</v>
      </c>
      <c r="D30" s="22" t="s">
        <v>82</v>
      </c>
      <c r="E30" s="22" t="s">
        <v>83</v>
      </c>
      <c r="F30" s="22" t="s">
        <v>84</v>
      </c>
      <c r="G30" s="22" t="s">
        <v>85</v>
      </c>
    </row>
    <row r="31" spans="1:7">
      <c r="C31" s="22" t="s">
        <v>121</v>
      </c>
      <c r="D31" s="22" t="s">
        <v>86</v>
      </c>
      <c r="E31" s="22" t="s">
        <v>86</v>
      </c>
      <c r="F31" s="22" t="s">
        <v>86</v>
      </c>
      <c r="G31" s="22" t="s">
        <v>86</v>
      </c>
    </row>
    <row r="32" spans="1:7">
      <c r="C32" s="22" t="s">
        <v>122</v>
      </c>
      <c r="D32" s="22" t="s">
        <v>87</v>
      </c>
      <c r="E32" s="22" t="s">
        <v>87</v>
      </c>
      <c r="F32" s="22" t="s">
        <v>87</v>
      </c>
      <c r="G32" s="22" t="s">
        <v>87</v>
      </c>
    </row>
    <row r="33" spans="3:7">
      <c r="C33" s="22" t="s">
        <v>123</v>
      </c>
      <c r="D33" s="22" t="s">
        <v>88</v>
      </c>
      <c r="E33" s="22" t="s">
        <v>89</v>
      </c>
      <c r="F33" s="22" t="s">
        <v>90</v>
      </c>
      <c r="G33" s="22" t="s">
        <v>91</v>
      </c>
    </row>
    <row r="34" spans="3:7">
      <c r="C34" s="22" t="s">
        <v>124</v>
      </c>
      <c r="D34" s="22" t="s">
        <v>92</v>
      </c>
      <c r="E34" s="22" t="s">
        <v>92</v>
      </c>
      <c r="F34" s="22" t="s">
        <v>92</v>
      </c>
      <c r="G34" s="22" t="s">
        <v>92</v>
      </c>
    </row>
    <row r="35" spans="3:7">
      <c r="C35" s="22" t="s">
        <v>125</v>
      </c>
      <c r="D35" s="22" t="s">
        <v>93</v>
      </c>
      <c r="E35" s="22" t="s">
        <v>94</v>
      </c>
      <c r="F35" s="22" t="s">
        <v>95</v>
      </c>
      <c r="G35" s="22" t="s">
        <v>96</v>
      </c>
    </row>
    <row r="36" spans="3:7">
      <c r="C36" s="22" t="s">
        <v>126</v>
      </c>
      <c r="D36" s="22" t="s">
        <v>97</v>
      </c>
      <c r="E36" s="22" t="s">
        <v>97</v>
      </c>
      <c r="F36" s="22" t="s">
        <v>97</v>
      </c>
      <c r="G36" s="22" t="s">
        <v>97</v>
      </c>
    </row>
    <row r="37" spans="3:7">
      <c r="C37" s="22" t="s">
        <v>127</v>
      </c>
      <c r="D37" s="22" t="s">
        <v>98</v>
      </c>
      <c r="E37" s="22" t="s">
        <v>98</v>
      </c>
      <c r="F37" s="22" t="s">
        <v>98</v>
      </c>
      <c r="G37" s="22" t="s">
        <v>98</v>
      </c>
    </row>
    <row r="38" spans="3:7">
      <c r="C38" s="22" t="s">
        <v>128</v>
      </c>
      <c r="D38" s="22" t="s">
        <v>99</v>
      </c>
      <c r="E38" s="22" t="s">
        <v>99</v>
      </c>
      <c r="F38" s="22" t="s">
        <v>99</v>
      </c>
      <c r="G38" s="22" t="s">
        <v>99</v>
      </c>
    </row>
    <row r="39" spans="3:7">
      <c r="C39" s="22" t="s">
        <v>129</v>
      </c>
      <c r="D39" s="22" t="s">
        <v>100</v>
      </c>
      <c r="E39" s="22" t="s">
        <v>101</v>
      </c>
      <c r="F39" s="22" t="s">
        <v>102</v>
      </c>
      <c r="G39" s="22" t="s">
        <v>103</v>
      </c>
    </row>
    <row r="40" spans="3:7">
      <c r="C40" s="22" t="s">
        <v>130</v>
      </c>
      <c r="D40" s="22" t="s">
        <v>104</v>
      </c>
      <c r="E40" s="22" t="s">
        <v>105</v>
      </c>
      <c r="F40" s="22" t="s">
        <v>106</v>
      </c>
      <c r="G40" s="22" t="s">
        <v>107</v>
      </c>
    </row>
    <row r="41" spans="3:7">
      <c r="C41" s="22" t="s">
        <v>131</v>
      </c>
      <c r="D41" s="22" t="s">
        <v>108</v>
      </c>
      <c r="E41" s="22" t="s">
        <v>109</v>
      </c>
      <c r="F41" s="22" t="s">
        <v>110</v>
      </c>
      <c r="G41" s="22" t="s">
        <v>111</v>
      </c>
    </row>
    <row r="42" spans="3:7">
      <c r="C42" s="22" t="s">
        <v>112</v>
      </c>
      <c r="D42" s="22" t="s">
        <v>113</v>
      </c>
      <c r="E42" s="22" t="s">
        <v>114</v>
      </c>
      <c r="F42" s="22" t="s">
        <v>115</v>
      </c>
      <c r="G42" s="22" t="s">
        <v>116</v>
      </c>
    </row>
    <row r="44" spans="3:7">
      <c r="C44" s="22" t="s">
        <v>1019</v>
      </c>
      <c r="D44" s="22" t="s">
        <v>1020</v>
      </c>
      <c r="E44" s="22" t="s">
        <v>1021</v>
      </c>
      <c r="F44" s="22" t="s">
        <v>1022</v>
      </c>
      <c r="G44" s="22" t="s">
        <v>1023</v>
      </c>
    </row>
    <row r="45" spans="3:7">
      <c r="C45" s="22" t="s">
        <v>13</v>
      </c>
      <c r="D45" s="22" t="s">
        <v>1024</v>
      </c>
      <c r="E45" s="22" t="s">
        <v>1024</v>
      </c>
      <c r="F45" s="22" t="s">
        <v>1024</v>
      </c>
      <c r="G45" s="22" t="s">
        <v>1024</v>
      </c>
    </row>
    <row r="46" spans="3:7">
      <c r="C46" s="22" t="s">
        <v>1025</v>
      </c>
      <c r="D46" s="22" t="s">
        <v>1026</v>
      </c>
      <c r="E46" s="22" t="s">
        <v>1026</v>
      </c>
      <c r="F46" s="22" t="s">
        <v>1026</v>
      </c>
      <c r="G46" s="22" t="s">
        <v>1026</v>
      </c>
    </row>
    <row r="47" spans="3:7">
      <c r="C47" s="22" t="s">
        <v>1027</v>
      </c>
      <c r="D47" s="22" t="s">
        <v>1028</v>
      </c>
      <c r="E47" s="22" t="s">
        <v>1028</v>
      </c>
      <c r="F47" s="22" t="s">
        <v>1028</v>
      </c>
      <c r="G47" s="22" t="s">
        <v>1028</v>
      </c>
    </row>
    <row r="48" spans="3:7">
      <c r="C48" s="22" t="s">
        <v>1029</v>
      </c>
      <c r="D48" s="22" t="s">
        <v>1030</v>
      </c>
      <c r="E48" s="22" t="s">
        <v>1030</v>
      </c>
      <c r="F48" s="22" t="s">
        <v>1030</v>
      </c>
      <c r="G48" s="22" t="s">
        <v>1030</v>
      </c>
    </row>
    <row r="49" spans="3:7">
      <c r="C49" s="22" t="s">
        <v>1031</v>
      </c>
      <c r="D49" s="22" t="s">
        <v>1032</v>
      </c>
      <c r="E49" s="22" t="s">
        <v>1032</v>
      </c>
      <c r="F49" s="22" t="s">
        <v>1032</v>
      </c>
      <c r="G49" s="22" t="s">
        <v>1032</v>
      </c>
    </row>
    <row r="50" spans="3:7">
      <c r="C50" s="22" t="s">
        <v>12</v>
      </c>
      <c r="D50" s="22" t="s">
        <v>537</v>
      </c>
      <c r="E50" s="22" t="s">
        <v>538</v>
      </c>
      <c r="F50" s="22" t="s">
        <v>539</v>
      </c>
      <c r="G50" s="22" t="s">
        <v>539</v>
      </c>
    </row>
    <row r="51" spans="3:7">
      <c r="C51" s="22" t="s">
        <v>58</v>
      </c>
      <c r="D51" s="22" t="s">
        <v>1033</v>
      </c>
      <c r="E51" s="22" t="s">
        <v>1033</v>
      </c>
      <c r="F51" s="22" t="s">
        <v>1033</v>
      </c>
      <c r="G51" s="22" t="s">
        <v>1033</v>
      </c>
    </row>
    <row r="52" spans="3:7">
      <c r="C52" s="22" t="s">
        <v>1034</v>
      </c>
      <c r="D52" s="22" t="s">
        <v>1035</v>
      </c>
      <c r="E52" s="22" t="s">
        <v>1036</v>
      </c>
      <c r="F52" s="22" t="s">
        <v>1037</v>
      </c>
      <c r="G52" s="22" t="s">
        <v>1038</v>
      </c>
    </row>
    <row r="53" spans="3:7">
      <c r="C53" s="42" t="s">
        <v>1039</v>
      </c>
      <c r="D53" s="42" t="s">
        <v>1040</v>
      </c>
      <c r="E53" s="42" t="s">
        <v>1041</v>
      </c>
      <c r="F53" s="42" t="s">
        <v>1042</v>
      </c>
      <c r="G53" s="42" t="s">
        <v>1043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E7A1-8961-5443-B4EC-855FD0FF808A}">
  <dimension ref="A1:K31"/>
  <sheetViews>
    <sheetView workbookViewId="0">
      <selection activeCell="G28" sqref="G28"/>
    </sheetView>
  </sheetViews>
  <sheetFormatPr baseColWidth="10" defaultRowHeight="20"/>
  <cols>
    <col min="1" max="1" width="29.33203125" style="22" bestFit="1" customWidth="1"/>
    <col min="2" max="2" width="32" style="22" bestFit="1" customWidth="1"/>
    <col min="3" max="16384" width="10.83203125" style="22"/>
  </cols>
  <sheetData>
    <row r="1" spans="1:11">
      <c r="A1" s="22" t="s">
        <v>72</v>
      </c>
      <c r="B1" s="22" t="s">
        <v>138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</row>
    <row r="2" spans="1:11">
      <c r="A2" s="22" t="s">
        <v>73</v>
      </c>
      <c r="B2" s="77" t="s">
        <v>1880</v>
      </c>
      <c r="C2" s="22">
        <v>515.4</v>
      </c>
      <c r="D2" s="22">
        <v>532.4</v>
      </c>
      <c r="E2" s="22">
        <v>559.29999999999995</v>
      </c>
      <c r="F2" s="22">
        <v>579</v>
      </c>
      <c r="G2" s="22">
        <v>594.4</v>
      </c>
    </row>
    <row r="3" spans="1:11">
      <c r="A3" s="22" t="s">
        <v>60</v>
      </c>
      <c r="B3" s="77" t="s">
        <v>1881</v>
      </c>
      <c r="C3" s="22">
        <v>410</v>
      </c>
      <c r="D3" s="22">
        <v>440</v>
      </c>
      <c r="E3" s="22">
        <v>470</v>
      </c>
      <c r="F3" s="22">
        <v>492</v>
      </c>
      <c r="G3" s="22">
        <v>520</v>
      </c>
    </row>
    <row r="4" spans="1:11">
      <c r="A4" s="22" t="s">
        <v>917</v>
      </c>
      <c r="B4" s="77" t="s">
        <v>1882</v>
      </c>
      <c r="C4" s="22">
        <v>430</v>
      </c>
      <c r="D4" s="22">
        <v>430</v>
      </c>
      <c r="E4" s="22">
        <v>430</v>
      </c>
      <c r="F4" s="22">
        <v>430</v>
      </c>
      <c r="G4" s="22">
        <v>430</v>
      </c>
    </row>
    <row r="5" spans="1:11">
      <c r="A5" s="22" t="s">
        <v>62</v>
      </c>
      <c r="B5" s="77" t="s">
        <v>1883</v>
      </c>
      <c r="C5" s="22">
        <v>68.900000000000006</v>
      </c>
      <c r="D5" s="22">
        <v>68.900000000000006</v>
      </c>
      <c r="E5" s="22">
        <v>68.900000000000006</v>
      </c>
      <c r="F5" s="22">
        <v>68.900000000000006</v>
      </c>
      <c r="G5" s="22">
        <v>68.900000000000006</v>
      </c>
    </row>
    <row r="6" spans="1:11">
      <c r="A6" s="22" t="s">
        <v>63</v>
      </c>
      <c r="B6" s="77" t="s">
        <v>1884</v>
      </c>
      <c r="C6" s="22">
        <v>75.5</v>
      </c>
      <c r="D6" s="22">
        <v>75.2</v>
      </c>
      <c r="E6" s="22">
        <v>74</v>
      </c>
      <c r="F6" s="22">
        <v>73.5</v>
      </c>
      <c r="G6" s="22">
        <v>73.099999999999994</v>
      </c>
    </row>
    <row r="7" spans="1:11">
      <c r="A7" s="22" t="s">
        <v>64</v>
      </c>
      <c r="B7" s="77" t="s">
        <v>1885</v>
      </c>
      <c r="C7" s="22">
        <v>93.7</v>
      </c>
      <c r="D7" s="22">
        <v>125.8</v>
      </c>
      <c r="E7" s="22">
        <v>158</v>
      </c>
      <c r="F7" s="22">
        <v>178</v>
      </c>
      <c r="G7" s="22">
        <v>206.1</v>
      </c>
      <c r="K7"/>
    </row>
    <row r="8" spans="1:11">
      <c r="A8" s="22" t="s">
        <v>137</v>
      </c>
      <c r="B8" s="77" t="s">
        <v>1886</v>
      </c>
      <c r="C8" s="22">
        <v>284</v>
      </c>
      <c r="D8" s="22">
        <v>284</v>
      </c>
      <c r="E8" s="22">
        <v>284</v>
      </c>
      <c r="F8" s="22">
        <v>284</v>
      </c>
      <c r="G8" s="22">
        <v>284</v>
      </c>
    </row>
    <row r="9" spans="1:11">
      <c r="A9" s="22" t="s">
        <v>65</v>
      </c>
      <c r="B9" s="77" t="s">
        <v>1887</v>
      </c>
      <c r="C9" s="22">
        <v>77</v>
      </c>
      <c r="D9" s="22">
        <v>77</v>
      </c>
      <c r="E9" s="22">
        <v>77</v>
      </c>
      <c r="F9" s="22">
        <v>77</v>
      </c>
      <c r="G9" s="22">
        <v>77</v>
      </c>
    </row>
    <row r="10" spans="1:11">
      <c r="A10" s="22" t="s">
        <v>56</v>
      </c>
      <c r="B10" s="77" t="s">
        <v>1888</v>
      </c>
      <c r="C10" s="22">
        <v>1032</v>
      </c>
      <c r="D10" s="22">
        <v>1047</v>
      </c>
      <c r="E10" s="22">
        <v>1064</v>
      </c>
      <c r="F10" s="22">
        <v>1079</v>
      </c>
      <c r="G10" s="22">
        <v>1090</v>
      </c>
    </row>
    <row r="11" spans="1:11">
      <c r="A11" s="22" t="s">
        <v>67</v>
      </c>
      <c r="B11" s="77" t="s">
        <v>1889</v>
      </c>
      <c r="C11" s="22">
        <v>50</v>
      </c>
      <c r="D11" s="22">
        <v>50</v>
      </c>
      <c r="E11" s="22">
        <v>50</v>
      </c>
      <c r="F11" s="22">
        <v>50</v>
      </c>
      <c r="G11" s="22">
        <v>50</v>
      </c>
    </row>
    <row r="12" spans="1:11">
      <c r="A12" s="22" t="s">
        <v>495</v>
      </c>
      <c r="B12" s="77" t="s">
        <v>1890</v>
      </c>
      <c r="C12" s="22">
        <v>400</v>
      </c>
      <c r="D12" s="22">
        <v>400</v>
      </c>
      <c r="E12" s="22">
        <v>400</v>
      </c>
      <c r="F12" s="22">
        <v>400</v>
      </c>
      <c r="G12" s="22">
        <v>400</v>
      </c>
    </row>
    <row r="13" spans="1:11">
      <c r="A13" s="22" t="s">
        <v>135</v>
      </c>
      <c r="B13" s="77" t="s">
        <v>1891</v>
      </c>
      <c r="C13" s="22">
        <v>80</v>
      </c>
      <c r="D13" s="22">
        <v>80</v>
      </c>
      <c r="E13" s="22">
        <v>80</v>
      </c>
      <c r="F13" s="22">
        <v>80</v>
      </c>
      <c r="G13" s="22">
        <v>80</v>
      </c>
    </row>
    <row r="14" spans="1:11">
      <c r="A14" s="22" t="s">
        <v>57</v>
      </c>
      <c r="B14" s="77" t="s">
        <v>1892</v>
      </c>
      <c r="C14" s="22">
        <v>699</v>
      </c>
      <c r="D14" s="22">
        <v>730</v>
      </c>
      <c r="E14" s="22">
        <v>760</v>
      </c>
      <c r="F14" s="22">
        <v>788</v>
      </c>
      <c r="G14" s="22">
        <v>808</v>
      </c>
    </row>
    <row r="15" spans="1:11">
      <c r="A15" s="22" t="s">
        <v>54</v>
      </c>
      <c r="B15" s="77" t="s">
        <v>1893</v>
      </c>
      <c r="C15" s="22">
        <v>526</v>
      </c>
      <c r="D15" s="22">
        <v>555.70000000000005</v>
      </c>
      <c r="E15" s="22">
        <v>585.4</v>
      </c>
      <c r="F15" s="22">
        <v>604.70000000000005</v>
      </c>
      <c r="G15" s="22">
        <v>631</v>
      </c>
    </row>
    <row r="16" spans="1:11">
      <c r="A16" s="22" t="s">
        <v>55</v>
      </c>
      <c r="B16" s="77" t="s">
        <v>1894</v>
      </c>
      <c r="C16" s="22">
        <v>379</v>
      </c>
      <c r="D16" s="22">
        <v>385.7</v>
      </c>
      <c r="E16" s="22">
        <v>391.5</v>
      </c>
      <c r="F16" s="22">
        <v>400</v>
      </c>
      <c r="G16" s="22">
        <v>401.5</v>
      </c>
    </row>
    <row r="17" spans="1:7">
      <c r="A17" s="22" t="s">
        <v>66</v>
      </c>
      <c r="B17" s="22" t="s">
        <v>930</v>
      </c>
      <c r="C17" s="22">
        <f>SQRT(C9^2 +C4^2)</f>
        <v>436.83978756518962</v>
      </c>
      <c r="D17" s="22">
        <f t="shared" ref="D17:G17" si="0">SQRT(D9^2 +D4^2)</f>
        <v>436.83978756518962</v>
      </c>
      <c r="E17" s="22">
        <f t="shared" si="0"/>
        <v>436.83978756518962</v>
      </c>
      <c r="F17" s="22">
        <f t="shared" si="0"/>
        <v>436.83978756518962</v>
      </c>
      <c r="G17" s="22">
        <f t="shared" si="0"/>
        <v>436.83978756518962</v>
      </c>
    </row>
    <row r="18" spans="1:7">
      <c r="A18" s="22" t="s">
        <v>69</v>
      </c>
      <c r="B18" s="22" t="s">
        <v>69</v>
      </c>
    </row>
    <row r="19" spans="1:7">
      <c r="A19" s="22" t="s">
        <v>70</v>
      </c>
      <c r="B19" s="22" t="s">
        <v>70</v>
      </c>
    </row>
    <row r="20" spans="1:7">
      <c r="A20" s="22" t="s">
        <v>71</v>
      </c>
      <c r="B20" s="22" t="s">
        <v>71</v>
      </c>
    </row>
    <row r="21" spans="1:7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</row>
    <row r="22" spans="1:7">
      <c r="A22" s="22" t="s">
        <v>139</v>
      </c>
      <c r="B22" s="22" t="s">
        <v>139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</row>
    <row r="23" spans="1:7">
      <c r="A23" s="22" t="s">
        <v>140</v>
      </c>
      <c r="B23" s="22" t="s">
        <v>140</v>
      </c>
      <c r="C23" s="22">
        <v>50</v>
      </c>
      <c r="D23" s="22">
        <v>50</v>
      </c>
      <c r="E23" s="22">
        <v>50</v>
      </c>
      <c r="F23" s="22">
        <v>50</v>
      </c>
      <c r="G23" s="22">
        <v>50</v>
      </c>
    </row>
    <row r="24" spans="1:7">
      <c r="A24" s="22" t="s">
        <v>1752</v>
      </c>
      <c r="B24" s="22" t="s">
        <v>1752</v>
      </c>
      <c r="C24" s="22">
        <f>C30*2.54</f>
        <v>157.47999999999999</v>
      </c>
      <c r="D24" s="22">
        <f t="shared" ref="D24:G24" si="1">D30*2.54</f>
        <v>165.1</v>
      </c>
      <c r="E24" s="22">
        <f t="shared" si="1"/>
        <v>172.72</v>
      </c>
      <c r="F24" s="22">
        <f t="shared" si="1"/>
        <v>180.34</v>
      </c>
      <c r="G24" s="22">
        <f t="shared" si="1"/>
        <v>187.96</v>
      </c>
    </row>
    <row r="25" spans="1:7">
      <c r="A25" s="22" t="s">
        <v>1753</v>
      </c>
      <c r="B25" s="22" t="s">
        <v>1753</v>
      </c>
      <c r="C25" s="22">
        <f>C31*2.54</f>
        <v>166.37</v>
      </c>
      <c r="D25" s="22">
        <f t="shared" ref="D25:G25" si="2">D31*2.54</f>
        <v>173.99</v>
      </c>
      <c r="E25" s="22">
        <f t="shared" si="2"/>
        <v>181.61</v>
      </c>
      <c r="F25" s="22">
        <f t="shared" si="2"/>
        <v>189.23</v>
      </c>
      <c r="G25" s="22">
        <f t="shared" si="2"/>
        <v>196.85</v>
      </c>
    </row>
    <row r="29" spans="1:7">
      <c r="C29" s="22" t="s">
        <v>2402</v>
      </c>
      <c r="D29" s="22" t="s">
        <v>1993</v>
      </c>
      <c r="E29" s="22" t="s">
        <v>1994</v>
      </c>
      <c r="F29" s="22" t="s">
        <v>1995</v>
      </c>
      <c r="G29" s="22" t="s">
        <v>1996</v>
      </c>
    </row>
    <row r="30" spans="1:7">
      <c r="C30" s="22">
        <v>62</v>
      </c>
      <c r="D30" s="22">
        <v>65</v>
      </c>
      <c r="E30" s="22">
        <v>68</v>
      </c>
      <c r="F30" s="22">
        <v>71</v>
      </c>
      <c r="G30" s="22">
        <v>74</v>
      </c>
    </row>
    <row r="31" spans="1:7">
      <c r="C31" s="22">
        <v>65.5</v>
      </c>
      <c r="D31" s="22">
        <v>68.5</v>
      </c>
      <c r="E31" s="22">
        <v>71.5</v>
      </c>
      <c r="F31" s="22">
        <v>74.5</v>
      </c>
      <c r="G31" s="22">
        <v>77.5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F133-9E50-1A44-96DC-E79777A73AC9}">
  <dimension ref="A1:G30"/>
  <sheetViews>
    <sheetView workbookViewId="0">
      <selection activeCell="D15" sqref="D15"/>
    </sheetView>
  </sheetViews>
  <sheetFormatPr baseColWidth="10" defaultRowHeight="16"/>
  <cols>
    <col min="1" max="2" width="29.33203125" bestFit="1" customWidth="1"/>
    <col min="3" max="3" width="26.33203125" bestFit="1" customWidth="1"/>
  </cols>
  <sheetData>
    <row r="1" spans="1:7" ht="20">
      <c r="A1" s="22" t="s">
        <v>72</v>
      </c>
      <c r="B1" s="22" t="s">
        <v>72</v>
      </c>
      <c r="C1" s="22" t="s">
        <v>167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7" ht="20">
      <c r="A2" s="22" t="s">
        <v>54</v>
      </c>
      <c r="B2" s="22" t="s">
        <v>73</v>
      </c>
      <c r="C2" s="22" t="s">
        <v>970</v>
      </c>
      <c r="D2" s="22">
        <v>533.55999999999995</v>
      </c>
      <c r="E2" s="22">
        <v>560.54</v>
      </c>
      <c r="F2" s="22">
        <v>588.30999999999995</v>
      </c>
      <c r="G2" s="22">
        <v>612.15</v>
      </c>
    </row>
    <row r="3" spans="1:7" ht="20">
      <c r="A3" s="22" t="s">
        <v>55</v>
      </c>
      <c r="B3" s="22" t="s">
        <v>60</v>
      </c>
      <c r="C3" s="22" t="s">
        <v>965</v>
      </c>
      <c r="D3" s="22">
        <v>465</v>
      </c>
      <c r="E3" s="22">
        <v>490</v>
      </c>
      <c r="F3" s="22">
        <v>510</v>
      </c>
      <c r="G3" s="22">
        <v>530</v>
      </c>
    </row>
    <row r="4" spans="1:7" ht="20">
      <c r="A4" s="22" t="s">
        <v>60</v>
      </c>
      <c r="B4" s="22" t="s">
        <v>63</v>
      </c>
      <c r="C4" s="22" t="s">
        <v>971</v>
      </c>
      <c r="D4" s="22">
        <v>74.010000000000005</v>
      </c>
      <c r="E4" s="22">
        <v>74.14</v>
      </c>
      <c r="F4" s="22">
        <v>73.989999999999995</v>
      </c>
      <c r="G4" s="22">
        <v>73.97</v>
      </c>
    </row>
    <row r="5" spans="1:7" ht="20">
      <c r="A5" s="22" t="s">
        <v>73</v>
      </c>
      <c r="B5" s="22" t="s">
        <v>62</v>
      </c>
      <c r="C5" s="22" t="s">
        <v>966</v>
      </c>
      <c r="D5" s="22">
        <v>70.09</v>
      </c>
      <c r="E5" s="22">
        <v>70.06</v>
      </c>
      <c r="F5" s="22">
        <v>70.03</v>
      </c>
      <c r="G5" s="22">
        <v>70</v>
      </c>
    </row>
    <row r="6" spans="1:7" ht="20">
      <c r="A6" s="22" t="s">
        <v>62</v>
      </c>
      <c r="B6" s="22" t="s">
        <v>66</v>
      </c>
      <c r="C6" s="22" t="s">
        <v>972</v>
      </c>
      <c r="D6" s="22">
        <v>425</v>
      </c>
      <c r="E6" s="22">
        <v>425</v>
      </c>
      <c r="F6" s="22">
        <v>425</v>
      </c>
      <c r="G6" s="22">
        <v>425</v>
      </c>
    </row>
    <row r="7" spans="1:7" ht="20">
      <c r="A7" s="22" t="s">
        <v>63</v>
      </c>
      <c r="B7" s="22" t="s">
        <v>65</v>
      </c>
      <c r="C7" s="22" t="s">
        <v>354</v>
      </c>
      <c r="D7" s="22">
        <v>72.36</v>
      </c>
      <c r="E7" s="22">
        <v>72.09</v>
      </c>
      <c r="F7" s="22">
        <v>71.89</v>
      </c>
      <c r="G7" s="22">
        <v>71.08</v>
      </c>
    </row>
    <row r="8" spans="1:7" ht="20">
      <c r="A8" s="22" t="s">
        <v>64</v>
      </c>
      <c r="B8" s="22" t="s">
        <v>56</v>
      </c>
      <c r="C8" s="22" t="s">
        <v>56</v>
      </c>
      <c r="D8" s="35">
        <v>1024.02</v>
      </c>
      <c r="E8" s="35">
        <v>1052.77</v>
      </c>
      <c r="F8" s="35">
        <v>1082.71</v>
      </c>
      <c r="G8" s="35">
        <v>1108.92</v>
      </c>
    </row>
    <row r="9" spans="1:7" ht="20">
      <c r="A9" s="22" t="s">
        <v>65</v>
      </c>
      <c r="B9" s="22" t="s">
        <v>134</v>
      </c>
      <c r="C9" s="22" t="s">
        <v>973</v>
      </c>
      <c r="D9" s="22">
        <v>609.45000000000005</v>
      </c>
      <c r="E9" s="22">
        <v>638.09</v>
      </c>
      <c r="F9" s="22">
        <v>667.71</v>
      </c>
      <c r="G9" s="22">
        <v>693.76</v>
      </c>
    </row>
    <row r="10" spans="1:7" ht="20">
      <c r="A10" s="22" t="s">
        <v>66</v>
      </c>
      <c r="B10" s="22" t="s">
        <v>64</v>
      </c>
      <c r="C10" s="22" t="s">
        <v>982</v>
      </c>
      <c r="D10" s="22">
        <v>116</v>
      </c>
      <c r="E10" s="22">
        <v>141</v>
      </c>
      <c r="F10" s="22">
        <v>170</v>
      </c>
      <c r="G10" s="22">
        <v>202</v>
      </c>
    </row>
    <row r="11" spans="1:7" ht="20">
      <c r="A11" s="22" t="s">
        <v>56</v>
      </c>
      <c r="B11" s="22" t="s">
        <v>54</v>
      </c>
      <c r="C11" s="22" t="s">
        <v>54</v>
      </c>
      <c r="D11" s="22">
        <v>536.25</v>
      </c>
      <c r="E11" s="22">
        <v>561.07000000000005</v>
      </c>
      <c r="F11" s="22">
        <v>586.07000000000005</v>
      </c>
      <c r="G11" s="22">
        <v>616.02</v>
      </c>
    </row>
    <row r="12" spans="1:7" ht="20">
      <c r="A12" s="22" t="s">
        <v>67</v>
      </c>
      <c r="B12" s="22" t="s">
        <v>55</v>
      </c>
      <c r="C12" s="22" t="s">
        <v>55</v>
      </c>
      <c r="D12" s="22">
        <v>380.31</v>
      </c>
      <c r="E12" s="22">
        <v>400.49</v>
      </c>
      <c r="F12" s="22">
        <v>420.46</v>
      </c>
      <c r="G12" s="22">
        <v>435.61</v>
      </c>
    </row>
    <row r="13" spans="1:7" ht="20">
      <c r="A13" s="22" t="s">
        <v>57</v>
      </c>
      <c r="B13" s="22" t="s">
        <v>980</v>
      </c>
      <c r="C13" s="22" t="s">
        <v>974</v>
      </c>
      <c r="D13" s="22"/>
      <c r="E13" s="22"/>
      <c r="F13" s="22"/>
      <c r="G13" s="22"/>
    </row>
    <row r="14" spans="1:7" ht="20">
      <c r="A14" s="22" t="s">
        <v>69</v>
      </c>
      <c r="B14" s="22" t="s">
        <v>979</v>
      </c>
      <c r="C14" s="22" t="s">
        <v>975</v>
      </c>
      <c r="D14" s="22">
        <v>75.09</v>
      </c>
      <c r="E14" s="22">
        <v>75.31</v>
      </c>
      <c r="F14" s="22">
        <v>75.510000000000005</v>
      </c>
      <c r="G14" s="22">
        <v>75.739999999999995</v>
      </c>
    </row>
    <row r="15" spans="1:7" ht="20">
      <c r="A15" s="22" t="s">
        <v>70</v>
      </c>
      <c r="B15" s="22" t="s">
        <v>67</v>
      </c>
      <c r="C15" s="22" t="s">
        <v>976</v>
      </c>
      <c r="D15" s="22">
        <v>53</v>
      </c>
      <c r="E15" s="22">
        <v>53</v>
      </c>
      <c r="F15" s="22">
        <v>53</v>
      </c>
      <c r="G15" s="22">
        <v>53</v>
      </c>
    </row>
    <row r="16" spans="1:7" ht="20">
      <c r="A16" s="22" t="s">
        <v>71</v>
      </c>
      <c r="B16" s="22" t="s">
        <v>68</v>
      </c>
      <c r="C16" s="22" t="s">
        <v>977</v>
      </c>
      <c r="D16" s="22">
        <v>700</v>
      </c>
      <c r="E16" s="22">
        <v>700</v>
      </c>
      <c r="F16" s="22">
        <v>700</v>
      </c>
      <c r="G16" s="22">
        <v>700</v>
      </c>
    </row>
    <row r="17" spans="1:7" ht="20">
      <c r="A17" s="22" t="s">
        <v>68</v>
      </c>
      <c r="B17" s="22" t="s">
        <v>163</v>
      </c>
      <c r="C17" s="22" t="s">
        <v>978</v>
      </c>
      <c r="D17" s="22">
        <v>405</v>
      </c>
      <c r="E17" s="22">
        <v>405</v>
      </c>
      <c r="F17" s="22">
        <v>405</v>
      </c>
      <c r="G17" s="22">
        <v>405</v>
      </c>
    </row>
    <row r="18" spans="1:7" ht="20">
      <c r="A18" s="22" t="s">
        <v>139</v>
      </c>
      <c r="B18" s="22" t="s">
        <v>57</v>
      </c>
      <c r="C18" s="22" t="s">
        <v>57</v>
      </c>
      <c r="D18" s="22"/>
      <c r="E18" s="22"/>
      <c r="F18" s="22"/>
      <c r="G18" s="22"/>
    </row>
    <row r="19" spans="1:7" ht="20">
      <c r="A19" s="22" t="s">
        <v>140</v>
      </c>
      <c r="B19" s="22" t="s">
        <v>69</v>
      </c>
      <c r="C19" s="22" t="s">
        <v>69</v>
      </c>
      <c r="D19" s="22"/>
      <c r="E19" s="22"/>
      <c r="F19" s="22"/>
      <c r="G19" s="22"/>
    </row>
    <row r="20" spans="1:7" ht="20">
      <c r="A20" s="22"/>
      <c r="B20" s="22" t="s">
        <v>70</v>
      </c>
      <c r="C20" s="22" t="s">
        <v>70</v>
      </c>
      <c r="D20" s="22"/>
      <c r="E20" s="22"/>
      <c r="F20" s="22"/>
      <c r="G20" s="22"/>
    </row>
    <row r="21" spans="1:7" ht="20">
      <c r="A21" s="22"/>
      <c r="B21" s="22" t="s">
        <v>71</v>
      </c>
      <c r="C21" s="22" t="s">
        <v>71</v>
      </c>
      <c r="D21" s="22"/>
      <c r="E21" s="22"/>
      <c r="F21" s="22"/>
      <c r="G21" s="22"/>
    </row>
    <row r="22" spans="1:7" ht="20">
      <c r="A22" s="22"/>
      <c r="B22" s="22" t="s">
        <v>68</v>
      </c>
      <c r="C22" s="22" t="s">
        <v>68</v>
      </c>
      <c r="D22" s="22">
        <v>700</v>
      </c>
      <c r="E22" s="22">
        <v>700</v>
      </c>
      <c r="F22" s="22">
        <v>700</v>
      </c>
      <c r="G22" s="22">
        <v>700</v>
      </c>
    </row>
    <row r="23" spans="1:7" ht="20">
      <c r="A23" s="22"/>
      <c r="B23" s="22" t="s">
        <v>139</v>
      </c>
      <c r="C23" s="22" t="s">
        <v>139</v>
      </c>
      <c r="D23" s="22">
        <v>47</v>
      </c>
      <c r="E23" s="22">
        <v>47</v>
      </c>
      <c r="F23" s="22">
        <v>47</v>
      </c>
      <c r="G23" s="22">
        <v>47</v>
      </c>
    </row>
    <row r="24" spans="1:7" ht="20">
      <c r="A24" s="22"/>
      <c r="B24" s="22" t="s">
        <v>140</v>
      </c>
      <c r="C24" s="22" t="s">
        <v>140</v>
      </c>
      <c r="D24" s="22">
        <v>47</v>
      </c>
      <c r="E24" s="22">
        <v>47</v>
      </c>
      <c r="F24" s="22">
        <v>47</v>
      </c>
      <c r="G24" s="22">
        <v>47</v>
      </c>
    </row>
    <row r="25" spans="1:7" ht="20">
      <c r="A25" s="22"/>
      <c r="B25" s="22"/>
      <c r="C25" s="22"/>
      <c r="D25" s="22"/>
      <c r="E25" s="22"/>
      <c r="F25" s="22"/>
      <c r="G25" s="22"/>
    </row>
    <row r="26" spans="1:7" ht="20">
      <c r="A26" s="22"/>
      <c r="B26" s="22"/>
      <c r="C26" s="22" t="s">
        <v>917</v>
      </c>
      <c r="D26" s="22">
        <f>SQRT(D6^2 - D7^2)</f>
        <v>418.79473540148518</v>
      </c>
      <c r="E26" s="22">
        <f t="shared" ref="E26:G26" si="0">SQRT(E6^2 - E7^2)</f>
        <v>418.84129679390497</v>
      </c>
      <c r="F26" s="22">
        <f t="shared" si="0"/>
        <v>418.87567117224654</v>
      </c>
      <c r="G26" s="22">
        <f t="shared" si="0"/>
        <v>419.01388234759003</v>
      </c>
    </row>
    <row r="27" spans="1:7" ht="20">
      <c r="A27" s="22"/>
      <c r="B27" s="22"/>
      <c r="C27" s="22" t="s">
        <v>934</v>
      </c>
      <c r="D27" s="35">
        <f>(D11-D7)/TAN(D5*PI()/180)</f>
        <v>168.01741514876571</v>
      </c>
      <c r="E27" s="35">
        <f t="shared" ref="E27:G27" si="1">(E11-E7)/TAN(E5*PI()/180)</f>
        <v>177.3944925940234</v>
      </c>
      <c r="F27" s="35">
        <f t="shared" si="1"/>
        <v>186.84138382987223</v>
      </c>
      <c r="G27" s="35">
        <f t="shared" si="1"/>
        <v>198.34193946102437</v>
      </c>
    </row>
    <row r="28" spans="1:7" ht="20">
      <c r="A28" s="22"/>
      <c r="B28" s="22"/>
      <c r="C28" s="22" t="s">
        <v>935</v>
      </c>
      <c r="D28" s="35">
        <f>D15/SIN(D5*PI()/180)</f>
        <v>56.369263886562749</v>
      </c>
      <c r="E28" s="35">
        <f t="shared" ref="E28:G28" si="2">E15/SIN(E5*PI()/180)</f>
        <v>56.379963706905251</v>
      </c>
      <c r="F28" s="35">
        <f t="shared" si="2"/>
        <v>56.390683052786002</v>
      </c>
      <c r="G28" s="35">
        <f t="shared" si="2"/>
        <v>56.401421941223347</v>
      </c>
    </row>
    <row r="29" spans="1:7" ht="20">
      <c r="A29" s="22"/>
      <c r="B29" s="22"/>
      <c r="C29" s="22" t="s">
        <v>985</v>
      </c>
      <c r="D29" s="35">
        <f>D12+D27+D28</f>
        <v>604.69667903532843</v>
      </c>
      <c r="E29" s="35">
        <f t="shared" ref="E29:G29" si="3">E12+E27+E28</f>
        <v>634.26445630092871</v>
      </c>
      <c r="F29" s="35">
        <f t="shared" si="3"/>
        <v>663.6920668826582</v>
      </c>
      <c r="G29" s="35">
        <f t="shared" si="3"/>
        <v>690.35336140224774</v>
      </c>
    </row>
    <row r="30" spans="1:7" ht="20">
      <c r="A30" s="22"/>
      <c r="B30" s="22"/>
      <c r="C30" s="22" t="s">
        <v>984</v>
      </c>
      <c r="D30" s="35">
        <f>D26+D29</f>
        <v>1023.4914144368136</v>
      </c>
      <c r="E30" s="35">
        <f t="shared" ref="E30:G30" si="4">E26+E29</f>
        <v>1053.1057530948337</v>
      </c>
      <c r="F30" s="35">
        <f t="shared" si="4"/>
        <v>1082.5677380549048</v>
      </c>
      <c r="G30" s="35">
        <f t="shared" si="4"/>
        <v>1109.3672437498378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3793-E7A0-A64E-AA3F-06329F9A728C}">
  <dimension ref="A1:M41"/>
  <sheetViews>
    <sheetView workbookViewId="0">
      <selection activeCell="B16" sqref="B16"/>
    </sheetView>
  </sheetViews>
  <sheetFormatPr baseColWidth="10" defaultRowHeight="20"/>
  <cols>
    <col min="1" max="1" width="29.33203125" style="22" bestFit="1" customWidth="1"/>
    <col min="2" max="2" width="29.33203125" style="22" customWidth="1"/>
    <col min="3" max="3" width="23.83203125" style="22" bestFit="1" customWidth="1"/>
    <col min="4" max="7" width="11.33203125" style="22" customWidth="1"/>
    <col min="8" max="8" width="36.83203125" style="22" customWidth="1"/>
    <col min="9" max="16384" width="10.83203125" style="22"/>
  </cols>
  <sheetData>
    <row r="1" spans="1:13">
      <c r="A1" s="22" t="s">
        <v>72</v>
      </c>
      <c r="B1" s="22" t="s">
        <v>72</v>
      </c>
      <c r="C1" s="22" t="s">
        <v>167</v>
      </c>
      <c r="D1" s="22" t="s">
        <v>17</v>
      </c>
      <c r="E1" s="22" t="s">
        <v>18</v>
      </c>
      <c r="F1" s="22" t="s">
        <v>19</v>
      </c>
      <c r="G1" s="22" t="s">
        <v>20</v>
      </c>
      <c r="I1" s="22" t="s">
        <v>17</v>
      </c>
      <c r="J1" s="22" t="s">
        <v>18</v>
      </c>
      <c r="K1" s="22" t="s">
        <v>19</v>
      </c>
      <c r="L1" s="22" t="s">
        <v>20</v>
      </c>
    </row>
    <row r="2" spans="1:13">
      <c r="A2" s="22" t="s">
        <v>54</v>
      </c>
      <c r="B2" s="22" t="s">
        <v>73</v>
      </c>
      <c r="C2" s="22" t="s">
        <v>970</v>
      </c>
      <c r="D2" s="22">
        <v>535.21</v>
      </c>
      <c r="E2" s="22">
        <v>562.36</v>
      </c>
      <c r="F2" s="22">
        <v>590.03</v>
      </c>
      <c r="G2" s="22">
        <v>613.92999999999995</v>
      </c>
      <c r="H2" s="22" t="s">
        <v>1005</v>
      </c>
      <c r="I2" s="22">
        <v>534.96</v>
      </c>
      <c r="J2" s="22">
        <v>562.1</v>
      </c>
      <c r="K2" s="22">
        <v>589.77</v>
      </c>
      <c r="L2" s="22">
        <v>613.65</v>
      </c>
      <c r="M2" s="22" t="s">
        <v>1007</v>
      </c>
    </row>
    <row r="3" spans="1:13">
      <c r="A3" s="22" t="s">
        <v>55</v>
      </c>
      <c r="B3" s="22" t="s">
        <v>60</v>
      </c>
      <c r="C3" s="22" t="s">
        <v>965</v>
      </c>
      <c r="D3" s="22">
        <v>465</v>
      </c>
      <c r="E3" s="22">
        <v>490</v>
      </c>
      <c r="F3" s="22">
        <v>510</v>
      </c>
      <c r="G3" s="22">
        <v>530</v>
      </c>
      <c r="H3" s="22" t="s">
        <v>1006</v>
      </c>
      <c r="I3" s="22">
        <v>465</v>
      </c>
      <c r="J3" s="22">
        <v>490</v>
      </c>
      <c r="K3" s="22">
        <v>510</v>
      </c>
      <c r="L3" s="22">
        <v>530</v>
      </c>
    </row>
    <row r="4" spans="1:13">
      <c r="A4" s="22" t="s">
        <v>60</v>
      </c>
      <c r="B4" s="22" t="s">
        <v>63</v>
      </c>
      <c r="C4" s="22" t="s">
        <v>971</v>
      </c>
      <c r="D4" s="22">
        <v>73.41</v>
      </c>
      <c r="E4" s="22">
        <v>73.41</v>
      </c>
      <c r="F4" s="22">
        <v>73.41</v>
      </c>
      <c r="G4" s="22">
        <v>73.59</v>
      </c>
      <c r="I4" s="22">
        <v>73.5</v>
      </c>
      <c r="J4" s="22">
        <v>73.5</v>
      </c>
      <c r="K4" s="22">
        <v>73.5</v>
      </c>
      <c r="L4" s="22">
        <v>73.5</v>
      </c>
    </row>
    <row r="5" spans="1:13">
      <c r="A5" s="22" t="s">
        <v>73</v>
      </c>
      <c r="B5" s="22" t="s">
        <v>62</v>
      </c>
      <c r="C5" s="22" t="s">
        <v>966</v>
      </c>
      <c r="D5" s="22">
        <v>69.41</v>
      </c>
      <c r="E5" s="22">
        <v>69.400000000000006</v>
      </c>
      <c r="F5" s="22">
        <v>69.39</v>
      </c>
      <c r="G5" s="22">
        <v>69.38</v>
      </c>
      <c r="I5" s="22">
        <v>69.5</v>
      </c>
      <c r="J5" s="22">
        <v>69.5</v>
      </c>
      <c r="K5" s="22">
        <v>69.5</v>
      </c>
      <c r="L5" s="22">
        <v>69.5</v>
      </c>
    </row>
    <row r="6" spans="1:13">
      <c r="A6" s="22" t="s">
        <v>62</v>
      </c>
      <c r="B6" s="22" t="s">
        <v>66</v>
      </c>
      <c r="C6" s="22" t="s">
        <v>972</v>
      </c>
      <c r="D6" s="22">
        <v>435</v>
      </c>
      <c r="E6" s="22">
        <v>435</v>
      </c>
      <c r="F6" s="22">
        <v>435</v>
      </c>
      <c r="G6" s="22">
        <v>435</v>
      </c>
      <c r="I6" s="22">
        <v>430</v>
      </c>
      <c r="J6" s="22">
        <v>430</v>
      </c>
      <c r="K6" s="22">
        <v>430</v>
      </c>
      <c r="L6" s="22">
        <v>430</v>
      </c>
    </row>
    <row r="7" spans="1:13">
      <c r="A7" s="22" t="s">
        <v>63</v>
      </c>
      <c r="B7" s="22" t="s">
        <v>65</v>
      </c>
      <c r="C7" s="22" t="s">
        <v>354</v>
      </c>
      <c r="D7" s="22">
        <v>70.97</v>
      </c>
      <c r="E7" s="22">
        <v>70.989999999999995</v>
      </c>
      <c r="F7" s="22">
        <v>71.099999999999994</v>
      </c>
      <c r="G7" s="22">
        <v>71.02</v>
      </c>
      <c r="I7" s="22">
        <v>70</v>
      </c>
      <c r="J7" s="22">
        <v>70</v>
      </c>
      <c r="K7" s="22">
        <v>70</v>
      </c>
      <c r="L7" s="22">
        <v>70</v>
      </c>
    </row>
    <row r="8" spans="1:13">
      <c r="A8" s="22" t="s">
        <v>64</v>
      </c>
      <c r="B8" s="22" t="s">
        <v>56</v>
      </c>
      <c r="C8" s="22" t="s">
        <v>56</v>
      </c>
      <c r="D8" s="35">
        <v>1027.83</v>
      </c>
      <c r="E8" s="35">
        <v>1056.9100000000001</v>
      </c>
      <c r="F8" s="35">
        <v>1086.52</v>
      </c>
      <c r="G8" s="35">
        <v>1112.74</v>
      </c>
      <c r="H8" s="22" t="s">
        <v>1005</v>
      </c>
      <c r="I8" s="35">
        <v>1023.03</v>
      </c>
      <c r="J8" s="35">
        <v>1052.1199999999999</v>
      </c>
      <c r="K8" s="35">
        <v>1081.73</v>
      </c>
      <c r="L8" s="35">
        <v>1107.94</v>
      </c>
    </row>
    <row r="9" spans="1:13">
      <c r="A9" s="22" t="s">
        <v>65</v>
      </c>
      <c r="B9" s="22" t="s">
        <v>134</v>
      </c>
      <c r="C9" s="22" t="s">
        <v>973</v>
      </c>
      <c r="D9" s="22">
        <v>602.85</v>
      </c>
      <c r="E9" s="22">
        <v>631.75</v>
      </c>
      <c r="F9" s="22">
        <v>661.18</v>
      </c>
      <c r="G9" s="22">
        <v>687.25</v>
      </c>
      <c r="I9" s="27">
        <v>602.85</v>
      </c>
      <c r="J9" s="22">
        <v>631.75</v>
      </c>
      <c r="K9" s="22">
        <v>661.18</v>
      </c>
      <c r="L9" s="22">
        <v>687.25</v>
      </c>
    </row>
    <row r="10" spans="1:13">
      <c r="A10" s="22" t="s">
        <v>66</v>
      </c>
      <c r="B10" s="22" t="s">
        <v>64</v>
      </c>
      <c r="C10" s="22" t="s">
        <v>982</v>
      </c>
      <c r="D10" s="22">
        <v>116</v>
      </c>
      <c r="E10" s="22">
        <v>141</v>
      </c>
      <c r="F10" s="22">
        <v>170</v>
      </c>
      <c r="G10" s="22">
        <v>202</v>
      </c>
      <c r="I10" s="22">
        <v>116</v>
      </c>
      <c r="J10" s="22">
        <v>141</v>
      </c>
      <c r="K10" s="22">
        <v>170</v>
      </c>
      <c r="L10" s="22">
        <v>202</v>
      </c>
    </row>
    <row r="11" spans="1:13">
      <c r="A11" s="22" t="s">
        <v>56</v>
      </c>
      <c r="B11" s="22" t="s">
        <v>54</v>
      </c>
      <c r="C11" s="22" t="s">
        <v>54</v>
      </c>
      <c r="D11" s="22">
        <v>540.61</v>
      </c>
      <c r="E11" s="22">
        <v>565.62</v>
      </c>
      <c r="F11" s="22">
        <v>590.64</v>
      </c>
      <c r="G11" s="22">
        <v>620.64</v>
      </c>
      <c r="I11" s="22">
        <v>540</v>
      </c>
      <c r="J11" s="22">
        <v>565</v>
      </c>
      <c r="K11" s="22">
        <v>590</v>
      </c>
      <c r="L11" s="22">
        <v>620</v>
      </c>
    </row>
    <row r="12" spans="1:13">
      <c r="A12" s="22" t="s">
        <v>67</v>
      </c>
      <c r="B12" s="22" t="s">
        <v>55</v>
      </c>
      <c r="C12" s="22" t="s">
        <v>55</v>
      </c>
      <c r="D12" s="22">
        <v>374.13</v>
      </c>
      <c r="E12" s="22">
        <v>394.11</v>
      </c>
      <c r="F12" s="22">
        <v>414.1</v>
      </c>
      <c r="G12" s="22">
        <v>429.07</v>
      </c>
      <c r="I12" s="22">
        <v>375</v>
      </c>
      <c r="J12" s="22">
        <v>395</v>
      </c>
      <c r="K12" s="22">
        <v>415</v>
      </c>
      <c r="L12" s="22">
        <v>430</v>
      </c>
    </row>
    <row r="13" spans="1:13">
      <c r="A13" s="22" t="s">
        <v>57</v>
      </c>
      <c r="B13" s="22" t="s">
        <v>980</v>
      </c>
      <c r="C13" s="22" t="s">
        <v>974</v>
      </c>
      <c r="D13" s="22">
        <v>88.13</v>
      </c>
      <c r="E13" s="22">
        <v>88.14</v>
      </c>
      <c r="F13" s="22">
        <v>87.49</v>
      </c>
      <c r="G13" s="22">
        <v>87.49</v>
      </c>
      <c r="I13" s="22">
        <v>87.49</v>
      </c>
      <c r="J13" s="22">
        <v>87.49</v>
      </c>
      <c r="K13" s="22">
        <v>87.49</v>
      </c>
      <c r="L13" s="22">
        <v>87.49</v>
      </c>
    </row>
    <row r="14" spans="1:13">
      <c r="A14" s="22" t="s">
        <v>69</v>
      </c>
      <c r="B14" s="22" t="s">
        <v>979</v>
      </c>
      <c r="C14" s="22" t="s">
        <v>975</v>
      </c>
      <c r="I14" s="22">
        <v>75.95</v>
      </c>
      <c r="J14" s="22">
        <v>75.95</v>
      </c>
      <c r="K14" s="22">
        <v>75.95</v>
      </c>
      <c r="L14" s="22">
        <v>75.95</v>
      </c>
    </row>
    <row r="15" spans="1:13">
      <c r="A15" s="22" t="s">
        <v>70</v>
      </c>
      <c r="B15" s="22" t="s">
        <v>67</v>
      </c>
      <c r="C15" s="22" t="s">
        <v>976</v>
      </c>
      <c r="D15" s="22">
        <v>45</v>
      </c>
      <c r="E15" s="22">
        <v>45</v>
      </c>
      <c r="F15" s="22">
        <v>45</v>
      </c>
      <c r="G15" s="22">
        <v>45</v>
      </c>
      <c r="I15" s="22" t="s">
        <v>1008</v>
      </c>
      <c r="J15" s="22" t="s">
        <v>1008</v>
      </c>
      <c r="K15" s="22" t="s">
        <v>1008</v>
      </c>
      <c r="L15" s="22" t="s">
        <v>1008</v>
      </c>
    </row>
    <row r="16" spans="1:13">
      <c r="A16" s="22" t="s">
        <v>71</v>
      </c>
      <c r="B16" s="22" t="s">
        <v>68</v>
      </c>
      <c r="C16" s="22" t="s">
        <v>977</v>
      </c>
      <c r="D16" s="22">
        <v>700</v>
      </c>
      <c r="E16" s="22">
        <v>700</v>
      </c>
      <c r="F16" s="22">
        <v>700</v>
      </c>
      <c r="G16" s="22">
        <v>700</v>
      </c>
      <c r="I16" s="22">
        <v>700</v>
      </c>
      <c r="J16" s="22">
        <v>700</v>
      </c>
      <c r="K16" s="22">
        <v>700</v>
      </c>
      <c r="L16" s="22">
        <v>700</v>
      </c>
    </row>
    <row r="17" spans="1:12">
      <c r="A17" s="22" t="s">
        <v>68</v>
      </c>
      <c r="B17" s="22" t="s">
        <v>163</v>
      </c>
      <c r="C17" s="22" t="s">
        <v>978</v>
      </c>
      <c r="D17" s="22">
        <v>405</v>
      </c>
      <c r="E17" s="22">
        <v>405</v>
      </c>
      <c r="F17" s="22">
        <v>405</v>
      </c>
      <c r="G17" s="22">
        <v>405</v>
      </c>
      <c r="I17" s="22">
        <v>405</v>
      </c>
      <c r="J17" s="22">
        <v>405</v>
      </c>
      <c r="K17" s="22">
        <v>405</v>
      </c>
      <c r="L17" s="22">
        <v>405</v>
      </c>
    </row>
    <row r="18" spans="1:12">
      <c r="A18" s="22" t="s">
        <v>139</v>
      </c>
      <c r="B18" s="22" t="s">
        <v>57</v>
      </c>
      <c r="C18" s="22" t="s">
        <v>57</v>
      </c>
    </row>
    <row r="19" spans="1:12">
      <c r="A19" s="22" t="s">
        <v>140</v>
      </c>
      <c r="B19" s="22" t="s">
        <v>69</v>
      </c>
      <c r="C19" s="22" t="s">
        <v>69</v>
      </c>
    </row>
    <row r="20" spans="1:12">
      <c r="B20" s="22" t="s">
        <v>70</v>
      </c>
      <c r="C20" s="22" t="s">
        <v>70</v>
      </c>
    </row>
    <row r="21" spans="1:12">
      <c r="B21" s="22" t="s">
        <v>71</v>
      </c>
      <c r="C21" s="22" t="s">
        <v>71</v>
      </c>
    </row>
    <row r="22" spans="1:12">
      <c r="B22" s="22" t="s">
        <v>68</v>
      </c>
      <c r="C22" s="22" t="s">
        <v>68</v>
      </c>
      <c r="D22" s="22">
        <v>700</v>
      </c>
      <c r="E22" s="22">
        <v>700</v>
      </c>
      <c r="F22" s="22">
        <v>700</v>
      </c>
      <c r="G22" s="22">
        <v>700</v>
      </c>
    </row>
    <row r="23" spans="1:12">
      <c r="B23" s="22" t="s">
        <v>139</v>
      </c>
      <c r="C23" s="22" t="s">
        <v>139</v>
      </c>
      <c r="D23" s="22">
        <v>47</v>
      </c>
      <c r="E23" s="22">
        <v>47</v>
      </c>
      <c r="F23" s="22">
        <v>47</v>
      </c>
      <c r="G23" s="22">
        <v>47</v>
      </c>
    </row>
    <row r="24" spans="1:12">
      <c r="B24" s="22" t="s">
        <v>140</v>
      </c>
      <c r="C24" s="22" t="s">
        <v>140</v>
      </c>
      <c r="D24" s="22">
        <v>47</v>
      </c>
      <c r="E24" s="22">
        <v>47</v>
      </c>
      <c r="F24" s="22">
        <v>47</v>
      </c>
      <c r="G24" s="22">
        <v>47</v>
      </c>
    </row>
    <row r="26" spans="1:12">
      <c r="C26" s="22" t="s">
        <v>917</v>
      </c>
      <c r="D26" s="22">
        <f>SQRT(D6^2 - D7^2)</f>
        <v>429.17159633414695</v>
      </c>
      <c r="E26" s="22">
        <f t="shared" ref="E26:G26" si="0">SQRT(E6^2 - E7^2)</f>
        <v>429.16828855356965</v>
      </c>
      <c r="F26" s="22">
        <f t="shared" si="0"/>
        <v>429.15007864382363</v>
      </c>
      <c r="G26" s="22">
        <f t="shared" si="0"/>
        <v>429.16332508731455</v>
      </c>
      <c r="I26" s="22">
        <f>SQRT(I6^2 - I7^2)</f>
        <v>424.26406871192853</v>
      </c>
    </row>
    <row r="27" spans="1:12">
      <c r="C27" s="22" t="s">
        <v>934</v>
      </c>
      <c r="D27" s="35">
        <f>(D11-D7)/TAN(D5*PI()/180)</f>
        <v>176.43252859061749</v>
      </c>
      <c r="E27" s="35">
        <f t="shared" ref="E27:G27" si="1">(E11-E7)/TAN(E5*PI()/180)</f>
        <v>185.91919413868084</v>
      </c>
      <c r="F27" s="35">
        <f t="shared" si="1"/>
        <v>195.38574223705527</v>
      </c>
      <c r="G27" s="35">
        <f t="shared" si="1"/>
        <v>206.80756408924441</v>
      </c>
      <c r="I27" s="35">
        <f>(I11-I7)/TAN(I5*PI()/180)</f>
        <v>175.72579935785819</v>
      </c>
    </row>
    <row r="28" spans="1:12">
      <c r="C28" s="22" t="s">
        <v>935</v>
      </c>
      <c r="D28" s="35">
        <f>D15/SIN(D5*PI()/180)</f>
        <v>48.070712431586628</v>
      </c>
      <c r="E28" s="35">
        <f t="shared" ref="E28:G28" si="2">E15/SIN(E5*PI()/180)</f>
        <v>48.073865263788697</v>
      </c>
      <c r="F28" s="35">
        <f t="shared" si="2"/>
        <v>48.07701997419575</v>
      </c>
      <c r="G28" s="35">
        <f t="shared" si="2"/>
        <v>48.080176563369776</v>
      </c>
      <c r="I28" s="35" t="e">
        <f>I15/SIN(I5*PI()/180)</f>
        <v>#VALUE!</v>
      </c>
    </row>
    <row r="29" spans="1:12">
      <c r="C29" s="22" t="s">
        <v>985</v>
      </c>
      <c r="D29" s="35">
        <f>D12+D27+D28</f>
        <v>598.63324102220417</v>
      </c>
      <c r="E29" s="35">
        <f t="shared" ref="E29:G29" si="3">E12+E27+E28</f>
        <v>628.10305940246951</v>
      </c>
      <c r="F29" s="35">
        <f t="shared" si="3"/>
        <v>657.56276221125108</v>
      </c>
      <c r="G29" s="35">
        <f t="shared" si="3"/>
        <v>683.95774065261412</v>
      </c>
      <c r="I29" s="35" t="e">
        <f>I12+I27+I28</f>
        <v>#VALUE!</v>
      </c>
    </row>
    <row r="30" spans="1:12">
      <c r="C30" s="22" t="s">
        <v>984</v>
      </c>
      <c r="D30" s="35">
        <f>D26+D29</f>
        <v>1027.8048373563511</v>
      </c>
      <c r="E30" s="35">
        <f t="shared" ref="E30:G30" si="4">E26+E29</f>
        <v>1057.2713479560391</v>
      </c>
      <c r="F30" s="35">
        <f t="shared" si="4"/>
        <v>1086.7128408550748</v>
      </c>
      <c r="G30" s="35">
        <f t="shared" si="4"/>
        <v>1113.1210657399288</v>
      </c>
      <c r="I30" s="35" t="e">
        <f>I26+I29</f>
        <v>#VALUE!</v>
      </c>
    </row>
    <row r="31" spans="1:12">
      <c r="F31" s="40"/>
    </row>
    <row r="36" spans="3:6">
      <c r="C36" s="22" t="s">
        <v>983</v>
      </c>
      <c r="D36" s="22" t="s">
        <v>967</v>
      </c>
      <c r="E36" s="22" t="s">
        <v>968</v>
      </c>
      <c r="F36" s="22" t="s">
        <v>969</v>
      </c>
    </row>
    <row r="41" spans="3:6">
      <c r="D41" s="41"/>
    </row>
  </sheetData>
  <phoneticPr fontId="39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2C3F-D60F-4A4C-AE1A-3F7331B57FF4}">
  <dimension ref="A1:H43"/>
  <sheetViews>
    <sheetView workbookViewId="0">
      <selection activeCell="G30" sqref="G30"/>
    </sheetView>
  </sheetViews>
  <sheetFormatPr baseColWidth="10" defaultRowHeight="16"/>
  <cols>
    <col min="1" max="1" width="23.6640625" customWidth="1"/>
    <col min="2" max="2" width="44.83203125" bestFit="1" customWidth="1"/>
  </cols>
  <sheetData>
    <row r="1" spans="1:8" ht="20">
      <c r="A1" s="22" t="s">
        <v>72</v>
      </c>
      <c r="B1" s="84" t="s">
        <v>1920</v>
      </c>
      <c r="C1" s="84" t="s">
        <v>16</v>
      </c>
      <c r="D1" s="84" t="s">
        <v>17</v>
      </c>
      <c r="E1" s="84" t="s">
        <v>18</v>
      </c>
      <c r="F1" s="84" t="s">
        <v>19</v>
      </c>
      <c r="G1" s="84" t="s">
        <v>20</v>
      </c>
    </row>
    <row r="2" spans="1:8" ht="20">
      <c r="A2" s="84" t="s">
        <v>2166</v>
      </c>
      <c r="B2" s="84" t="s">
        <v>2136</v>
      </c>
      <c r="C2" s="29">
        <v>48</v>
      </c>
      <c r="D2" s="29">
        <v>51</v>
      </c>
      <c r="E2" s="29">
        <v>54</v>
      </c>
      <c r="F2" s="29">
        <v>57</v>
      </c>
      <c r="G2" s="29">
        <v>60</v>
      </c>
    </row>
    <row r="3" spans="1:8" ht="20">
      <c r="A3" s="84" t="s">
        <v>2167</v>
      </c>
      <c r="B3" s="84" t="s">
        <v>2137</v>
      </c>
      <c r="C3" s="29">
        <v>445</v>
      </c>
      <c r="D3" s="29">
        <v>485</v>
      </c>
      <c r="E3" s="29">
        <v>515</v>
      </c>
      <c r="F3" s="29">
        <v>545</v>
      </c>
      <c r="G3" s="29">
        <v>585</v>
      </c>
    </row>
    <row r="4" spans="1:8" ht="20">
      <c r="A4" s="22" t="s">
        <v>70</v>
      </c>
      <c r="B4" s="84" t="s">
        <v>2138</v>
      </c>
      <c r="C4" s="29">
        <v>420</v>
      </c>
      <c r="D4" s="29">
        <v>420</v>
      </c>
      <c r="E4" s="29">
        <v>440</v>
      </c>
      <c r="F4" s="29">
        <v>440</v>
      </c>
      <c r="G4" s="29">
        <v>440</v>
      </c>
    </row>
    <row r="5" spans="1:8" ht="20">
      <c r="A5" s="22" t="s">
        <v>71</v>
      </c>
      <c r="B5" s="84" t="s">
        <v>2139</v>
      </c>
      <c r="C5" s="29">
        <v>80</v>
      </c>
      <c r="D5" s="29">
        <v>90</v>
      </c>
      <c r="E5" s="29">
        <v>90</v>
      </c>
      <c r="F5" s="29">
        <v>90</v>
      </c>
      <c r="G5" s="29">
        <v>100</v>
      </c>
    </row>
    <row r="6" spans="1:8" ht="20">
      <c r="A6" s="22" t="s">
        <v>69</v>
      </c>
      <c r="B6" s="84" t="s">
        <v>2140</v>
      </c>
      <c r="C6" s="29">
        <v>170</v>
      </c>
      <c r="D6" s="29">
        <v>170</v>
      </c>
      <c r="E6" s="29">
        <v>172.5</v>
      </c>
      <c r="F6" s="29">
        <v>172.5</v>
      </c>
      <c r="G6" s="29">
        <v>175</v>
      </c>
    </row>
    <row r="7" spans="1:8" ht="20">
      <c r="A7" s="84" t="s">
        <v>2165</v>
      </c>
      <c r="B7" s="84" t="s">
        <v>2141</v>
      </c>
      <c r="C7" s="29">
        <v>350</v>
      </c>
      <c r="D7" s="29">
        <v>350</v>
      </c>
      <c r="E7" s="29">
        <v>350</v>
      </c>
      <c r="F7" s="29">
        <v>350</v>
      </c>
      <c r="G7" s="29">
        <v>350</v>
      </c>
    </row>
    <row r="8" spans="1:8" ht="20">
      <c r="A8" s="22" t="s">
        <v>60</v>
      </c>
      <c r="B8" s="84" t="s">
        <v>2143</v>
      </c>
      <c r="C8" s="29">
        <v>445</v>
      </c>
      <c r="D8" s="29">
        <v>485</v>
      </c>
      <c r="E8" s="29">
        <v>515</v>
      </c>
      <c r="F8" s="29">
        <v>545</v>
      </c>
      <c r="G8" s="29">
        <v>585</v>
      </c>
      <c r="H8" s="84" t="s">
        <v>2142</v>
      </c>
    </row>
    <row r="9" spans="1:8" ht="20">
      <c r="A9" s="22" t="s">
        <v>73</v>
      </c>
      <c r="B9" s="84" t="s">
        <v>2145</v>
      </c>
      <c r="C9" s="29">
        <v>532</v>
      </c>
      <c r="D9" s="29">
        <v>549</v>
      </c>
      <c r="E9" s="29">
        <v>567</v>
      </c>
      <c r="F9" s="29">
        <v>591</v>
      </c>
      <c r="G9" s="29">
        <v>606</v>
      </c>
      <c r="H9" s="84" t="s">
        <v>2144</v>
      </c>
    </row>
    <row r="10" spans="1:8" ht="20">
      <c r="A10" s="22" t="s">
        <v>62</v>
      </c>
      <c r="B10" s="84" t="s">
        <v>2147</v>
      </c>
      <c r="C10" s="29">
        <v>70.5</v>
      </c>
      <c r="D10" s="29">
        <v>70.5</v>
      </c>
      <c r="E10" s="29">
        <v>70.5</v>
      </c>
      <c r="F10" s="29">
        <v>70.5</v>
      </c>
      <c r="G10" s="29">
        <v>70.5</v>
      </c>
      <c r="H10" s="84" t="s">
        <v>2146</v>
      </c>
    </row>
    <row r="11" spans="1:8" ht="20">
      <c r="A11" s="22" t="s">
        <v>63</v>
      </c>
      <c r="B11" s="84" t="s">
        <v>2149</v>
      </c>
      <c r="C11" s="29">
        <v>74</v>
      </c>
      <c r="D11" s="29">
        <v>73.5</v>
      </c>
      <c r="E11" s="29">
        <v>73.5</v>
      </c>
      <c r="F11" s="29">
        <v>73.5</v>
      </c>
      <c r="G11" s="29">
        <v>73.5</v>
      </c>
      <c r="H11" s="84" t="s">
        <v>2148</v>
      </c>
    </row>
    <row r="12" spans="1:8" ht="20">
      <c r="A12" s="22" t="s">
        <v>66</v>
      </c>
      <c r="B12" s="84" t="s">
        <v>2151</v>
      </c>
      <c r="C12" s="29">
        <v>425</v>
      </c>
      <c r="D12" s="29">
        <v>425</v>
      </c>
      <c r="E12" s="29">
        <v>425</v>
      </c>
      <c r="F12" s="29">
        <v>425</v>
      </c>
      <c r="G12" s="29">
        <v>425</v>
      </c>
      <c r="H12" s="84" t="s">
        <v>2150</v>
      </c>
    </row>
    <row r="13" spans="1:8" ht="20">
      <c r="A13" s="22" t="s">
        <v>65</v>
      </c>
      <c r="B13" s="84" t="s">
        <v>2153</v>
      </c>
      <c r="C13" s="29">
        <v>75</v>
      </c>
      <c r="D13" s="29">
        <v>75</v>
      </c>
      <c r="E13" s="29">
        <v>75</v>
      </c>
      <c r="F13" s="29">
        <v>75</v>
      </c>
      <c r="G13" s="29">
        <v>75</v>
      </c>
      <c r="H13" s="84" t="s">
        <v>2152</v>
      </c>
    </row>
    <row r="14" spans="1:8" ht="20">
      <c r="A14" s="22" t="s">
        <v>64</v>
      </c>
      <c r="B14" s="84" t="s">
        <v>2155</v>
      </c>
      <c r="C14" s="29">
        <v>115</v>
      </c>
      <c r="D14" s="29">
        <v>120</v>
      </c>
      <c r="E14" s="29">
        <v>130</v>
      </c>
      <c r="F14" s="29">
        <v>150</v>
      </c>
      <c r="G14" s="29">
        <v>180</v>
      </c>
      <c r="H14" s="84" t="s">
        <v>2154</v>
      </c>
    </row>
    <row r="15" spans="1:8" ht="20">
      <c r="A15" s="22" t="s">
        <v>495</v>
      </c>
      <c r="B15" s="84" t="s">
        <v>2157</v>
      </c>
      <c r="C15" s="29">
        <v>425</v>
      </c>
      <c r="D15" s="29">
        <v>425</v>
      </c>
      <c r="E15" s="29">
        <v>425</v>
      </c>
      <c r="F15" s="29">
        <v>425</v>
      </c>
      <c r="G15" s="29">
        <v>425</v>
      </c>
      <c r="H15" s="84" t="s">
        <v>2156</v>
      </c>
    </row>
    <row r="16" spans="1:8" ht="20">
      <c r="A16" s="22" t="s">
        <v>67</v>
      </c>
      <c r="B16" s="84" t="s">
        <v>2159</v>
      </c>
      <c r="C16" s="29">
        <v>50</v>
      </c>
      <c r="D16" s="29">
        <v>50</v>
      </c>
      <c r="E16" s="29">
        <v>50</v>
      </c>
      <c r="F16" s="29">
        <v>50</v>
      </c>
      <c r="G16" s="29">
        <v>50</v>
      </c>
      <c r="H16" s="84" t="s">
        <v>2158</v>
      </c>
    </row>
    <row r="17" spans="1:8" ht="20">
      <c r="A17" s="22" t="s">
        <v>56</v>
      </c>
      <c r="B17" s="84" t="s">
        <v>2161</v>
      </c>
      <c r="C17" s="29">
        <v>1016</v>
      </c>
      <c r="D17" s="29">
        <v>1028</v>
      </c>
      <c r="E17" s="29">
        <v>1046</v>
      </c>
      <c r="F17" s="29">
        <v>1068</v>
      </c>
      <c r="G17" s="29">
        <v>1088</v>
      </c>
      <c r="H17" s="84" t="s">
        <v>2160</v>
      </c>
    </row>
    <row r="18" spans="1:8" ht="20">
      <c r="A18" s="22" t="s">
        <v>54</v>
      </c>
      <c r="B18" s="84" t="s">
        <v>2163</v>
      </c>
      <c r="C18" s="29">
        <v>569</v>
      </c>
      <c r="D18" s="29">
        <v>574</v>
      </c>
      <c r="E18" s="29">
        <v>583</v>
      </c>
      <c r="F18" s="29">
        <v>611</v>
      </c>
      <c r="G18" s="29">
        <v>630</v>
      </c>
      <c r="H18" s="84" t="s">
        <v>2162</v>
      </c>
    </row>
    <row r="19" spans="1:8" ht="20">
      <c r="A19" s="22" t="s">
        <v>55</v>
      </c>
      <c r="B19" s="84" t="s">
        <v>2164</v>
      </c>
      <c r="C19" s="29">
        <v>370</v>
      </c>
      <c r="D19" s="29">
        <v>380</v>
      </c>
      <c r="E19" s="29">
        <v>395</v>
      </c>
      <c r="F19" s="29">
        <v>410</v>
      </c>
      <c r="G19" s="29">
        <v>420</v>
      </c>
      <c r="H19" s="84" t="s">
        <v>1140</v>
      </c>
    </row>
    <row r="20" spans="1:8" ht="20">
      <c r="A20" s="22" t="s">
        <v>57</v>
      </c>
      <c r="B20" s="22" t="s">
        <v>2231</v>
      </c>
    </row>
    <row r="21" spans="1:8" ht="20">
      <c r="A21" s="22" t="s">
        <v>68</v>
      </c>
      <c r="B21" s="84" t="s">
        <v>977</v>
      </c>
      <c r="C21" s="22">
        <v>700</v>
      </c>
      <c r="D21" s="22">
        <v>700</v>
      </c>
      <c r="E21" s="22">
        <v>700</v>
      </c>
      <c r="F21" s="22">
        <v>700</v>
      </c>
      <c r="G21" s="22">
        <v>700</v>
      </c>
    </row>
    <row r="22" spans="1:8" ht="20">
      <c r="A22" s="22" t="s">
        <v>139</v>
      </c>
      <c r="B22" s="84" t="s">
        <v>2168</v>
      </c>
      <c r="C22" s="22">
        <v>45</v>
      </c>
      <c r="D22" s="22">
        <v>45</v>
      </c>
      <c r="E22" s="22">
        <v>45</v>
      </c>
      <c r="F22" s="22">
        <v>45</v>
      </c>
      <c r="G22" s="22">
        <v>45</v>
      </c>
    </row>
    <row r="23" spans="1:8" ht="20">
      <c r="A23" s="22" t="s">
        <v>140</v>
      </c>
      <c r="B23" s="84" t="s">
        <v>2169</v>
      </c>
      <c r="C23" s="22">
        <v>47</v>
      </c>
      <c r="D23" s="22">
        <v>47</v>
      </c>
      <c r="E23" s="22">
        <v>47</v>
      </c>
      <c r="F23" s="22">
        <v>47</v>
      </c>
      <c r="G23" s="22">
        <v>47</v>
      </c>
    </row>
    <row r="24" spans="1:8" ht="20">
      <c r="A24" s="22" t="s">
        <v>1752</v>
      </c>
      <c r="B24" s="84" t="s">
        <v>2170</v>
      </c>
      <c r="C24" s="22">
        <v>159</v>
      </c>
      <c r="D24" s="22">
        <v>166</v>
      </c>
      <c r="E24" s="22">
        <v>173</v>
      </c>
      <c r="F24" s="22">
        <v>180</v>
      </c>
      <c r="G24" s="22">
        <v>187</v>
      </c>
    </row>
    <row r="25" spans="1:8" ht="20">
      <c r="A25" s="22" t="s">
        <v>1753</v>
      </c>
      <c r="B25" s="84" t="s">
        <v>2171</v>
      </c>
      <c r="C25" s="22">
        <v>166</v>
      </c>
      <c r="D25" s="22">
        <v>173</v>
      </c>
      <c r="E25" s="22">
        <v>180</v>
      </c>
      <c r="F25" s="22">
        <v>187</v>
      </c>
      <c r="G25" s="22">
        <v>194</v>
      </c>
    </row>
    <row r="26" spans="1:8" ht="20">
      <c r="C26" s="29"/>
      <c r="D26" s="29"/>
      <c r="E26" s="29"/>
      <c r="F26" s="29"/>
      <c r="G26" s="29"/>
    </row>
    <row r="27" spans="1:8" ht="20">
      <c r="C27" s="29"/>
      <c r="D27" s="29"/>
      <c r="E27" s="29"/>
      <c r="F27" s="29"/>
      <c r="G27" s="29"/>
    </row>
    <row r="28" spans="1:8" ht="20">
      <c r="C28" s="29"/>
      <c r="D28" s="29"/>
      <c r="E28" s="29"/>
      <c r="F28" s="29"/>
      <c r="G28" s="29"/>
    </row>
    <row r="29" spans="1:8" ht="20">
      <c r="C29" s="29"/>
      <c r="D29" s="29"/>
      <c r="E29" s="29"/>
      <c r="F29" s="29"/>
      <c r="G29" s="29"/>
    </row>
    <row r="30" spans="1:8" ht="20">
      <c r="C30" s="29"/>
      <c r="D30" s="29"/>
      <c r="E30" s="29"/>
      <c r="F30" s="29"/>
      <c r="G30" s="29"/>
    </row>
    <row r="31" spans="1:8" ht="20">
      <c r="C31" s="29"/>
      <c r="D31" s="29"/>
      <c r="E31" s="29"/>
      <c r="F31" s="29"/>
      <c r="G31" s="29"/>
    </row>
    <row r="32" spans="1:8" ht="20">
      <c r="C32" s="29"/>
      <c r="D32" s="29"/>
      <c r="E32" s="29"/>
      <c r="F32" s="29"/>
      <c r="G32" s="29"/>
    </row>
    <row r="33" spans="3:7" ht="20">
      <c r="C33" s="29"/>
      <c r="D33" s="29"/>
      <c r="E33" s="29"/>
      <c r="F33" s="29"/>
      <c r="G33" s="29"/>
    </row>
    <row r="34" spans="3:7" ht="20">
      <c r="C34" s="29"/>
      <c r="D34" s="29"/>
      <c r="E34" s="29"/>
      <c r="F34" s="29"/>
      <c r="G34" s="29"/>
    </row>
    <row r="35" spans="3:7" ht="20">
      <c r="C35" s="29"/>
      <c r="D35" s="29"/>
      <c r="E35" s="29"/>
      <c r="F35" s="29"/>
      <c r="G35" s="29"/>
    </row>
    <row r="36" spans="3:7" ht="20">
      <c r="C36" s="29"/>
      <c r="D36" s="29"/>
      <c r="E36" s="29"/>
      <c r="F36" s="29"/>
      <c r="G36" s="29"/>
    </row>
    <row r="37" spans="3:7" ht="20">
      <c r="C37" s="29"/>
      <c r="D37" s="29"/>
      <c r="E37" s="29"/>
      <c r="F37" s="29"/>
      <c r="G37" s="29"/>
    </row>
    <row r="38" spans="3:7" ht="20">
      <c r="C38" s="29"/>
      <c r="D38" s="29"/>
      <c r="E38" s="29"/>
      <c r="F38" s="29"/>
      <c r="G38" s="29"/>
    </row>
    <row r="39" spans="3:7" ht="20">
      <c r="C39" s="29"/>
      <c r="D39" s="29"/>
      <c r="E39" s="29"/>
      <c r="F39" s="29"/>
      <c r="G39" s="29"/>
    </row>
    <row r="40" spans="3:7" ht="20">
      <c r="C40" s="29"/>
      <c r="D40" s="29"/>
      <c r="E40" s="29"/>
      <c r="F40" s="29"/>
      <c r="G40" s="29"/>
    </row>
    <row r="41" spans="3:7" ht="20">
      <c r="C41" s="29"/>
      <c r="D41" s="29"/>
      <c r="E41" s="29"/>
      <c r="F41" s="29"/>
      <c r="G41" s="29"/>
    </row>
    <row r="42" spans="3:7" ht="20">
      <c r="C42" s="29"/>
      <c r="D42" s="29"/>
      <c r="E42" s="29"/>
      <c r="F42" s="29"/>
      <c r="G42" s="29"/>
    </row>
    <row r="43" spans="3:7" ht="20">
      <c r="C43" s="29"/>
      <c r="D43" s="29"/>
      <c r="E43" s="29"/>
      <c r="F43" s="29"/>
      <c r="G43" s="29"/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97463-2252-AA4C-BF9E-6685651B3914}">
  <dimension ref="A1:J29"/>
  <sheetViews>
    <sheetView workbookViewId="0">
      <selection activeCell="E25" sqref="E25"/>
    </sheetView>
  </sheetViews>
  <sheetFormatPr baseColWidth="10" defaultRowHeight="20"/>
  <cols>
    <col min="1" max="2" width="29.33203125" style="22" bestFit="1" customWidth="1"/>
    <col min="3" max="3" width="24.83203125" style="22" bestFit="1" customWidth="1"/>
    <col min="4" max="7" width="10.5" style="22" bestFit="1" customWidth="1"/>
    <col min="8" max="16384" width="10.83203125" style="22"/>
  </cols>
  <sheetData>
    <row r="1" spans="1:10">
      <c r="A1" s="22" t="s">
        <v>72</v>
      </c>
      <c r="B1" s="22" t="s">
        <v>72</v>
      </c>
      <c r="C1" s="22" t="s">
        <v>138</v>
      </c>
      <c r="D1" s="22" t="s">
        <v>1909</v>
      </c>
      <c r="E1" s="22" t="s">
        <v>1910</v>
      </c>
      <c r="F1" s="22" t="s">
        <v>1911</v>
      </c>
      <c r="G1" s="22" t="s">
        <v>1912</v>
      </c>
    </row>
    <row r="2" spans="1:10">
      <c r="A2" s="22" t="s">
        <v>54</v>
      </c>
      <c r="B2" s="22" t="s">
        <v>55</v>
      </c>
      <c r="C2" s="22" t="s">
        <v>40</v>
      </c>
      <c r="D2" s="22">
        <v>375</v>
      </c>
      <c r="E2" s="22">
        <v>400</v>
      </c>
      <c r="F2" s="22">
        <v>425</v>
      </c>
      <c r="G2" s="22">
        <v>450</v>
      </c>
      <c r="J2"/>
    </row>
    <row r="3" spans="1:10">
      <c r="A3" s="22" t="s">
        <v>55</v>
      </c>
      <c r="B3" s="22" t="s">
        <v>54</v>
      </c>
      <c r="C3" s="22" t="s">
        <v>39</v>
      </c>
      <c r="D3" s="22">
        <v>593</v>
      </c>
      <c r="E3" s="22">
        <v>598</v>
      </c>
      <c r="F3" s="22">
        <v>598</v>
      </c>
      <c r="G3" s="22">
        <v>602.70000000000005</v>
      </c>
    </row>
    <row r="4" spans="1:10">
      <c r="A4" s="22" t="s">
        <v>60</v>
      </c>
      <c r="B4" s="22" t="s">
        <v>62</v>
      </c>
      <c r="C4" s="22" t="s">
        <v>191</v>
      </c>
      <c r="D4" s="22">
        <v>69</v>
      </c>
      <c r="E4" s="22">
        <v>69</v>
      </c>
      <c r="F4" s="22">
        <v>69</v>
      </c>
      <c r="G4" s="22">
        <v>69</v>
      </c>
    </row>
    <row r="5" spans="1:10">
      <c r="A5" s="22" t="s">
        <v>73</v>
      </c>
      <c r="B5" s="22" t="s">
        <v>63</v>
      </c>
      <c r="C5" s="22" t="s">
        <v>31</v>
      </c>
      <c r="D5" s="22">
        <v>73</v>
      </c>
      <c r="E5" s="22">
        <v>73</v>
      </c>
      <c r="F5" s="22">
        <v>73</v>
      </c>
      <c r="G5" s="22">
        <v>73</v>
      </c>
    </row>
    <row r="6" spans="1:10">
      <c r="A6" s="22" t="s">
        <v>62</v>
      </c>
      <c r="B6" s="22" t="s">
        <v>60</v>
      </c>
      <c r="C6" s="22" t="s">
        <v>409</v>
      </c>
      <c r="D6" s="22">
        <v>440</v>
      </c>
      <c r="E6" s="22">
        <v>460</v>
      </c>
      <c r="F6" s="22">
        <v>480</v>
      </c>
      <c r="G6" s="22">
        <v>500</v>
      </c>
    </row>
    <row r="7" spans="1:10">
      <c r="A7" s="22" t="s">
        <v>63</v>
      </c>
      <c r="B7" s="22" t="s">
        <v>65</v>
      </c>
      <c r="C7" s="22" t="s">
        <v>184</v>
      </c>
      <c r="D7" s="22">
        <v>70</v>
      </c>
      <c r="E7" s="22">
        <v>70</v>
      </c>
      <c r="F7" s="22">
        <v>70</v>
      </c>
      <c r="G7" s="22">
        <v>70</v>
      </c>
    </row>
    <row r="8" spans="1:10">
      <c r="A8" s="22" t="s">
        <v>64</v>
      </c>
      <c r="B8" s="22" t="s">
        <v>64</v>
      </c>
      <c r="C8" s="22" t="s">
        <v>29</v>
      </c>
      <c r="D8" s="22">
        <v>180</v>
      </c>
      <c r="E8" s="22">
        <v>185</v>
      </c>
      <c r="F8" s="22">
        <v>185</v>
      </c>
      <c r="G8" s="22">
        <v>190</v>
      </c>
    </row>
    <row r="9" spans="1:10">
      <c r="A9" s="22" t="s">
        <v>65</v>
      </c>
      <c r="B9" s="22" t="s">
        <v>73</v>
      </c>
      <c r="C9" s="22" t="s">
        <v>1913</v>
      </c>
      <c r="D9" s="22">
        <v>556.4</v>
      </c>
      <c r="E9" s="22">
        <v>582.79999999999995</v>
      </c>
      <c r="F9" s="22">
        <v>607.79999999999995</v>
      </c>
      <c r="G9" s="22">
        <v>634.20000000000005</v>
      </c>
    </row>
    <row r="10" spans="1:10">
      <c r="A10" s="22" t="s">
        <v>66</v>
      </c>
      <c r="B10" s="22" t="s">
        <v>56</v>
      </c>
      <c r="C10" s="22" t="s">
        <v>36</v>
      </c>
      <c r="D10" s="22">
        <v>1051.5999999999999</v>
      </c>
      <c r="E10" s="22">
        <v>1078.4000000000001</v>
      </c>
      <c r="F10" s="22">
        <v>1103.4000000000001</v>
      </c>
      <c r="G10" s="22">
        <v>1130.2</v>
      </c>
    </row>
    <row r="11" spans="1:10">
      <c r="A11" s="22" t="s">
        <v>56</v>
      </c>
      <c r="B11" s="22" t="s">
        <v>66</v>
      </c>
      <c r="C11" s="22" t="s">
        <v>35</v>
      </c>
      <c r="D11" s="22">
        <v>430</v>
      </c>
      <c r="E11" s="22">
        <v>430</v>
      </c>
      <c r="F11" s="22">
        <v>430</v>
      </c>
      <c r="G11" s="22">
        <v>430</v>
      </c>
    </row>
    <row r="12" spans="1:10">
      <c r="A12" s="22" t="s">
        <v>67</v>
      </c>
      <c r="B12" s="22" t="s">
        <v>134</v>
      </c>
      <c r="C12" s="22" t="s">
        <v>204</v>
      </c>
      <c r="D12" s="22">
        <v>631.20000000000005</v>
      </c>
      <c r="E12" s="22">
        <v>657.8</v>
      </c>
      <c r="F12" s="22">
        <v>682.7</v>
      </c>
      <c r="G12" s="22">
        <v>709.4</v>
      </c>
    </row>
    <row r="13" spans="1:10">
      <c r="A13" s="22" t="s">
        <v>57</v>
      </c>
      <c r="B13" s="22" t="s">
        <v>495</v>
      </c>
      <c r="C13" s="22" t="s">
        <v>1914</v>
      </c>
      <c r="D13" s="22">
        <v>398</v>
      </c>
      <c r="E13" s="22">
        <v>398</v>
      </c>
      <c r="F13" s="22">
        <v>398</v>
      </c>
      <c r="G13" s="22">
        <v>398</v>
      </c>
    </row>
    <row r="14" spans="1:10">
      <c r="A14" s="22" t="s">
        <v>69</v>
      </c>
      <c r="B14" s="22" t="s">
        <v>67</v>
      </c>
      <c r="C14" s="22" t="s">
        <v>1915</v>
      </c>
      <c r="D14" s="22">
        <v>48</v>
      </c>
      <c r="E14" s="22">
        <v>48</v>
      </c>
      <c r="F14" s="22">
        <v>48</v>
      </c>
      <c r="G14" s="22">
        <v>48</v>
      </c>
    </row>
    <row r="15" spans="1:10">
      <c r="A15" s="22" t="s">
        <v>70</v>
      </c>
      <c r="B15" s="22" t="s">
        <v>57</v>
      </c>
      <c r="C15" s="22" t="s">
        <v>57</v>
      </c>
    </row>
    <row r="16" spans="1:10">
      <c r="A16" s="22" t="s">
        <v>71</v>
      </c>
      <c r="B16" s="22" t="s">
        <v>69</v>
      </c>
      <c r="C16" s="22" t="s">
        <v>69</v>
      </c>
    </row>
    <row r="17" spans="1:7">
      <c r="A17" s="22" t="s">
        <v>68</v>
      </c>
      <c r="B17" s="22" t="s">
        <v>70</v>
      </c>
      <c r="C17" s="22" t="s">
        <v>70</v>
      </c>
    </row>
    <row r="18" spans="1:7">
      <c r="A18" s="22" t="s">
        <v>139</v>
      </c>
      <c r="B18" s="22" t="s">
        <v>71</v>
      </c>
      <c r="C18" s="22" t="s">
        <v>71</v>
      </c>
    </row>
    <row r="19" spans="1:7">
      <c r="A19" s="22" t="s">
        <v>140</v>
      </c>
      <c r="B19" s="22" t="s">
        <v>68</v>
      </c>
      <c r="C19" s="22" t="s">
        <v>68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1752</v>
      </c>
      <c r="B20" s="22" t="s">
        <v>139</v>
      </c>
      <c r="C20" s="22" t="s">
        <v>139</v>
      </c>
      <c r="D20" s="22">
        <v>44</v>
      </c>
      <c r="E20" s="22">
        <v>44</v>
      </c>
      <c r="F20" s="22">
        <v>44</v>
      </c>
      <c r="G20" s="22">
        <v>44</v>
      </c>
    </row>
    <row r="21" spans="1:7">
      <c r="A21" s="22" t="s">
        <v>1753</v>
      </c>
      <c r="B21" s="22" t="s">
        <v>140</v>
      </c>
      <c r="C21" s="22" t="s">
        <v>140</v>
      </c>
      <c r="D21" s="22">
        <v>50</v>
      </c>
      <c r="E21" s="22">
        <v>50</v>
      </c>
      <c r="F21" s="22">
        <v>50</v>
      </c>
      <c r="G21" s="22">
        <v>50</v>
      </c>
    </row>
    <row r="22" spans="1:7">
      <c r="B22" s="22" t="s">
        <v>1752</v>
      </c>
      <c r="C22" s="22" t="s">
        <v>1752</v>
      </c>
      <c r="D22" s="22">
        <f>(D26*12+D27)*2.54</f>
        <v>152.4</v>
      </c>
      <c r="E22" s="22">
        <f>(E26*12+E27)*2.54</f>
        <v>162.56</v>
      </c>
      <c r="F22" s="22">
        <f t="shared" ref="F22:G22" si="0">(F26*12+F27)*2.54</f>
        <v>175.26</v>
      </c>
      <c r="G22" s="22">
        <f t="shared" si="0"/>
        <v>187.96</v>
      </c>
    </row>
    <row r="23" spans="1:7">
      <c r="B23" s="22" t="s">
        <v>1753</v>
      </c>
      <c r="C23" s="22" t="s">
        <v>1753</v>
      </c>
      <c r="D23" s="22">
        <f>(D28*12+D29)*2.54</f>
        <v>162.56</v>
      </c>
      <c r="E23" s="22">
        <f>(E28*12+E29)*2.54</f>
        <v>175.26</v>
      </c>
      <c r="F23" s="22">
        <f t="shared" ref="F23:G23" si="1">(F28*12+F29)*2.54</f>
        <v>187.96</v>
      </c>
      <c r="G23" s="22">
        <f t="shared" si="1"/>
        <v>195.58</v>
      </c>
    </row>
    <row r="26" spans="1:7">
      <c r="C26" s="22" t="s">
        <v>1916</v>
      </c>
      <c r="D26" s="22">
        <v>5</v>
      </c>
      <c r="E26" s="22">
        <v>5</v>
      </c>
      <c r="F26" s="22">
        <v>5</v>
      </c>
      <c r="G26" s="22">
        <v>6</v>
      </c>
    </row>
    <row r="27" spans="1:7">
      <c r="C27" s="22" t="s">
        <v>1917</v>
      </c>
      <c r="D27" s="22">
        <v>0</v>
      </c>
      <c r="E27" s="22">
        <v>4</v>
      </c>
      <c r="F27" s="22">
        <v>9</v>
      </c>
      <c r="G27" s="22">
        <v>2</v>
      </c>
    </row>
    <row r="28" spans="1:7">
      <c r="C28" s="22" t="s">
        <v>1918</v>
      </c>
      <c r="D28" s="22">
        <v>5</v>
      </c>
      <c r="E28" s="22">
        <v>5</v>
      </c>
      <c r="F28" s="22">
        <v>6</v>
      </c>
      <c r="G28" s="22">
        <v>6</v>
      </c>
    </row>
    <row r="29" spans="1:7">
      <c r="C29" s="22" t="s">
        <v>1919</v>
      </c>
      <c r="D29" s="22">
        <v>4</v>
      </c>
      <c r="E29" s="22">
        <v>9</v>
      </c>
      <c r="F29" s="22">
        <v>2</v>
      </c>
      <c r="G29" s="22">
        <v>5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7657-0E08-DA4C-9821-255D145E6476}">
  <dimension ref="A1:G35"/>
  <sheetViews>
    <sheetView workbookViewId="0">
      <selection activeCell="C44" sqref="C44"/>
    </sheetView>
  </sheetViews>
  <sheetFormatPr baseColWidth="10" defaultRowHeight="20"/>
  <cols>
    <col min="1" max="2" width="29.33203125" style="22" bestFit="1" customWidth="1"/>
    <col min="3" max="3" width="21.5" style="22" bestFit="1" customWidth="1"/>
    <col min="4" max="6" width="11.1640625" style="22" bestFit="1" customWidth="1"/>
    <col min="7" max="7" width="13.33203125" style="22" bestFit="1" customWidth="1"/>
    <col min="8" max="16384" width="10.83203125" style="22"/>
  </cols>
  <sheetData>
    <row r="1" spans="1:7">
      <c r="A1" s="22" t="s">
        <v>72</v>
      </c>
      <c r="B1" s="22" t="s">
        <v>72</v>
      </c>
      <c r="C1" s="22" t="s">
        <v>141</v>
      </c>
      <c r="D1" s="22" t="str">
        <f>D22</f>
        <v>Small</v>
      </c>
      <c r="E1" s="22" t="str">
        <f t="shared" ref="E1:G1" si="0">E22</f>
        <v>Medium</v>
      </c>
      <c r="F1" s="22" t="str">
        <f t="shared" si="0"/>
        <v>Large</v>
      </c>
      <c r="G1" s="22" t="str">
        <f t="shared" si="0"/>
        <v>Extra-Large</v>
      </c>
    </row>
    <row r="2" spans="1:7">
      <c r="A2" s="22" t="s">
        <v>54</v>
      </c>
      <c r="B2" s="22" t="s">
        <v>60</v>
      </c>
      <c r="C2" s="22" t="str">
        <f>C23</f>
        <v>Frame Seat Tube</v>
      </c>
      <c r="D2" s="22">
        <f>VALUE(LEFT(D23,3))</f>
        <v>430</v>
      </c>
      <c r="E2" s="22">
        <f t="shared" ref="E2:G2" si="1">VALUE(LEFT(E23,3))</f>
        <v>460</v>
      </c>
      <c r="F2" s="22">
        <f t="shared" si="1"/>
        <v>490</v>
      </c>
      <c r="G2" s="22">
        <f t="shared" si="1"/>
        <v>520</v>
      </c>
    </row>
    <row r="3" spans="1:7">
      <c r="A3" s="22" t="s">
        <v>55</v>
      </c>
      <c r="B3" s="22" t="s">
        <v>73</v>
      </c>
      <c r="C3" s="22" t="str">
        <f t="shared" ref="C3:C14" si="2">C24</f>
        <v>Frame Top Tube</v>
      </c>
      <c r="D3" s="22">
        <f t="shared" ref="D3:G14" si="3">VALUE(LEFT(D24,3))</f>
        <v>541</v>
      </c>
      <c r="E3" s="22">
        <f t="shared" si="3"/>
        <v>566</v>
      </c>
      <c r="F3" s="22">
        <f t="shared" si="3"/>
        <v>593</v>
      </c>
      <c r="G3" s="22">
        <f t="shared" si="3"/>
        <v>614</v>
      </c>
    </row>
    <row r="4" spans="1:7">
      <c r="A4" s="22" t="s">
        <v>60</v>
      </c>
      <c r="B4" s="22" t="s">
        <v>55</v>
      </c>
      <c r="C4" s="22" t="str">
        <f t="shared" si="2"/>
        <v>Frame Reach</v>
      </c>
      <c r="D4" s="22">
        <f t="shared" si="3"/>
        <v>355</v>
      </c>
      <c r="E4" s="22">
        <f t="shared" si="3"/>
        <v>375</v>
      </c>
      <c r="F4" s="22">
        <f t="shared" si="3"/>
        <v>395</v>
      </c>
      <c r="G4" s="22">
        <f t="shared" si="3"/>
        <v>410</v>
      </c>
    </row>
    <row r="5" spans="1:7">
      <c r="A5" s="22" t="s">
        <v>73</v>
      </c>
      <c r="B5" s="22" t="s">
        <v>54</v>
      </c>
      <c r="C5" s="22" t="str">
        <f t="shared" si="2"/>
        <v>Frame Stack</v>
      </c>
      <c r="D5" s="22">
        <f t="shared" si="3"/>
        <v>589</v>
      </c>
      <c r="E5" s="22">
        <f t="shared" si="3"/>
        <v>608</v>
      </c>
      <c r="F5" s="22">
        <f t="shared" si="3"/>
        <v>627</v>
      </c>
      <c r="G5" s="22">
        <f t="shared" si="3"/>
        <v>646</v>
      </c>
    </row>
    <row r="6" spans="1:7">
      <c r="A6" s="22" t="s">
        <v>62</v>
      </c>
      <c r="B6" s="22" t="s">
        <v>64</v>
      </c>
      <c r="C6" s="22" t="str">
        <f t="shared" si="2"/>
        <v>Frame Head Tube</v>
      </c>
      <c r="D6" s="22">
        <f t="shared" si="3"/>
        <v>120</v>
      </c>
      <c r="E6" s="22">
        <f t="shared" si="3"/>
        <v>140</v>
      </c>
      <c r="F6" s="22">
        <f t="shared" si="3"/>
        <v>160</v>
      </c>
      <c r="G6" s="22">
        <f t="shared" si="3"/>
        <v>180</v>
      </c>
    </row>
    <row r="7" spans="1:7">
      <c r="A7" s="22" t="s">
        <v>63</v>
      </c>
      <c r="B7" s="22" t="s">
        <v>62</v>
      </c>
      <c r="C7" s="22" t="str">
        <f t="shared" si="2"/>
        <v>Frame Head Angle</v>
      </c>
      <c r="D7" s="22">
        <f>VALUE(LEFT(D28,2))</f>
        <v>71</v>
      </c>
      <c r="E7" s="22">
        <f t="shared" ref="E7:G7" si="4">VALUE(LEFT(E28,2))</f>
        <v>71</v>
      </c>
      <c r="F7" s="22">
        <f t="shared" si="4"/>
        <v>71</v>
      </c>
      <c r="G7" s="22">
        <f t="shared" si="4"/>
        <v>71</v>
      </c>
    </row>
    <row r="8" spans="1:7">
      <c r="A8" s="22" t="s">
        <v>64</v>
      </c>
      <c r="B8" s="22" t="s">
        <v>63</v>
      </c>
      <c r="C8" s="22" t="str">
        <f t="shared" si="2"/>
        <v>Frame Seat Angle</v>
      </c>
      <c r="D8" s="22">
        <f>VALUE(LEFT(D29,4))</f>
        <v>72.5</v>
      </c>
      <c r="E8" s="22">
        <f t="shared" ref="E8:G8" si="5">VALUE(LEFT(E29,4))</f>
        <v>72.5</v>
      </c>
      <c r="F8" s="22">
        <f t="shared" si="5"/>
        <v>72.5</v>
      </c>
      <c r="G8" s="22">
        <f t="shared" si="5"/>
        <v>72.5</v>
      </c>
    </row>
    <row r="9" spans="1:7">
      <c r="A9" s="22" t="s">
        <v>65</v>
      </c>
      <c r="B9" s="22" t="s">
        <v>65</v>
      </c>
      <c r="C9" s="22" t="str">
        <f t="shared" si="2"/>
        <v>Frame BB Drop</v>
      </c>
      <c r="D9" s="22">
        <f>VALUE(LEFT(D30,2))</f>
        <v>73</v>
      </c>
      <c r="E9" s="22">
        <f t="shared" ref="E9:G9" si="6">VALUE(LEFT(E30,2))</f>
        <v>73</v>
      </c>
      <c r="F9" s="22">
        <f t="shared" si="6"/>
        <v>73</v>
      </c>
      <c r="G9" s="22">
        <f t="shared" si="6"/>
        <v>73</v>
      </c>
    </row>
    <row r="10" spans="1:7">
      <c r="A10" s="22" t="s">
        <v>66</v>
      </c>
      <c r="B10" s="22" t="s">
        <v>56</v>
      </c>
      <c r="C10" s="22" t="str">
        <f t="shared" si="2"/>
        <v>Frame Wheel Base</v>
      </c>
      <c r="D10" s="22">
        <f>VALUE(LEFT(D31,4))</f>
        <v>1030</v>
      </c>
      <c r="E10" s="22">
        <f t="shared" ref="E10:G10" si="7">VALUE(LEFT(E31,4))</f>
        <v>1056</v>
      </c>
      <c r="F10" s="22">
        <f t="shared" si="7"/>
        <v>1083</v>
      </c>
      <c r="G10" s="22">
        <f t="shared" si="7"/>
        <v>1104</v>
      </c>
    </row>
    <row r="11" spans="1:7">
      <c r="A11" s="22" t="s">
        <v>56</v>
      </c>
      <c r="B11" s="22" t="s">
        <v>67</v>
      </c>
      <c r="C11" s="22" t="str">
        <f t="shared" si="2"/>
        <v>Fork Offset</v>
      </c>
      <c r="D11" s="22">
        <f>VALUE(LEFT(D32,2))</f>
        <v>55</v>
      </c>
      <c r="E11" s="22">
        <f t="shared" ref="E11:G11" si="8">VALUE(LEFT(E32,2))</f>
        <v>55</v>
      </c>
      <c r="F11" s="22">
        <f t="shared" si="8"/>
        <v>55</v>
      </c>
      <c r="G11" s="22">
        <f t="shared" si="8"/>
        <v>55</v>
      </c>
    </row>
    <row r="12" spans="1:7">
      <c r="A12" s="22" t="s">
        <v>67</v>
      </c>
      <c r="B12" s="22" t="s">
        <v>57</v>
      </c>
      <c r="C12" s="22" t="str">
        <f t="shared" si="2"/>
        <v>Standover</v>
      </c>
      <c r="D12" s="22">
        <f t="shared" si="3"/>
        <v>775</v>
      </c>
      <c r="E12" s="22">
        <f t="shared" si="3"/>
        <v>796</v>
      </c>
      <c r="F12" s="22">
        <f t="shared" si="3"/>
        <v>830</v>
      </c>
      <c r="G12" s="22">
        <f t="shared" si="3"/>
        <v>839</v>
      </c>
    </row>
    <row r="13" spans="1:7">
      <c r="A13" s="22" t="s">
        <v>57</v>
      </c>
      <c r="B13" s="22" t="s">
        <v>71</v>
      </c>
      <c r="C13" s="22" t="str">
        <f t="shared" si="2"/>
        <v>Stem Length</v>
      </c>
      <c r="D13" s="22">
        <f t="shared" si="3"/>
        <v>100</v>
      </c>
      <c r="E13" s="22">
        <f t="shared" si="3"/>
        <v>100</v>
      </c>
      <c r="F13" s="22">
        <f t="shared" si="3"/>
        <v>100</v>
      </c>
      <c r="G13" s="22">
        <f t="shared" si="3"/>
        <v>100</v>
      </c>
    </row>
    <row r="14" spans="1:7">
      <c r="A14" s="22" t="s">
        <v>69</v>
      </c>
      <c r="B14" s="22" t="s">
        <v>70</v>
      </c>
      <c r="C14" s="22" t="str">
        <f t="shared" si="2"/>
        <v>Handle Bar Width</v>
      </c>
      <c r="D14" s="22">
        <f t="shared" si="3"/>
        <v>440</v>
      </c>
      <c r="E14" s="22">
        <f t="shared" si="3"/>
        <v>440</v>
      </c>
      <c r="F14" s="22">
        <f t="shared" si="3"/>
        <v>460</v>
      </c>
      <c r="G14" s="22">
        <f t="shared" si="3"/>
        <v>480</v>
      </c>
    </row>
    <row r="15" spans="1:7">
      <c r="A15" s="22" t="s">
        <v>70</v>
      </c>
      <c r="B15" s="22" t="s">
        <v>66</v>
      </c>
      <c r="C15" s="22" t="s">
        <v>1269</v>
      </c>
    </row>
    <row r="16" spans="1:7">
      <c r="A16" s="22" t="s">
        <v>71</v>
      </c>
      <c r="B16" s="22" t="s">
        <v>69</v>
      </c>
      <c r="C16" s="22" t="s">
        <v>69</v>
      </c>
    </row>
    <row r="17" spans="1:7">
      <c r="A17" s="22" t="s">
        <v>68</v>
      </c>
      <c r="B17" s="22" t="s">
        <v>68</v>
      </c>
      <c r="C17" s="22" t="s">
        <v>68</v>
      </c>
      <c r="D17" s="22">
        <v>700</v>
      </c>
      <c r="E17" s="22">
        <v>700</v>
      </c>
      <c r="F17" s="22">
        <v>700</v>
      </c>
      <c r="G17" s="22">
        <v>700</v>
      </c>
    </row>
    <row r="18" spans="1:7">
      <c r="A18" s="22" t="s">
        <v>139</v>
      </c>
      <c r="B18" s="22" t="s">
        <v>139</v>
      </c>
      <c r="C18" s="22" t="s">
        <v>139</v>
      </c>
      <c r="D18" s="22">
        <f>2.1*25.4</f>
        <v>53.339999999999996</v>
      </c>
      <c r="E18" s="22">
        <f t="shared" ref="E18:G18" si="9">2.1*25.4</f>
        <v>53.339999999999996</v>
      </c>
      <c r="F18" s="22">
        <f t="shared" si="9"/>
        <v>53.339999999999996</v>
      </c>
      <c r="G18" s="22">
        <f t="shared" si="9"/>
        <v>53.339999999999996</v>
      </c>
    </row>
    <row r="19" spans="1:7">
      <c r="A19" s="22" t="s">
        <v>140</v>
      </c>
      <c r="B19" s="22" t="s">
        <v>140</v>
      </c>
      <c r="C19" s="22" t="s">
        <v>140</v>
      </c>
      <c r="D19" s="22">
        <f>2.2*25.4</f>
        <v>55.88</v>
      </c>
      <c r="E19" s="22">
        <f t="shared" ref="E19:G19" si="10">2.2*25.4</f>
        <v>55.88</v>
      </c>
      <c r="F19" s="22">
        <f t="shared" si="10"/>
        <v>55.88</v>
      </c>
      <c r="G19" s="22">
        <f t="shared" si="10"/>
        <v>55.88</v>
      </c>
    </row>
    <row r="22" spans="1:7">
      <c r="D22" s="22" t="s">
        <v>220</v>
      </c>
      <c r="E22" s="22" t="s">
        <v>221</v>
      </c>
      <c r="F22" s="22" t="s">
        <v>223</v>
      </c>
      <c r="G22" s="22" t="s">
        <v>1268</v>
      </c>
    </row>
    <row r="23" spans="1:7">
      <c r="C23" s="22" t="s">
        <v>1237</v>
      </c>
      <c r="D23" s="22" t="s">
        <v>237</v>
      </c>
      <c r="E23" s="22" t="s">
        <v>238</v>
      </c>
      <c r="F23" s="22" t="s">
        <v>239</v>
      </c>
      <c r="G23" s="22" t="s">
        <v>824</v>
      </c>
    </row>
    <row r="24" spans="1:7">
      <c r="C24" s="22" t="s">
        <v>1238</v>
      </c>
      <c r="D24" s="22" t="s">
        <v>1239</v>
      </c>
      <c r="E24" s="22" t="s">
        <v>1253</v>
      </c>
      <c r="F24" s="22" t="s">
        <v>1257</v>
      </c>
      <c r="G24" s="22" t="s">
        <v>1261</v>
      </c>
    </row>
    <row r="25" spans="1:7">
      <c r="C25" s="22" t="s">
        <v>1240</v>
      </c>
      <c r="D25" s="22" t="s">
        <v>1169</v>
      </c>
      <c r="E25" s="22" t="s">
        <v>1254</v>
      </c>
      <c r="F25" s="22" t="s">
        <v>609</v>
      </c>
      <c r="G25" s="22" t="s">
        <v>1262</v>
      </c>
    </row>
    <row r="26" spans="1:7">
      <c r="C26" s="22" t="s">
        <v>1241</v>
      </c>
      <c r="D26" s="22" t="s">
        <v>1242</v>
      </c>
      <c r="E26" s="22" t="s">
        <v>1178</v>
      </c>
      <c r="F26" s="22" t="s">
        <v>631</v>
      </c>
      <c r="G26" s="22" t="s">
        <v>1263</v>
      </c>
    </row>
    <row r="27" spans="1:7">
      <c r="C27" s="22" t="s">
        <v>1243</v>
      </c>
      <c r="D27" s="22" t="s">
        <v>1030</v>
      </c>
      <c r="E27" s="22" t="s">
        <v>242</v>
      </c>
      <c r="F27" s="22" t="s">
        <v>856</v>
      </c>
      <c r="G27" s="22" t="s">
        <v>1264</v>
      </c>
    </row>
    <row r="28" spans="1:7">
      <c r="C28" s="22" t="s">
        <v>1244</v>
      </c>
      <c r="D28" s="22" t="s">
        <v>309</v>
      </c>
      <c r="E28" s="22" t="s">
        <v>309</v>
      </c>
      <c r="F28" s="22" t="s">
        <v>309</v>
      </c>
      <c r="G28" s="22" t="s">
        <v>309</v>
      </c>
    </row>
    <row r="29" spans="1:7">
      <c r="C29" s="22" t="s">
        <v>1245</v>
      </c>
      <c r="D29" s="22" t="s">
        <v>293</v>
      </c>
      <c r="E29" s="22" t="s">
        <v>293</v>
      </c>
      <c r="F29" s="22" t="s">
        <v>293</v>
      </c>
      <c r="G29" s="22" t="s">
        <v>293</v>
      </c>
    </row>
    <row r="30" spans="1:7">
      <c r="C30" s="22" t="s">
        <v>1246</v>
      </c>
      <c r="D30" s="22" t="s">
        <v>1247</v>
      </c>
      <c r="E30" s="22" t="s">
        <v>1247</v>
      </c>
      <c r="F30" s="22" t="s">
        <v>1247</v>
      </c>
      <c r="G30" s="22" t="s">
        <v>1247</v>
      </c>
    </row>
    <row r="31" spans="1:7">
      <c r="C31" s="22" t="s">
        <v>1248</v>
      </c>
      <c r="D31" s="22" t="s">
        <v>1249</v>
      </c>
      <c r="E31" s="22" t="s">
        <v>1255</v>
      </c>
      <c r="F31" s="22" t="s">
        <v>1258</v>
      </c>
      <c r="G31" s="22" t="s">
        <v>1265</v>
      </c>
    </row>
    <row r="32" spans="1:7">
      <c r="C32" s="22" t="s">
        <v>247</v>
      </c>
      <c r="D32" s="22" t="s">
        <v>248</v>
      </c>
      <c r="E32" s="22" t="s">
        <v>248</v>
      </c>
      <c r="F32" s="22" t="s">
        <v>248</v>
      </c>
      <c r="G32" s="22" t="s">
        <v>248</v>
      </c>
    </row>
    <row r="33" spans="3:7">
      <c r="C33" s="22" t="s">
        <v>14</v>
      </c>
      <c r="D33" s="22" t="s">
        <v>1250</v>
      </c>
      <c r="E33" s="22" t="s">
        <v>1256</v>
      </c>
      <c r="F33" s="22" t="s">
        <v>1259</v>
      </c>
      <c r="G33" s="22" t="s">
        <v>1266</v>
      </c>
    </row>
    <row r="34" spans="3:7">
      <c r="C34" s="22" t="s">
        <v>13</v>
      </c>
      <c r="D34" s="22" t="s">
        <v>1251</v>
      </c>
      <c r="E34" s="22" t="s">
        <v>1251</v>
      </c>
      <c r="F34" s="22" t="s">
        <v>1251</v>
      </c>
      <c r="G34" s="22" t="s">
        <v>1251</v>
      </c>
    </row>
    <row r="35" spans="3:7">
      <c r="C35" s="22" t="s">
        <v>1252</v>
      </c>
      <c r="D35" s="22" t="s">
        <v>611</v>
      </c>
      <c r="E35" s="22" t="s">
        <v>611</v>
      </c>
      <c r="F35" s="22" t="s">
        <v>238</v>
      </c>
      <c r="G35" s="22" t="s">
        <v>1267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3C08-CC97-7C4E-B9A0-4BE5569273B3}">
  <dimension ref="A1:O49"/>
  <sheetViews>
    <sheetView topLeftCell="A4" workbookViewId="0">
      <selection activeCell="A22" sqref="A22:H25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2115</v>
      </c>
      <c r="C1" s="22" t="s">
        <v>16</v>
      </c>
      <c r="D1" s="22" t="s">
        <v>17</v>
      </c>
      <c r="E1" s="22" t="s">
        <v>18</v>
      </c>
      <c r="F1" s="22" t="s">
        <v>1715</v>
      </c>
      <c r="G1" s="22" t="s">
        <v>19</v>
      </c>
      <c r="H1" s="22" t="s">
        <v>20</v>
      </c>
    </row>
    <row r="2" spans="1:8">
      <c r="A2" s="22" t="s">
        <v>60</v>
      </c>
      <c r="B2" s="22" t="s">
        <v>2083</v>
      </c>
      <c r="C2" s="22">
        <f>C29</f>
        <v>430</v>
      </c>
      <c r="D2" s="22">
        <f t="shared" ref="D2:H3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C30</f>
        <v>74</v>
      </c>
      <c r="D3" s="22">
        <f t="shared" si="0"/>
        <v>73.5</v>
      </c>
      <c r="E3" s="22">
        <f t="shared" si="0"/>
        <v>73.5</v>
      </c>
      <c r="F3" s="22">
        <f t="shared" si="0"/>
        <v>73</v>
      </c>
      <c r="G3" s="22">
        <f t="shared" si="0"/>
        <v>73</v>
      </c>
      <c r="H3" s="22">
        <f t="shared" si="0"/>
        <v>73</v>
      </c>
    </row>
    <row r="4" spans="1:8">
      <c r="A4" s="22" t="s">
        <v>73</v>
      </c>
      <c r="B4" s="22" t="s">
        <v>2084</v>
      </c>
      <c r="C4" s="22">
        <f>C31</f>
        <v>540</v>
      </c>
      <c r="D4" s="22">
        <f t="shared" ref="D4:H6" si="1">D31</f>
        <v>550</v>
      </c>
      <c r="E4" s="22">
        <f t="shared" si="1"/>
        <v>560</v>
      </c>
      <c r="F4" s="22">
        <f t="shared" si="1"/>
        <v>575</v>
      </c>
      <c r="G4" s="22">
        <f t="shared" si="1"/>
        <v>585</v>
      </c>
      <c r="H4" s="22">
        <f t="shared" si="1"/>
        <v>600</v>
      </c>
    </row>
    <row r="5" spans="1:8">
      <c r="A5" s="22" t="s">
        <v>64</v>
      </c>
      <c r="B5" s="22" t="s">
        <v>2085</v>
      </c>
      <c r="C5" s="22">
        <f>C32</f>
        <v>125</v>
      </c>
      <c r="D5" s="22">
        <f t="shared" si="1"/>
        <v>135</v>
      </c>
      <c r="E5" s="22">
        <f t="shared" si="1"/>
        <v>150</v>
      </c>
      <c r="F5" s="22">
        <f t="shared" si="1"/>
        <v>165</v>
      </c>
      <c r="G5" s="22">
        <f t="shared" si="1"/>
        <v>180</v>
      </c>
      <c r="H5" s="22">
        <f t="shared" si="1"/>
        <v>195</v>
      </c>
    </row>
    <row r="6" spans="1:8">
      <c r="A6" s="22" t="s">
        <v>62</v>
      </c>
      <c r="B6" s="22" t="s">
        <v>34</v>
      </c>
      <c r="C6" s="22">
        <f>C33</f>
        <v>70</v>
      </c>
      <c r="D6" s="22">
        <f t="shared" si="1"/>
        <v>71</v>
      </c>
      <c r="E6" s="22">
        <f t="shared" si="1"/>
        <v>71.5</v>
      </c>
      <c r="F6" s="22">
        <f t="shared" si="1"/>
        <v>72</v>
      </c>
      <c r="G6" s="22">
        <f t="shared" si="1"/>
        <v>72</v>
      </c>
      <c r="H6" s="22">
        <f t="shared" si="1"/>
        <v>72</v>
      </c>
    </row>
    <row r="7" spans="1:8">
      <c r="A7" s="22" t="s">
        <v>67</v>
      </c>
      <c r="B7" s="22" t="s">
        <v>2086</v>
      </c>
      <c r="C7" s="22">
        <f t="shared" ref="C7:H7" si="2">C34</f>
        <v>50</v>
      </c>
      <c r="D7" s="22">
        <f t="shared" si="2"/>
        <v>50</v>
      </c>
      <c r="E7" s="22">
        <f t="shared" si="2"/>
        <v>50</v>
      </c>
      <c r="F7" s="22">
        <f t="shared" si="2"/>
        <v>50</v>
      </c>
      <c r="G7" s="22">
        <f t="shared" si="2"/>
        <v>50</v>
      </c>
      <c r="H7" s="22">
        <f t="shared" si="2"/>
        <v>50</v>
      </c>
    </row>
    <row r="8" spans="1:8">
      <c r="A8" s="22" t="s">
        <v>135</v>
      </c>
      <c r="B8" s="22" t="s">
        <v>2087</v>
      </c>
      <c r="C8" s="22">
        <f>VALUE(MID(C35,6,2))</f>
        <v>82</v>
      </c>
      <c r="D8" s="22">
        <f t="shared" ref="D8:H8" si="3">VALUE(MID(D35,6,2))</f>
        <v>75</v>
      </c>
      <c r="E8" s="22">
        <f t="shared" si="3"/>
        <v>72</v>
      </c>
      <c r="F8" s="22">
        <f t="shared" si="3"/>
        <v>68</v>
      </c>
      <c r="G8" s="22">
        <f t="shared" si="3"/>
        <v>68</v>
      </c>
      <c r="H8" s="22">
        <f t="shared" si="3"/>
        <v>68</v>
      </c>
    </row>
    <row r="9" spans="1:8">
      <c r="A9" s="22" t="s">
        <v>56</v>
      </c>
      <c r="B9" s="22" t="s">
        <v>2092</v>
      </c>
      <c r="C9" s="22">
        <f t="shared" ref="C9:H9" si="4">VALUE(MID(C36,8,5))</f>
        <v>1034</v>
      </c>
      <c r="D9" s="22">
        <f t="shared" si="4"/>
        <v>1030</v>
      </c>
      <c r="E9" s="22">
        <f t="shared" si="4"/>
        <v>1036</v>
      </c>
      <c r="F9" s="22">
        <f t="shared" si="4"/>
        <v>1041</v>
      </c>
      <c r="G9" s="22">
        <f t="shared" si="4"/>
        <v>1051</v>
      </c>
      <c r="H9" s="22">
        <f t="shared" si="4"/>
        <v>1066</v>
      </c>
    </row>
    <row r="10" spans="1:8">
      <c r="A10" s="22" t="s">
        <v>66</v>
      </c>
      <c r="B10" s="22" t="s">
        <v>2099</v>
      </c>
      <c r="C10" s="22">
        <f>VALUE(MID(C37,7,5))</f>
        <v>435</v>
      </c>
      <c r="D10" s="22">
        <f t="shared" ref="D10:H10" si="5">VALUE(MID(D37,7,5))</f>
        <v>435</v>
      </c>
      <c r="E10" s="22">
        <f t="shared" si="5"/>
        <v>435</v>
      </c>
      <c r="F10" s="22">
        <f t="shared" si="5"/>
        <v>435</v>
      </c>
      <c r="G10" s="22">
        <f t="shared" si="5"/>
        <v>435</v>
      </c>
      <c r="H10" s="22">
        <f t="shared" si="5"/>
        <v>435</v>
      </c>
    </row>
    <row r="11" spans="1:8">
      <c r="A11" s="22" t="s">
        <v>65</v>
      </c>
      <c r="B11" s="22" t="s">
        <v>2101</v>
      </c>
      <c r="C11" s="22">
        <v>69</v>
      </c>
      <c r="D11" s="22">
        <v>69</v>
      </c>
      <c r="E11" s="22">
        <v>69</v>
      </c>
      <c r="F11" s="22">
        <v>69</v>
      </c>
      <c r="G11" s="22">
        <v>69</v>
      </c>
      <c r="H11" s="22">
        <v>69</v>
      </c>
    </row>
    <row r="12" spans="1:8">
      <c r="A12" s="22" t="s">
        <v>54</v>
      </c>
      <c r="B12" s="22" t="s">
        <v>2103</v>
      </c>
      <c r="C12" s="22">
        <f t="shared" ref="C12:H13" si="6">C39</f>
        <v>556</v>
      </c>
      <c r="D12" s="22">
        <f t="shared" si="6"/>
        <v>570</v>
      </c>
      <c r="E12" s="22">
        <f t="shared" si="6"/>
        <v>586</v>
      </c>
      <c r="F12" s="22">
        <f t="shared" si="6"/>
        <v>602</v>
      </c>
      <c r="G12" s="22">
        <f t="shared" si="6"/>
        <v>616</v>
      </c>
      <c r="H12" s="22">
        <f t="shared" si="6"/>
        <v>630</v>
      </c>
    </row>
    <row r="13" spans="1:8">
      <c r="A13" s="22" t="s">
        <v>55</v>
      </c>
      <c r="B13" s="22" t="s">
        <v>2104</v>
      </c>
      <c r="C13" s="22">
        <f t="shared" si="6"/>
        <v>381</v>
      </c>
      <c r="D13" s="22">
        <f t="shared" si="6"/>
        <v>381</v>
      </c>
      <c r="E13" s="22">
        <f t="shared" si="6"/>
        <v>387</v>
      </c>
      <c r="F13" s="22">
        <f t="shared" si="6"/>
        <v>391</v>
      </c>
      <c r="G13" s="22">
        <f t="shared" si="6"/>
        <v>397</v>
      </c>
      <c r="H13" s="22">
        <f t="shared" si="6"/>
        <v>407</v>
      </c>
    </row>
    <row r="14" spans="1:8">
      <c r="A14" s="22" t="s">
        <v>57</v>
      </c>
      <c r="B14" s="22" t="s">
        <v>2105</v>
      </c>
      <c r="C14" s="22">
        <f>VALUE(MID(C41,7,5))</f>
        <v>731</v>
      </c>
      <c r="D14" s="22">
        <f t="shared" ref="D14:H14" si="7">VALUE(MID(D41,7,5))</f>
        <v>747</v>
      </c>
      <c r="E14" s="22">
        <f t="shared" si="7"/>
        <v>764</v>
      </c>
      <c r="F14" s="22">
        <f t="shared" si="7"/>
        <v>780</v>
      </c>
      <c r="G14" s="22">
        <f t="shared" si="7"/>
        <v>797</v>
      </c>
      <c r="H14" s="22">
        <f t="shared" si="7"/>
        <v>814</v>
      </c>
    </row>
    <row r="15" spans="1:8">
      <c r="A15" s="22" t="s">
        <v>70</v>
      </c>
      <c r="B15" s="22" t="s">
        <v>2112</v>
      </c>
      <c r="C15" s="22">
        <f t="shared" ref="C15:H17" si="8">C42</f>
        <v>420</v>
      </c>
      <c r="D15" s="22">
        <f t="shared" si="8"/>
        <v>420</v>
      </c>
      <c r="E15" s="22">
        <f t="shared" si="8"/>
        <v>440</v>
      </c>
      <c r="F15" s="22">
        <f t="shared" si="8"/>
        <v>440</v>
      </c>
      <c r="G15" s="22">
        <f t="shared" si="8"/>
        <v>460</v>
      </c>
      <c r="H15" s="22">
        <f t="shared" si="8"/>
        <v>460</v>
      </c>
    </row>
    <row r="16" spans="1:8">
      <c r="A16" s="22" t="s">
        <v>71</v>
      </c>
      <c r="B16" s="22" t="s">
        <v>2113</v>
      </c>
      <c r="C16" s="22">
        <f t="shared" si="8"/>
        <v>50</v>
      </c>
      <c r="D16" s="22">
        <f t="shared" si="8"/>
        <v>60</v>
      </c>
      <c r="E16" s="22">
        <f t="shared" si="8"/>
        <v>70</v>
      </c>
      <c r="F16" s="22">
        <f t="shared" si="8"/>
        <v>80</v>
      </c>
      <c r="G16" s="22">
        <f t="shared" si="8"/>
        <v>80</v>
      </c>
      <c r="H16" s="22">
        <f t="shared" si="8"/>
        <v>90</v>
      </c>
    </row>
    <row r="17" spans="1:15">
      <c r="A17" s="22" t="s">
        <v>69</v>
      </c>
      <c r="B17" s="22" t="s">
        <v>2114</v>
      </c>
      <c r="C17" s="22">
        <f t="shared" si="8"/>
        <v>170</v>
      </c>
      <c r="D17" s="22">
        <f t="shared" si="8"/>
        <v>170</v>
      </c>
      <c r="E17" s="22">
        <f t="shared" si="8"/>
        <v>172.5</v>
      </c>
      <c r="F17" s="22">
        <f t="shared" si="8"/>
        <v>172.5</v>
      </c>
      <c r="G17" s="22">
        <f t="shared" si="8"/>
        <v>175</v>
      </c>
      <c r="H17" s="22">
        <f t="shared" si="8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495</v>
      </c>
      <c r="B19" s="22" t="s">
        <v>495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</row>
    <row r="21" spans="1:15">
      <c r="A21" s="22" t="s">
        <v>140</v>
      </c>
      <c r="B21" s="22" t="s">
        <v>140</v>
      </c>
      <c r="C21" s="22">
        <v>53</v>
      </c>
      <c r="D21" s="22">
        <v>53</v>
      </c>
      <c r="E21" s="22">
        <v>53</v>
      </c>
      <c r="F21" s="22">
        <v>53</v>
      </c>
      <c r="G21" s="22">
        <v>53</v>
      </c>
      <c r="H21" s="22">
        <v>53</v>
      </c>
    </row>
    <row r="22" spans="1:15">
      <c r="A22" s="22" t="s">
        <v>1752</v>
      </c>
      <c r="B22" s="22" t="s">
        <v>1752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1753</v>
      </c>
      <c r="B23" s="22" t="s">
        <v>1753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2593</v>
      </c>
      <c r="B24" s="22" t="s">
        <v>2593</v>
      </c>
      <c r="C24" s="22">
        <f>VALUE(LEFT(C48,3))</f>
        <v>155</v>
      </c>
      <c r="D24" s="22">
        <f t="shared" ref="D24:H25" si="9">VALUE(LEFT(D48,3))</f>
        <v>159</v>
      </c>
      <c r="E24" s="22">
        <f t="shared" si="9"/>
        <v>169</v>
      </c>
      <c r="F24" s="22">
        <f t="shared" si="9"/>
        <v>174</v>
      </c>
      <c r="G24" s="22">
        <f t="shared" si="9"/>
        <v>179</v>
      </c>
      <c r="H24" s="22">
        <f t="shared" si="9"/>
        <v>189</v>
      </c>
    </row>
    <row r="25" spans="1:15">
      <c r="A25" s="22" t="s">
        <v>2594</v>
      </c>
      <c r="B25" s="22" t="s">
        <v>2594</v>
      </c>
      <c r="C25" s="22">
        <f>VALUE(LEFT(C49,3))</f>
        <v>166</v>
      </c>
      <c r="D25" s="22">
        <f t="shared" si="9"/>
        <v>171</v>
      </c>
      <c r="E25" s="22">
        <f t="shared" si="9"/>
        <v>181</v>
      </c>
      <c r="F25" s="22">
        <f t="shared" si="9"/>
        <v>186</v>
      </c>
      <c r="G25" s="22">
        <f t="shared" si="9"/>
        <v>191</v>
      </c>
      <c r="H25" s="22">
        <f t="shared" si="9"/>
        <v>200</v>
      </c>
    </row>
    <row r="27" spans="1:15">
      <c r="A27" s="22" t="s">
        <v>1152</v>
      </c>
      <c r="B27" s="22" t="s">
        <v>1152</v>
      </c>
      <c r="C27" s="22" t="s">
        <v>16</v>
      </c>
      <c r="D27" s="22" t="s">
        <v>17</v>
      </c>
      <c r="E27" s="22" t="s">
        <v>18</v>
      </c>
      <c r="F27" s="22" t="s">
        <v>1715</v>
      </c>
      <c r="G27" s="22" t="s">
        <v>19</v>
      </c>
      <c r="H27" s="22" t="s">
        <v>20</v>
      </c>
      <c r="J27" s="82"/>
      <c r="K27" s="82"/>
      <c r="L27" s="82"/>
      <c r="M27" s="82"/>
      <c r="N27" s="82"/>
      <c r="O27" s="82"/>
    </row>
    <row r="28" spans="1:15" ht="22">
      <c r="A28" s="22" t="s">
        <v>1152</v>
      </c>
      <c r="B28" s="22" t="s">
        <v>1152</v>
      </c>
      <c r="C28" s="22" t="s">
        <v>2073</v>
      </c>
      <c r="D28" s="22" t="s">
        <v>2073</v>
      </c>
      <c r="E28" s="22" t="s">
        <v>2073</v>
      </c>
      <c r="F28" s="22" t="s">
        <v>2073</v>
      </c>
      <c r="G28" s="22" t="s">
        <v>2073</v>
      </c>
      <c r="H28" s="22" t="s">
        <v>2073</v>
      </c>
      <c r="J28" s="83"/>
      <c r="K28" s="83"/>
      <c r="L28" s="83"/>
      <c r="M28" s="83"/>
      <c r="N28" s="83"/>
      <c r="O28" s="83"/>
    </row>
    <row r="29" spans="1:15" ht="22">
      <c r="A29" s="22" t="s">
        <v>1274</v>
      </c>
      <c r="B29" s="22" t="s">
        <v>2083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/>
      <c r="K29" s="83"/>
      <c r="L29" s="82"/>
      <c r="M29" s="83"/>
      <c r="N29" s="83"/>
      <c r="O29" s="83"/>
    </row>
    <row r="30" spans="1:15">
      <c r="A30" s="22" t="s">
        <v>1275</v>
      </c>
      <c r="B30" s="22" t="s">
        <v>31</v>
      </c>
      <c r="C30" s="22">
        <v>74</v>
      </c>
      <c r="D30" s="22">
        <v>73.5</v>
      </c>
      <c r="E30" s="22">
        <v>73.5</v>
      </c>
      <c r="F30" s="22">
        <v>73</v>
      </c>
      <c r="G30" s="22">
        <v>73</v>
      </c>
      <c r="H30" s="22">
        <v>73</v>
      </c>
    </row>
    <row r="31" spans="1:15">
      <c r="A31" s="22" t="s">
        <v>27</v>
      </c>
      <c r="B31" s="22" t="s">
        <v>2084</v>
      </c>
      <c r="C31" s="22">
        <v>540</v>
      </c>
      <c r="D31" s="22">
        <v>550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888</v>
      </c>
      <c r="B32" s="22" t="s">
        <v>2085</v>
      </c>
      <c r="C32" s="22">
        <v>125</v>
      </c>
      <c r="D32" s="22">
        <v>135</v>
      </c>
      <c r="E32" s="22">
        <v>150</v>
      </c>
      <c r="F32" s="22">
        <v>165</v>
      </c>
      <c r="G32" s="22">
        <v>180</v>
      </c>
      <c r="H32" s="22">
        <v>195</v>
      </c>
    </row>
    <row r="33" spans="1:8">
      <c r="A33" s="22" t="s">
        <v>30</v>
      </c>
      <c r="B33" s="22" t="s">
        <v>34</v>
      </c>
      <c r="C33" s="22">
        <v>70</v>
      </c>
      <c r="D33" s="22">
        <v>71</v>
      </c>
      <c r="E33" s="22">
        <v>71.5</v>
      </c>
      <c r="F33" s="22">
        <v>72</v>
      </c>
      <c r="G33" s="22">
        <v>72</v>
      </c>
      <c r="H33" s="22">
        <v>72</v>
      </c>
    </row>
    <row r="34" spans="1:8">
      <c r="A34" s="22" t="s">
        <v>578</v>
      </c>
      <c r="B34" s="22" t="s">
        <v>2086</v>
      </c>
      <c r="C34" s="22">
        <v>50</v>
      </c>
      <c r="D34" s="22">
        <v>50</v>
      </c>
      <c r="E34" s="22">
        <v>50</v>
      </c>
      <c r="F34" s="22">
        <v>50</v>
      </c>
      <c r="G34" s="22">
        <v>50</v>
      </c>
      <c r="H34" s="22">
        <v>50</v>
      </c>
    </row>
    <row r="35" spans="1:8">
      <c r="A35" s="22" t="s">
        <v>889</v>
      </c>
      <c r="B35" s="22" t="s">
        <v>2087</v>
      </c>
      <c r="C35" s="22" t="s">
        <v>2375</v>
      </c>
      <c r="D35" s="22" t="s">
        <v>2376</v>
      </c>
      <c r="E35" s="22" t="s">
        <v>2377</v>
      </c>
      <c r="F35" s="22" t="s">
        <v>2378</v>
      </c>
      <c r="G35" s="22" t="s">
        <v>2378</v>
      </c>
      <c r="H35" s="22" t="s">
        <v>2378</v>
      </c>
    </row>
    <row r="36" spans="1:8">
      <c r="A36" s="22" t="s">
        <v>1276</v>
      </c>
      <c r="B36" s="22" t="s">
        <v>2092</v>
      </c>
      <c r="C36" s="22" t="s">
        <v>2094</v>
      </c>
      <c r="D36" s="22" t="s">
        <v>2379</v>
      </c>
      <c r="E36" s="22" t="s">
        <v>2095</v>
      </c>
      <c r="F36" s="22" t="s">
        <v>2096</v>
      </c>
      <c r="G36" s="22" t="s">
        <v>2097</v>
      </c>
      <c r="H36" s="22" t="s">
        <v>2380</v>
      </c>
    </row>
    <row r="37" spans="1:8">
      <c r="A37" s="22" t="s">
        <v>1277</v>
      </c>
      <c r="B37" s="22" t="s">
        <v>2099</v>
      </c>
      <c r="C37" s="22" t="s">
        <v>2100</v>
      </c>
      <c r="D37" s="22" t="s">
        <v>2100</v>
      </c>
      <c r="E37" s="22" t="s">
        <v>2100</v>
      </c>
      <c r="F37" s="22" t="s">
        <v>2100</v>
      </c>
      <c r="G37" s="22" t="s">
        <v>2100</v>
      </c>
      <c r="H37" s="22" t="s">
        <v>2100</v>
      </c>
    </row>
    <row r="38" spans="1:8">
      <c r="A38" s="22" t="s">
        <v>1278</v>
      </c>
      <c r="B38" s="22" t="s">
        <v>2101</v>
      </c>
      <c r="C38" s="22" t="s">
        <v>2381</v>
      </c>
      <c r="D38" s="22" t="s">
        <v>2381</v>
      </c>
      <c r="E38" s="22" t="s">
        <v>2381</v>
      </c>
      <c r="F38" s="22" t="s">
        <v>2381</v>
      </c>
      <c r="G38" s="22" t="s">
        <v>2381</v>
      </c>
      <c r="H38" s="22" t="s">
        <v>2381</v>
      </c>
    </row>
    <row r="39" spans="1:8">
      <c r="A39" s="22" t="s">
        <v>1855</v>
      </c>
      <c r="B39" s="22" t="s">
        <v>2103</v>
      </c>
      <c r="C39" s="22">
        <v>556</v>
      </c>
      <c r="D39" s="22">
        <v>570</v>
      </c>
      <c r="E39" s="22">
        <v>586</v>
      </c>
      <c r="F39" s="22">
        <v>602</v>
      </c>
      <c r="G39" s="22">
        <v>616</v>
      </c>
      <c r="H39" s="22">
        <v>630</v>
      </c>
    </row>
    <row r="40" spans="1:8">
      <c r="A40" s="22" t="s">
        <v>19</v>
      </c>
      <c r="B40" s="22" t="s">
        <v>2104</v>
      </c>
      <c r="C40" s="22">
        <v>381</v>
      </c>
      <c r="D40" s="22">
        <v>381</v>
      </c>
      <c r="E40" s="22">
        <v>387</v>
      </c>
      <c r="F40" s="22">
        <v>391</v>
      </c>
      <c r="G40" s="22">
        <v>397</v>
      </c>
      <c r="H40" s="22">
        <v>407</v>
      </c>
    </row>
    <row r="41" spans="1:8">
      <c r="A41" s="22" t="s">
        <v>18</v>
      </c>
      <c r="B41" s="22" t="s">
        <v>2105</v>
      </c>
      <c r="C41" s="22" t="s">
        <v>2382</v>
      </c>
      <c r="D41" s="22" t="s">
        <v>2383</v>
      </c>
      <c r="E41" s="22" t="s">
        <v>2384</v>
      </c>
      <c r="F41" s="22" t="s">
        <v>2385</v>
      </c>
      <c r="G41" s="22" t="s">
        <v>2386</v>
      </c>
      <c r="H41" s="22" t="s">
        <v>2387</v>
      </c>
    </row>
    <row r="42" spans="1:8">
      <c r="A42" s="22" t="s">
        <v>1868</v>
      </c>
      <c r="B42" s="22" t="s">
        <v>2112</v>
      </c>
      <c r="C42" s="22">
        <v>420</v>
      </c>
      <c r="D42" s="22">
        <v>420</v>
      </c>
      <c r="E42" s="22">
        <v>440</v>
      </c>
      <c r="F42" s="22">
        <v>440</v>
      </c>
      <c r="G42" s="22">
        <v>460</v>
      </c>
      <c r="H42" s="22">
        <v>460</v>
      </c>
    </row>
    <row r="43" spans="1:8">
      <c r="A43" s="22" t="s">
        <v>2081</v>
      </c>
      <c r="B43" s="22" t="s">
        <v>2113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90</v>
      </c>
    </row>
    <row r="44" spans="1:8">
      <c r="A44" s="22" t="s">
        <v>887</v>
      </c>
      <c r="B44" s="22" t="s">
        <v>2114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2082</v>
      </c>
      <c r="B45" s="22" t="s">
        <v>45</v>
      </c>
      <c r="C45" s="22" t="s">
        <v>2374</v>
      </c>
      <c r="D45" s="22" t="s">
        <v>2374</v>
      </c>
      <c r="E45" s="22" t="s">
        <v>2374</v>
      </c>
      <c r="F45" s="22" t="s">
        <v>2374</v>
      </c>
      <c r="G45" s="22" t="s">
        <v>2374</v>
      </c>
      <c r="H45" s="22" t="s">
        <v>2374</v>
      </c>
    </row>
    <row r="46" spans="1:8" ht="22">
      <c r="C46" s="83"/>
      <c r="D46" s="83"/>
      <c r="E46" s="83"/>
      <c r="F46" s="83"/>
      <c r="G46" s="83"/>
      <c r="H46" s="83"/>
    </row>
    <row r="47" spans="1:8">
      <c r="C47" s="82" t="s">
        <v>16</v>
      </c>
      <c r="D47" s="82" t="s">
        <v>17</v>
      </c>
      <c r="E47" s="82" t="s">
        <v>18</v>
      </c>
      <c r="F47" s="82" t="s">
        <v>1715</v>
      </c>
      <c r="G47" s="82" t="s">
        <v>19</v>
      </c>
      <c r="H47" s="82" t="s">
        <v>20</v>
      </c>
    </row>
    <row r="48" spans="1:8" ht="22">
      <c r="C48" s="83" t="s">
        <v>2388</v>
      </c>
      <c r="D48" s="83" t="s">
        <v>2390</v>
      </c>
      <c r="E48" s="83" t="s">
        <v>2393</v>
      </c>
      <c r="F48" s="83" t="s">
        <v>2394</v>
      </c>
      <c r="G48" s="83" t="s">
        <v>2397</v>
      </c>
      <c r="H48" s="83" t="s">
        <v>2398</v>
      </c>
    </row>
    <row r="49" spans="3:8" ht="22">
      <c r="C49" s="83" t="s">
        <v>2389</v>
      </c>
      <c r="D49" s="83" t="s">
        <v>2391</v>
      </c>
      <c r="E49" s="83" t="s">
        <v>2392</v>
      </c>
      <c r="F49" s="83" t="s">
        <v>2395</v>
      </c>
      <c r="G49" s="83" t="s">
        <v>2396</v>
      </c>
      <c r="H49" s="83" t="s">
        <v>2399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0899-8730-8742-9286-83E79E1D0191}">
  <dimension ref="A1:O49"/>
  <sheetViews>
    <sheetView topLeftCell="A7" workbookViewId="0">
      <selection activeCell="C22" sqref="C22:H23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2115</v>
      </c>
      <c r="C1" s="22" t="s">
        <v>16</v>
      </c>
      <c r="D1" s="22" t="s">
        <v>17</v>
      </c>
      <c r="E1" s="22" t="s">
        <v>18</v>
      </c>
      <c r="F1" s="22" t="s">
        <v>1715</v>
      </c>
      <c r="G1" s="22" t="s">
        <v>19</v>
      </c>
      <c r="H1" s="22" t="s">
        <v>20</v>
      </c>
    </row>
    <row r="2" spans="1:8">
      <c r="A2" s="22" t="s">
        <v>60</v>
      </c>
      <c r="B2" s="22" t="s">
        <v>2083</v>
      </c>
      <c r="C2" s="22">
        <f>C29</f>
        <v>430</v>
      </c>
      <c r="D2" s="22">
        <f t="shared" ref="D2:H2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C30</f>
        <v>74</v>
      </c>
      <c r="D3" s="22">
        <f t="shared" ref="D3:H3" si="1">D30</f>
        <v>73.5</v>
      </c>
      <c r="E3" s="22">
        <f t="shared" si="1"/>
        <v>73.5</v>
      </c>
      <c r="F3" s="22">
        <f t="shared" si="1"/>
        <v>73</v>
      </c>
      <c r="G3" s="22">
        <f t="shared" si="1"/>
        <v>73</v>
      </c>
      <c r="H3" s="22">
        <f t="shared" si="1"/>
        <v>73</v>
      </c>
    </row>
    <row r="4" spans="1:8">
      <c r="A4" s="22" t="s">
        <v>73</v>
      </c>
      <c r="B4" s="22" t="s">
        <v>2084</v>
      </c>
      <c r="C4" s="22">
        <f>C31</f>
        <v>540</v>
      </c>
      <c r="D4" s="22">
        <f t="shared" ref="D4:H6" si="2">D31</f>
        <v>550</v>
      </c>
      <c r="E4" s="22">
        <f t="shared" si="2"/>
        <v>560</v>
      </c>
      <c r="F4" s="22">
        <f t="shared" si="2"/>
        <v>575</v>
      </c>
      <c r="G4" s="22">
        <f t="shared" si="2"/>
        <v>585</v>
      </c>
      <c r="H4" s="22">
        <f t="shared" si="2"/>
        <v>600</v>
      </c>
    </row>
    <row r="5" spans="1:8">
      <c r="A5" s="22" t="s">
        <v>64</v>
      </c>
      <c r="B5" s="22" t="s">
        <v>2085</v>
      </c>
      <c r="C5" s="22">
        <f>C32</f>
        <v>125</v>
      </c>
      <c r="D5" s="22">
        <f t="shared" si="2"/>
        <v>135</v>
      </c>
      <c r="E5" s="22">
        <f t="shared" si="2"/>
        <v>150</v>
      </c>
      <c r="F5" s="22">
        <f t="shared" si="2"/>
        <v>165</v>
      </c>
      <c r="G5" s="22">
        <f t="shared" si="2"/>
        <v>180</v>
      </c>
      <c r="H5" s="22">
        <f t="shared" si="2"/>
        <v>195</v>
      </c>
    </row>
    <row r="6" spans="1:8">
      <c r="A6" s="22" t="s">
        <v>62</v>
      </c>
      <c r="B6" s="22" t="s">
        <v>34</v>
      </c>
      <c r="C6" s="22">
        <f>C33</f>
        <v>70</v>
      </c>
      <c r="D6" s="22">
        <f t="shared" si="2"/>
        <v>71</v>
      </c>
      <c r="E6" s="22">
        <f t="shared" si="2"/>
        <v>71.5</v>
      </c>
      <c r="F6" s="22">
        <f t="shared" si="2"/>
        <v>72</v>
      </c>
      <c r="G6" s="22">
        <f t="shared" si="2"/>
        <v>72</v>
      </c>
      <c r="H6" s="22">
        <f t="shared" si="2"/>
        <v>72</v>
      </c>
    </row>
    <row r="7" spans="1:8">
      <c r="A7" s="22" t="s">
        <v>67</v>
      </c>
      <c r="B7" s="22" t="s">
        <v>2086</v>
      </c>
      <c r="C7" s="22">
        <f t="shared" ref="C7:H7" si="3">C34</f>
        <v>50</v>
      </c>
      <c r="D7" s="22">
        <f t="shared" si="3"/>
        <v>50</v>
      </c>
      <c r="E7" s="22">
        <f t="shared" si="3"/>
        <v>50</v>
      </c>
      <c r="F7" s="22">
        <f t="shared" si="3"/>
        <v>50</v>
      </c>
      <c r="G7" s="22">
        <f t="shared" si="3"/>
        <v>50</v>
      </c>
      <c r="H7" s="22">
        <f t="shared" si="3"/>
        <v>50</v>
      </c>
    </row>
    <row r="8" spans="1:8">
      <c r="A8" s="22" t="s">
        <v>135</v>
      </c>
      <c r="B8" s="22" t="s">
        <v>2087</v>
      </c>
      <c r="C8" s="22">
        <f>VALUE(LEFT(C35,2))</f>
        <v>78</v>
      </c>
      <c r="D8" s="22">
        <f t="shared" ref="D8:H8" si="4">VALUE(LEFT(D35,2))</f>
        <v>72</v>
      </c>
      <c r="E8" s="22">
        <f t="shared" si="4"/>
        <v>68</v>
      </c>
      <c r="F8" s="22">
        <f t="shared" si="4"/>
        <v>65</v>
      </c>
      <c r="G8" s="22">
        <f t="shared" si="4"/>
        <v>65</v>
      </c>
      <c r="H8" s="22">
        <f t="shared" si="4"/>
        <v>65</v>
      </c>
    </row>
    <row r="9" spans="1:8">
      <c r="A9" s="22" t="s">
        <v>56</v>
      </c>
      <c r="B9" s="22" t="s">
        <v>2092</v>
      </c>
      <c r="C9" s="22">
        <f>VALUE(LEFT(C36,4))</f>
        <v>1024</v>
      </c>
      <c r="D9" s="22">
        <f t="shared" ref="D9:H9" si="5">VALUE(LEFT(D36,4))</f>
        <v>1020</v>
      </c>
      <c r="E9" s="22">
        <f t="shared" si="5"/>
        <v>1026</v>
      </c>
      <c r="F9" s="22">
        <f t="shared" si="5"/>
        <v>1031</v>
      </c>
      <c r="G9" s="22">
        <f t="shared" si="5"/>
        <v>1041</v>
      </c>
      <c r="H9" s="22">
        <f t="shared" si="5"/>
        <v>1056</v>
      </c>
    </row>
    <row r="10" spans="1:8">
      <c r="A10" s="22" t="s">
        <v>66</v>
      </c>
      <c r="B10" s="22" t="s">
        <v>2099</v>
      </c>
      <c r="C10" s="22">
        <f>VALUE(LEFT(C37,3))</f>
        <v>425</v>
      </c>
      <c r="D10" s="22">
        <f t="shared" ref="D10:H10" si="6">VALUE(LEFT(D37,3))</f>
        <v>425</v>
      </c>
      <c r="E10" s="22">
        <f t="shared" si="6"/>
        <v>425</v>
      </c>
      <c r="F10" s="22">
        <f t="shared" si="6"/>
        <v>425</v>
      </c>
      <c r="G10" s="22">
        <f t="shared" si="6"/>
        <v>425</v>
      </c>
      <c r="H10" s="22">
        <f t="shared" si="6"/>
        <v>425</v>
      </c>
    </row>
    <row r="11" spans="1:8">
      <c r="A11" s="22" t="s">
        <v>65</v>
      </c>
      <c r="B11" s="22" t="s">
        <v>2101</v>
      </c>
      <c r="C11" s="22">
        <f t="shared" ref="C11:H11" si="7">VALUE(LEFT(C38,2))</f>
        <v>80</v>
      </c>
      <c r="D11" s="22">
        <f t="shared" si="7"/>
        <v>80</v>
      </c>
      <c r="E11" s="22">
        <f t="shared" si="7"/>
        <v>80</v>
      </c>
      <c r="F11" s="22">
        <f t="shared" si="7"/>
        <v>80</v>
      </c>
      <c r="G11" s="22">
        <f t="shared" si="7"/>
        <v>80</v>
      </c>
      <c r="H11" s="22">
        <f t="shared" si="7"/>
        <v>80</v>
      </c>
    </row>
    <row r="12" spans="1:8">
      <c r="A12" s="22" t="s">
        <v>54</v>
      </c>
      <c r="B12" s="22" t="s">
        <v>2103</v>
      </c>
      <c r="C12" s="22">
        <f t="shared" ref="C12:H13" si="8">C39</f>
        <v>556</v>
      </c>
      <c r="D12" s="22">
        <f t="shared" si="8"/>
        <v>570</v>
      </c>
      <c r="E12" s="22">
        <f t="shared" si="8"/>
        <v>586</v>
      </c>
      <c r="F12" s="22">
        <f t="shared" si="8"/>
        <v>602</v>
      </c>
      <c r="G12" s="22">
        <f t="shared" si="8"/>
        <v>616</v>
      </c>
      <c r="H12" s="22">
        <f t="shared" si="8"/>
        <v>630</v>
      </c>
    </row>
    <row r="13" spans="1:8">
      <c r="A13" s="22" t="s">
        <v>55</v>
      </c>
      <c r="B13" s="22" t="s">
        <v>2104</v>
      </c>
      <c r="C13" s="22">
        <f t="shared" si="8"/>
        <v>381</v>
      </c>
      <c r="D13" s="22">
        <f t="shared" si="8"/>
        <v>381</v>
      </c>
      <c r="E13" s="22">
        <f t="shared" si="8"/>
        <v>387</v>
      </c>
      <c r="F13" s="22">
        <f t="shared" si="8"/>
        <v>391</v>
      </c>
      <c r="G13" s="22">
        <f t="shared" si="8"/>
        <v>397</v>
      </c>
      <c r="H13" s="22">
        <f t="shared" si="8"/>
        <v>407</v>
      </c>
    </row>
    <row r="14" spans="1:8">
      <c r="A14" s="22" t="s">
        <v>57</v>
      </c>
      <c r="B14" s="22" t="s">
        <v>2105</v>
      </c>
      <c r="C14" s="22">
        <f>VALUE(MID(C41,7,5))</f>
        <v>731</v>
      </c>
      <c r="D14" s="22">
        <f t="shared" ref="D14:H14" si="9">VALUE(MID(D41,7,5))</f>
        <v>747</v>
      </c>
      <c r="E14" s="22">
        <f t="shared" si="9"/>
        <v>764</v>
      </c>
      <c r="F14" s="22">
        <f t="shared" si="9"/>
        <v>780</v>
      </c>
      <c r="G14" s="22">
        <f t="shared" si="9"/>
        <v>797</v>
      </c>
      <c r="H14" s="22">
        <f t="shared" si="9"/>
        <v>814</v>
      </c>
    </row>
    <row r="15" spans="1:8">
      <c r="A15" s="22" t="s">
        <v>70</v>
      </c>
      <c r="B15" s="22" t="s">
        <v>2112</v>
      </c>
      <c r="C15" s="22">
        <f t="shared" ref="C15:H17" si="10">C42</f>
        <v>420</v>
      </c>
      <c r="D15" s="22">
        <f t="shared" si="10"/>
        <v>420</v>
      </c>
      <c r="E15" s="22">
        <f t="shared" si="10"/>
        <v>440</v>
      </c>
      <c r="F15" s="22">
        <f t="shared" si="10"/>
        <v>440</v>
      </c>
      <c r="G15" s="22">
        <f t="shared" si="10"/>
        <v>460</v>
      </c>
      <c r="H15" s="22">
        <f t="shared" si="10"/>
        <v>460</v>
      </c>
    </row>
    <row r="16" spans="1:8">
      <c r="A16" s="22" t="s">
        <v>71</v>
      </c>
      <c r="B16" s="22" t="s">
        <v>2113</v>
      </c>
      <c r="C16" s="22">
        <f t="shared" si="10"/>
        <v>50</v>
      </c>
      <c r="D16" s="22">
        <f t="shared" si="10"/>
        <v>60</v>
      </c>
      <c r="E16" s="22">
        <f t="shared" si="10"/>
        <v>70</v>
      </c>
      <c r="F16" s="22">
        <f t="shared" si="10"/>
        <v>80</v>
      </c>
      <c r="G16" s="22">
        <f t="shared" si="10"/>
        <v>80</v>
      </c>
      <c r="H16" s="22">
        <f t="shared" si="10"/>
        <v>90</v>
      </c>
    </row>
    <row r="17" spans="1:15">
      <c r="A17" s="22" t="s">
        <v>69</v>
      </c>
      <c r="B17" s="22" t="s">
        <v>2114</v>
      </c>
      <c r="C17" s="22">
        <f t="shared" si="10"/>
        <v>170</v>
      </c>
      <c r="D17" s="22">
        <f t="shared" si="10"/>
        <v>170</v>
      </c>
      <c r="E17" s="22">
        <f t="shared" si="10"/>
        <v>172.5</v>
      </c>
      <c r="F17" s="22">
        <f t="shared" si="10"/>
        <v>172.5</v>
      </c>
      <c r="G17" s="22">
        <f t="shared" si="10"/>
        <v>175</v>
      </c>
      <c r="H17" s="22">
        <f t="shared" si="10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495</v>
      </c>
      <c r="B19" s="22" t="s">
        <v>495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</row>
    <row r="21" spans="1:15">
      <c r="A21" s="22" t="s">
        <v>140</v>
      </c>
      <c r="B21" s="22" t="s">
        <v>140</v>
      </c>
      <c r="C21" s="22">
        <v>42</v>
      </c>
      <c r="D21" s="22">
        <v>42</v>
      </c>
      <c r="E21" s="22">
        <v>42</v>
      </c>
      <c r="F21" s="22">
        <v>42</v>
      </c>
      <c r="G21" s="22">
        <v>42</v>
      </c>
      <c r="H21" s="22">
        <v>42</v>
      </c>
    </row>
    <row r="22" spans="1:15">
      <c r="A22" s="22" t="s">
        <v>1752</v>
      </c>
      <c r="B22" s="22" t="s">
        <v>1752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1753</v>
      </c>
      <c r="B23" s="22" t="s">
        <v>1753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2593</v>
      </c>
      <c r="B24" s="22" t="s">
        <v>2593</v>
      </c>
      <c r="C24" s="22">
        <f>VALUE(LEFT(C48,3))</f>
        <v>155</v>
      </c>
      <c r="D24" s="22">
        <f t="shared" ref="D24:H25" si="11">VALUE(LEFT(D48,3))</f>
        <v>159</v>
      </c>
      <c r="E24" s="22">
        <f t="shared" si="11"/>
        <v>169</v>
      </c>
      <c r="F24" s="22">
        <f t="shared" si="11"/>
        <v>174</v>
      </c>
      <c r="G24" s="22">
        <f t="shared" si="11"/>
        <v>179</v>
      </c>
      <c r="H24" s="22">
        <f t="shared" si="11"/>
        <v>189</v>
      </c>
    </row>
    <row r="25" spans="1:15">
      <c r="A25" s="22" t="s">
        <v>2594</v>
      </c>
      <c r="B25" s="22" t="s">
        <v>2594</v>
      </c>
      <c r="C25" s="22">
        <f>VALUE(LEFT(C49,3))</f>
        <v>166</v>
      </c>
      <c r="D25" s="22">
        <f t="shared" si="11"/>
        <v>171</v>
      </c>
      <c r="E25" s="22">
        <f t="shared" si="11"/>
        <v>181</v>
      </c>
      <c r="F25" s="22">
        <f t="shared" si="11"/>
        <v>186</v>
      </c>
      <c r="G25" s="22">
        <f t="shared" si="11"/>
        <v>191</v>
      </c>
      <c r="H25" s="22">
        <f t="shared" si="11"/>
        <v>200</v>
      </c>
    </row>
    <row r="27" spans="1:15">
      <c r="A27" s="22" t="s">
        <v>1152</v>
      </c>
      <c r="B27" s="22" t="s">
        <v>1152</v>
      </c>
      <c r="C27" s="22" t="s">
        <v>16</v>
      </c>
      <c r="D27" s="22" t="s">
        <v>17</v>
      </c>
      <c r="E27" s="22" t="s">
        <v>18</v>
      </c>
      <c r="F27" s="22" t="s">
        <v>1715</v>
      </c>
      <c r="G27" s="22" t="s">
        <v>19</v>
      </c>
      <c r="H27" s="22" t="s">
        <v>20</v>
      </c>
      <c r="J27" s="82"/>
      <c r="K27" s="82"/>
      <c r="L27" s="82"/>
      <c r="M27" s="82"/>
      <c r="N27" s="82"/>
      <c r="O27" s="82"/>
    </row>
    <row r="28" spans="1:15" ht="22">
      <c r="A28" s="22" t="s">
        <v>1152</v>
      </c>
      <c r="B28" s="22" t="s">
        <v>1152</v>
      </c>
      <c r="C28" s="22" t="s">
        <v>2073</v>
      </c>
      <c r="D28" s="22" t="s">
        <v>2073</v>
      </c>
      <c r="E28" s="22" t="s">
        <v>2073</v>
      </c>
      <c r="F28" s="22" t="s">
        <v>2073</v>
      </c>
      <c r="G28" s="22" t="s">
        <v>2073</v>
      </c>
      <c r="H28" s="22" t="s">
        <v>2073</v>
      </c>
      <c r="J28" s="83"/>
      <c r="K28" s="83"/>
      <c r="L28" s="83"/>
      <c r="M28" s="83"/>
      <c r="N28" s="83"/>
      <c r="O28" s="83"/>
    </row>
    <row r="29" spans="1:15" ht="22">
      <c r="A29" s="22" t="s">
        <v>1274</v>
      </c>
      <c r="B29" s="22" t="s">
        <v>2083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/>
      <c r="K29" s="83"/>
      <c r="L29" s="83"/>
      <c r="M29" s="83"/>
      <c r="N29" s="83"/>
      <c r="O29" s="83"/>
    </row>
    <row r="30" spans="1:15">
      <c r="A30" s="22" t="s">
        <v>1275</v>
      </c>
      <c r="B30" s="22" t="s">
        <v>31</v>
      </c>
      <c r="C30" s="22">
        <v>74</v>
      </c>
      <c r="D30" s="22">
        <v>73.5</v>
      </c>
      <c r="E30" s="22">
        <v>73.5</v>
      </c>
      <c r="F30" s="22">
        <v>73</v>
      </c>
      <c r="G30" s="22">
        <v>73</v>
      </c>
      <c r="H30" s="22">
        <v>73</v>
      </c>
    </row>
    <row r="31" spans="1:15">
      <c r="A31" s="22" t="s">
        <v>27</v>
      </c>
      <c r="B31" s="22" t="s">
        <v>2084</v>
      </c>
      <c r="C31" s="22">
        <v>540</v>
      </c>
      <c r="D31" s="22">
        <v>550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888</v>
      </c>
      <c r="B32" s="22" t="s">
        <v>2085</v>
      </c>
      <c r="C32" s="22">
        <v>125</v>
      </c>
      <c r="D32" s="22">
        <v>135</v>
      </c>
      <c r="E32" s="22">
        <v>150</v>
      </c>
      <c r="F32" s="22">
        <v>165</v>
      </c>
      <c r="G32" s="22">
        <v>180</v>
      </c>
      <c r="H32" s="22">
        <v>195</v>
      </c>
    </row>
    <row r="33" spans="1:8">
      <c r="A33" s="22" t="s">
        <v>30</v>
      </c>
      <c r="B33" s="22" t="s">
        <v>34</v>
      </c>
      <c r="C33" s="22">
        <v>70</v>
      </c>
      <c r="D33" s="22">
        <v>71</v>
      </c>
      <c r="E33" s="22">
        <v>71.5</v>
      </c>
      <c r="F33" s="22">
        <v>72</v>
      </c>
      <c r="G33" s="22">
        <v>72</v>
      </c>
      <c r="H33" s="22">
        <v>72</v>
      </c>
    </row>
    <row r="34" spans="1:8">
      <c r="A34" s="22" t="s">
        <v>578</v>
      </c>
      <c r="B34" s="22" t="s">
        <v>2086</v>
      </c>
      <c r="C34" s="22">
        <v>50</v>
      </c>
      <c r="D34" s="22">
        <v>50</v>
      </c>
      <c r="E34" s="22">
        <v>50</v>
      </c>
      <c r="F34" s="22">
        <v>50</v>
      </c>
      <c r="G34" s="22">
        <v>50</v>
      </c>
      <c r="H34" s="22">
        <v>50</v>
      </c>
    </row>
    <row r="35" spans="1:8">
      <c r="A35" s="22" t="s">
        <v>889</v>
      </c>
      <c r="B35" s="22" t="s">
        <v>2087</v>
      </c>
      <c r="C35" s="22" t="s">
        <v>2375</v>
      </c>
      <c r="D35" s="22" t="s">
        <v>2376</v>
      </c>
      <c r="E35" s="22" t="s">
        <v>2377</v>
      </c>
      <c r="F35" s="22" t="s">
        <v>2378</v>
      </c>
      <c r="G35" s="22" t="s">
        <v>2378</v>
      </c>
      <c r="H35" s="22" t="s">
        <v>2378</v>
      </c>
    </row>
    <row r="36" spans="1:8">
      <c r="A36" s="22" t="s">
        <v>1276</v>
      </c>
      <c r="B36" s="22" t="s">
        <v>2092</v>
      </c>
      <c r="C36" s="22" t="s">
        <v>2094</v>
      </c>
      <c r="D36" s="22" t="s">
        <v>2379</v>
      </c>
      <c r="E36" s="22" t="s">
        <v>2095</v>
      </c>
      <c r="F36" s="22" t="s">
        <v>2096</v>
      </c>
      <c r="G36" s="22" t="s">
        <v>2097</v>
      </c>
      <c r="H36" s="22" t="s">
        <v>2380</v>
      </c>
    </row>
    <row r="37" spans="1:8">
      <c r="A37" s="22" t="s">
        <v>1277</v>
      </c>
      <c r="B37" s="22" t="s">
        <v>2099</v>
      </c>
      <c r="C37" s="22" t="s">
        <v>2100</v>
      </c>
      <c r="D37" s="22" t="s">
        <v>2100</v>
      </c>
      <c r="E37" s="22" t="s">
        <v>2100</v>
      </c>
      <c r="F37" s="22" t="s">
        <v>2100</v>
      </c>
      <c r="G37" s="22" t="s">
        <v>2100</v>
      </c>
      <c r="H37" s="22" t="s">
        <v>2100</v>
      </c>
    </row>
    <row r="38" spans="1:8">
      <c r="A38" s="22" t="s">
        <v>1278</v>
      </c>
      <c r="B38" s="22" t="s">
        <v>2101</v>
      </c>
      <c r="C38" s="22" t="s">
        <v>2381</v>
      </c>
      <c r="D38" s="22" t="s">
        <v>2381</v>
      </c>
      <c r="E38" s="22" t="s">
        <v>2381</v>
      </c>
      <c r="F38" s="22" t="s">
        <v>2381</v>
      </c>
      <c r="G38" s="22" t="s">
        <v>2381</v>
      </c>
      <c r="H38" s="22" t="s">
        <v>2381</v>
      </c>
    </row>
    <row r="39" spans="1:8">
      <c r="A39" s="22" t="s">
        <v>1855</v>
      </c>
      <c r="B39" s="22" t="s">
        <v>2103</v>
      </c>
      <c r="C39" s="22">
        <v>556</v>
      </c>
      <c r="D39" s="22">
        <v>570</v>
      </c>
      <c r="E39" s="22">
        <v>586</v>
      </c>
      <c r="F39" s="22">
        <v>602</v>
      </c>
      <c r="G39" s="22">
        <v>616</v>
      </c>
      <c r="H39" s="22">
        <v>630</v>
      </c>
    </row>
    <row r="40" spans="1:8">
      <c r="A40" s="22" t="s">
        <v>19</v>
      </c>
      <c r="B40" s="22" t="s">
        <v>2104</v>
      </c>
      <c r="C40" s="22">
        <v>381</v>
      </c>
      <c r="D40" s="22">
        <v>381</v>
      </c>
      <c r="E40" s="22">
        <v>387</v>
      </c>
      <c r="F40" s="22">
        <v>391</v>
      </c>
      <c r="G40" s="22">
        <v>397</v>
      </c>
      <c r="H40" s="22">
        <v>407</v>
      </c>
    </row>
    <row r="41" spans="1:8">
      <c r="A41" s="22" t="s">
        <v>18</v>
      </c>
      <c r="B41" s="22" t="s">
        <v>2105</v>
      </c>
      <c r="C41" s="22" t="s">
        <v>2382</v>
      </c>
      <c r="D41" s="22" t="s">
        <v>2383</v>
      </c>
      <c r="E41" s="22" t="s">
        <v>2384</v>
      </c>
      <c r="F41" s="22" t="s">
        <v>2385</v>
      </c>
      <c r="G41" s="22" t="s">
        <v>2386</v>
      </c>
      <c r="H41" s="22" t="s">
        <v>2387</v>
      </c>
    </row>
    <row r="42" spans="1:8">
      <c r="A42" s="22" t="s">
        <v>1868</v>
      </c>
      <c r="B42" s="22" t="s">
        <v>2112</v>
      </c>
      <c r="C42" s="22">
        <v>420</v>
      </c>
      <c r="D42" s="22">
        <v>420</v>
      </c>
      <c r="E42" s="22">
        <v>440</v>
      </c>
      <c r="F42" s="22">
        <v>440</v>
      </c>
      <c r="G42" s="22">
        <v>460</v>
      </c>
      <c r="H42" s="22">
        <v>460</v>
      </c>
    </row>
    <row r="43" spans="1:8">
      <c r="A43" s="22" t="s">
        <v>2081</v>
      </c>
      <c r="B43" s="22" t="s">
        <v>2113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90</v>
      </c>
    </row>
    <row r="44" spans="1:8">
      <c r="A44" s="22" t="s">
        <v>887</v>
      </c>
      <c r="B44" s="22" t="s">
        <v>2114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2082</v>
      </c>
      <c r="B45" s="22" t="s">
        <v>45</v>
      </c>
      <c r="C45" s="22" t="s">
        <v>2374</v>
      </c>
      <c r="D45" s="22" t="s">
        <v>2374</v>
      </c>
      <c r="E45" s="22" t="s">
        <v>2374</v>
      </c>
      <c r="F45" s="22" t="s">
        <v>2374</v>
      </c>
      <c r="G45" s="22" t="s">
        <v>2374</v>
      </c>
      <c r="H45" s="22" t="s">
        <v>2374</v>
      </c>
    </row>
    <row r="46" spans="1:8" ht="22">
      <c r="C46" s="83"/>
      <c r="D46" s="83"/>
      <c r="E46" s="83"/>
      <c r="F46" s="83"/>
      <c r="G46" s="83"/>
      <c r="H46" s="83"/>
    </row>
    <row r="47" spans="1:8">
      <c r="C47" s="82" t="s">
        <v>16</v>
      </c>
      <c r="D47" s="82" t="s">
        <v>17</v>
      </c>
      <c r="E47" s="82" t="s">
        <v>18</v>
      </c>
      <c r="F47" s="82" t="s">
        <v>1715</v>
      </c>
      <c r="G47" s="82" t="s">
        <v>19</v>
      </c>
      <c r="H47" s="82" t="s">
        <v>20</v>
      </c>
    </row>
    <row r="48" spans="1:8" ht="22">
      <c r="C48" s="83" t="s">
        <v>2388</v>
      </c>
      <c r="D48" s="83" t="s">
        <v>2390</v>
      </c>
      <c r="E48" s="83" t="s">
        <v>2393</v>
      </c>
      <c r="F48" s="83" t="s">
        <v>2394</v>
      </c>
      <c r="G48" s="83" t="s">
        <v>2397</v>
      </c>
      <c r="H48" s="83" t="s">
        <v>2398</v>
      </c>
    </row>
    <row r="49" spans="3:8" ht="22">
      <c r="C49" s="83" t="s">
        <v>2389</v>
      </c>
      <c r="D49" s="83" t="s">
        <v>2391</v>
      </c>
      <c r="E49" s="83" t="s">
        <v>2392</v>
      </c>
      <c r="F49" s="83" t="s">
        <v>2395</v>
      </c>
      <c r="G49" s="83" t="s">
        <v>2396</v>
      </c>
      <c r="H49" s="83" t="s">
        <v>2399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742C-906D-C94E-B820-A13AF54BD3C4}">
  <dimension ref="A1:O47"/>
  <sheetViews>
    <sheetView topLeftCell="A2" workbookViewId="0">
      <selection activeCell="A22" sqref="A22:H25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2115</v>
      </c>
      <c r="C1" s="22" t="s">
        <v>16</v>
      </c>
      <c r="D1" s="22" t="s">
        <v>17</v>
      </c>
      <c r="E1" s="22" t="s">
        <v>18</v>
      </c>
      <c r="F1" s="22" t="s">
        <v>1715</v>
      </c>
      <c r="G1" s="22" t="s">
        <v>19</v>
      </c>
      <c r="H1" s="22" t="s">
        <v>20</v>
      </c>
    </row>
    <row r="2" spans="1:8">
      <c r="A2" s="22" t="s">
        <v>60</v>
      </c>
      <c r="B2" s="22" t="s">
        <v>2083</v>
      </c>
      <c r="C2" s="22">
        <f>C29</f>
        <v>430</v>
      </c>
      <c r="D2" s="22">
        <f t="shared" ref="D2:H2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VALUE(MID(C30,8,5))</f>
        <v>73.900000000000006</v>
      </c>
      <c r="D3" s="22">
        <f t="shared" ref="D3:H3" si="1">VALUE(MID(D30,8,5))</f>
        <v>73.400000000000006</v>
      </c>
      <c r="E3" s="22">
        <f t="shared" si="1"/>
        <v>73.400000000000006</v>
      </c>
      <c r="F3" s="22">
        <f t="shared" si="1"/>
        <v>72.900000000000006</v>
      </c>
      <c r="G3" s="22">
        <f t="shared" si="1"/>
        <v>72.900000000000006</v>
      </c>
      <c r="H3" s="22">
        <f t="shared" si="1"/>
        <v>72.900000000000006</v>
      </c>
    </row>
    <row r="4" spans="1:8">
      <c r="A4" s="22" t="s">
        <v>73</v>
      </c>
      <c r="B4" s="22" t="s">
        <v>2084</v>
      </c>
      <c r="C4" s="22">
        <f>C31</f>
        <v>543</v>
      </c>
      <c r="D4" s="22">
        <f t="shared" ref="C4:H5" si="2">D31</f>
        <v>553</v>
      </c>
      <c r="E4" s="22">
        <f t="shared" si="2"/>
        <v>560</v>
      </c>
      <c r="F4" s="22">
        <f t="shared" si="2"/>
        <v>575</v>
      </c>
      <c r="G4" s="22">
        <f t="shared" si="2"/>
        <v>585</v>
      </c>
      <c r="H4" s="22">
        <f t="shared" si="2"/>
        <v>600</v>
      </c>
    </row>
    <row r="5" spans="1:8">
      <c r="A5" s="22" t="s">
        <v>64</v>
      </c>
      <c r="B5" s="22" t="s">
        <v>2085</v>
      </c>
      <c r="C5" s="22">
        <f t="shared" si="2"/>
        <v>90</v>
      </c>
      <c r="D5" s="22">
        <f t="shared" si="2"/>
        <v>100</v>
      </c>
      <c r="E5" s="22">
        <f t="shared" si="2"/>
        <v>115</v>
      </c>
      <c r="F5" s="22">
        <f t="shared" si="2"/>
        <v>130</v>
      </c>
      <c r="G5" s="22">
        <f t="shared" si="2"/>
        <v>145</v>
      </c>
      <c r="H5" s="22">
        <f t="shared" si="2"/>
        <v>160</v>
      </c>
    </row>
    <row r="6" spans="1:8">
      <c r="A6" s="22" t="s">
        <v>62</v>
      </c>
      <c r="B6" s="22" t="s">
        <v>34</v>
      </c>
      <c r="C6" s="22">
        <f>VALUE(MID(C33,8,5))</f>
        <v>70.400000000000006</v>
      </c>
      <c r="D6" s="22">
        <f t="shared" ref="D6:H6" si="3">VALUE(MID(D33,8,5))</f>
        <v>70.900000000000006</v>
      </c>
      <c r="E6" s="22">
        <f t="shared" si="3"/>
        <v>71.400000000000006</v>
      </c>
      <c r="F6" s="22">
        <f t="shared" si="3"/>
        <v>71.900000000000006</v>
      </c>
      <c r="G6" s="22">
        <f t="shared" si="3"/>
        <v>71.900000000000006</v>
      </c>
      <c r="H6" s="22">
        <f t="shared" si="3"/>
        <v>71.900000000000006</v>
      </c>
    </row>
    <row r="7" spans="1:8">
      <c r="A7" s="22" t="s">
        <v>67</v>
      </c>
      <c r="B7" s="22" t="s">
        <v>2086</v>
      </c>
      <c r="C7" s="22">
        <f t="shared" ref="C7:H7" si="4">C34</f>
        <v>45</v>
      </c>
      <c r="D7" s="22">
        <f t="shared" si="4"/>
        <v>45</v>
      </c>
      <c r="E7" s="22">
        <f t="shared" si="4"/>
        <v>45</v>
      </c>
      <c r="F7" s="22">
        <f t="shared" si="4"/>
        <v>45</v>
      </c>
      <c r="G7" s="22">
        <f t="shared" si="4"/>
        <v>45</v>
      </c>
      <c r="H7" s="22">
        <f t="shared" si="4"/>
        <v>45</v>
      </c>
    </row>
    <row r="8" spans="1:8">
      <c r="A8" s="22" t="s">
        <v>135</v>
      </c>
      <c r="B8" s="22" t="s">
        <v>2087</v>
      </c>
      <c r="C8" s="22">
        <f>VALUE(MID(C35,8,5))</f>
        <v>83.7</v>
      </c>
      <c r="D8" s="22">
        <f t="shared" ref="D8:H8" si="5">VALUE(MID(D35,8,5))</f>
        <v>80.3</v>
      </c>
      <c r="E8" s="22">
        <f t="shared" si="5"/>
        <v>76.8</v>
      </c>
      <c r="F8" s="22">
        <f t="shared" si="5"/>
        <v>73.400000000000006</v>
      </c>
      <c r="G8" s="22">
        <f t="shared" si="5"/>
        <v>73.400000000000006</v>
      </c>
      <c r="H8" s="22">
        <f t="shared" si="5"/>
        <v>73.400000000000006</v>
      </c>
    </row>
    <row r="9" spans="1:8">
      <c r="A9" s="22" t="s">
        <v>56</v>
      </c>
      <c r="B9" s="22" t="s">
        <v>2092</v>
      </c>
      <c r="C9" s="22">
        <f>VALUE(MID(C36,8,5))</f>
        <v>1033</v>
      </c>
      <c r="D9" s="22">
        <f t="shared" ref="D9:H9" si="6">VALUE(MID(D36,8,5))</f>
        <v>1034</v>
      </c>
      <c r="E9" s="22">
        <f t="shared" si="6"/>
        <v>1036</v>
      </c>
      <c r="F9" s="22">
        <f t="shared" si="6"/>
        <v>1041</v>
      </c>
      <c r="G9" s="22">
        <f t="shared" si="6"/>
        <v>1051</v>
      </c>
      <c r="H9" s="22">
        <f t="shared" si="6"/>
        <v>1067</v>
      </c>
    </row>
    <row r="10" spans="1:8">
      <c r="A10" s="22" t="s">
        <v>66</v>
      </c>
      <c r="B10" s="22" t="s">
        <v>2099</v>
      </c>
      <c r="C10" s="22">
        <f>VALUE(MID(C37,7,5))</f>
        <v>435</v>
      </c>
      <c r="D10" s="22">
        <f t="shared" ref="D10:H10" si="7">VALUE(MID(D37,7,5))</f>
        <v>435</v>
      </c>
      <c r="E10" s="22">
        <f t="shared" si="7"/>
        <v>435</v>
      </c>
      <c r="F10" s="22">
        <f t="shared" si="7"/>
        <v>435</v>
      </c>
      <c r="G10" s="22">
        <f t="shared" si="7"/>
        <v>435</v>
      </c>
      <c r="H10" s="22">
        <f t="shared" si="7"/>
        <v>435</v>
      </c>
    </row>
    <row r="11" spans="1:8">
      <c r="A11" s="22" t="s">
        <v>65</v>
      </c>
      <c r="B11" s="22" t="s">
        <v>2101</v>
      </c>
      <c r="C11" s="22">
        <v>69</v>
      </c>
      <c r="D11" s="22">
        <v>69</v>
      </c>
      <c r="E11" s="22">
        <v>69</v>
      </c>
      <c r="F11" s="22">
        <v>69</v>
      </c>
      <c r="G11" s="22">
        <v>69</v>
      </c>
      <c r="H11" s="22">
        <v>69</v>
      </c>
    </row>
    <row r="12" spans="1:8">
      <c r="A12" s="22" t="s">
        <v>54</v>
      </c>
      <c r="B12" s="22" t="s">
        <v>2103</v>
      </c>
      <c r="C12" s="22">
        <f t="shared" ref="C12:H13" si="8">C39</f>
        <v>549</v>
      </c>
      <c r="D12" s="22">
        <f t="shared" si="8"/>
        <v>560</v>
      </c>
      <c r="E12" s="22">
        <f t="shared" si="8"/>
        <v>576</v>
      </c>
      <c r="F12" s="22">
        <f t="shared" si="8"/>
        <v>592</v>
      </c>
      <c r="G12" s="22">
        <f t="shared" si="8"/>
        <v>607</v>
      </c>
      <c r="H12" s="22">
        <f t="shared" si="8"/>
        <v>621</v>
      </c>
    </row>
    <row r="13" spans="1:8">
      <c r="A13" s="22" t="s">
        <v>55</v>
      </c>
      <c r="B13" s="22" t="s">
        <v>2104</v>
      </c>
      <c r="C13" s="22">
        <f t="shared" si="8"/>
        <v>386</v>
      </c>
      <c r="D13" s="22">
        <f t="shared" si="8"/>
        <v>387</v>
      </c>
      <c r="E13" s="22">
        <f t="shared" si="8"/>
        <v>389</v>
      </c>
      <c r="F13" s="22">
        <f t="shared" si="8"/>
        <v>393</v>
      </c>
      <c r="G13" s="22">
        <f t="shared" si="8"/>
        <v>399</v>
      </c>
      <c r="H13" s="22">
        <f t="shared" si="8"/>
        <v>410</v>
      </c>
    </row>
    <row r="14" spans="1:8">
      <c r="A14" s="22" t="s">
        <v>57</v>
      </c>
      <c r="B14" s="22" t="s">
        <v>2105</v>
      </c>
      <c r="C14" s="22">
        <f>VALUE(MID(C41,7,5))</f>
        <v>726</v>
      </c>
      <c r="D14" s="22">
        <f t="shared" ref="D14:H14" si="9">VALUE(MID(D41,7,5))</f>
        <v>743</v>
      </c>
      <c r="E14" s="22">
        <f t="shared" si="9"/>
        <v>761</v>
      </c>
      <c r="F14" s="22">
        <f t="shared" si="9"/>
        <v>778</v>
      </c>
      <c r="G14" s="22">
        <f t="shared" si="9"/>
        <v>796</v>
      </c>
      <c r="H14" s="22">
        <f t="shared" si="9"/>
        <v>814</v>
      </c>
    </row>
    <row r="15" spans="1:8">
      <c r="A15" s="22" t="s">
        <v>70</v>
      </c>
      <c r="B15" s="22" t="s">
        <v>2112</v>
      </c>
      <c r="C15" s="22">
        <f t="shared" ref="C15:H17" si="10">C42</f>
        <v>440</v>
      </c>
      <c r="D15" s="22">
        <f t="shared" si="10"/>
        <v>440</v>
      </c>
      <c r="E15" s="22">
        <f t="shared" si="10"/>
        <v>460</v>
      </c>
      <c r="F15" s="22">
        <f t="shared" si="10"/>
        <v>460</v>
      </c>
      <c r="G15" s="22">
        <f t="shared" si="10"/>
        <v>480</v>
      </c>
      <c r="H15" s="22">
        <f t="shared" si="10"/>
        <v>480</v>
      </c>
    </row>
    <row r="16" spans="1:8">
      <c r="A16" s="22" t="s">
        <v>71</v>
      </c>
      <c r="B16" s="22" t="s">
        <v>2113</v>
      </c>
      <c r="C16" s="22">
        <f t="shared" si="10"/>
        <v>50</v>
      </c>
      <c r="D16" s="22">
        <f t="shared" si="10"/>
        <v>60</v>
      </c>
      <c r="E16" s="22">
        <f t="shared" si="10"/>
        <v>70</v>
      </c>
      <c r="F16" s="22">
        <f t="shared" si="10"/>
        <v>80</v>
      </c>
      <c r="G16" s="22">
        <f t="shared" si="10"/>
        <v>80</v>
      </c>
      <c r="H16" s="22">
        <f t="shared" si="10"/>
        <v>80</v>
      </c>
    </row>
    <row r="17" spans="1:15">
      <c r="A17" s="22" t="s">
        <v>69</v>
      </c>
      <c r="B17" s="22" t="s">
        <v>2114</v>
      </c>
      <c r="C17" s="22">
        <f t="shared" si="10"/>
        <v>170</v>
      </c>
      <c r="D17" s="22">
        <f t="shared" si="10"/>
        <v>170</v>
      </c>
      <c r="E17" s="22">
        <f t="shared" si="10"/>
        <v>172.5</v>
      </c>
      <c r="F17" s="22">
        <f t="shared" si="10"/>
        <v>172.5</v>
      </c>
      <c r="G17" s="22">
        <f t="shared" si="10"/>
        <v>175</v>
      </c>
      <c r="H17" s="22">
        <f t="shared" si="10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495</v>
      </c>
      <c r="B19" s="22" t="s">
        <v>495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</row>
    <row r="21" spans="1:15">
      <c r="A21" s="22" t="s">
        <v>140</v>
      </c>
      <c r="B21" s="22" t="s">
        <v>140</v>
      </c>
      <c r="C21" s="22">
        <v>53</v>
      </c>
      <c r="D21" s="22">
        <v>53</v>
      </c>
      <c r="E21" s="22">
        <v>53</v>
      </c>
      <c r="F21" s="22">
        <v>53</v>
      </c>
      <c r="G21" s="22">
        <v>53</v>
      </c>
      <c r="H21" s="22">
        <v>53</v>
      </c>
    </row>
    <row r="22" spans="1:15">
      <c r="A22" s="22" t="s">
        <v>1752</v>
      </c>
      <c r="B22" s="22" t="s">
        <v>1752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1753</v>
      </c>
      <c r="B23" s="22" t="s">
        <v>1753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2593</v>
      </c>
      <c r="B24" s="22" t="s">
        <v>2593</v>
      </c>
      <c r="C24" s="22">
        <v>155</v>
      </c>
      <c r="D24" s="22">
        <v>159</v>
      </c>
      <c r="E24" s="22">
        <v>169</v>
      </c>
      <c r="F24" s="22">
        <v>174</v>
      </c>
      <c r="G24" s="22">
        <v>179</v>
      </c>
      <c r="H24" s="22">
        <v>189</v>
      </c>
    </row>
    <row r="25" spans="1:15">
      <c r="A25" s="22" t="s">
        <v>2594</v>
      </c>
      <c r="B25" s="22" t="s">
        <v>2594</v>
      </c>
      <c r="C25" s="22">
        <v>166</v>
      </c>
      <c r="D25" s="22">
        <v>171</v>
      </c>
      <c r="E25" s="22">
        <v>181</v>
      </c>
      <c r="F25" s="22">
        <v>186</v>
      </c>
      <c r="G25" s="22">
        <v>191</v>
      </c>
      <c r="H25" s="22">
        <v>200</v>
      </c>
    </row>
    <row r="27" spans="1:15">
      <c r="A27" s="22" t="s">
        <v>1152</v>
      </c>
      <c r="B27" s="22" t="s">
        <v>1152</v>
      </c>
      <c r="C27" s="22" t="s">
        <v>16</v>
      </c>
      <c r="D27" s="22" t="s">
        <v>17</v>
      </c>
      <c r="E27" s="22" t="s">
        <v>18</v>
      </c>
      <c r="F27" s="22" t="s">
        <v>1715</v>
      </c>
      <c r="G27" s="22" t="s">
        <v>19</v>
      </c>
      <c r="H27" s="22" t="s">
        <v>20</v>
      </c>
      <c r="J27" s="82" t="s">
        <v>16</v>
      </c>
      <c r="K27" s="82" t="s">
        <v>17</v>
      </c>
      <c r="L27" s="82" t="s">
        <v>18</v>
      </c>
      <c r="M27" s="82" t="s">
        <v>1715</v>
      </c>
      <c r="N27" s="82" t="s">
        <v>19</v>
      </c>
      <c r="O27" s="82" t="s">
        <v>20</v>
      </c>
    </row>
    <row r="28" spans="1:15" ht="22">
      <c r="A28" s="22" t="s">
        <v>1152</v>
      </c>
      <c r="B28" s="22" t="s">
        <v>1152</v>
      </c>
      <c r="C28" s="22" t="s">
        <v>2073</v>
      </c>
      <c r="D28" s="22" t="s">
        <v>2073</v>
      </c>
      <c r="E28" s="22" t="s">
        <v>2073</v>
      </c>
      <c r="F28" s="22" t="s">
        <v>2073</v>
      </c>
      <c r="G28" s="22" t="s">
        <v>2073</v>
      </c>
      <c r="H28" s="22" t="s">
        <v>2073</v>
      </c>
      <c r="J28" s="83" t="s">
        <v>2116</v>
      </c>
      <c r="K28" s="83" t="s">
        <v>2118</v>
      </c>
      <c r="L28" s="83" t="s">
        <v>2120</v>
      </c>
      <c r="M28" s="83" t="s">
        <v>2122</v>
      </c>
      <c r="N28" s="83" t="s">
        <v>2124</v>
      </c>
      <c r="O28" s="83" t="s">
        <v>2126</v>
      </c>
    </row>
    <row r="29" spans="1:15" ht="22">
      <c r="A29" s="22" t="s">
        <v>1274</v>
      </c>
      <c r="B29" s="22" t="s">
        <v>2083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 t="s">
        <v>2117</v>
      </c>
      <c r="K29" s="83" t="s">
        <v>2119</v>
      </c>
      <c r="L29" s="83" t="s">
        <v>2121</v>
      </c>
      <c r="M29" s="83" t="s">
        <v>2123</v>
      </c>
      <c r="N29" s="83" t="s">
        <v>2125</v>
      </c>
      <c r="O29" s="83" t="s">
        <v>2127</v>
      </c>
    </row>
    <row r="30" spans="1:15">
      <c r="A30" s="22" t="s">
        <v>1275</v>
      </c>
      <c r="B30" s="22" t="s">
        <v>31</v>
      </c>
      <c r="C30" s="22" t="s">
        <v>2074</v>
      </c>
      <c r="D30" s="22" t="s">
        <v>2075</v>
      </c>
      <c r="E30" s="22" t="s">
        <v>2075</v>
      </c>
      <c r="F30" s="22" t="s">
        <v>2076</v>
      </c>
      <c r="G30" s="22" t="s">
        <v>2076</v>
      </c>
      <c r="H30" s="22" t="s">
        <v>2076</v>
      </c>
    </row>
    <row r="31" spans="1:15">
      <c r="A31" s="22" t="s">
        <v>27</v>
      </c>
      <c r="B31" s="22" t="s">
        <v>2084</v>
      </c>
      <c r="C31" s="22">
        <v>543</v>
      </c>
      <c r="D31" s="22">
        <v>553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888</v>
      </c>
      <c r="B32" s="22" t="s">
        <v>2085</v>
      </c>
      <c r="C32" s="22">
        <v>90</v>
      </c>
      <c r="D32" s="22">
        <v>100</v>
      </c>
      <c r="E32" s="22">
        <v>115</v>
      </c>
      <c r="F32" s="22">
        <v>130</v>
      </c>
      <c r="G32" s="22">
        <v>145</v>
      </c>
      <c r="H32" s="22">
        <v>160</v>
      </c>
    </row>
    <row r="33" spans="1:8">
      <c r="A33" s="22" t="s">
        <v>30</v>
      </c>
      <c r="B33" s="22" t="s">
        <v>34</v>
      </c>
      <c r="C33" s="22" t="s">
        <v>2077</v>
      </c>
      <c r="D33" s="22" t="s">
        <v>2078</v>
      </c>
      <c r="E33" s="22" t="s">
        <v>2079</v>
      </c>
      <c r="F33" s="22" t="s">
        <v>2080</v>
      </c>
      <c r="G33" s="22" t="s">
        <v>2080</v>
      </c>
      <c r="H33" s="22" t="s">
        <v>2080</v>
      </c>
    </row>
    <row r="34" spans="1:8">
      <c r="A34" s="22" t="s">
        <v>578</v>
      </c>
      <c r="B34" s="22" t="s">
        <v>2086</v>
      </c>
      <c r="C34" s="22">
        <v>45</v>
      </c>
      <c r="D34" s="22">
        <v>45</v>
      </c>
      <c r="E34" s="22">
        <v>45</v>
      </c>
      <c r="F34" s="22">
        <v>45</v>
      </c>
      <c r="G34" s="22">
        <v>45</v>
      </c>
      <c r="H34" s="22">
        <v>45</v>
      </c>
    </row>
    <row r="35" spans="1:8">
      <c r="A35" s="22" t="s">
        <v>889</v>
      </c>
      <c r="B35" s="22" t="s">
        <v>2087</v>
      </c>
      <c r="C35" s="22" t="s">
        <v>2088</v>
      </c>
      <c r="D35" s="22" t="s">
        <v>2089</v>
      </c>
      <c r="E35" s="22" t="s">
        <v>2090</v>
      </c>
      <c r="F35" s="22" t="s">
        <v>2091</v>
      </c>
      <c r="G35" s="22" t="s">
        <v>2091</v>
      </c>
      <c r="H35" s="22" t="s">
        <v>2091</v>
      </c>
    </row>
    <row r="36" spans="1:8">
      <c r="A36" s="22" t="s">
        <v>1276</v>
      </c>
      <c r="B36" s="22" t="s">
        <v>2092</v>
      </c>
      <c r="C36" s="22" t="s">
        <v>2093</v>
      </c>
      <c r="D36" s="22" t="s">
        <v>2094</v>
      </c>
      <c r="E36" s="22" t="s">
        <v>2095</v>
      </c>
      <c r="F36" s="22" t="s">
        <v>2096</v>
      </c>
      <c r="G36" s="22" t="s">
        <v>2097</v>
      </c>
      <c r="H36" s="22" t="s">
        <v>2098</v>
      </c>
    </row>
    <row r="37" spans="1:8">
      <c r="A37" s="22" t="s">
        <v>1277</v>
      </c>
      <c r="B37" s="22" t="s">
        <v>2099</v>
      </c>
      <c r="C37" s="22" t="s">
        <v>2100</v>
      </c>
      <c r="D37" s="22" t="s">
        <v>2100</v>
      </c>
      <c r="E37" s="22" t="s">
        <v>2100</v>
      </c>
      <c r="F37" s="22" t="s">
        <v>2100</v>
      </c>
      <c r="G37" s="22" t="s">
        <v>2100</v>
      </c>
      <c r="H37" s="22" t="s">
        <v>2100</v>
      </c>
    </row>
    <row r="38" spans="1:8">
      <c r="A38" s="22" t="s">
        <v>1278</v>
      </c>
      <c r="B38" s="22" t="s">
        <v>2101</v>
      </c>
      <c r="C38" s="22" t="s">
        <v>2102</v>
      </c>
      <c r="D38" s="22" t="s">
        <v>2102</v>
      </c>
      <c r="E38" s="22" t="s">
        <v>2102</v>
      </c>
      <c r="F38" s="22" t="s">
        <v>2102</v>
      </c>
      <c r="G38" s="22" t="s">
        <v>2102</v>
      </c>
      <c r="H38" s="22" t="s">
        <v>2102</v>
      </c>
    </row>
    <row r="39" spans="1:8">
      <c r="A39" s="22" t="s">
        <v>1855</v>
      </c>
      <c r="B39" s="22" t="s">
        <v>2103</v>
      </c>
      <c r="C39" s="22">
        <v>549</v>
      </c>
      <c r="D39" s="22">
        <v>560</v>
      </c>
      <c r="E39" s="22">
        <v>576</v>
      </c>
      <c r="F39" s="22">
        <v>592</v>
      </c>
      <c r="G39" s="22">
        <v>607</v>
      </c>
      <c r="H39" s="22">
        <v>621</v>
      </c>
    </row>
    <row r="40" spans="1:8">
      <c r="A40" s="22" t="s">
        <v>19</v>
      </c>
      <c r="B40" s="22" t="s">
        <v>2104</v>
      </c>
      <c r="C40" s="22">
        <v>386</v>
      </c>
      <c r="D40" s="22">
        <v>387</v>
      </c>
      <c r="E40" s="22">
        <v>389</v>
      </c>
      <c r="F40" s="22">
        <v>393</v>
      </c>
      <c r="G40" s="22">
        <v>399</v>
      </c>
      <c r="H40" s="22">
        <v>410</v>
      </c>
    </row>
    <row r="41" spans="1:8">
      <c r="A41" s="22" t="s">
        <v>18</v>
      </c>
      <c r="B41" s="22" t="s">
        <v>2105</v>
      </c>
      <c r="C41" s="22" t="s">
        <v>2106</v>
      </c>
      <c r="D41" s="22" t="s">
        <v>2107</v>
      </c>
      <c r="E41" s="22" t="s">
        <v>2108</v>
      </c>
      <c r="F41" s="22" t="s">
        <v>2109</v>
      </c>
      <c r="G41" s="22" t="s">
        <v>2110</v>
      </c>
      <c r="H41" s="22" t="s">
        <v>2111</v>
      </c>
    </row>
    <row r="42" spans="1:8">
      <c r="A42" s="22" t="s">
        <v>1868</v>
      </c>
      <c r="B42" s="22" t="s">
        <v>2112</v>
      </c>
      <c r="C42" s="22">
        <v>440</v>
      </c>
      <c r="D42" s="22">
        <v>440</v>
      </c>
      <c r="E42" s="22">
        <v>460</v>
      </c>
      <c r="F42" s="22">
        <v>460</v>
      </c>
      <c r="G42" s="22">
        <v>480</v>
      </c>
      <c r="H42" s="22">
        <v>480</v>
      </c>
    </row>
    <row r="43" spans="1:8">
      <c r="A43" s="22" t="s">
        <v>2081</v>
      </c>
      <c r="B43" s="22" t="s">
        <v>2113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80</v>
      </c>
    </row>
    <row r="44" spans="1:8">
      <c r="A44" s="22" t="s">
        <v>887</v>
      </c>
      <c r="B44" s="22" t="s">
        <v>2114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2082</v>
      </c>
      <c r="B45" s="22" t="s">
        <v>45</v>
      </c>
      <c r="C45" s="22" t="s">
        <v>46</v>
      </c>
      <c r="D45" s="22" t="s">
        <v>46</v>
      </c>
      <c r="E45" s="22" t="s">
        <v>46</v>
      </c>
      <c r="F45" s="22" t="s">
        <v>46</v>
      </c>
      <c r="G45" s="22" t="s">
        <v>46</v>
      </c>
      <c r="H45" s="22" t="s">
        <v>46</v>
      </c>
    </row>
    <row r="46" spans="1:8" ht="22">
      <c r="B46" s="22" t="s">
        <v>2128</v>
      </c>
      <c r="C46" s="83" t="s">
        <v>2130</v>
      </c>
      <c r="D46" s="83" t="s">
        <v>2131</v>
      </c>
      <c r="E46" s="83" t="s">
        <v>2132</v>
      </c>
      <c r="F46" s="83" t="s">
        <v>2133</v>
      </c>
      <c r="G46" s="83" t="s">
        <v>2134</v>
      </c>
      <c r="H46" s="83" t="s">
        <v>2135</v>
      </c>
    </row>
    <row r="47" spans="1:8" ht="22">
      <c r="B47" s="22" t="s">
        <v>2129</v>
      </c>
      <c r="C47" s="83" t="s">
        <v>2117</v>
      </c>
      <c r="D47" s="83" t="s">
        <v>2119</v>
      </c>
      <c r="E47" s="83" t="s">
        <v>2121</v>
      </c>
      <c r="F47" s="83" t="s">
        <v>2123</v>
      </c>
      <c r="G47" s="83" t="s">
        <v>2125</v>
      </c>
      <c r="H47" s="83" t="s">
        <v>2127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C8C9-2097-3D46-8E26-37C7A4720311}">
  <dimension ref="A1:O47"/>
  <sheetViews>
    <sheetView workbookViewId="0">
      <selection activeCell="J16" sqref="J16"/>
    </sheetView>
  </sheetViews>
  <sheetFormatPr baseColWidth="10" defaultRowHeight="20"/>
  <cols>
    <col min="1" max="1" width="24.83203125" style="22" customWidth="1"/>
    <col min="2" max="2" width="36.83203125" style="22" bestFit="1" customWidth="1"/>
    <col min="3" max="8" width="16.5" style="22" customWidth="1"/>
    <col min="9" max="16384" width="10.83203125" style="22"/>
  </cols>
  <sheetData>
    <row r="1" spans="1:8">
      <c r="A1" s="22" t="s">
        <v>72</v>
      </c>
      <c r="B1" s="22" t="s">
        <v>2115</v>
      </c>
      <c r="C1" s="22" t="s">
        <v>16</v>
      </c>
      <c r="D1" s="22" t="s">
        <v>17</v>
      </c>
      <c r="E1" s="22" t="s">
        <v>18</v>
      </c>
      <c r="F1" s="22" t="s">
        <v>1715</v>
      </c>
      <c r="G1" s="22" t="s">
        <v>19</v>
      </c>
      <c r="H1" s="22" t="s">
        <v>20</v>
      </c>
    </row>
    <row r="2" spans="1:8">
      <c r="A2" s="22" t="s">
        <v>60</v>
      </c>
      <c r="B2" s="22" t="s">
        <v>2083</v>
      </c>
      <c r="C2" s="22">
        <f>C29</f>
        <v>430</v>
      </c>
      <c r="D2" s="22">
        <f t="shared" ref="D2:H2" si="0">D29</f>
        <v>450</v>
      </c>
      <c r="E2" s="22">
        <f t="shared" si="0"/>
        <v>470</v>
      </c>
      <c r="F2" s="22">
        <f t="shared" si="0"/>
        <v>490</v>
      </c>
      <c r="G2" s="22">
        <f t="shared" si="0"/>
        <v>510</v>
      </c>
      <c r="H2" s="22">
        <f t="shared" si="0"/>
        <v>530</v>
      </c>
    </row>
    <row r="3" spans="1:8">
      <c r="A3" s="22" t="s">
        <v>63</v>
      </c>
      <c r="B3" s="22" t="s">
        <v>31</v>
      </c>
      <c r="C3" s="22">
        <f>VALUE(LEFT(C30,4))</f>
        <v>74</v>
      </c>
      <c r="D3" s="22">
        <f t="shared" ref="D3:H3" si="1">VALUE(LEFT(D30,4))</f>
        <v>73.5</v>
      </c>
      <c r="E3" s="22">
        <f t="shared" si="1"/>
        <v>73.5</v>
      </c>
      <c r="F3" s="22">
        <f t="shared" si="1"/>
        <v>73</v>
      </c>
      <c r="G3" s="22">
        <f t="shared" si="1"/>
        <v>73</v>
      </c>
      <c r="H3" s="22">
        <f t="shared" si="1"/>
        <v>73</v>
      </c>
    </row>
    <row r="4" spans="1:8">
      <c r="A4" s="22" t="s">
        <v>73</v>
      </c>
      <c r="B4" s="22" t="s">
        <v>2084</v>
      </c>
      <c r="C4" s="22">
        <f t="shared" ref="C4" si="2">C31</f>
        <v>543</v>
      </c>
      <c r="D4" s="22">
        <f t="shared" ref="D4:H4" si="3">D31</f>
        <v>553</v>
      </c>
      <c r="E4" s="22">
        <f t="shared" si="3"/>
        <v>560</v>
      </c>
      <c r="F4" s="22">
        <f t="shared" si="3"/>
        <v>575</v>
      </c>
      <c r="G4" s="22">
        <f t="shared" si="3"/>
        <v>585</v>
      </c>
      <c r="H4" s="22">
        <f t="shared" si="3"/>
        <v>600</v>
      </c>
    </row>
    <row r="5" spans="1:8">
      <c r="A5" s="22" t="s">
        <v>64</v>
      </c>
      <c r="B5" s="22" t="s">
        <v>2085</v>
      </c>
      <c r="C5" s="22">
        <f t="shared" ref="C5" si="4">C32</f>
        <v>90</v>
      </c>
      <c r="D5" s="22">
        <f t="shared" ref="D5:H5" si="5">D32</f>
        <v>100</v>
      </c>
      <c r="E5" s="22">
        <f t="shared" si="5"/>
        <v>115</v>
      </c>
      <c r="F5" s="22">
        <f t="shared" si="5"/>
        <v>130</v>
      </c>
      <c r="G5" s="22">
        <f t="shared" si="5"/>
        <v>145</v>
      </c>
      <c r="H5" s="22">
        <f t="shared" si="5"/>
        <v>160</v>
      </c>
    </row>
    <row r="6" spans="1:8">
      <c r="A6" s="22" t="s">
        <v>62</v>
      </c>
      <c r="B6" s="22" t="s">
        <v>34</v>
      </c>
      <c r="C6" s="22">
        <f>VALUE(LEFT(C33,4))</f>
        <v>70.5</v>
      </c>
      <c r="D6" s="22">
        <f t="shared" ref="D6:H6" si="6">VALUE(LEFT(D33,4))</f>
        <v>71</v>
      </c>
      <c r="E6" s="22">
        <f t="shared" si="6"/>
        <v>71.5</v>
      </c>
      <c r="F6" s="22">
        <f t="shared" si="6"/>
        <v>72</v>
      </c>
      <c r="G6" s="22">
        <f t="shared" si="6"/>
        <v>72</v>
      </c>
      <c r="H6" s="22">
        <f t="shared" si="6"/>
        <v>72</v>
      </c>
    </row>
    <row r="7" spans="1:8">
      <c r="A7" s="22" t="s">
        <v>67</v>
      </c>
      <c r="B7" s="22" t="s">
        <v>2086</v>
      </c>
      <c r="C7" s="22">
        <f t="shared" ref="C7" si="7">C34</f>
        <v>45</v>
      </c>
      <c r="D7" s="22">
        <f t="shared" ref="D7:H7" si="8">D34</f>
        <v>45</v>
      </c>
      <c r="E7" s="22">
        <f t="shared" si="8"/>
        <v>45</v>
      </c>
      <c r="F7" s="22">
        <f t="shared" si="8"/>
        <v>45</v>
      </c>
      <c r="G7" s="22">
        <f t="shared" si="8"/>
        <v>45</v>
      </c>
      <c r="H7" s="22">
        <f t="shared" si="8"/>
        <v>45</v>
      </c>
    </row>
    <row r="8" spans="1:8">
      <c r="A8" s="22" t="s">
        <v>135</v>
      </c>
      <c r="B8" s="22" t="s">
        <v>2087</v>
      </c>
      <c r="C8" s="22">
        <f>VALUE(LEFT(C35,4))</f>
        <v>80.3</v>
      </c>
      <c r="D8" s="22">
        <f t="shared" ref="D8:H8" si="9">VALUE(LEFT(D35,4))</f>
        <v>76.900000000000006</v>
      </c>
      <c r="E8" s="22">
        <f t="shared" si="9"/>
        <v>73.5</v>
      </c>
      <c r="F8" s="22">
        <f t="shared" si="9"/>
        <v>70.099999999999994</v>
      </c>
      <c r="G8" s="22">
        <f t="shared" si="9"/>
        <v>70.099999999999994</v>
      </c>
      <c r="H8" s="22">
        <f t="shared" si="9"/>
        <v>70.099999999999994</v>
      </c>
    </row>
    <row r="9" spans="1:8">
      <c r="A9" s="22" t="s">
        <v>56</v>
      </c>
      <c r="B9" s="22" t="s">
        <v>2092</v>
      </c>
      <c r="C9" s="22">
        <f>VALUE(LEFT(C36,4))</f>
        <v>1023</v>
      </c>
      <c r="D9" s="22">
        <f t="shared" ref="D9:H9" si="10">VALUE(LEFT(D36,4))</f>
        <v>1024</v>
      </c>
      <c r="E9" s="22">
        <f t="shared" si="10"/>
        <v>1026</v>
      </c>
      <c r="F9" s="22">
        <f t="shared" si="10"/>
        <v>1031</v>
      </c>
      <c r="G9" s="22">
        <f t="shared" si="10"/>
        <v>1041</v>
      </c>
      <c r="H9" s="22">
        <f t="shared" si="10"/>
        <v>1057</v>
      </c>
    </row>
    <row r="10" spans="1:8">
      <c r="A10" s="22" t="s">
        <v>66</v>
      </c>
      <c r="B10" s="22" t="s">
        <v>2099</v>
      </c>
      <c r="C10" s="22">
        <f>VALUE(LEFT(C37,3))</f>
        <v>425</v>
      </c>
      <c r="D10" s="22">
        <f t="shared" ref="D10:H10" si="11">VALUE(LEFT(D37,3))</f>
        <v>425</v>
      </c>
      <c r="E10" s="22">
        <f t="shared" si="11"/>
        <v>425</v>
      </c>
      <c r="F10" s="22">
        <f t="shared" si="11"/>
        <v>425</v>
      </c>
      <c r="G10" s="22">
        <f t="shared" si="11"/>
        <v>425</v>
      </c>
      <c r="H10" s="22">
        <f t="shared" si="11"/>
        <v>425</v>
      </c>
    </row>
    <row r="11" spans="1:8">
      <c r="A11" s="22" t="s">
        <v>65</v>
      </c>
      <c r="B11" s="22" t="s">
        <v>2101</v>
      </c>
      <c r="C11" s="22">
        <f>VALUE(LEFT(C38,3))</f>
        <v>68</v>
      </c>
      <c r="D11" s="22">
        <f t="shared" ref="D11:H11" si="12">VALUE(LEFT(D38,3))</f>
        <v>68</v>
      </c>
      <c r="E11" s="22">
        <f t="shared" si="12"/>
        <v>68</v>
      </c>
      <c r="F11" s="22">
        <f t="shared" si="12"/>
        <v>68</v>
      </c>
      <c r="G11" s="22">
        <f t="shared" si="12"/>
        <v>68</v>
      </c>
      <c r="H11" s="22">
        <f t="shared" si="12"/>
        <v>68</v>
      </c>
    </row>
    <row r="12" spans="1:8">
      <c r="A12" s="22" t="s">
        <v>54</v>
      </c>
      <c r="B12" s="22" t="s">
        <v>2103</v>
      </c>
      <c r="C12" s="22">
        <f t="shared" ref="C12" si="13">C39</f>
        <v>549</v>
      </c>
      <c r="D12" s="22">
        <f t="shared" ref="D12:H12" si="14">D39</f>
        <v>560</v>
      </c>
      <c r="E12" s="22">
        <f t="shared" si="14"/>
        <v>576</v>
      </c>
      <c r="F12" s="22">
        <f t="shared" si="14"/>
        <v>592</v>
      </c>
      <c r="G12" s="22">
        <f t="shared" si="14"/>
        <v>607</v>
      </c>
      <c r="H12" s="22">
        <f t="shared" si="14"/>
        <v>621</v>
      </c>
    </row>
    <row r="13" spans="1:8">
      <c r="A13" s="22" t="s">
        <v>55</v>
      </c>
      <c r="B13" s="22" t="s">
        <v>2104</v>
      </c>
      <c r="C13" s="22">
        <f t="shared" ref="C13" si="15">C40</f>
        <v>386</v>
      </c>
      <c r="D13" s="22">
        <f t="shared" ref="D13:H13" si="16">D40</f>
        <v>387</v>
      </c>
      <c r="E13" s="22">
        <f t="shared" si="16"/>
        <v>389</v>
      </c>
      <c r="F13" s="22">
        <f t="shared" si="16"/>
        <v>393</v>
      </c>
      <c r="G13" s="22">
        <f t="shared" si="16"/>
        <v>399</v>
      </c>
      <c r="H13" s="22">
        <f t="shared" si="16"/>
        <v>410</v>
      </c>
    </row>
    <row r="14" spans="1:8">
      <c r="A14" s="22" t="s">
        <v>57</v>
      </c>
      <c r="B14" s="22" t="s">
        <v>2105</v>
      </c>
      <c r="C14" s="22">
        <f>VALUE(LEFT(C41,3))</f>
        <v>720</v>
      </c>
      <c r="D14" s="22">
        <f t="shared" ref="D14:H14" si="17">VALUE(LEFT(D41,3))</f>
        <v>736</v>
      </c>
      <c r="E14" s="22">
        <f t="shared" si="17"/>
        <v>755</v>
      </c>
      <c r="F14" s="22">
        <f t="shared" si="17"/>
        <v>772</v>
      </c>
      <c r="G14" s="22">
        <f t="shared" si="17"/>
        <v>790</v>
      </c>
      <c r="H14" s="22">
        <f t="shared" si="17"/>
        <v>808</v>
      </c>
    </row>
    <row r="15" spans="1:8">
      <c r="A15" s="22" t="s">
        <v>70</v>
      </c>
      <c r="B15" s="22" t="s">
        <v>2112</v>
      </c>
      <c r="C15" s="22">
        <f t="shared" ref="C15" si="18">C42</f>
        <v>440</v>
      </c>
      <c r="D15" s="22">
        <f t="shared" ref="D15:H15" si="19">D42</f>
        <v>440</v>
      </c>
      <c r="E15" s="22">
        <f t="shared" si="19"/>
        <v>460</v>
      </c>
      <c r="F15" s="22">
        <f t="shared" si="19"/>
        <v>460</v>
      </c>
      <c r="G15" s="22">
        <f t="shared" si="19"/>
        <v>480</v>
      </c>
      <c r="H15" s="22">
        <f t="shared" si="19"/>
        <v>480</v>
      </c>
    </row>
    <row r="16" spans="1:8">
      <c r="A16" s="22" t="s">
        <v>71</v>
      </c>
      <c r="B16" s="22" t="s">
        <v>2113</v>
      </c>
      <c r="C16" s="22">
        <f t="shared" ref="C16" si="20">C43</f>
        <v>50</v>
      </c>
      <c r="D16" s="22">
        <f t="shared" ref="D16:H16" si="21">D43</f>
        <v>60</v>
      </c>
      <c r="E16" s="22">
        <f t="shared" si="21"/>
        <v>70</v>
      </c>
      <c r="F16" s="22">
        <f t="shared" si="21"/>
        <v>80</v>
      </c>
      <c r="G16" s="22">
        <f t="shared" si="21"/>
        <v>80</v>
      </c>
      <c r="H16" s="22">
        <f t="shared" si="21"/>
        <v>80</v>
      </c>
    </row>
    <row r="17" spans="1:15">
      <c r="A17" s="22" t="s">
        <v>69</v>
      </c>
      <c r="B17" s="22" t="s">
        <v>2114</v>
      </c>
      <c r="C17" s="22">
        <f t="shared" ref="C17" si="22">C44</f>
        <v>170</v>
      </c>
      <c r="D17" s="22">
        <f t="shared" ref="D17:H17" si="23">D44</f>
        <v>170</v>
      </c>
      <c r="E17" s="22">
        <f t="shared" si="23"/>
        <v>172.5</v>
      </c>
      <c r="F17" s="22">
        <f t="shared" si="23"/>
        <v>172.5</v>
      </c>
      <c r="G17" s="22">
        <f t="shared" si="23"/>
        <v>175</v>
      </c>
      <c r="H17" s="22">
        <f t="shared" si="23"/>
        <v>175</v>
      </c>
    </row>
    <row r="18" spans="1:15">
      <c r="A18" s="22" t="s">
        <v>68</v>
      </c>
      <c r="B18" s="22" t="s">
        <v>45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15">
      <c r="A19" s="22" t="s">
        <v>495</v>
      </c>
      <c r="B19" s="22" t="s">
        <v>495</v>
      </c>
      <c r="C19" s="22">
        <v>435</v>
      </c>
      <c r="D19" s="22">
        <v>435</v>
      </c>
      <c r="E19" s="22">
        <v>435</v>
      </c>
      <c r="F19" s="22">
        <v>435</v>
      </c>
      <c r="G19" s="22">
        <v>435</v>
      </c>
      <c r="H19" s="22">
        <v>435</v>
      </c>
    </row>
    <row r="20" spans="1:15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</row>
    <row r="21" spans="1:15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</row>
    <row r="22" spans="1:15">
      <c r="A22" s="22" t="s">
        <v>1752</v>
      </c>
      <c r="B22" s="22" t="s">
        <v>1752</v>
      </c>
      <c r="C22" s="22">
        <v>155</v>
      </c>
      <c r="D22" s="22">
        <v>163</v>
      </c>
      <c r="E22" s="22">
        <v>170</v>
      </c>
      <c r="F22" s="22">
        <v>177</v>
      </c>
      <c r="G22" s="22">
        <v>183</v>
      </c>
      <c r="H22" s="22">
        <v>190</v>
      </c>
    </row>
    <row r="23" spans="1:15">
      <c r="A23" s="22" t="s">
        <v>1753</v>
      </c>
      <c r="B23" s="22" t="s">
        <v>1753</v>
      </c>
      <c r="C23" s="22">
        <v>163</v>
      </c>
      <c r="D23" s="22">
        <v>170</v>
      </c>
      <c r="E23" s="22">
        <v>177</v>
      </c>
      <c r="F23" s="22">
        <v>183</v>
      </c>
      <c r="G23" s="22">
        <v>190</v>
      </c>
      <c r="H23" s="22">
        <v>200</v>
      </c>
    </row>
    <row r="24" spans="1:15">
      <c r="A24" s="22" t="s">
        <v>2593</v>
      </c>
      <c r="B24" s="22" t="s">
        <v>2593</v>
      </c>
      <c r="C24" s="22">
        <v>155</v>
      </c>
      <c r="D24" s="22">
        <v>159</v>
      </c>
      <c r="E24" s="22">
        <v>169</v>
      </c>
      <c r="F24" s="22">
        <v>174</v>
      </c>
      <c r="G24" s="22">
        <v>179</v>
      </c>
      <c r="H24" s="22">
        <v>189</v>
      </c>
    </row>
    <row r="25" spans="1:15">
      <c r="A25" s="22" t="s">
        <v>2594</v>
      </c>
      <c r="B25" s="22" t="s">
        <v>2594</v>
      </c>
      <c r="C25" s="22">
        <v>166</v>
      </c>
      <c r="D25" s="22">
        <v>171</v>
      </c>
      <c r="E25" s="22">
        <v>181</v>
      </c>
      <c r="F25" s="22">
        <v>186</v>
      </c>
      <c r="G25" s="22">
        <v>191</v>
      </c>
      <c r="H25" s="22">
        <v>200</v>
      </c>
    </row>
    <row r="27" spans="1:15">
      <c r="A27" s="22" t="s">
        <v>1152</v>
      </c>
      <c r="B27" s="22" t="s">
        <v>1152</v>
      </c>
      <c r="C27" s="22" t="s">
        <v>16</v>
      </c>
      <c r="D27" s="22" t="s">
        <v>17</v>
      </c>
      <c r="E27" s="22" t="s">
        <v>18</v>
      </c>
      <c r="F27" s="22" t="s">
        <v>1715</v>
      </c>
      <c r="G27" s="22" t="s">
        <v>19</v>
      </c>
      <c r="H27" s="22" t="s">
        <v>20</v>
      </c>
      <c r="J27" s="82" t="s">
        <v>16</v>
      </c>
      <c r="K27" s="82" t="s">
        <v>17</v>
      </c>
      <c r="L27" s="82" t="s">
        <v>18</v>
      </c>
      <c r="M27" s="82" t="s">
        <v>1715</v>
      </c>
      <c r="N27" s="82" t="s">
        <v>19</v>
      </c>
      <c r="O27" s="82" t="s">
        <v>20</v>
      </c>
    </row>
    <row r="28" spans="1:15" ht="22">
      <c r="A28" s="22" t="s">
        <v>1152</v>
      </c>
      <c r="B28" s="22" t="s">
        <v>1152</v>
      </c>
      <c r="C28" s="22" t="s">
        <v>2073</v>
      </c>
      <c r="D28" s="22" t="s">
        <v>2073</v>
      </c>
      <c r="E28" s="22" t="s">
        <v>2073</v>
      </c>
      <c r="F28" s="22" t="s">
        <v>2073</v>
      </c>
      <c r="G28" s="22" t="s">
        <v>2073</v>
      </c>
      <c r="H28" s="22" t="s">
        <v>2073</v>
      </c>
      <c r="J28" s="83" t="s">
        <v>2116</v>
      </c>
      <c r="K28" s="83" t="s">
        <v>2118</v>
      </c>
      <c r="L28" s="83" t="s">
        <v>2120</v>
      </c>
      <c r="M28" s="83" t="s">
        <v>2122</v>
      </c>
      <c r="N28" s="83" t="s">
        <v>2124</v>
      </c>
      <c r="O28" s="83" t="s">
        <v>2126</v>
      </c>
    </row>
    <row r="29" spans="1:15" ht="22">
      <c r="A29" s="22" t="s">
        <v>1274</v>
      </c>
      <c r="B29" s="22" t="s">
        <v>2083</v>
      </c>
      <c r="C29" s="22">
        <v>430</v>
      </c>
      <c r="D29" s="22">
        <v>450</v>
      </c>
      <c r="E29" s="22">
        <v>470</v>
      </c>
      <c r="F29" s="22">
        <v>490</v>
      </c>
      <c r="G29" s="22">
        <v>510</v>
      </c>
      <c r="H29" s="22">
        <v>530</v>
      </c>
      <c r="J29" s="83" t="s">
        <v>2117</v>
      </c>
      <c r="K29" s="83" t="s">
        <v>2119</v>
      </c>
      <c r="L29" s="83" t="s">
        <v>2121</v>
      </c>
      <c r="M29" s="83" t="s">
        <v>2123</v>
      </c>
      <c r="N29" s="83" t="s">
        <v>2125</v>
      </c>
      <c r="O29" s="83" t="s">
        <v>2127</v>
      </c>
    </row>
    <row r="30" spans="1:15">
      <c r="A30" s="22" t="s">
        <v>1275</v>
      </c>
      <c r="B30" s="22" t="s">
        <v>31</v>
      </c>
      <c r="C30" s="22" t="s">
        <v>2074</v>
      </c>
      <c r="D30" s="22" t="s">
        <v>2075</v>
      </c>
      <c r="E30" s="22" t="s">
        <v>2075</v>
      </c>
      <c r="F30" s="22" t="s">
        <v>2076</v>
      </c>
      <c r="G30" s="22" t="s">
        <v>2076</v>
      </c>
      <c r="H30" s="22" t="s">
        <v>2076</v>
      </c>
    </row>
    <row r="31" spans="1:15">
      <c r="A31" s="22" t="s">
        <v>27</v>
      </c>
      <c r="B31" s="22" t="s">
        <v>2084</v>
      </c>
      <c r="C31" s="22">
        <v>543</v>
      </c>
      <c r="D31" s="22">
        <v>553</v>
      </c>
      <c r="E31" s="22">
        <v>560</v>
      </c>
      <c r="F31" s="22">
        <v>575</v>
      </c>
      <c r="G31" s="22">
        <v>585</v>
      </c>
      <c r="H31" s="22">
        <v>600</v>
      </c>
    </row>
    <row r="32" spans="1:15">
      <c r="A32" s="22" t="s">
        <v>888</v>
      </c>
      <c r="B32" s="22" t="s">
        <v>2085</v>
      </c>
      <c r="C32" s="22">
        <v>90</v>
      </c>
      <c r="D32" s="22">
        <v>100</v>
      </c>
      <c r="E32" s="22">
        <v>115</v>
      </c>
      <c r="F32" s="22">
        <v>130</v>
      </c>
      <c r="G32" s="22">
        <v>145</v>
      </c>
      <c r="H32" s="22">
        <v>160</v>
      </c>
    </row>
    <row r="33" spans="1:8">
      <c r="A33" s="22" t="s">
        <v>30</v>
      </c>
      <c r="B33" s="22" t="s">
        <v>34</v>
      </c>
      <c r="C33" s="22" t="s">
        <v>2077</v>
      </c>
      <c r="D33" s="22" t="s">
        <v>2078</v>
      </c>
      <c r="E33" s="22" t="s">
        <v>2079</v>
      </c>
      <c r="F33" s="22" t="s">
        <v>2080</v>
      </c>
      <c r="G33" s="22" t="s">
        <v>2080</v>
      </c>
      <c r="H33" s="22" t="s">
        <v>2080</v>
      </c>
    </row>
    <row r="34" spans="1:8">
      <c r="A34" s="22" t="s">
        <v>578</v>
      </c>
      <c r="B34" s="22" t="s">
        <v>2086</v>
      </c>
      <c r="C34" s="22">
        <v>45</v>
      </c>
      <c r="D34" s="22">
        <v>45</v>
      </c>
      <c r="E34" s="22">
        <v>45</v>
      </c>
      <c r="F34" s="22">
        <v>45</v>
      </c>
      <c r="G34" s="22">
        <v>45</v>
      </c>
      <c r="H34" s="22">
        <v>45</v>
      </c>
    </row>
    <row r="35" spans="1:8">
      <c r="A35" s="22" t="s">
        <v>889</v>
      </c>
      <c r="B35" s="22" t="s">
        <v>2087</v>
      </c>
      <c r="C35" s="22" t="s">
        <v>2088</v>
      </c>
      <c r="D35" s="22" t="s">
        <v>2089</v>
      </c>
      <c r="E35" s="22" t="s">
        <v>2090</v>
      </c>
      <c r="F35" s="22" t="s">
        <v>2091</v>
      </c>
      <c r="G35" s="22" t="s">
        <v>2091</v>
      </c>
      <c r="H35" s="22" t="s">
        <v>2091</v>
      </c>
    </row>
    <row r="36" spans="1:8">
      <c r="A36" s="22" t="s">
        <v>1276</v>
      </c>
      <c r="B36" s="22" t="s">
        <v>2092</v>
      </c>
      <c r="C36" s="22" t="s">
        <v>2093</v>
      </c>
      <c r="D36" s="22" t="s">
        <v>2094</v>
      </c>
      <c r="E36" s="22" t="s">
        <v>2095</v>
      </c>
      <c r="F36" s="22" t="s">
        <v>2096</v>
      </c>
      <c r="G36" s="22" t="s">
        <v>2097</v>
      </c>
      <c r="H36" s="22" t="s">
        <v>2098</v>
      </c>
    </row>
    <row r="37" spans="1:8">
      <c r="A37" s="22" t="s">
        <v>1277</v>
      </c>
      <c r="B37" s="22" t="s">
        <v>2099</v>
      </c>
      <c r="C37" s="22" t="s">
        <v>2100</v>
      </c>
      <c r="D37" s="22" t="s">
        <v>2100</v>
      </c>
      <c r="E37" s="22" t="s">
        <v>2100</v>
      </c>
      <c r="F37" s="22" t="s">
        <v>2100</v>
      </c>
      <c r="G37" s="22" t="s">
        <v>2100</v>
      </c>
      <c r="H37" s="22" t="s">
        <v>2100</v>
      </c>
    </row>
    <row r="38" spans="1:8">
      <c r="A38" s="22" t="s">
        <v>1278</v>
      </c>
      <c r="B38" s="22" t="s">
        <v>2101</v>
      </c>
      <c r="C38" s="22" t="s">
        <v>2102</v>
      </c>
      <c r="D38" s="22" t="s">
        <v>2102</v>
      </c>
      <c r="E38" s="22" t="s">
        <v>2102</v>
      </c>
      <c r="F38" s="22" t="s">
        <v>2102</v>
      </c>
      <c r="G38" s="22" t="s">
        <v>2102</v>
      </c>
      <c r="H38" s="22" t="s">
        <v>2102</v>
      </c>
    </row>
    <row r="39" spans="1:8">
      <c r="A39" s="22" t="s">
        <v>1855</v>
      </c>
      <c r="B39" s="22" t="s">
        <v>2103</v>
      </c>
      <c r="C39" s="22">
        <v>549</v>
      </c>
      <c r="D39" s="22">
        <v>560</v>
      </c>
      <c r="E39" s="22">
        <v>576</v>
      </c>
      <c r="F39" s="22">
        <v>592</v>
      </c>
      <c r="G39" s="22">
        <v>607</v>
      </c>
      <c r="H39" s="22">
        <v>621</v>
      </c>
    </row>
    <row r="40" spans="1:8">
      <c r="A40" s="22" t="s">
        <v>19</v>
      </c>
      <c r="B40" s="22" t="s">
        <v>2104</v>
      </c>
      <c r="C40" s="22">
        <v>386</v>
      </c>
      <c r="D40" s="22">
        <v>387</v>
      </c>
      <c r="E40" s="22">
        <v>389</v>
      </c>
      <c r="F40" s="22">
        <v>393</v>
      </c>
      <c r="G40" s="22">
        <v>399</v>
      </c>
      <c r="H40" s="22">
        <v>410</v>
      </c>
    </row>
    <row r="41" spans="1:8">
      <c r="A41" s="22" t="s">
        <v>18</v>
      </c>
      <c r="B41" s="22" t="s">
        <v>2105</v>
      </c>
      <c r="C41" s="22" t="s">
        <v>2106</v>
      </c>
      <c r="D41" s="22" t="s">
        <v>2107</v>
      </c>
      <c r="E41" s="22" t="s">
        <v>2108</v>
      </c>
      <c r="F41" s="22" t="s">
        <v>2109</v>
      </c>
      <c r="G41" s="22" t="s">
        <v>2110</v>
      </c>
      <c r="H41" s="22" t="s">
        <v>2111</v>
      </c>
    </row>
    <row r="42" spans="1:8">
      <c r="A42" s="22" t="s">
        <v>1868</v>
      </c>
      <c r="B42" s="22" t="s">
        <v>2112</v>
      </c>
      <c r="C42" s="22">
        <v>440</v>
      </c>
      <c r="D42" s="22">
        <v>440</v>
      </c>
      <c r="E42" s="22">
        <v>460</v>
      </c>
      <c r="F42" s="22">
        <v>460</v>
      </c>
      <c r="G42" s="22">
        <v>480</v>
      </c>
      <c r="H42" s="22">
        <v>480</v>
      </c>
    </row>
    <row r="43" spans="1:8">
      <c r="A43" s="22" t="s">
        <v>2081</v>
      </c>
      <c r="B43" s="22" t="s">
        <v>2113</v>
      </c>
      <c r="C43" s="22">
        <v>50</v>
      </c>
      <c r="D43" s="22">
        <v>60</v>
      </c>
      <c r="E43" s="22">
        <v>70</v>
      </c>
      <c r="F43" s="22">
        <v>80</v>
      </c>
      <c r="G43" s="22">
        <v>80</v>
      </c>
      <c r="H43" s="22">
        <v>80</v>
      </c>
    </row>
    <row r="44" spans="1:8">
      <c r="A44" s="22" t="s">
        <v>887</v>
      </c>
      <c r="B44" s="22" t="s">
        <v>2114</v>
      </c>
      <c r="C44" s="22">
        <v>170</v>
      </c>
      <c r="D44" s="22">
        <v>170</v>
      </c>
      <c r="E44" s="22">
        <v>172.5</v>
      </c>
      <c r="F44" s="22">
        <v>172.5</v>
      </c>
      <c r="G44" s="22">
        <v>175</v>
      </c>
      <c r="H44" s="22">
        <v>175</v>
      </c>
    </row>
    <row r="45" spans="1:8">
      <c r="A45" s="22" t="s">
        <v>2082</v>
      </c>
      <c r="B45" s="22" t="s">
        <v>45</v>
      </c>
      <c r="C45" s="22" t="s">
        <v>46</v>
      </c>
      <c r="D45" s="22" t="s">
        <v>46</v>
      </c>
      <c r="E45" s="22" t="s">
        <v>46</v>
      </c>
      <c r="F45" s="22" t="s">
        <v>46</v>
      </c>
      <c r="G45" s="22" t="s">
        <v>46</v>
      </c>
      <c r="H45" s="22" t="s">
        <v>46</v>
      </c>
    </row>
    <row r="46" spans="1:8" ht="22">
      <c r="B46" s="22" t="s">
        <v>2128</v>
      </c>
      <c r="C46" s="83" t="s">
        <v>2130</v>
      </c>
      <c r="D46" s="83" t="s">
        <v>2131</v>
      </c>
      <c r="E46" s="83" t="s">
        <v>2132</v>
      </c>
      <c r="F46" s="83" t="s">
        <v>2133</v>
      </c>
      <c r="G46" s="83" t="s">
        <v>2134</v>
      </c>
      <c r="H46" s="83" t="s">
        <v>2135</v>
      </c>
    </row>
    <row r="47" spans="1:8" ht="22">
      <c r="B47" s="22" t="s">
        <v>2129</v>
      </c>
      <c r="C47" s="83" t="s">
        <v>2117</v>
      </c>
      <c r="D47" s="83" t="s">
        <v>2119</v>
      </c>
      <c r="E47" s="83" t="s">
        <v>2121</v>
      </c>
      <c r="F47" s="83" t="s">
        <v>2123</v>
      </c>
      <c r="G47" s="83" t="s">
        <v>2125</v>
      </c>
      <c r="H47" s="83" t="s">
        <v>2127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B330-E22B-1C4B-96E3-C3ECB539CFE9}">
  <dimension ref="A1:G49"/>
  <sheetViews>
    <sheetView topLeftCell="A10" workbookViewId="0">
      <selection activeCell="A26" sqref="A26"/>
    </sheetView>
  </sheetViews>
  <sheetFormatPr baseColWidth="10" defaultRowHeight="20"/>
  <cols>
    <col min="1" max="2" width="29.33203125" style="22" bestFit="1" customWidth="1"/>
    <col min="3" max="3" width="29.83203125" style="52" bestFit="1" customWidth="1"/>
    <col min="4" max="16384" width="10.83203125" style="22"/>
  </cols>
  <sheetData>
    <row r="1" spans="1:7">
      <c r="A1" s="22" t="s">
        <v>72</v>
      </c>
      <c r="B1" s="22" t="s">
        <v>72</v>
      </c>
      <c r="C1" s="52" t="s">
        <v>138</v>
      </c>
      <c r="D1" s="53" t="s">
        <v>17</v>
      </c>
      <c r="E1" s="53" t="s">
        <v>18</v>
      </c>
      <c r="F1" s="53" t="s">
        <v>19</v>
      </c>
      <c r="G1" s="53" t="s">
        <v>20</v>
      </c>
    </row>
    <row r="2" spans="1:7">
      <c r="A2" s="22" t="s">
        <v>54</v>
      </c>
      <c r="B2" s="22" t="s">
        <v>55</v>
      </c>
      <c r="C2" s="54" t="s">
        <v>1463</v>
      </c>
      <c r="D2" s="22">
        <f>VALUE(LEFT(D31,3))</f>
        <v>420</v>
      </c>
      <c r="E2" s="22">
        <f t="shared" ref="E2:G2" si="0">VALUE(LEFT(E31,3))</f>
        <v>440</v>
      </c>
      <c r="F2" s="22">
        <f t="shared" si="0"/>
        <v>465</v>
      </c>
      <c r="G2" s="22">
        <f t="shared" si="0"/>
        <v>490</v>
      </c>
    </row>
    <row r="3" spans="1:7">
      <c r="A3" s="22" t="s">
        <v>55</v>
      </c>
      <c r="B3" s="22" t="s">
        <v>54</v>
      </c>
      <c r="C3" s="54" t="s">
        <v>1465</v>
      </c>
      <c r="D3" s="22">
        <f t="shared" ref="D3:G19" si="1">VALUE(LEFT(D32,3))</f>
        <v>555</v>
      </c>
      <c r="E3" s="22">
        <f t="shared" si="1"/>
        <v>583</v>
      </c>
      <c r="F3" s="22">
        <f t="shared" si="1"/>
        <v>606</v>
      </c>
      <c r="G3" s="22">
        <f t="shared" si="1"/>
        <v>633</v>
      </c>
    </row>
    <row r="4" spans="1:7">
      <c r="A4" s="22" t="s">
        <v>60</v>
      </c>
      <c r="B4" s="22" t="s">
        <v>64</v>
      </c>
      <c r="C4" s="54" t="s">
        <v>1468</v>
      </c>
      <c r="D4" s="22">
        <f t="shared" si="1"/>
        <v>115</v>
      </c>
      <c r="E4" s="22">
        <f t="shared" si="1"/>
        <v>145</v>
      </c>
      <c r="F4" s="22">
        <f t="shared" si="1"/>
        <v>175</v>
      </c>
      <c r="G4" s="22">
        <f t="shared" si="1"/>
        <v>205</v>
      </c>
    </row>
    <row r="5" spans="1:7">
      <c r="A5" s="22" t="s">
        <v>73</v>
      </c>
      <c r="B5" s="22" t="s">
        <v>62</v>
      </c>
      <c r="C5" s="54" t="s">
        <v>1471</v>
      </c>
      <c r="D5" s="22">
        <f>VALUE(LEFT(D34,4))</f>
        <v>67.5</v>
      </c>
      <c r="E5" s="22">
        <f t="shared" ref="E5:G5" si="2">VALUE(LEFT(E34,4))</f>
        <v>67.5</v>
      </c>
      <c r="F5" s="22">
        <f t="shared" si="2"/>
        <v>67.5</v>
      </c>
      <c r="G5" s="22">
        <f t="shared" si="2"/>
        <v>67.5</v>
      </c>
    </row>
    <row r="6" spans="1:7">
      <c r="A6" s="22" t="s">
        <v>62</v>
      </c>
      <c r="B6" s="22" t="s">
        <v>60</v>
      </c>
      <c r="C6" s="54" t="s">
        <v>1473</v>
      </c>
      <c r="D6" s="22">
        <f t="shared" si="1"/>
        <v>390</v>
      </c>
      <c r="E6" s="22">
        <f t="shared" si="1"/>
        <v>430</v>
      </c>
      <c r="F6" s="22">
        <f t="shared" si="1"/>
        <v>470</v>
      </c>
      <c r="G6" s="22">
        <f t="shared" si="1"/>
        <v>510</v>
      </c>
    </row>
    <row r="7" spans="1:7">
      <c r="A7" s="22" t="s">
        <v>63</v>
      </c>
      <c r="B7" s="22" t="s">
        <v>135</v>
      </c>
      <c r="C7" s="54" t="s">
        <v>1474</v>
      </c>
      <c r="D7" s="22">
        <f t="shared" si="1"/>
        <v>104</v>
      </c>
      <c r="E7" s="22">
        <f t="shared" si="1"/>
        <v>104</v>
      </c>
      <c r="F7" s="22">
        <f t="shared" si="1"/>
        <v>104</v>
      </c>
      <c r="G7" s="22">
        <f t="shared" si="1"/>
        <v>104</v>
      </c>
    </row>
    <row r="8" spans="1:7">
      <c r="A8" s="22" t="s">
        <v>64</v>
      </c>
      <c r="B8" s="22" t="s">
        <v>134</v>
      </c>
      <c r="C8" s="54" t="s">
        <v>1475</v>
      </c>
      <c r="D8" s="22">
        <f t="shared" si="1"/>
        <v>668</v>
      </c>
      <c r="E8" s="22">
        <f t="shared" si="1"/>
        <v>699</v>
      </c>
      <c r="F8" s="22">
        <f t="shared" si="1"/>
        <v>735</v>
      </c>
      <c r="G8" s="22">
        <f t="shared" si="1"/>
        <v>771</v>
      </c>
    </row>
    <row r="9" spans="1:7">
      <c r="A9" s="22" t="s">
        <v>65</v>
      </c>
      <c r="B9" s="22" t="s">
        <v>65</v>
      </c>
      <c r="C9" s="54" t="s">
        <v>1480</v>
      </c>
      <c r="D9" s="22">
        <f>VALUE(LEFT(D38,2))</f>
        <v>81</v>
      </c>
      <c r="E9" s="22">
        <f t="shared" ref="E9:G9" si="3">VALUE(LEFT(E38,2))</f>
        <v>81</v>
      </c>
      <c r="F9" s="22">
        <f t="shared" si="3"/>
        <v>76</v>
      </c>
      <c r="G9" s="22">
        <f t="shared" si="3"/>
        <v>76</v>
      </c>
    </row>
    <row r="10" spans="1:7">
      <c r="A10" s="22" t="s">
        <v>66</v>
      </c>
      <c r="B10" s="22" t="s">
        <v>56</v>
      </c>
      <c r="C10" s="54" t="s">
        <v>1483</v>
      </c>
      <c r="D10" s="22">
        <f>VALUE(LEFT(D39,4))</f>
        <v>1105</v>
      </c>
      <c r="E10" s="22">
        <f t="shared" ref="E10:G10" si="4">VALUE(LEFT(E39,4))</f>
        <v>1137</v>
      </c>
      <c r="F10" s="22">
        <f t="shared" si="4"/>
        <v>1175</v>
      </c>
      <c r="G10" s="22">
        <f t="shared" si="4"/>
        <v>1210</v>
      </c>
    </row>
    <row r="11" spans="1:7">
      <c r="A11" s="22" t="s">
        <v>56</v>
      </c>
      <c r="B11" s="22" t="s">
        <v>66</v>
      </c>
      <c r="C11" s="54" t="s">
        <v>1488</v>
      </c>
      <c r="D11" s="22">
        <f t="shared" si="1"/>
        <v>450</v>
      </c>
      <c r="E11" s="22">
        <f t="shared" si="1"/>
        <v>450</v>
      </c>
      <c r="F11" s="22">
        <f t="shared" si="1"/>
        <v>450</v>
      </c>
      <c r="G11" s="22">
        <f t="shared" si="1"/>
        <v>450</v>
      </c>
    </row>
    <row r="12" spans="1:7">
      <c r="A12" s="22" t="s">
        <v>67</v>
      </c>
      <c r="B12" s="22" t="s">
        <v>73</v>
      </c>
      <c r="C12" s="54" t="s">
        <v>1489</v>
      </c>
      <c r="D12" s="22">
        <f t="shared" si="1"/>
        <v>561</v>
      </c>
      <c r="E12" s="22">
        <f t="shared" si="1"/>
        <v>587</v>
      </c>
      <c r="F12" s="22">
        <f t="shared" si="1"/>
        <v>617</v>
      </c>
      <c r="G12" s="22">
        <f t="shared" si="1"/>
        <v>649</v>
      </c>
    </row>
    <row r="13" spans="1:7">
      <c r="A13" s="22" t="s">
        <v>57</v>
      </c>
      <c r="B13" s="22" t="s">
        <v>63</v>
      </c>
      <c r="C13" s="54" t="s">
        <v>1493</v>
      </c>
      <c r="D13" s="22">
        <f>VALUE(LEFT(D42,2))</f>
        <v>74</v>
      </c>
      <c r="E13" s="22">
        <f t="shared" ref="E13:G13" si="5">VALUE(LEFT(E42,2))</f>
        <v>74</v>
      </c>
      <c r="F13" s="22">
        <f t="shared" si="5"/>
        <v>74</v>
      </c>
      <c r="G13" s="22">
        <f t="shared" si="5"/>
        <v>74</v>
      </c>
    </row>
    <row r="14" spans="1:7">
      <c r="A14" s="22" t="s">
        <v>69</v>
      </c>
      <c r="B14" s="22" t="s">
        <v>57</v>
      </c>
      <c r="C14" s="54" t="s">
        <v>1494</v>
      </c>
      <c r="D14" s="22">
        <f t="shared" si="1"/>
        <v>680</v>
      </c>
      <c r="E14" s="22">
        <f t="shared" si="1"/>
        <v>720</v>
      </c>
      <c r="F14" s="22">
        <f t="shared" si="1"/>
        <v>760</v>
      </c>
      <c r="G14" s="22">
        <f t="shared" si="1"/>
        <v>795</v>
      </c>
    </row>
    <row r="15" spans="1:7">
      <c r="A15" s="22" t="s">
        <v>70</v>
      </c>
      <c r="B15" s="22" t="s">
        <v>1510</v>
      </c>
      <c r="C15" s="54" t="s">
        <v>1499</v>
      </c>
      <c r="D15" s="22">
        <f t="shared" si="1"/>
        <v>585</v>
      </c>
      <c r="E15" s="22">
        <f t="shared" si="1"/>
        <v>689</v>
      </c>
      <c r="F15" s="22">
        <f t="shared" si="1"/>
        <v>720</v>
      </c>
      <c r="G15" s="22">
        <f t="shared" si="1"/>
        <v>780</v>
      </c>
    </row>
    <row r="16" spans="1:7">
      <c r="A16" s="22" t="s">
        <v>71</v>
      </c>
      <c r="B16" s="22" t="s">
        <v>71</v>
      </c>
      <c r="C16" s="55" t="s">
        <v>13</v>
      </c>
      <c r="D16" s="22">
        <f>VALUE(LEFT(D45,2))</f>
        <v>40</v>
      </c>
      <c r="E16" s="22">
        <f t="shared" ref="E16:G16" si="6">VALUE(LEFT(E45,2))</f>
        <v>50</v>
      </c>
      <c r="F16" s="22">
        <f t="shared" si="6"/>
        <v>50</v>
      </c>
      <c r="G16" s="22">
        <f t="shared" si="6"/>
        <v>50</v>
      </c>
    </row>
    <row r="17" spans="1:7">
      <c r="A17" s="22" t="s">
        <v>68</v>
      </c>
      <c r="B17" s="22" t="s">
        <v>69</v>
      </c>
      <c r="C17" s="55" t="s">
        <v>58</v>
      </c>
      <c r="D17" s="22">
        <f t="shared" si="1"/>
        <v>165</v>
      </c>
      <c r="E17" s="22">
        <f t="shared" si="1"/>
        <v>165</v>
      </c>
      <c r="F17" s="22">
        <f t="shared" si="1"/>
        <v>170</v>
      </c>
      <c r="G17" s="22">
        <f t="shared" si="1"/>
        <v>170</v>
      </c>
    </row>
    <row r="18" spans="1:7">
      <c r="A18" s="22" t="s">
        <v>139</v>
      </c>
      <c r="B18" s="22" t="s">
        <v>1511</v>
      </c>
      <c r="C18" s="54" t="s">
        <v>1505</v>
      </c>
    </row>
    <row r="19" spans="1:7">
      <c r="A19" s="22" t="s">
        <v>140</v>
      </c>
      <c r="B19" s="22" t="s">
        <v>70</v>
      </c>
      <c r="C19" s="55" t="s">
        <v>1507</v>
      </c>
      <c r="D19" s="22">
        <f t="shared" si="1"/>
        <v>780</v>
      </c>
      <c r="E19" s="22">
        <f t="shared" si="1"/>
        <v>780</v>
      </c>
      <c r="F19" s="22">
        <f t="shared" si="1"/>
        <v>780</v>
      </c>
      <c r="G19" s="22">
        <f t="shared" si="1"/>
        <v>780</v>
      </c>
    </row>
    <row r="20" spans="1:7">
      <c r="B20" s="22" t="s">
        <v>67</v>
      </c>
      <c r="C20" s="54" t="s">
        <v>1508</v>
      </c>
      <c r="D20" s="22">
        <f>VALUE(LEFT(D49,2))</f>
        <v>44</v>
      </c>
      <c r="E20" s="22">
        <f t="shared" ref="E20:G20" si="7">VALUE(LEFT(E49,2))</f>
        <v>44</v>
      </c>
      <c r="F20" s="22">
        <f t="shared" si="7"/>
        <v>44</v>
      </c>
      <c r="G20" s="22">
        <f t="shared" si="7"/>
        <v>44</v>
      </c>
    </row>
    <row r="21" spans="1:7">
      <c r="B21" s="22" t="s">
        <v>68</v>
      </c>
      <c r="C21" s="22" t="s">
        <v>68</v>
      </c>
      <c r="D21" s="22">
        <v>700</v>
      </c>
      <c r="E21" s="22">
        <v>700</v>
      </c>
      <c r="F21" s="22">
        <v>700</v>
      </c>
      <c r="G21" s="22">
        <v>700</v>
      </c>
    </row>
    <row r="22" spans="1:7">
      <c r="B22" s="22" t="s">
        <v>139</v>
      </c>
      <c r="C22" s="22" t="s">
        <v>139</v>
      </c>
      <c r="D22" s="22">
        <v>50</v>
      </c>
      <c r="E22" s="22">
        <v>50</v>
      </c>
      <c r="F22" s="22">
        <v>50</v>
      </c>
      <c r="G22" s="22">
        <v>50</v>
      </c>
    </row>
    <row r="23" spans="1:7">
      <c r="B23" s="22" t="s">
        <v>140</v>
      </c>
      <c r="C23" s="22" t="s">
        <v>140</v>
      </c>
      <c r="D23" s="22">
        <f>2*25.4</f>
        <v>50.8</v>
      </c>
      <c r="E23" s="22">
        <f t="shared" ref="E23:G23" si="8">2*25.4</f>
        <v>50.8</v>
      </c>
      <c r="F23" s="22">
        <f t="shared" si="8"/>
        <v>50.8</v>
      </c>
      <c r="G23" s="22">
        <f t="shared" si="8"/>
        <v>50.8</v>
      </c>
    </row>
    <row r="30" spans="1:7">
      <c r="C30" s="56" t="s">
        <v>17</v>
      </c>
      <c r="D30" s="53" t="s">
        <v>18</v>
      </c>
      <c r="E30" s="53" t="s">
        <v>19</v>
      </c>
      <c r="F30" s="53" t="s">
        <v>20</v>
      </c>
    </row>
    <row r="31" spans="1:7">
      <c r="C31" s="54" t="s">
        <v>1463</v>
      </c>
      <c r="D31" s="22" t="s">
        <v>610</v>
      </c>
      <c r="E31" s="22" t="s">
        <v>611</v>
      </c>
      <c r="F31" s="22" t="s">
        <v>1464</v>
      </c>
      <c r="G31" s="22" t="s">
        <v>239</v>
      </c>
    </row>
    <row r="32" spans="1:7">
      <c r="C32" s="54" t="s">
        <v>1465</v>
      </c>
      <c r="D32" s="22" t="s">
        <v>227</v>
      </c>
      <c r="E32" s="22" t="s">
        <v>1466</v>
      </c>
      <c r="F32" s="22" t="s">
        <v>852</v>
      </c>
      <c r="G32" s="22" t="s">
        <v>1467</v>
      </c>
    </row>
    <row r="33" spans="3:7">
      <c r="C33" s="54" t="s">
        <v>1468</v>
      </c>
      <c r="D33" s="22" t="s">
        <v>241</v>
      </c>
      <c r="E33" s="22" t="s">
        <v>1469</v>
      </c>
      <c r="F33" s="22" t="s">
        <v>243</v>
      </c>
      <c r="G33" s="22" t="s">
        <v>1470</v>
      </c>
    </row>
    <row r="34" spans="3:7">
      <c r="C34" s="54" t="s">
        <v>1471</v>
      </c>
      <c r="D34" s="22" t="s">
        <v>1472</v>
      </c>
      <c r="E34" s="22" t="s">
        <v>1472</v>
      </c>
      <c r="F34" s="22" t="s">
        <v>1472</v>
      </c>
      <c r="G34" s="22" t="s">
        <v>1472</v>
      </c>
    </row>
    <row r="35" spans="3:7">
      <c r="C35" s="54" t="s">
        <v>1473</v>
      </c>
      <c r="D35" s="22" t="s">
        <v>620</v>
      </c>
      <c r="E35" s="22" t="s">
        <v>237</v>
      </c>
      <c r="F35" s="22" t="s">
        <v>636</v>
      </c>
      <c r="G35" s="22" t="s">
        <v>1162</v>
      </c>
    </row>
    <row r="36" spans="3:7">
      <c r="C36" s="54" t="s">
        <v>1474</v>
      </c>
      <c r="D36" s="22" t="s">
        <v>612</v>
      </c>
      <c r="E36" s="22" t="s">
        <v>612</v>
      </c>
      <c r="F36" s="22" t="s">
        <v>612</v>
      </c>
      <c r="G36" s="22" t="s">
        <v>612</v>
      </c>
    </row>
    <row r="37" spans="3:7">
      <c r="C37" s="54" t="s">
        <v>1475</v>
      </c>
      <c r="D37" s="22" t="s">
        <v>1476</v>
      </c>
      <c r="E37" s="22" t="s">
        <v>1477</v>
      </c>
      <c r="F37" s="22" t="s">
        <v>1478</v>
      </c>
      <c r="G37" s="22" t="s">
        <v>1479</v>
      </c>
    </row>
    <row r="38" spans="3:7">
      <c r="C38" s="54" t="s">
        <v>1480</v>
      </c>
      <c r="D38" s="22" t="s">
        <v>1481</v>
      </c>
      <c r="E38" s="22" t="s">
        <v>1481</v>
      </c>
      <c r="F38" s="22" t="s">
        <v>1482</v>
      </c>
      <c r="G38" s="22" t="s">
        <v>1482</v>
      </c>
    </row>
    <row r="39" spans="3:7">
      <c r="C39" s="54" t="s">
        <v>1483</v>
      </c>
      <c r="D39" s="22" t="s">
        <v>1484</v>
      </c>
      <c r="E39" s="22" t="s">
        <v>1485</v>
      </c>
      <c r="F39" s="22" t="s">
        <v>1486</v>
      </c>
      <c r="G39" s="22" t="s">
        <v>1487</v>
      </c>
    </row>
    <row r="40" spans="3:7">
      <c r="C40" s="54" t="s">
        <v>1488</v>
      </c>
      <c r="D40" s="22" t="s">
        <v>249</v>
      </c>
      <c r="E40" s="22" t="s">
        <v>249</v>
      </c>
      <c r="F40" s="22" t="s">
        <v>249</v>
      </c>
      <c r="G40" s="22" t="s">
        <v>249</v>
      </c>
    </row>
    <row r="41" spans="3:7">
      <c r="C41" s="54" t="s">
        <v>1489</v>
      </c>
      <c r="D41" s="22" t="s">
        <v>1490</v>
      </c>
      <c r="E41" s="22" t="s">
        <v>1177</v>
      </c>
      <c r="F41" s="22" t="s">
        <v>1491</v>
      </c>
      <c r="G41" s="22" t="s">
        <v>1492</v>
      </c>
    </row>
    <row r="42" spans="3:7">
      <c r="C42" s="54" t="s">
        <v>1493</v>
      </c>
      <c r="D42" s="22" t="s">
        <v>32</v>
      </c>
      <c r="E42" s="22" t="s">
        <v>32</v>
      </c>
      <c r="F42" s="22" t="s">
        <v>32</v>
      </c>
      <c r="G42" s="22" t="s">
        <v>32</v>
      </c>
    </row>
    <row r="43" spans="3:7">
      <c r="C43" s="54" t="s">
        <v>1494</v>
      </c>
      <c r="D43" s="22" t="s">
        <v>1495</v>
      </c>
      <c r="E43" s="22" t="s">
        <v>1496</v>
      </c>
      <c r="F43" s="22" t="s">
        <v>1497</v>
      </c>
      <c r="G43" s="22" t="s">
        <v>1498</v>
      </c>
    </row>
    <row r="44" spans="3:7">
      <c r="C44" s="54" t="s">
        <v>1499</v>
      </c>
      <c r="D44" s="22" t="s">
        <v>1500</v>
      </c>
      <c r="E44" s="22" t="s">
        <v>1501</v>
      </c>
      <c r="F44" s="22" t="s">
        <v>1496</v>
      </c>
      <c r="G44" s="22" t="s">
        <v>1502</v>
      </c>
    </row>
    <row r="45" spans="3:7">
      <c r="C45" s="55" t="s">
        <v>13</v>
      </c>
      <c r="D45" s="22" t="s">
        <v>1503</v>
      </c>
      <c r="E45" s="22" t="s">
        <v>1504</v>
      </c>
      <c r="F45" s="22" t="s">
        <v>1504</v>
      </c>
      <c r="G45" s="22" t="s">
        <v>1504</v>
      </c>
    </row>
    <row r="46" spans="3:7">
      <c r="C46" s="55" t="s">
        <v>58</v>
      </c>
      <c r="D46" s="22" t="s">
        <v>1290</v>
      </c>
      <c r="E46" s="22" t="s">
        <v>1290</v>
      </c>
      <c r="F46" s="22" t="s">
        <v>1190</v>
      </c>
      <c r="G46" s="22" t="s">
        <v>1190</v>
      </c>
    </row>
    <row r="47" spans="3:7">
      <c r="C47" s="54" t="s">
        <v>1505</v>
      </c>
      <c r="D47" s="22" t="s">
        <v>1506</v>
      </c>
      <c r="E47" s="22" t="s">
        <v>1506</v>
      </c>
      <c r="F47" s="22" t="s">
        <v>1506</v>
      </c>
      <c r="G47" s="22" t="s">
        <v>1506</v>
      </c>
    </row>
    <row r="48" spans="3:7">
      <c r="C48" s="55" t="s">
        <v>1507</v>
      </c>
      <c r="D48" s="22" t="s">
        <v>1502</v>
      </c>
      <c r="E48" s="22" t="s">
        <v>1502</v>
      </c>
      <c r="F48" s="22" t="s">
        <v>1502</v>
      </c>
      <c r="G48" s="22" t="s">
        <v>1502</v>
      </c>
    </row>
    <row r="49" spans="3:7">
      <c r="C49" s="54" t="s">
        <v>1508</v>
      </c>
      <c r="D49" s="22" t="s">
        <v>1509</v>
      </c>
      <c r="E49" s="22" t="s">
        <v>1509</v>
      </c>
      <c r="F49" s="22" t="s">
        <v>1509</v>
      </c>
      <c r="G49" s="22" t="s">
        <v>1509</v>
      </c>
    </row>
  </sheetData>
  <hyperlinks>
    <hyperlink ref="C2" r:id="rId1" location="diagram-A" display="https://hudskibikes.com/products/doggler-gravel-bike - diagram-A" xr:uid="{E0C7ECA2-AF93-A046-B0C7-7D658699F7C8}"/>
    <hyperlink ref="C3" r:id="rId2" location="diagram-B" display="https://hudskibikes.com/products/doggler-gravel-bike - diagram-B" xr:uid="{351F2DEB-0B78-164C-AA77-CE8615D02600}"/>
    <hyperlink ref="C4" r:id="rId3" location="diagram-C" display="https://hudskibikes.com/products/doggler-gravel-bike - diagram-C" xr:uid="{D031F426-ED48-8042-9C95-BD56DC44342D}"/>
    <hyperlink ref="C5" r:id="rId4" location="diagram-D" display="https://hudskibikes.com/products/doggler-gravel-bike - diagram-D" xr:uid="{A3D58541-A5D6-D24D-9B82-7002FC95FCE3}"/>
    <hyperlink ref="C6" r:id="rId5" location="diagram-E" display="https://hudskibikes.com/products/doggler-gravel-bike - diagram-E" xr:uid="{B879C090-3416-1746-B4BA-F2ED2C57C2DE}"/>
    <hyperlink ref="C7" r:id="rId6" location="diagram-F" display="https://hudskibikes.com/products/doggler-gravel-bike - diagram-F" xr:uid="{0E224B82-F0C2-2D4C-B170-26EF604B919D}"/>
    <hyperlink ref="C8" r:id="rId7" location="diagram-G" display="https://hudskibikes.com/products/doggler-gravel-bike - diagram-G" xr:uid="{2E3C360E-0462-224F-8CFA-4FE33AA39B13}"/>
    <hyperlink ref="C9" r:id="rId8" location="diagram-H" display="https://hudskibikes.com/products/doggler-gravel-bike - diagram-H" xr:uid="{F2EAB5F4-320E-1C4A-9A79-DA0EB943ED6D}"/>
    <hyperlink ref="C10" r:id="rId9" location="diagram-I" display="https://hudskibikes.com/products/doggler-gravel-bike - diagram-I" xr:uid="{AD17A237-8023-1B48-9A61-3E1933AD7D22}"/>
    <hyperlink ref="C11" r:id="rId10" location="diagram-J" display="https://hudskibikes.com/products/doggler-gravel-bike - diagram-J" xr:uid="{4D659315-F2D4-EC4E-BA18-C2E6388B1BB8}"/>
    <hyperlink ref="C12" r:id="rId11" location="diagram-K" display="https://hudskibikes.com/products/doggler-gravel-bike - diagram-K" xr:uid="{AF17B432-DF56-4F46-AD3B-8C97C926B3DC}"/>
    <hyperlink ref="C13" r:id="rId12" location="diagram-L" display="https://hudskibikes.com/products/doggler-gravel-bike - diagram-L" xr:uid="{A221C142-4706-5447-9301-E8BA8052D231}"/>
    <hyperlink ref="C14" r:id="rId13" location="diagram-M" display="https://hudskibikes.com/products/doggler-gravel-bike - diagram-M" xr:uid="{311E5CF5-E7EF-9E40-9B43-06126FE14B90}"/>
    <hyperlink ref="C15" r:id="rId14" location="diagram-N" display="https://hudskibikes.com/products/doggler-gravel-bike - diagram-N" xr:uid="{C74EAAC2-A02B-9B4A-93F2-D04B63FD10FD}"/>
    <hyperlink ref="C18" r:id="rId15" location="diagram-O" display="https://hudskibikes.com/products/doggler-gravel-bike - diagram-O" xr:uid="{21A8182C-5D3B-034B-9AA7-342364242136}"/>
    <hyperlink ref="C20" r:id="rId16" location="diagram-P" display="https://hudskibikes.com/products/doggler-gravel-bike - diagram-P" xr:uid="{57004BDA-EC1A-C642-AF03-A88A72909245}"/>
    <hyperlink ref="C31" r:id="rId17" location="diagram-A" display="https://hudskibikes.com/products/doggler-gravel-bike - diagram-A" xr:uid="{40257CDB-605A-3A4E-A0D2-BB8EDF890F0F}"/>
    <hyperlink ref="C32" r:id="rId18" location="diagram-B" display="https://hudskibikes.com/products/doggler-gravel-bike - diagram-B" xr:uid="{2C5EBFFE-5651-0540-BCB6-FF84375B45D5}"/>
    <hyperlink ref="C33" r:id="rId19" location="diagram-C" display="https://hudskibikes.com/products/doggler-gravel-bike - diagram-C" xr:uid="{491E4384-BD9B-A144-9160-0426DF1EA930}"/>
    <hyperlink ref="C34" r:id="rId20" location="diagram-D" display="https://hudskibikes.com/products/doggler-gravel-bike - diagram-D" xr:uid="{6696B7A0-C7B9-DD47-94B8-77DB25D0DEC2}"/>
    <hyperlink ref="C35" r:id="rId21" location="diagram-E" display="https://hudskibikes.com/products/doggler-gravel-bike - diagram-E" xr:uid="{0374A03A-D4AB-FD48-B380-2EC7D6330943}"/>
    <hyperlink ref="C36" r:id="rId22" location="diagram-F" display="https://hudskibikes.com/products/doggler-gravel-bike - diagram-F" xr:uid="{A621EB48-2123-1E4F-99E8-72E06A1B1994}"/>
    <hyperlink ref="C37" r:id="rId23" location="diagram-G" display="https://hudskibikes.com/products/doggler-gravel-bike - diagram-G" xr:uid="{66E605A4-A051-1C48-8F8C-B1CE2581A1B8}"/>
    <hyperlink ref="C38" r:id="rId24" location="diagram-H" display="https://hudskibikes.com/products/doggler-gravel-bike - diagram-H" xr:uid="{69B04476-4C75-794D-95F3-F2C0A9E7742B}"/>
    <hyperlink ref="C39" r:id="rId25" location="diagram-I" display="https://hudskibikes.com/products/doggler-gravel-bike - diagram-I" xr:uid="{09F2127E-D834-BC4C-AFEE-8061CF18E629}"/>
    <hyperlink ref="C40" r:id="rId26" location="diagram-J" display="https://hudskibikes.com/products/doggler-gravel-bike - diagram-J" xr:uid="{7A63E53C-687E-4A41-A84A-F8FFFCCCE066}"/>
    <hyperlink ref="C41" r:id="rId27" location="diagram-K" display="https://hudskibikes.com/products/doggler-gravel-bike - diagram-K" xr:uid="{D33E8C0C-A1E0-1140-848F-494ECD7537D1}"/>
    <hyperlink ref="C42" r:id="rId28" location="diagram-L" display="https://hudskibikes.com/products/doggler-gravel-bike - diagram-L" xr:uid="{D1676E8F-656B-3540-B4AF-9857F509BD28}"/>
    <hyperlink ref="C43" r:id="rId29" location="diagram-M" display="https://hudskibikes.com/products/doggler-gravel-bike - diagram-M" xr:uid="{96F82740-1CA9-6540-AF35-9171D47B3FDC}"/>
    <hyperlink ref="C44" r:id="rId30" location="diagram-N" display="https://hudskibikes.com/products/doggler-gravel-bike - diagram-N" xr:uid="{095877E6-94F4-CF41-823C-651788178271}"/>
    <hyperlink ref="C47" r:id="rId31" location="diagram-O" display="https://hudskibikes.com/products/doggler-gravel-bike - diagram-O" xr:uid="{A9614B5E-D235-2942-B9E9-AD03BD79309A}"/>
    <hyperlink ref="C49" r:id="rId32" location="diagram-P" display="https://hudskibikes.com/products/doggler-gravel-bike - diagram-P" xr:uid="{6C57A9E6-9175-9444-B0DC-31FB272C12CD}"/>
  </hyperlinks>
  <pageMargins left="0.7" right="0.7" top="0.75" bottom="0.75" header="0.3" footer="0.3"/>
  <drawing r:id="rId3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39C9-3F00-8A46-B8A6-E86B4FD67133}">
  <dimension ref="A1:I48"/>
  <sheetViews>
    <sheetView workbookViewId="0">
      <selection sqref="A1:A1048576"/>
    </sheetView>
  </sheetViews>
  <sheetFormatPr baseColWidth="10" defaultRowHeight="20"/>
  <cols>
    <col min="1" max="1" width="29.33203125" style="22" bestFit="1" customWidth="1"/>
    <col min="2" max="2" width="28" style="22" bestFit="1" customWidth="1"/>
    <col min="3" max="5" width="10.83203125" style="22"/>
    <col min="6" max="7" width="11.1640625" style="22" bestFit="1" customWidth="1"/>
    <col min="8" max="16384" width="10.83203125" style="22"/>
  </cols>
  <sheetData>
    <row r="1" spans="1:9" ht="22">
      <c r="A1" s="22" t="s">
        <v>72</v>
      </c>
      <c r="B1" s="89" t="s">
        <v>141</v>
      </c>
      <c r="C1" s="89">
        <v>49</v>
      </c>
      <c r="D1" s="89">
        <v>53</v>
      </c>
      <c r="E1" s="89">
        <v>55</v>
      </c>
      <c r="F1" s="89">
        <v>58</v>
      </c>
      <c r="G1" s="89">
        <v>61</v>
      </c>
      <c r="H1" s="89" t="s">
        <v>2274</v>
      </c>
    </row>
    <row r="2" spans="1:9" ht="22">
      <c r="A2" s="22" t="s">
        <v>60</v>
      </c>
      <c r="B2" s="90" t="s">
        <v>173</v>
      </c>
      <c r="C2" s="90">
        <v>455</v>
      </c>
      <c r="D2" s="90">
        <v>525</v>
      </c>
      <c r="E2" s="90">
        <v>550</v>
      </c>
      <c r="F2" s="90">
        <v>575</v>
      </c>
      <c r="G2" s="90">
        <v>605</v>
      </c>
      <c r="H2" s="90" t="s">
        <v>1274</v>
      </c>
      <c r="I2"/>
    </row>
    <row r="3" spans="1:9" ht="22">
      <c r="A3" s="22" t="s">
        <v>73</v>
      </c>
      <c r="B3" s="90" t="s">
        <v>2271</v>
      </c>
      <c r="C3" s="90">
        <v>517</v>
      </c>
      <c r="D3" s="90">
        <v>539</v>
      </c>
      <c r="E3" s="90">
        <v>554</v>
      </c>
      <c r="F3" s="90">
        <v>568</v>
      </c>
      <c r="G3" s="90">
        <v>589</v>
      </c>
      <c r="H3" s="90" t="s">
        <v>1275</v>
      </c>
      <c r="I3"/>
    </row>
    <row r="4" spans="1:9" ht="22">
      <c r="A4" s="22" t="s">
        <v>64</v>
      </c>
      <c r="B4" s="90" t="s">
        <v>5</v>
      </c>
      <c r="C4" s="90">
        <v>110</v>
      </c>
      <c r="D4" s="90">
        <v>135</v>
      </c>
      <c r="E4" s="90">
        <v>155</v>
      </c>
      <c r="F4" s="90">
        <v>173</v>
      </c>
      <c r="G4" s="90">
        <v>195</v>
      </c>
      <c r="H4" s="90" t="s">
        <v>27</v>
      </c>
    </row>
    <row r="5" spans="1:9" ht="22">
      <c r="A5" s="22" t="s">
        <v>66</v>
      </c>
      <c r="B5" s="90" t="s">
        <v>7</v>
      </c>
      <c r="C5" s="90">
        <v>430</v>
      </c>
      <c r="D5" s="90">
        <v>430</v>
      </c>
      <c r="E5" s="90">
        <v>430</v>
      </c>
      <c r="F5" s="90">
        <v>430</v>
      </c>
      <c r="G5" s="90">
        <v>430</v>
      </c>
      <c r="H5" s="90" t="s">
        <v>888</v>
      </c>
    </row>
    <row r="6" spans="1:9" ht="22">
      <c r="A6" s="22" t="s">
        <v>63</v>
      </c>
      <c r="B6" s="90" t="s">
        <v>4</v>
      </c>
      <c r="C6" s="90">
        <v>74.5</v>
      </c>
      <c r="D6" s="90">
        <v>74</v>
      </c>
      <c r="E6" s="90">
        <v>73.5</v>
      </c>
      <c r="F6" s="90">
        <v>73.5</v>
      </c>
      <c r="G6" s="90">
        <v>73.5</v>
      </c>
      <c r="H6" s="90" t="s">
        <v>30</v>
      </c>
    </row>
    <row r="7" spans="1:9" ht="22">
      <c r="A7" s="22" t="s">
        <v>62</v>
      </c>
      <c r="B7" s="90" t="s">
        <v>3</v>
      </c>
      <c r="C7" s="90">
        <v>70.5</v>
      </c>
      <c r="D7" s="90">
        <v>72</v>
      </c>
      <c r="E7" s="90">
        <v>72</v>
      </c>
      <c r="F7" s="90">
        <v>72</v>
      </c>
      <c r="G7" s="90">
        <v>72</v>
      </c>
      <c r="H7" s="90" t="s">
        <v>578</v>
      </c>
    </row>
    <row r="8" spans="1:9" ht="22">
      <c r="A8" s="22" t="s">
        <v>56</v>
      </c>
      <c r="B8" s="90" t="s">
        <v>9</v>
      </c>
      <c r="C8" s="90">
        <v>1008</v>
      </c>
      <c r="D8" s="90">
        <v>1011</v>
      </c>
      <c r="E8" s="90">
        <v>1021</v>
      </c>
      <c r="F8" s="90">
        <v>1037</v>
      </c>
      <c r="G8" s="90">
        <v>1057</v>
      </c>
      <c r="H8" s="90" t="s">
        <v>889</v>
      </c>
    </row>
    <row r="9" spans="1:9" ht="22">
      <c r="A9" s="22" t="s">
        <v>54</v>
      </c>
      <c r="B9" s="90" t="s">
        <v>0</v>
      </c>
      <c r="C9" s="90">
        <v>532</v>
      </c>
      <c r="D9" s="90">
        <v>561</v>
      </c>
      <c r="E9" s="90">
        <v>580</v>
      </c>
      <c r="F9" s="90">
        <v>598</v>
      </c>
      <c r="G9" s="90">
        <v>616</v>
      </c>
      <c r="H9" s="90"/>
    </row>
    <row r="10" spans="1:9" ht="22">
      <c r="A10" s="22" t="s">
        <v>55</v>
      </c>
      <c r="B10" s="90" t="s">
        <v>1</v>
      </c>
      <c r="C10" s="90">
        <v>370</v>
      </c>
      <c r="D10" s="90">
        <v>377</v>
      </c>
      <c r="E10" s="90">
        <v>382</v>
      </c>
      <c r="F10" s="90">
        <v>392</v>
      </c>
      <c r="G10" s="90">
        <v>406</v>
      </c>
      <c r="H10" s="90"/>
    </row>
    <row r="11" spans="1:9" ht="22">
      <c r="A11" s="22" t="s">
        <v>65</v>
      </c>
      <c r="B11" s="90" t="s">
        <v>2272</v>
      </c>
      <c r="C11" s="90">
        <v>70</v>
      </c>
      <c r="D11" s="90">
        <v>70</v>
      </c>
      <c r="E11" s="90">
        <v>70</v>
      </c>
      <c r="F11" s="90">
        <v>70</v>
      </c>
      <c r="G11" s="90">
        <v>70</v>
      </c>
      <c r="H11" s="90"/>
    </row>
    <row r="12" spans="1:9" ht="22">
      <c r="A12" s="22" t="s">
        <v>57</v>
      </c>
      <c r="B12" s="90" t="s">
        <v>2273</v>
      </c>
      <c r="C12" s="90">
        <v>729</v>
      </c>
      <c r="D12" s="90">
        <v>785</v>
      </c>
      <c r="E12" s="90">
        <v>802</v>
      </c>
      <c r="F12" s="90">
        <v>827</v>
      </c>
      <c r="G12" s="90">
        <v>853</v>
      </c>
      <c r="H12" s="90"/>
    </row>
    <row r="13" spans="1:9" ht="22">
      <c r="A13" s="22" t="s">
        <v>67</v>
      </c>
      <c r="B13" s="27" t="s">
        <v>976</v>
      </c>
      <c r="C13" s="22">
        <v>47</v>
      </c>
      <c r="H13" s="90" t="s">
        <v>2275</v>
      </c>
    </row>
    <row r="14" spans="1:9">
      <c r="A14" s="22" t="s">
        <v>495</v>
      </c>
      <c r="B14" s="27" t="s">
        <v>978</v>
      </c>
      <c r="C14" s="22">
        <v>395</v>
      </c>
    </row>
    <row r="15" spans="1:9">
      <c r="A15" s="22" t="s">
        <v>69</v>
      </c>
      <c r="B15" s="27"/>
    </row>
    <row r="16" spans="1:9">
      <c r="A16" s="22" t="s">
        <v>70</v>
      </c>
      <c r="B16" s="27"/>
    </row>
    <row r="17" spans="1:8">
      <c r="A17" s="22" t="s">
        <v>71</v>
      </c>
      <c r="B17" s="27"/>
    </row>
    <row r="18" spans="1:8">
      <c r="A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8">
      <c r="A19" s="22" t="s">
        <v>139</v>
      </c>
      <c r="C19" s="22">
        <v>40</v>
      </c>
      <c r="D19" s="22">
        <v>40</v>
      </c>
      <c r="E19" s="22">
        <v>40</v>
      </c>
      <c r="F19" s="22">
        <v>40</v>
      </c>
      <c r="G19" s="22">
        <v>40</v>
      </c>
    </row>
    <row r="20" spans="1:8">
      <c r="A20" s="22" t="s">
        <v>140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</row>
    <row r="21" spans="1:8">
      <c r="A21" s="22" t="s">
        <v>1752</v>
      </c>
      <c r="C21" s="22">
        <v>150</v>
      </c>
      <c r="D21" s="22">
        <v>160</v>
      </c>
      <c r="E21" s="22">
        <v>170</v>
      </c>
      <c r="F21" s="22">
        <v>180</v>
      </c>
      <c r="G21" s="22">
        <v>185</v>
      </c>
    </row>
    <row r="22" spans="1:8">
      <c r="A22" s="22" t="s">
        <v>1753</v>
      </c>
      <c r="C22" s="22">
        <v>163</v>
      </c>
      <c r="D22" s="22">
        <v>173</v>
      </c>
      <c r="E22" s="22">
        <v>183</v>
      </c>
      <c r="F22" s="22">
        <v>188</v>
      </c>
      <c r="G22" s="22">
        <v>198</v>
      </c>
    </row>
    <row r="24" spans="1:8" ht="22">
      <c r="C24" s="91">
        <v>49</v>
      </c>
      <c r="D24" s="40"/>
      <c r="E24" s="40"/>
      <c r="F24" s="40"/>
      <c r="G24" s="40"/>
      <c r="H24" s="40"/>
    </row>
    <row r="25" spans="1:8" ht="22">
      <c r="C25" s="15" t="s">
        <v>2276</v>
      </c>
      <c r="D25" s="40"/>
      <c r="E25" s="40"/>
      <c r="F25" s="40"/>
      <c r="G25" s="40"/>
      <c r="H25" s="40"/>
    </row>
    <row r="26" spans="1:8" ht="22">
      <c r="B26" s="27"/>
      <c r="C26" s="91">
        <v>53</v>
      </c>
      <c r="D26" s="27"/>
      <c r="H26" s="27"/>
    </row>
    <row r="27" spans="1:8" ht="22">
      <c r="B27" s="27"/>
      <c r="C27" s="15" t="s">
        <v>2277</v>
      </c>
    </row>
    <row r="28" spans="1:8" ht="22">
      <c r="B28" s="27"/>
      <c r="C28" s="91">
        <v>55</v>
      </c>
    </row>
    <row r="29" spans="1:8" ht="22">
      <c r="B29" s="27"/>
      <c r="C29" s="15" t="s">
        <v>2278</v>
      </c>
    </row>
    <row r="30" spans="1:8" ht="22">
      <c r="B30" s="27"/>
      <c r="C30" s="91">
        <v>58</v>
      </c>
    </row>
    <row r="31" spans="1:8" ht="22">
      <c r="B31" s="27"/>
      <c r="C31" s="15" t="s">
        <v>2279</v>
      </c>
    </row>
    <row r="32" spans="1:8" ht="22">
      <c r="B32" s="27"/>
      <c r="C32" s="91">
        <v>61</v>
      </c>
    </row>
    <row r="33" spans="2:9" ht="22">
      <c r="C33" s="15" t="s">
        <v>2280</v>
      </c>
    </row>
    <row r="34" spans="2:9">
      <c r="B34" s="29"/>
    </row>
    <row r="35" spans="2:9">
      <c r="B35" s="29"/>
    </row>
    <row r="36" spans="2:9">
      <c r="B36" s="27"/>
      <c r="C36" s="27"/>
      <c r="H36" s="27"/>
    </row>
    <row r="37" spans="2:9" ht="22">
      <c r="F37" s="40"/>
      <c r="G37" s="40"/>
      <c r="I37" s="88"/>
    </row>
    <row r="38" spans="2:9" ht="22">
      <c r="F38" s="40"/>
      <c r="G38" s="40"/>
      <c r="I38" s="88"/>
    </row>
    <row r="39" spans="2:9" ht="22">
      <c r="F39" s="40"/>
      <c r="G39" s="40"/>
      <c r="I39" s="88"/>
    </row>
    <row r="40" spans="2:9" ht="22">
      <c r="F40" s="40"/>
      <c r="G40" s="40"/>
      <c r="I40" s="88"/>
    </row>
    <row r="41" spans="2:9" ht="22">
      <c r="F41" s="40"/>
      <c r="G41" s="40"/>
      <c r="I41" s="88"/>
    </row>
    <row r="42" spans="2:9" ht="22">
      <c r="F42" s="40"/>
      <c r="G42" s="40"/>
      <c r="I42" s="88"/>
    </row>
    <row r="43" spans="2:9" ht="22">
      <c r="I43" s="88"/>
    </row>
    <row r="44" spans="2:9" ht="22">
      <c r="I44" s="88"/>
    </row>
    <row r="45" spans="2:9" ht="22">
      <c r="I45" s="88"/>
    </row>
    <row r="46" spans="2:9" ht="22">
      <c r="I46" s="88"/>
    </row>
    <row r="47" spans="2:9" ht="22">
      <c r="I47" s="88"/>
    </row>
    <row r="48" spans="2:9" ht="22">
      <c r="I48" s="88"/>
    </row>
  </sheetData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2944-2267-2447-A443-2AF45DBAB35C}">
  <dimension ref="A1:J35"/>
  <sheetViews>
    <sheetView workbookViewId="0">
      <selection activeCell="B20" sqref="B20:B21"/>
    </sheetView>
  </sheetViews>
  <sheetFormatPr baseColWidth="10" defaultRowHeight="20"/>
  <cols>
    <col min="1" max="1" width="23.1640625" style="22" bestFit="1" customWidth="1"/>
    <col min="2" max="2" width="29.83203125" style="22" bestFit="1" customWidth="1"/>
    <col min="3" max="16384" width="10.83203125" style="22"/>
  </cols>
  <sheetData>
    <row r="1" spans="1:10">
      <c r="A1" s="22" t="s">
        <v>72</v>
      </c>
      <c r="B1" s="27" t="s">
        <v>15</v>
      </c>
      <c r="C1" s="27" t="s">
        <v>401</v>
      </c>
      <c r="D1" s="27" t="s">
        <v>402</v>
      </c>
      <c r="E1" s="27" t="s">
        <v>200</v>
      </c>
      <c r="F1" s="27" t="s">
        <v>403</v>
      </c>
      <c r="G1" s="27" t="s">
        <v>201</v>
      </c>
      <c r="H1" s="27" t="s">
        <v>404</v>
      </c>
      <c r="I1" s="27" t="s">
        <v>405</v>
      </c>
    </row>
    <row r="2" spans="1:10">
      <c r="A2" s="22" t="s">
        <v>73</v>
      </c>
      <c r="B2" s="27" t="s">
        <v>406</v>
      </c>
      <c r="C2" s="22">
        <v>545.5</v>
      </c>
      <c r="D2" s="22">
        <v>557.5</v>
      </c>
      <c r="E2" s="22">
        <v>569.5</v>
      </c>
      <c r="F2" s="22">
        <v>581.5</v>
      </c>
      <c r="G2" s="22">
        <v>593.5</v>
      </c>
      <c r="H2" s="22">
        <v>606</v>
      </c>
      <c r="I2" s="22">
        <v>622</v>
      </c>
    </row>
    <row r="3" spans="1:10">
      <c r="A3" s="22" t="s">
        <v>62</v>
      </c>
      <c r="B3" s="27" t="s">
        <v>191</v>
      </c>
      <c r="C3" s="22">
        <v>70.5</v>
      </c>
      <c r="D3" s="22">
        <v>70.5</v>
      </c>
      <c r="E3" s="22">
        <v>71</v>
      </c>
      <c r="F3" s="22">
        <v>71</v>
      </c>
      <c r="G3" s="22">
        <v>71</v>
      </c>
      <c r="H3" s="22">
        <v>71</v>
      </c>
      <c r="I3" s="22">
        <v>71</v>
      </c>
    </row>
    <row r="4" spans="1:10">
      <c r="A4" s="22" t="s">
        <v>64</v>
      </c>
      <c r="B4" s="27" t="s">
        <v>29</v>
      </c>
      <c r="C4" s="22">
        <v>128</v>
      </c>
      <c r="D4" s="22">
        <v>143</v>
      </c>
      <c r="E4" s="22">
        <v>157</v>
      </c>
      <c r="F4" s="22">
        <v>172</v>
      </c>
      <c r="G4" s="22">
        <v>187</v>
      </c>
      <c r="H4" s="22">
        <v>202</v>
      </c>
      <c r="I4" s="22">
        <v>217</v>
      </c>
    </row>
    <row r="5" spans="1:10">
      <c r="A5" s="22" t="s">
        <v>57</v>
      </c>
      <c r="B5" s="27" t="s">
        <v>407</v>
      </c>
      <c r="C5" s="22">
        <v>646</v>
      </c>
      <c r="D5" s="22">
        <v>665.5</v>
      </c>
      <c r="E5" s="22">
        <v>685.5</v>
      </c>
      <c r="F5" s="22">
        <v>703</v>
      </c>
      <c r="G5" s="22">
        <v>717</v>
      </c>
      <c r="H5" s="22">
        <v>767.5</v>
      </c>
      <c r="I5" s="22">
        <v>775</v>
      </c>
    </row>
    <row r="6" spans="1:10">
      <c r="A6" s="22" t="s">
        <v>60</v>
      </c>
      <c r="B6" s="27" t="s">
        <v>409</v>
      </c>
      <c r="C6" s="22">
        <v>410</v>
      </c>
      <c r="D6" s="22">
        <v>438</v>
      </c>
      <c r="E6" s="22">
        <v>464</v>
      </c>
      <c r="F6" s="22">
        <v>492</v>
      </c>
      <c r="G6" s="22">
        <v>520</v>
      </c>
      <c r="H6" s="22">
        <v>548</v>
      </c>
      <c r="I6" s="22">
        <v>576</v>
      </c>
    </row>
    <row r="7" spans="1:10">
      <c r="A7" s="22" t="s">
        <v>63</v>
      </c>
      <c r="B7" s="27" t="s">
        <v>31</v>
      </c>
      <c r="C7" s="22">
        <v>74</v>
      </c>
      <c r="D7" s="22">
        <v>74</v>
      </c>
      <c r="E7" s="22">
        <v>74</v>
      </c>
      <c r="F7" s="22">
        <v>74</v>
      </c>
      <c r="G7" s="22">
        <v>74</v>
      </c>
      <c r="H7" s="22">
        <v>74</v>
      </c>
      <c r="I7" s="22">
        <v>74</v>
      </c>
    </row>
    <row r="8" spans="1:10">
      <c r="A8" s="22" t="s">
        <v>56</v>
      </c>
      <c r="B8" s="27" t="s">
        <v>36</v>
      </c>
      <c r="C8" s="22">
        <v>1022.5</v>
      </c>
      <c r="D8" s="22">
        <v>1035.5</v>
      </c>
      <c r="E8" s="22">
        <v>1043.5</v>
      </c>
      <c r="F8" s="22">
        <v>1056.5</v>
      </c>
      <c r="G8" s="22">
        <v>1069.5</v>
      </c>
      <c r="H8" s="22">
        <v>1082.5</v>
      </c>
      <c r="I8" s="22">
        <v>1100</v>
      </c>
    </row>
    <row r="9" spans="1:10">
      <c r="A9" s="22" t="s">
        <v>54</v>
      </c>
      <c r="B9" s="27" t="s">
        <v>39</v>
      </c>
      <c r="C9" s="22">
        <v>558.5</v>
      </c>
      <c r="D9" s="22">
        <v>572.70000000000005</v>
      </c>
      <c r="E9" s="22">
        <v>588</v>
      </c>
      <c r="F9" s="22">
        <v>602</v>
      </c>
      <c r="G9" s="22">
        <v>616.5</v>
      </c>
      <c r="H9" s="22">
        <v>630.5</v>
      </c>
      <c r="I9" s="22">
        <v>644.5</v>
      </c>
    </row>
    <row r="10" spans="1:10">
      <c r="A10" s="22" t="s">
        <v>55</v>
      </c>
      <c r="B10" s="27" t="s">
        <v>40</v>
      </c>
      <c r="C10" s="22">
        <v>385</v>
      </c>
      <c r="D10" s="22">
        <v>393</v>
      </c>
      <c r="E10" s="22">
        <v>401</v>
      </c>
      <c r="F10" s="22">
        <v>409</v>
      </c>
      <c r="G10" s="22">
        <v>417</v>
      </c>
      <c r="H10" s="22">
        <v>425</v>
      </c>
      <c r="I10" s="22">
        <v>438</v>
      </c>
    </row>
    <row r="11" spans="1:10">
      <c r="A11" s="22" t="s">
        <v>65</v>
      </c>
      <c r="B11" s="22" t="s">
        <v>65</v>
      </c>
      <c r="C11" s="22">
        <v>75</v>
      </c>
      <c r="D11" s="22">
        <v>75</v>
      </c>
      <c r="E11" s="22">
        <v>75</v>
      </c>
      <c r="F11" s="22">
        <v>75</v>
      </c>
      <c r="G11" s="22">
        <v>75</v>
      </c>
      <c r="H11" s="22">
        <v>75</v>
      </c>
      <c r="I11" s="22">
        <v>75</v>
      </c>
    </row>
    <row r="12" spans="1:10">
      <c r="A12" s="22" t="s">
        <v>66</v>
      </c>
      <c r="B12" s="22" t="s">
        <v>66</v>
      </c>
      <c r="C12" s="22">
        <v>422</v>
      </c>
      <c r="D12" s="22">
        <v>422</v>
      </c>
      <c r="E12" s="22">
        <v>422</v>
      </c>
      <c r="F12" s="22">
        <v>422</v>
      </c>
      <c r="G12" s="22">
        <v>422</v>
      </c>
      <c r="H12" s="22">
        <v>422</v>
      </c>
      <c r="I12" s="22">
        <v>422</v>
      </c>
      <c r="J12" s="22" t="s">
        <v>918</v>
      </c>
    </row>
    <row r="13" spans="1:10">
      <c r="A13" s="22" t="s">
        <v>67</v>
      </c>
      <c r="B13" s="22" t="s">
        <v>67</v>
      </c>
      <c r="C13" s="22">
        <v>48</v>
      </c>
      <c r="D13" s="22">
        <v>48</v>
      </c>
      <c r="E13" s="22">
        <v>48</v>
      </c>
      <c r="F13" s="22">
        <v>48</v>
      </c>
      <c r="G13" s="22">
        <v>48</v>
      </c>
      <c r="H13" s="22">
        <v>48</v>
      </c>
      <c r="I13" s="22">
        <v>48</v>
      </c>
    </row>
    <row r="14" spans="1:10">
      <c r="A14" s="22" t="s">
        <v>69</v>
      </c>
      <c r="B14" s="22" t="s">
        <v>69</v>
      </c>
      <c r="C14" s="22">
        <v>172.5</v>
      </c>
      <c r="D14" s="22">
        <v>172.5</v>
      </c>
      <c r="E14" s="22">
        <v>172.5</v>
      </c>
      <c r="F14" s="22">
        <v>172.5</v>
      </c>
      <c r="G14" s="22">
        <v>172.5</v>
      </c>
      <c r="H14" s="22">
        <v>172.5</v>
      </c>
      <c r="I14" s="22">
        <v>172.5</v>
      </c>
    </row>
    <row r="15" spans="1:10">
      <c r="A15" s="22" t="s">
        <v>70</v>
      </c>
      <c r="B15" s="22" t="s">
        <v>70</v>
      </c>
      <c r="C15" s="22">
        <v>420</v>
      </c>
      <c r="D15" s="22">
        <v>420</v>
      </c>
      <c r="E15" s="27">
        <v>440</v>
      </c>
      <c r="F15" s="22">
        <v>440</v>
      </c>
      <c r="G15" s="22">
        <v>440</v>
      </c>
      <c r="H15" s="22">
        <v>460</v>
      </c>
      <c r="I15" s="22">
        <v>460</v>
      </c>
      <c r="J15" s="22" t="s">
        <v>410</v>
      </c>
    </row>
    <row r="16" spans="1:10">
      <c r="A16" s="22" t="s">
        <v>71</v>
      </c>
      <c r="B16" s="22" t="s">
        <v>71</v>
      </c>
      <c r="C16" s="22">
        <v>60</v>
      </c>
      <c r="D16" s="22">
        <v>60</v>
      </c>
      <c r="E16" s="22">
        <v>60</v>
      </c>
      <c r="F16" s="22">
        <v>60</v>
      </c>
      <c r="G16" s="22">
        <v>60</v>
      </c>
      <c r="H16" s="22">
        <v>60</v>
      </c>
      <c r="I16" s="22">
        <v>60</v>
      </c>
      <c r="J16" s="22" t="s">
        <v>411</v>
      </c>
    </row>
    <row r="17" spans="1:9">
      <c r="A17" s="22" t="s">
        <v>68</v>
      </c>
      <c r="B17" s="22" t="s">
        <v>68</v>
      </c>
      <c r="C17" s="22">
        <v>700</v>
      </c>
      <c r="D17" s="22">
        <v>700</v>
      </c>
      <c r="E17" s="22">
        <v>700</v>
      </c>
      <c r="F17" s="22">
        <v>700</v>
      </c>
      <c r="G17" s="22">
        <v>700</v>
      </c>
      <c r="H17" s="22">
        <v>700</v>
      </c>
      <c r="I17" s="22">
        <v>700</v>
      </c>
    </row>
    <row r="18" spans="1:9">
      <c r="A18" s="22" t="s">
        <v>139</v>
      </c>
      <c r="B18" s="22" t="s">
        <v>139</v>
      </c>
      <c r="C18" s="22">
        <v>40</v>
      </c>
      <c r="D18" s="22">
        <v>40</v>
      </c>
      <c r="E18" s="22">
        <v>40</v>
      </c>
      <c r="F18" s="22">
        <v>40</v>
      </c>
      <c r="G18" s="22">
        <v>40</v>
      </c>
      <c r="H18" s="22">
        <v>40</v>
      </c>
      <c r="I18" s="22">
        <v>40</v>
      </c>
    </row>
    <row r="19" spans="1:9">
      <c r="A19" s="22" t="s">
        <v>140</v>
      </c>
      <c r="B19" s="22" t="s">
        <v>140</v>
      </c>
      <c r="C19" s="22">
        <v>45</v>
      </c>
      <c r="D19" s="22">
        <v>45</v>
      </c>
      <c r="E19" s="22">
        <v>45</v>
      </c>
      <c r="F19" s="22">
        <v>45</v>
      </c>
      <c r="G19" s="22">
        <v>45</v>
      </c>
      <c r="H19" s="22">
        <v>45</v>
      </c>
      <c r="I19" s="22">
        <v>45</v>
      </c>
    </row>
    <row r="20" spans="1:9">
      <c r="A20" s="22" t="s">
        <v>1752</v>
      </c>
      <c r="B20" s="22" t="s">
        <v>1752</v>
      </c>
      <c r="C20" s="22">
        <f>C22</f>
        <v>152</v>
      </c>
      <c r="D20" s="22">
        <f>C21</f>
        <v>157</v>
      </c>
      <c r="E20" s="22">
        <f t="shared" ref="E20:I20" si="0">D21</f>
        <v>163.5</v>
      </c>
      <c r="F20" s="22">
        <f t="shared" si="0"/>
        <v>171</v>
      </c>
      <c r="G20" s="22">
        <f t="shared" si="0"/>
        <v>178.5</v>
      </c>
      <c r="H20" s="22">
        <f t="shared" si="0"/>
        <v>185</v>
      </c>
      <c r="I20" s="22">
        <f t="shared" si="0"/>
        <v>188.5</v>
      </c>
    </row>
    <row r="21" spans="1:9">
      <c r="A21" s="22" t="s">
        <v>1753</v>
      </c>
      <c r="B21" s="22" t="s">
        <v>1753</v>
      </c>
      <c r="C21" s="22">
        <f>AVERAGE(C23,D22)</f>
        <v>157</v>
      </c>
      <c r="D21" s="22">
        <f>AVERAGE(D23,E22)</f>
        <v>163.5</v>
      </c>
      <c r="E21" s="22">
        <f t="shared" ref="E21:I21" si="1">AVERAGE(E23,F22)</f>
        <v>171</v>
      </c>
      <c r="F21" s="22">
        <f t="shared" si="1"/>
        <v>178.5</v>
      </c>
      <c r="G21" s="22">
        <f t="shared" si="1"/>
        <v>185</v>
      </c>
      <c r="H21" s="22">
        <f t="shared" si="1"/>
        <v>188.5</v>
      </c>
      <c r="I21" s="22">
        <f t="shared" si="1"/>
        <v>195</v>
      </c>
    </row>
    <row r="22" spans="1:9">
      <c r="C22" s="22">
        <v>152</v>
      </c>
      <c r="D22" s="22">
        <v>157</v>
      </c>
      <c r="E22" s="22">
        <v>165</v>
      </c>
      <c r="F22" s="22">
        <v>172</v>
      </c>
      <c r="G22" s="22">
        <v>180</v>
      </c>
      <c r="H22" s="22">
        <v>185</v>
      </c>
      <c r="I22" s="22">
        <v>190</v>
      </c>
    </row>
    <row r="23" spans="1:9">
      <c r="C23" s="22">
        <v>157</v>
      </c>
      <c r="D23" s="22">
        <v>162</v>
      </c>
      <c r="E23" s="22">
        <v>170</v>
      </c>
      <c r="F23" s="22">
        <v>177</v>
      </c>
      <c r="G23" s="22">
        <v>185</v>
      </c>
      <c r="H23" s="22">
        <v>187</v>
      </c>
      <c r="I23" s="22">
        <v>195</v>
      </c>
    </row>
    <row r="26" spans="1:9">
      <c r="B26" s="27"/>
      <c r="C26" s="27"/>
      <c r="D26" s="27"/>
      <c r="E26" s="27"/>
      <c r="F26" s="27"/>
      <c r="G26" s="27"/>
      <c r="H26" s="27"/>
      <c r="I26" s="27"/>
    </row>
    <row r="27" spans="1:9">
      <c r="B27" s="27"/>
    </row>
    <row r="28" spans="1:9">
      <c r="B28" s="27"/>
    </row>
    <row r="29" spans="1:9">
      <c r="B29" s="27"/>
    </row>
    <row r="30" spans="1:9">
      <c r="B30" s="27"/>
    </row>
    <row r="31" spans="1:9">
      <c r="B31" s="27"/>
    </row>
    <row r="32" spans="1:9">
      <c r="B32" s="27"/>
    </row>
    <row r="33" spans="2:2">
      <c r="B33" s="27"/>
    </row>
    <row r="34" spans="2:2">
      <c r="B34" s="27"/>
    </row>
    <row r="35" spans="2:2">
      <c r="B35" s="27"/>
    </row>
  </sheetData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07F3-63F8-3549-A180-D61D3FB70003}">
  <dimension ref="A1:I36"/>
  <sheetViews>
    <sheetView workbookViewId="0">
      <selection activeCell="K17" sqref="K17"/>
    </sheetView>
  </sheetViews>
  <sheetFormatPr baseColWidth="10" defaultRowHeight="19"/>
  <cols>
    <col min="1" max="1" width="26.83203125" style="2" bestFit="1" customWidth="1"/>
    <col min="2" max="2" width="19.6640625" style="2" bestFit="1" customWidth="1"/>
    <col min="3" max="16384" width="10.83203125" style="2"/>
  </cols>
  <sheetData>
    <row r="1" spans="1:8">
      <c r="A1" s="2" t="s">
        <v>72</v>
      </c>
      <c r="B1" s="19" t="s">
        <v>167</v>
      </c>
      <c r="C1" s="19">
        <v>48</v>
      </c>
      <c r="D1" s="19">
        <v>50</v>
      </c>
      <c r="E1" s="19">
        <v>52</v>
      </c>
      <c r="F1" s="19">
        <v>54</v>
      </c>
      <c r="G1" s="19">
        <v>56</v>
      </c>
      <c r="H1" s="19">
        <v>58</v>
      </c>
    </row>
    <row r="2" spans="1:8">
      <c r="A2" s="2" t="s">
        <v>60</v>
      </c>
      <c r="B2" s="19" t="s">
        <v>559</v>
      </c>
      <c r="C2" s="19">
        <v>410</v>
      </c>
      <c r="D2" s="19">
        <v>410</v>
      </c>
      <c r="E2" s="19">
        <v>455</v>
      </c>
      <c r="F2" s="19">
        <v>455</v>
      </c>
      <c r="G2" s="19">
        <v>500</v>
      </c>
      <c r="H2" s="19">
        <v>535</v>
      </c>
    </row>
    <row r="3" spans="1:8">
      <c r="A3" s="2" t="s">
        <v>73</v>
      </c>
      <c r="B3" s="19" t="s">
        <v>560</v>
      </c>
      <c r="C3" s="19">
        <v>532</v>
      </c>
      <c r="D3" s="19">
        <v>545</v>
      </c>
      <c r="E3" s="19">
        <v>560</v>
      </c>
      <c r="F3" s="19">
        <v>575</v>
      </c>
      <c r="G3" s="19">
        <v>592</v>
      </c>
      <c r="H3" s="19">
        <v>613</v>
      </c>
    </row>
    <row r="4" spans="1:8">
      <c r="A4" s="2" t="s">
        <v>55</v>
      </c>
      <c r="B4" s="19" t="s">
        <v>40</v>
      </c>
      <c r="C4" s="19">
        <v>380</v>
      </c>
      <c r="D4" s="19">
        <v>385</v>
      </c>
      <c r="E4" s="19">
        <v>390</v>
      </c>
      <c r="F4" s="19">
        <v>395</v>
      </c>
      <c r="G4" s="19">
        <v>400</v>
      </c>
      <c r="H4" s="19">
        <v>405</v>
      </c>
    </row>
    <row r="5" spans="1:8">
      <c r="A5" s="2" t="s">
        <v>54</v>
      </c>
      <c r="B5" s="19" t="s">
        <v>39</v>
      </c>
      <c r="C5" s="19">
        <v>568</v>
      </c>
      <c r="D5" s="19">
        <v>578</v>
      </c>
      <c r="E5" s="19">
        <v>592</v>
      </c>
      <c r="F5" s="19">
        <v>609</v>
      </c>
      <c r="G5" s="19">
        <v>627</v>
      </c>
      <c r="H5" s="19">
        <v>660</v>
      </c>
    </row>
    <row r="6" spans="1:8">
      <c r="A6" s="2" t="s">
        <v>57</v>
      </c>
      <c r="B6" s="19" t="s">
        <v>41</v>
      </c>
      <c r="C6" s="19">
        <v>735</v>
      </c>
      <c r="D6" s="19">
        <v>739</v>
      </c>
      <c r="E6" s="19">
        <v>773</v>
      </c>
      <c r="F6" s="19">
        <v>781</v>
      </c>
      <c r="G6" s="19">
        <v>827</v>
      </c>
      <c r="H6" s="19">
        <v>851</v>
      </c>
    </row>
    <row r="7" spans="1:8">
      <c r="A7" s="2" t="s">
        <v>62</v>
      </c>
      <c r="B7" s="19" t="s">
        <v>561</v>
      </c>
      <c r="C7" s="19">
        <v>69.5</v>
      </c>
      <c r="D7" s="19">
        <v>69.5</v>
      </c>
      <c r="E7" s="19">
        <v>69.5</v>
      </c>
      <c r="F7" s="19">
        <v>69.5</v>
      </c>
      <c r="G7" s="19">
        <v>69.5</v>
      </c>
      <c r="H7" s="19">
        <v>69.5</v>
      </c>
    </row>
    <row r="8" spans="1:8">
      <c r="A8" s="2" t="s">
        <v>64</v>
      </c>
      <c r="B8" s="19" t="s">
        <v>562</v>
      </c>
      <c r="C8" s="19">
        <v>115</v>
      </c>
      <c r="D8" s="19">
        <v>125</v>
      </c>
      <c r="E8" s="19">
        <v>140</v>
      </c>
      <c r="F8" s="19">
        <v>160</v>
      </c>
      <c r="G8" s="19">
        <v>180</v>
      </c>
      <c r="H8" s="19">
        <v>215</v>
      </c>
    </row>
    <row r="9" spans="1:8">
      <c r="A9" s="2" t="s">
        <v>63</v>
      </c>
      <c r="B9" s="19" t="s">
        <v>563</v>
      </c>
      <c r="C9" s="19">
        <v>75</v>
      </c>
      <c r="D9" s="19">
        <v>74.5</v>
      </c>
      <c r="E9" s="19">
        <v>74</v>
      </c>
      <c r="F9" s="19">
        <v>73.5</v>
      </c>
      <c r="G9" s="19">
        <v>73</v>
      </c>
      <c r="H9" s="19">
        <v>72.5</v>
      </c>
    </row>
    <row r="10" spans="1:8">
      <c r="A10" s="2" t="s">
        <v>66</v>
      </c>
      <c r="B10" s="19" t="s">
        <v>564</v>
      </c>
      <c r="C10" s="19">
        <v>445</v>
      </c>
      <c r="D10" s="19">
        <v>445</v>
      </c>
      <c r="E10" s="19">
        <v>445</v>
      </c>
      <c r="F10" s="19">
        <v>445</v>
      </c>
      <c r="G10" s="19">
        <v>445</v>
      </c>
      <c r="H10" s="19">
        <v>445</v>
      </c>
    </row>
    <row r="11" spans="1:8">
      <c r="A11" s="2" t="s">
        <v>65</v>
      </c>
      <c r="B11" s="19" t="s">
        <v>184</v>
      </c>
      <c r="C11" s="19">
        <v>74</v>
      </c>
      <c r="D11" s="19">
        <v>74</v>
      </c>
      <c r="E11" s="19">
        <v>74</v>
      </c>
      <c r="F11" s="19">
        <v>72</v>
      </c>
      <c r="G11" s="19">
        <v>72</v>
      </c>
      <c r="H11" s="19">
        <v>72</v>
      </c>
    </row>
    <row r="12" spans="1:8">
      <c r="A12" s="2" t="s">
        <v>569</v>
      </c>
      <c r="B12" s="19" t="s">
        <v>565</v>
      </c>
      <c r="C12" s="19">
        <v>301</v>
      </c>
      <c r="D12" s="19">
        <v>301</v>
      </c>
      <c r="E12" s="19">
        <v>301</v>
      </c>
      <c r="F12" s="19">
        <v>303</v>
      </c>
      <c r="G12" s="19">
        <v>303</v>
      </c>
      <c r="H12" s="19">
        <v>303</v>
      </c>
    </row>
    <row r="13" spans="1:8">
      <c r="A13" s="2" t="s">
        <v>56</v>
      </c>
      <c r="B13" s="19" t="s">
        <v>36</v>
      </c>
      <c r="C13" s="19">
        <v>1062</v>
      </c>
      <c r="D13" s="19">
        <v>1071</v>
      </c>
      <c r="E13" s="19">
        <v>1081</v>
      </c>
      <c r="F13" s="19">
        <v>1094</v>
      </c>
      <c r="G13" s="19">
        <v>1106</v>
      </c>
      <c r="H13" s="19">
        <v>1123</v>
      </c>
    </row>
    <row r="14" spans="1:8">
      <c r="A14" s="2" t="s">
        <v>480</v>
      </c>
      <c r="B14" s="19" t="s">
        <v>566</v>
      </c>
      <c r="C14" s="19">
        <v>628</v>
      </c>
      <c r="D14" s="19">
        <v>636</v>
      </c>
      <c r="E14" s="19">
        <v>647</v>
      </c>
      <c r="F14" s="19">
        <v>658</v>
      </c>
      <c r="G14" s="19">
        <v>670</v>
      </c>
      <c r="H14" s="19">
        <v>688</v>
      </c>
    </row>
    <row r="15" spans="1:8">
      <c r="A15" s="2" t="s">
        <v>163</v>
      </c>
      <c r="B15" s="19" t="s">
        <v>567</v>
      </c>
      <c r="C15" s="19">
        <v>430</v>
      </c>
      <c r="D15" s="19">
        <v>430</v>
      </c>
      <c r="E15" s="19">
        <v>430</v>
      </c>
      <c r="F15" s="19">
        <v>430</v>
      </c>
      <c r="G15" s="19">
        <v>430</v>
      </c>
      <c r="H15" s="19">
        <v>430</v>
      </c>
    </row>
    <row r="16" spans="1:8">
      <c r="A16" s="2" t="s">
        <v>67</v>
      </c>
      <c r="B16" s="19" t="s">
        <v>568</v>
      </c>
      <c r="C16" s="19">
        <v>55</v>
      </c>
      <c r="D16" s="19">
        <v>55</v>
      </c>
      <c r="E16" s="19">
        <v>55</v>
      </c>
      <c r="F16" s="19">
        <v>55</v>
      </c>
      <c r="G16" s="19">
        <v>55</v>
      </c>
      <c r="H16" s="19">
        <v>55</v>
      </c>
    </row>
    <row r="17" spans="1:9">
      <c r="A17" s="2" t="s">
        <v>69</v>
      </c>
      <c r="B17" s="2" t="s">
        <v>69</v>
      </c>
    </row>
    <row r="18" spans="1:9">
      <c r="A18" s="2" t="s">
        <v>70</v>
      </c>
      <c r="B18" s="2" t="s">
        <v>70</v>
      </c>
    </row>
    <row r="19" spans="1:9">
      <c r="A19" s="2" t="s">
        <v>71</v>
      </c>
      <c r="B19" s="2" t="s">
        <v>71</v>
      </c>
    </row>
    <row r="20" spans="1:9">
      <c r="A20" s="2" t="s">
        <v>68</v>
      </c>
      <c r="B20" s="2" t="s">
        <v>68</v>
      </c>
      <c r="C20" s="2">
        <v>29</v>
      </c>
      <c r="D20" s="2">
        <v>30</v>
      </c>
      <c r="E20" s="2">
        <v>31</v>
      </c>
      <c r="F20" s="2">
        <v>32</v>
      </c>
      <c r="G20" s="2">
        <v>33</v>
      </c>
      <c r="H20" s="2">
        <v>34</v>
      </c>
    </row>
    <row r="21" spans="1:9">
      <c r="A21" s="2" t="s">
        <v>139</v>
      </c>
      <c r="B21" s="2" t="s">
        <v>139</v>
      </c>
      <c r="C21" s="2">
        <f>2.25*25.4</f>
        <v>57.15</v>
      </c>
      <c r="D21" s="2">
        <f t="shared" ref="D21:H21" si="0">2.25*25.4</f>
        <v>57.15</v>
      </c>
      <c r="E21" s="2">
        <f t="shared" si="0"/>
        <v>57.15</v>
      </c>
      <c r="F21" s="2">
        <f t="shared" si="0"/>
        <v>57.15</v>
      </c>
      <c r="G21" s="2">
        <f t="shared" si="0"/>
        <v>57.15</v>
      </c>
      <c r="H21" s="2">
        <f t="shared" si="0"/>
        <v>57.15</v>
      </c>
    </row>
    <row r="22" spans="1:9">
      <c r="A22" s="2" t="s">
        <v>140</v>
      </c>
      <c r="B22" s="2" t="s">
        <v>140</v>
      </c>
    </row>
    <row r="23" spans="1:9">
      <c r="A23" s="2" t="s">
        <v>1752</v>
      </c>
      <c r="B23" s="2" t="s">
        <v>1752</v>
      </c>
      <c r="C23" s="2">
        <f>B25</f>
        <v>147</v>
      </c>
      <c r="D23" s="2">
        <f>C24</f>
        <v>156</v>
      </c>
      <c r="E23" s="2">
        <f t="shared" ref="E23:H23" si="1">D24</f>
        <v>163.5</v>
      </c>
      <c r="F23" s="2">
        <f t="shared" si="1"/>
        <v>173</v>
      </c>
      <c r="G23" s="2">
        <f t="shared" si="1"/>
        <v>179</v>
      </c>
      <c r="H23" s="2">
        <f t="shared" si="1"/>
        <v>184</v>
      </c>
    </row>
    <row r="24" spans="1:9">
      <c r="A24" s="2" t="s">
        <v>1753</v>
      </c>
      <c r="B24" s="2" t="s">
        <v>1753</v>
      </c>
      <c r="C24" s="2">
        <f>AVERAGE(C25,C26)</f>
        <v>156</v>
      </c>
      <c r="D24" s="2">
        <f t="shared" ref="D24:G24" si="2">AVERAGE(D25,D26)</f>
        <v>163.5</v>
      </c>
      <c r="E24" s="2">
        <f t="shared" si="2"/>
        <v>173</v>
      </c>
      <c r="F24" s="2">
        <f t="shared" si="2"/>
        <v>179</v>
      </c>
      <c r="G24" s="2">
        <f t="shared" si="2"/>
        <v>184</v>
      </c>
      <c r="H24" s="2">
        <v>196</v>
      </c>
    </row>
    <row r="25" spans="1:9">
      <c r="B25" s="2">
        <v>147</v>
      </c>
      <c r="C25" s="2">
        <v>152</v>
      </c>
      <c r="D25" s="2">
        <v>157</v>
      </c>
      <c r="E25" s="2">
        <v>168</v>
      </c>
      <c r="F25" s="2">
        <v>175</v>
      </c>
      <c r="G25" s="2">
        <v>180</v>
      </c>
      <c r="H25" s="2">
        <v>185</v>
      </c>
    </row>
    <row r="26" spans="1:9">
      <c r="B26" s="2">
        <v>155</v>
      </c>
      <c r="C26" s="2">
        <v>160</v>
      </c>
      <c r="D26" s="2">
        <v>170</v>
      </c>
      <c r="E26" s="2">
        <v>178</v>
      </c>
      <c r="F26" s="2">
        <v>183</v>
      </c>
      <c r="G26" s="2">
        <v>188</v>
      </c>
      <c r="H26" s="2">
        <v>196</v>
      </c>
    </row>
    <row r="28" spans="1:9">
      <c r="A28" s="129" t="s">
        <v>2625</v>
      </c>
    </row>
    <row r="29" spans="1:9">
      <c r="A29" s="10" t="s">
        <v>2626</v>
      </c>
      <c r="B29" s="10" t="s">
        <v>2627</v>
      </c>
      <c r="C29" s="10" t="s">
        <v>2628</v>
      </c>
      <c r="D29" s="10" t="s">
        <v>2629</v>
      </c>
      <c r="E29" s="10" t="s">
        <v>2630</v>
      </c>
      <c r="F29" s="10" t="s">
        <v>2631</v>
      </c>
      <c r="G29" s="10" t="s">
        <v>2632</v>
      </c>
      <c r="H29" s="10" t="s">
        <v>2633</v>
      </c>
      <c r="I29" s="10" t="s">
        <v>2634</v>
      </c>
    </row>
    <row r="30" spans="1:9">
      <c r="A30" s="10" t="s">
        <v>2635</v>
      </c>
      <c r="B30" s="10" t="s">
        <v>2636</v>
      </c>
      <c r="C30" s="10" t="s">
        <v>2637</v>
      </c>
      <c r="D30" s="10" t="s">
        <v>2638</v>
      </c>
      <c r="E30" s="10" t="s">
        <v>22</v>
      </c>
      <c r="F30" s="10" t="s">
        <v>412</v>
      </c>
      <c r="G30" s="10" t="s">
        <v>22</v>
      </c>
      <c r="H30" s="10" t="s">
        <v>2639</v>
      </c>
      <c r="I30" s="10" t="s">
        <v>16</v>
      </c>
    </row>
    <row r="31" spans="1:9">
      <c r="A31" s="10" t="s">
        <v>2640</v>
      </c>
      <c r="B31" s="10" t="s">
        <v>2641</v>
      </c>
      <c r="C31" s="10" t="s">
        <v>2642</v>
      </c>
      <c r="D31" s="10" t="s">
        <v>2643</v>
      </c>
      <c r="E31" s="10" t="s">
        <v>2644</v>
      </c>
      <c r="F31" s="10" t="s">
        <v>412</v>
      </c>
      <c r="G31" s="10" t="s">
        <v>2644</v>
      </c>
      <c r="H31" s="10" t="s">
        <v>220</v>
      </c>
      <c r="I31" s="10" t="s">
        <v>220</v>
      </c>
    </row>
    <row r="32" spans="1:9">
      <c r="A32" s="10" t="s">
        <v>1570</v>
      </c>
      <c r="B32" s="10" t="s">
        <v>2645</v>
      </c>
      <c r="C32" s="10" t="s">
        <v>2646</v>
      </c>
      <c r="D32" s="10" t="s">
        <v>2647</v>
      </c>
      <c r="E32" s="10" t="s">
        <v>2648</v>
      </c>
      <c r="F32" s="10" t="s">
        <v>2649</v>
      </c>
      <c r="G32" s="10" t="s">
        <v>2648</v>
      </c>
      <c r="H32" s="10" t="s">
        <v>2650</v>
      </c>
      <c r="I32" s="10" t="s">
        <v>2650</v>
      </c>
    </row>
    <row r="33" spans="1:9">
      <c r="A33" s="10" t="s">
        <v>2651</v>
      </c>
      <c r="B33" s="10" t="s">
        <v>2652</v>
      </c>
      <c r="C33" s="10" t="s">
        <v>2653</v>
      </c>
      <c r="D33" s="10" t="s">
        <v>2654</v>
      </c>
      <c r="E33" s="10" t="s">
        <v>2655</v>
      </c>
      <c r="F33" s="10" t="s">
        <v>2655</v>
      </c>
      <c r="G33" s="10" t="s">
        <v>2655</v>
      </c>
      <c r="H33" s="10" t="s">
        <v>221</v>
      </c>
      <c r="I33" s="10" t="s">
        <v>221</v>
      </c>
    </row>
    <row r="34" spans="1:9">
      <c r="A34" s="10" t="s">
        <v>2656</v>
      </c>
      <c r="B34" s="10" t="s">
        <v>2657</v>
      </c>
      <c r="C34" s="10" t="s">
        <v>1676</v>
      </c>
      <c r="D34" s="10" t="s">
        <v>2658</v>
      </c>
      <c r="E34" s="10" t="s">
        <v>2659</v>
      </c>
      <c r="F34" s="10" t="s">
        <v>2660</v>
      </c>
      <c r="G34" s="10" t="s">
        <v>2660</v>
      </c>
      <c r="H34" s="10" t="s">
        <v>2661</v>
      </c>
      <c r="I34" s="10" t="s">
        <v>2661</v>
      </c>
    </row>
    <row r="35" spans="1:9">
      <c r="A35" s="10" t="s">
        <v>1671</v>
      </c>
      <c r="B35" s="10" t="s">
        <v>2662</v>
      </c>
      <c r="C35" s="10" t="s">
        <v>2663</v>
      </c>
      <c r="D35" s="10" t="s">
        <v>2664</v>
      </c>
      <c r="E35" s="10" t="s">
        <v>2665</v>
      </c>
      <c r="F35" s="10" t="s">
        <v>2665</v>
      </c>
      <c r="G35" s="10" t="s">
        <v>2665</v>
      </c>
      <c r="H35" s="10" t="s">
        <v>2666</v>
      </c>
      <c r="I35" s="10" t="s">
        <v>223</v>
      </c>
    </row>
    <row r="36" spans="1:9">
      <c r="A36" s="10" t="s">
        <v>1672</v>
      </c>
      <c r="B36" s="10" t="s">
        <v>2667</v>
      </c>
      <c r="C36" s="10" t="s">
        <v>2668</v>
      </c>
      <c r="D36" s="10" t="s">
        <v>2669</v>
      </c>
      <c r="E36" s="10" t="s">
        <v>2670</v>
      </c>
      <c r="F36" s="10" t="s">
        <v>415</v>
      </c>
      <c r="G36" s="10" t="s">
        <v>2670</v>
      </c>
      <c r="H36" s="10" t="s">
        <v>20</v>
      </c>
      <c r="I36" s="10" t="s">
        <v>2639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E76-6E73-9F4B-AF3B-8A53F4155168}">
  <dimension ref="A1:H34"/>
  <sheetViews>
    <sheetView workbookViewId="0">
      <selection activeCell="B11" sqref="B11"/>
    </sheetView>
  </sheetViews>
  <sheetFormatPr baseColWidth="10" defaultRowHeight="19"/>
  <cols>
    <col min="1" max="1" width="23.1640625" style="2" bestFit="1" customWidth="1"/>
    <col min="2" max="2" width="33.5" style="2" bestFit="1" customWidth="1"/>
    <col min="3" max="7" width="18.1640625" style="2" customWidth="1"/>
    <col min="8" max="16384" width="10.83203125" style="2"/>
  </cols>
  <sheetData>
    <row r="1" spans="1:7">
      <c r="A1" s="2" t="s">
        <v>72</v>
      </c>
      <c r="B1" s="10" t="s">
        <v>141</v>
      </c>
      <c r="C1" s="10" t="s">
        <v>322</v>
      </c>
      <c r="D1" s="10" t="s">
        <v>220</v>
      </c>
      <c r="E1" s="10" t="s">
        <v>221</v>
      </c>
      <c r="F1" s="10" t="s">
        <v>223</v>
      </c>
      <c r="G1" s="10" t="s">
        <v>323</v>
      </c>
    </row>
    <row r="2" spans="1:7">
      <c r="A2" s="2" t="s">
        <v>71</v>
      </c>
      <c r="B2" s="10" t="s">
        <v>334</v>
      </c>
      <c r="C2" s="10">
        <f>VALUE(LEFT(C29,2))</f>
        <v>60</v>
      </c>
      <c r="D2" s="10">
        <f t="shared" ref="D2:F2" si="0">VALUE(LEFT(D29,2))</f>
        <v>70</v>
      </c>
      <c r="E2" s="10">
        <f t="shared" si="0"/>
        <v>80</v>
      </c>
      <c r="F2" s="10">
        <f t="shared" si="0"/>
        <v>90</v>
      </c>
      <c r="G2" s="10">
        <f>VALUE(LEFT(G29,3))</f>
        <v>100</v>
      </c>
    </row>
    <row r="3" spans="1:7">
      <c r="A3" s="2" t="s">
        <v>360</v>
      </c>
      <c r="B3" s="10" t="s">
        <v>335</v>
      </c>
      <c r="C3" s="10">
        <v>421</v>
      </c>
      <c r="D3" s="10">
        <v>435</v>
      </c>
      <c r="E3" s="10">
        <v>456</v>
      </c>
      <c r="F3" s="10">
        <v>477</v>
      </c>
      <c r="G3" s="10">
        <v>498</v>
      </c>
    </row>
    <row r="4" spans="1:7">
      <c r="A4" s="2" t="s">
        <v>55</v>
      </c>
      <c r="B4" s="10" t="s">
        <v>348</v>
      </c>
      <c r="C4" s="10">
        <v>378</v>
      </c>
      <c r="D4" s="10">
        <v>383</v>
      </c>
      <c r="E4" s="10">
        <v>394</v>
      </c>
      <c r="F4" s="10">
        <v>405</v>
      </c>
      <c r="G4" s="10">
        <v>416</v>
      </c>
    </row>
    <row r="5" spans="1:7">
      <c r="A5" s="2" t="s">
        <v>54</v>
      </c>
      <c r="B5" s="10" t="s">
        <v>349</v>
      </c>
      <c r="C5" s="10">
        <v>523</v>
      </c>
      <c r="D5" s="10">
        <v>537</v>
      </c>
      <c r="E5" s="10">
        <v>564</v>
      </c>
      <c r="F5" s="10">
        <v>593</v>
      </c>
      <c r="G5" s="10">
        <v>623</v>
      </c>
    </row>
    <row r="6" spans="1:7">
      <c r="A6" s="2" t="s">
        <v>62</v>
      </c>
      <c r="B6" s="10" t="s">
        <v>350</v>
      </c>
      <c r="C6" s="10">
        <v>70.5</v>
      </c>
      <c r="D6" s="10">
        <v>70.5</v>
      </c>
      <c r="E6" s="10">
        <v>70.5</v>
      </c>
      <c r="F6" s="10">
        <v>70.5</v>
      </c>
      <c r="G6" s="10">
        <v>70.5</v>
      </c>
    </row>
    <row r="7" spans="1:7">
      <c r="A7" s="2" t="s">
        <v>63</v>
      </c>
      <c r="B7" s="10" t="s">
        <v>351</v>
      </c>
      <c r="C7" s="10">
        <v>72.900000000000006</v>
      </c>
      <c r="D7" s="10">
        <v>72.7</v>
      </c>
      <c r="E7" s="10">
        <v>72.5</v>
      </c>
      <c r="F7" s="10">
        <v>72.400000000000006</v>
      </c>
      <c r="G7" s="10">
        <v>72.3</v>
      </c>
    </row>
    <row r="8" spans="1:7">
      <c r="A8" s="2" t="s">
        <v>60</v>
      </c>
      <c r="B8" s="10" t="s">
        <v>352</v>
      </c>
      <c r="C8" s="10">
        <v>461</v>
      </c>
      <c r="D8" s="10">
        <v>500</v>
      </c>
      <c r="E8" s="10">
        <v>528</v>
      </c>
      <c r="F8" s="10">
        <v>548</v>
      </c>
      <c r="G8" s="10">
        <v>575</v>
      </c>
    </row>
    <row r="9" spans="1:7">
      <c r="A9" s="2" t="s">
        <v>66</v>
      </c>
      <c r="B9" s="10" t="s">
        <v>353</v>
      </c>
      <c r="C9" s="10">
        <v>425</v>
      </c>
      <c r="D9" s="10">
        <v>425</v>
      </c>
      <c r="E9" s="10">
        <v>425</v>
      </c>
      <c r="F9" s="10">
        <v>425</v>
      </c>
      <c r="G9" s="10">
        <v>425</v>
      </c>
    </row>
    <row r="10" spans="1:7">
      <c r="A10" s="2" t="s">
        <v>65</v>
      </c>
      <c r="B10" s="10" t="s">
        <v>354</v>
      </c>
      <c r="C10" s="10">
        <v>65</v>
      </c>
      <c r="D10" s="10">
        <v>65</v>
      </c>
      <c r="E10" s="10">
        <v>65</v>
      </c>
      <c r="F10" s="10">
        <v>65</v>
      </c>
      <c r="G10" s="10">
        <v>65</v>
      </c>
    </row>
    <row r="11" spans="1:7">
      <c r="A11" s="2" t="s">
        <v>64</v>
      </c>
      <c r="B11" s="10" t="s">
        <v>355</v>
      </c>
      <c r="C11" s="10">
        <v>84</v>
      </c>
      <c r="D11" s="10">
        <v>99</v>
      </c>
      <c r="E11" s="10">
        <v>129</v>
      </c>
      <c r="F11" s="10">
        <v>159</v>
      </c>
      <c r="G11" s="10">
        <v>191</v>
      </c>
    </row>
    <row r="12" spans="1:7">
      <c r="A12" s="2" t="s">
        <v>73</v>
      </c>
      <c r="B12" s="10" t="s">
        <v>356</v>
      </c>
      <c r="C12" s="10">
        <v>532</v>
      </c>
      <c r="D12" s="10">
        <v>544</v>
      </c>
      <c r="E12" s="10">
        <v>563</v>
      </c>
      <c r="F12" s="10">
        <v>584</v>
      </c>
      <c r="G12" s="10">
        <v>607</v>
      </c>
    </row>
    <row r="13" spans="1:7">
      <c r="A13" s="2" t="s">
        <v>56</v>
      </c>
      <c r="B13" s="10" t="s">
        <v>9</v>
      </c>
      <c r="C13" s="10">
        <v>1009</v>
      </c>
      <c r="D13" s="10">
        <v>1020</v>
      </c>
      <c r="E13" s="10">
        <v>1040</v>
      </c>
      <c r="F13" s="10">
        <v>1061</v>
      </c>
      <c r="G13" s="10">
        <v>1084</v>
      </c>
    </row>
    <row r="14" spans="1:7">
      <c r="A14" s="2" t="s">
        <v>363</v>
      </c>
      <c r="B14" s="10" t="s">
        <v>8</v>
      </c>
      <c r="C14" s="10">
        <v>589</v>
      </c>
      <c r="D14" s="10">
        <v>600</v>
      </c>
      <c r="E14" s="10">
        <v>620</v>
      </c>
      <c r="F14" s="10">
        <v>641</v>
      </c>
      <c r="G14" s="10">
        <v>664</v>
      </c>
    </row>
    <row r="15" spans="1:7">
      <c r="A15" s="2" t="s">
        <v>364</v>
      </c>
      <c r="B15" s="10" t="s">
        <v>357</v>
      </c>
      <c r="C15" s="10">
        <v>419</v>
      </c>
      <c r="D15" s="10">
        <v>419</v>
      </c>
      <c r="E15" s="10">
        <v>419</v>
      </c>
      <c r="F15" s="10">
        <v>419</v>
      </c>
      <c r="G15" s="10">
        <v>419</v>
      </c>
    </row>
    <row r="16" spans="1:7">
      <c r="A16" s="2" t="s">
        <v>67</v>
      </c>
      <c r="B16" s="10" t="s">
        <v>358</v>
      </c>
      <c r="C16" s="10">
        <v>47</v>
      </c>
      <c r="D16" s="10">
        <v>47</v>
      </c>
      <c r="E16" s="10">
        <v>47</v>
      </c>
      <c r="F16" s="10">
        <v>47</v>
      </c>
      <c r="G16" s="10">
        <v>47</v>
      </c>
    </row>
    <row r="17" spans="1:8">
      <c r="A17" s="2" t="s">
        <v>57</v>
      </c>
      <c r="B17" s="10" t="s">
        <v>359</v>
      </c>
      <c r="C17" s="10">
        <v>731</v>
      </c>
      <c r="D17" s="10">
        <v>763</v>
      </c>
      <c r="E17" s="10">
        <v>789</v>
      </c>
      <c r="F17" s="10">
        <v>811</v>
      </c>
      <c r="G17" s="10">
        <v>840</v>
      </c>
    </row>
    <row r="18" spans="1:8">
      <c r="A18" s="2" t="s">
        <v>69</v>
      </c>
      <c r="B18" s="2" t="s">
        <v>69</v>
      </c>
      <c r="C18" s="10">
        <v>170</v>
      </c>
      <c r="D18" s="10">
        <v>170</v>
      </c>
      <c r="E18" s="10">
        <v>172.5</v>
      </c>
      <c r="F18" s="10">
        <v>172.5</v>
      </c>
      <c r="G18" s="10">
        <v>175</v>
      </c>
      <c r="H18" s="2" t="s">
        <v>268</v>
      </c>
    </row>
    <row r="19" spans="1:8">
      <c r="A19" s="2" t="s">
        <v>70</v>
      </c>
      <c r="B19" s="2" t="s">
        <v>70</v>
      </c>
      <c r="C19" s="10">
        <v>400</v>
      </c>
      <c r="D19" s="10">
        <v>400</v>
      </c>
      <c r="E19" s="10">
        <v>420</v>
      </c>
      <c r="F19" s="10">
        <v>440</v>
      </c>
      <c r="G19" s="10">
        <v>440</v>
      </c>
    </row>
    <row r="20" spans="1:8">
      <c r="A20" s="2" t="s">
        <v>71</v>
      </c>
      <c r="B20" s="2" t="s">
        <v>71</v>
      </c>
      <c r="C20" s="10">
        <f>VALUE(LEFT(C29,2))</f>
        <v>60</v>
      </c>
      <c r="D20" s="10">
        <f t="shared" ref="D20:F20" si="1">VALUE(LEFT(D29,2))</f>
        <v>70</v>
      </c>
      <c r="E20" s="10">
        <f t="shared" si="1"/>
        <v>80</v>
      </c>
      <c r="F20" s="10">
        <f t="shared" si="1"/>
        <v>90</v>
      </c>
      <c r="G20" s="10">
        <f>VALUE(LEFT(G29,3))</f>
        <v>100</v>
      </c>
    </row>
    <row r="21" spans="1:8">
      <c r="A21" s="2" t="s">
        <v>68</v>
      </c>
      <c r="B21" s="2" t="s">
        <v>68</v>
      </c>
      <c r="C21" s="10">
        <v>700</v>
      </c>
      <c r="D21" s="10">
        <v>700</v>
      </c>
      <c r="E21" s="10">
        <v>700</v>
      </c>
      <c r="F21" s="10">
        <v>700</v>
      </c>
      <c r="G21" s="10">
        <v>700</v>
      </c>
    </row>
    <row r="22" spans="1:8">
      <c r="A22" s="2" t="s">
        <v>139</v>
      </c>
      <c r="B22" s="2" t="s">
        <v>139</v>
      </c>
      <c r="C22" s="10">
        <v>40</v>
      </c>
      <c r="D22" s="10">
        <v>40</v>
      </c>
      <c r="E22" s="10">
        <v>40</v>
      </c>
      <c r="F22" s="10">
        <v>40</v>
      </c>
      <c r="G22" s="10">
        <v>40</v>
      </c>
    </row>
    <row r="23" spans="1:8">
      <c r="A23" s="2" t="s">
        <v>140</v>
      </c>
      <c r="B23" s="2" t="s">
        <v>140</v>
      </c>
      <c r="C23" s="2">
        <f>2.25*25.4</f>
        <v>57.15</v>
      </c>
      <c r="D23" s="2">
        <f t="shared" ref="D23:G23" si="2">2.25*25.4</f>
        <v>57.15</v>
      </c>
      <c r="E23" s="2">
        <f t="shared" si="2"/>
        <v>57.15</v>
      </c>
      <c r="F23" s="2">
        <f t="shared" si="2"/>
        <v>57.15</v>
      </c>
      <c r="G23" s="2">
        <f t="shared" si="2"/>
        <v>57.15</v>
      </c>
    </row>
    <row r="24" spans="1:8">
      <c r="A24" s="2" t="s">
        <v>1752</v>
      </c>
      <c r="B24" s="2" t="s">
        <v>1752</v>
      </c>
      <c r="C24" s="2">
        <f>C26</f>
        <v>156</v>
      </c>
      <c r="D24" s="2">
        <f>C25</f>
        <v>165.5</v>
      </c>
      <c r="E24" s="2">
        <f t="shared" ref="E24:G24" si="3">D25</f>
        <v>174.5</v>
      </c>
      <c r="F24" s="2">
        <f t="shared" si="3"/>
        <v>182.5</v>
      </c>
      <c r="G24" s="2">
        <f t="shared" si="3"/>
        <v>190.5</v>
      </c>
    </row>
    <row r="25" spans="1:8">
      <c r="A25" s="2" t="s">
        <v>1753</v>
      </c>
      <c r="B25" s="2" t="s">
        <v>1753</v>
      </c>
      <c r="C25" s="2">
        <f>AVERAGE(C27,D26)</f>
        <v>165.5</v>
      </c>
      <c r="D25" s="2">
        <f t="shared" ref="D25:G25" si="4">AVERAGE(D27,E26)</f>
        <v>174.5</v>
      </c>
      <c r="E25" s="2">
        <f t="shared" si="4"/>
        <v>182.5</v>
      </c>
      <c r="F25" s="2">
        <f t="shared" si="4"/>
        <v>190.5</v>
      </c>
      <c r="G25" s="2">
        <f t="shared" si="4"/>
        <v>200</v>
      </c>
    </row>
    <row r="26" spans="1:8">
      <c r="C26" s="2">
        <f>VALUE(LEFT(C30,3))</f>
        <v>156</v>
      </c>
      <c r="D26" s="2">
        <f>VALUE(LEFT(D30,3))</f>
        <v>166</v>
      </c>
      <c r="E26" s="2">
        <f>VALUE(LEFT(E30,3))</f>
        <v>175</v>
      </c>
      <c r="F26" s="2">
        <f>VALUE(LEFT(F30,3))</f>
        <v>183</v>
      </c>
      <c r="G26" s="2">
        <f>VALUE(LEFT(G30,3))</f>
        <v>191</v>
      </c>
    </row>
    <row r="27" spans="1:8">
      <c r="C27" s="2">
        <f>VALUE(MID(C30,5,3))</f>
        <v>165</v>
      </c>
      <c r="D27" s="2">
        <f>VALUE(MID(D30,5,3))</f>
        <v>174</v>
      </c>
      <c r="E27" s="2">
        <f>VALUE(MID(E30,5,3))</f>
        <v>182</v>
      </c>
      <c r="F27" s="2">
        <f>VALUE(MID(F30,5,3))</f>
        <v>190</v>
      </c>
      <c r="G27" s="2">
        <f>VALUE(MID(G30,5,3))</f>
        <v>200</v>
      </c>
    </row>
    <row r="29" spans="1:8">
      <c r="B29" s="10" t="s">
        <v>334</v>
      </c>
      <c r="C29" s="10" t="s">
        <v>365</v>
      </c>
      <c r="D29" s="10" t="s">
        <v>366</v>
      </c>
      <c r="E29" s="10" t="s">
        <v>367</v>
      </c>
      <c r="F29" s="10" t="s">
        <v>368</v>
      </c>
      <c r="G29" s="10" t="s">
        <v>369</v>
      </c>
    </row>
    <row r="30" spans="1:8">
      <c r="B30" s="148" t="s">
        <v>171</v>
      </c>
      <c r="C30" s="122" t="s">
        <v>324</v>
      </c>
      <c r="D30" s="122" t="s">
        <v>326</v>
      </c>
      <c r="E30" s="122" t="s">
        <v>328</v>
      </c>
      <c r="F30" s="122" t="s">
        <v>330</v>
      </c>
      <c r="G30" s="122" t="s">
        <v>332</v>
      </c>
    </row>
    <row r="31" spans="1:8">
      <c r="B31" s="148"/>
      <c r="C31" s="122" t="s">
        <v>325</v>
      </c>
      <c r="D31" s="122" t="s">
        <v>327</v>
      </c>
      <c r="E31" s="122" t="s">
        <v>329</v>
      </c>
      <c r="F31" s="122" t="s">
        <v>331</v>
      </c>
      <c r="G31" s="122" t="s">
        <v>333</v>
      </c>
    </row>
    <row r="33" spans="1:7">
      <c r="A33" s="2" t="s">
        <v>361</v>
      </c>
      <c r="B33" s="10" t="s">
        <v>336</v>
      </c>
      <c r="C33" s="10" t="s">
        <v>337</v>
      </c>
      <c r="D33" s="10" t="s">
        <v>338</v>
      </c>
      <c r="E33" s="10" t="s">
        <v>339</v>
      </c>
      <c r="F33" s="10" t="s">
        <v>340</v>
      </c>
      <c r="G33" s="10" t="s">
        <v>341</v>
      </c>
    </row>
    <row r="34" spans="1:7">
      <c r="A34" s="2" t="s">
        <v>362</v>
      </c>
      <c r="B34" s="10" t="s">
        <v>342</v>
      </c>
      <c r="C34" s="10" t="s">
        <v>343</v>
      </c>
      <c r="D34" s="10" t="s">
        <v>344</v>
      </c>
      <c r="E34" s="10" t="s">
        <v>345</v>
      </c>
      <c r="F34" s="10" t="s">
        <v>346</v>
      </c>
      <c r="G34" s="10" t="s">
        <v>347</v>
      </c>
    </row>
  </sheetData>
  <mergeCells count="1">
    <mergeCell ref="B30:B3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F9A-6C9F-E34A-9B99-BE800F97A09E}">
  <dimension ref="A1:H27"/>
  <sheetViews>
    <sheetView workbookViewId="0">
      <selection activeCell="F1" sqref="F1"/>
    </sheetView>
  </sheetViews>
  <sheetFormatPr baseColWidth="10" defaultRowHeight="20"/>
  <cols>
    <col min="1" max="1" width="29.33203125" style="22" bestFit="1" customWidth="1"/>
    <col min="2" max="2" width="32.33203125" style="22" bestFit="1" customWidth="1"/>
    <col min="3" max="16384" width="10.83203125" style="22"/>
  </cols>
  <sheetData>
    <row r="1" spans="1:7">
      <c r="A1" s="22" t="s">
        <v>72</v>
      </c>
      <c r="B1" s="22" t="s">
        <v>141</v>
      </c>
      <c r="C1" s="22" t="s">
        <v>986</v>
      </c>
      <c r="D1" s="22" t="s">
        <v>1001</v>
      </c>
      <c r="E1" s="22" t="s">
        <v>221</v>
      </c>
      <c r="F1" s="22" t="s">
        <v>1002</v>
      </c>
      <c r="G1" s="22" t="s">
        <v>223</v>
      </c>
    </row>
    <row r="2" spans="1:7">
      <c r="A2" s="22" t="s">
        <v>60</v>
      </c>
      <c r="B2" s="22" t="s">
        <v>685</v>
      </c>
      <c r="C2" s="22">
        <v>500</v>
      </c>
      <c r="D2" s="22">
        <v>520</v>
      </c>
      <c r="E2" s="22">
        <v>535</v>
      </c>
      <c r="F2" s="22">
        <v>550</v>
      </c>
      <c r="G2" s="22">
        <v>570</v>
      </c>
    </row>
    <row r="3" spans="1:7">
      <c r="A3" s="22" t="s">
        <v>1003</v>
      </c>
      <c r="B3" s="22" t="s">
        <v>987</v>
      </c>
      <c r="C3" s="22">
        <v>607</v>
      </c>
      <c r="D3" s="22">
        <v>629</v>
      </c>
      <c r="E3" s="22">
        <v>641</v>
      </c>
      <c r="F3" s="22">
        <v>653</v>
      </c>
      <c r="G3" s="22">
        <v>675</v>
      </c>
    </row>
    <row r="4" spans="1:7">
      <c r="A4" s="22" t="s">
        <v>63</v>
      </c>
      <c r="B4" s="22" t="s">
        <v>988</v>
      </c>
      <c r="C4" s="22">
        <v>73.5</v>
      </c>
      <c r="D4" s="22">
        <v>73.5</v>
      </c>
      <c r="E4" s="22">
        <v>73.5</v>
      </c>
      <c r="F4" s="22">
        <v>73.5</v>
      </c>
      <c r="G4" s="22">
        <v>73.5</v>
      </c>
    </row>
    <row r="5" spans="1:7">
      <c r="A5" s="22" t="s">
        <v>400</v>
      </c>
      <c r="B5" s="22" t="s">
        <v>989</v>
      </c>
      <c r="C5" s="22">
        <v>521</v>
      </c>
      <c r="D5" s="22">
        <v>534</v>
      </c>
      <c r="E5" s="22">
        <v>548</v>
      </c>
      <c r="F5" s="22">
        <v>564</v>
      </c>
      <c r="G5" s="22">
        <v>575</v>
      </c>
    </row>
    <row r="6" spans="1:7">
      <c r="A6" s="22" t="s">
        <v>73</v>
      </c>
      <c r="B6" s="22" t="s">
        <v>990</v>
      </c>
      <c r="C6" s="22">
        <v>541</v>
      </c>
      <c r="D6" s="22">
        <v>555</v>
      </c>
      <c r="E6" s="22">
        <v>570</v>
      </c>
      <c r="F6" s="22">
        <v>585</v>
      </c>
      <c r="G6" s="22">
        <v>600</v>
      </c>
    </row>
    <row r="7" spans="1:7">
      <c r="A7" s="22" t="s">
        <v>64</v>
      </c>
      <c r="B7" s="22" t="s">
        <v>991</v>
      </c>
      <c r="C7" s="22">
        <v>150</v>
      </c>
      <c r="D7" s="22">
        <v>170</v>
      </c>
      <c r="E7" s="22">
        <v>180</v>
      </c>
      <c r="F7" s="22">
        <v>190</v>
      </c>
      <c r="G7" s="22">
        <v>210</v>
      </c>
    </row>
    <row r="8" spans="1:7">
      <c r="A8" s="22" t="s">
        <v>62</v>
      </c>
      <c r="B8" s="22" t="s">
        <v>992</v>
      </c>
      <c r="C8" s="22">
        <v>70</v>
      </c>
      <c r="D8" s="22">
        <v>70.5</v>
      </c>
      <c r="E8" s="22">
        <v>71</v>
      </c>
      <c r="F8" s="22">
        <v>71.5</v>
      </c>
      <c r="G8" s="22">
        <v>72</v>
      </c>
    </row>
    <row r="9" spans="1:7">
      <c r="A9" s="22" t="s">
        <v>1232</v>
      </c>
      <c r="B9" s="22" t="s">
        <v>993</v>
      </c>
      <c r="C9" s="22">
        <v>403</v>
      </c>
      <c r="D9" s="22">
        <v>403</v>
      </c>
      <c r="E9" s="22">
        <v>403</v>
      </c>
      <c r="F9" s="22">
        <v>403</v>
      </c>
      <c r="G9" s="22">
        <v>403</v>
      </c>
    </row>
    <row r="10" spans="1:7">
      <c r="A10" s="22" t="s">
        <v>67</v>
      </c>
      <c r="B10" s="22" t="s">
        <v>742</v>
      </c>
      <c r="C10" s="22">
        <v>50</v>
      </c>
      <c r="D10" s="22">
        <v>50</v>
      </c>
      <c r="E10" s="22">
        <v>50</v>
      </c>
      <c r="F10" s="22">
        <v>50</v>
      </c>
      <c r="G10" s="22">
        <v>50</v>
      </c>
    </row>
    <row r="11" spans="1:7">
      <c r="A11" s="22" t="s">
        <v>134</v>
      </c>
      <c r="B11" s="22" t="s">
        <v>994</v>
      </c>
      <c r="C11" s="22">
        <v>612</v>
      </c>
      <c r="D11" s="22">
        <v>622</v>
      </c>
      <c r="E11" s="22">
        <v>632</v>
      </c>
      <c r="F11" s="22">
        <v>642</v>
      </c>
      <c r="G11" s="22">
        <v>640</v>
      </c>
    </row>
    <row r="12" spans="1:7">
      <c r="A12" s="22" t="s">
        <v>66</v>
      </c>
      <c r="B12" s="22" t="s">
        <v>995</v>
      </c>
      <c r="C12" s="22">
        <v>445</v>
      </c>
      <c r="D12" s="22">
        <v>445</v>
      </c>
      <c r="E12" s="22">
        <v>445</v>
      </c>
      <c r="F12" s="22">
        <v>445</v>
      </c>
      <c r="G12" s="22">
        <v>445</v>
      </c>
    </row>
    <row r="13" spans="1:7">
      <c r="A13" s="22" t="s">
        <v>56</v>
      </c>
      <c r="B13" s="22" t="s">
        <v>996</v>
      </c>
      <c r="C13" s="22">
        <v>1047</v>
      </c>
      <c r="D13" s="22">
        <v>1057</v>
      </c>
      <c r="E13" s="22">
        <v>1067</v>
      </c>
      <c r="F13" s="22">
        <v>1077</v>
      </c>
      <c r="G13" s="22">
        <v>1075</v>
      </c>
    </row>
    <row r="14" spans="1:7">
      <c r="A14" s="22" t="s">
        <v>65</v>
      </c>
      <c r="B14" s="22" t="s">
        <v>722</v>
      </c>
      <c r="C14" s="22">
        <v>72</v>
      </c>
      <c r="D14" s="22">
        <v>72</v>
      </c>
      <c r="E14" s="22">
        <v>72</v>
      </c>
      <c r="F14" s="22">
        <v>72</v>
      </c>
      <c r="G14" s="22">
        <v>72</v>
      </c>
    </row>
    <row r="15" spans="1:7">
      <c r="A15" s="22" t="s">
        <v>55</v>
      </c>
      <c r="B15" s="22" t="s">
        <v>385</v>
      </c>
      <c r="C15" s="22">
        <v>368</v>
      </c>
      <c r="D15" s="22">
        <v>376</v>
      </c>
      <c r="E15" s="22">
        <v>388</v>
      </c>
      <c r="F15" s="22">
        <v>400</v>
      </c>
      <c r="G15" s="22">
        <v>408</v>
      </c>
    </row>
    <row r="16" spans="1:7">
      <c r="A16" s="22" t="s">
        <v>54</v>
      </c>
      <c r="B16" s="22" t="s">
        <v>384</v>
      </c>
      <c r="C16" s="22">
        <v>582</v>
      </c>
      <c r="D16" s="22">
        <v>603</v>
      </c>
      <c r="E16" s="22">
        <v>615</v>
      </c>
      <c r="F16" s="22">
        <v>626</v>
      </c>
      <c r="G16" s="22">
        <v>647</v>
      </c>
    </row>
    <row r="17" spans="1:8">
      <c r="A17" s="22" t="s">
        <v>135</v>
      </c>
      <c r="B17" s="22" t="s">
        <v>997</v>
      </c>
      <c r="C17" s="22">
        <v>73</v>
      </c>
      <c r="D17" s="22">
        <v>70</v>
      </c>
      <c r="E17" s="22">
        <v>67</v>
      </c>
      <c r="F17" s="22">
        <v>63</v>
      </c>
      <c r="G17" s="22">
        <v>60</v>
      </c>
    </row>
    <row r="18" spans="1:8">
      <c r="A18" s="22" t="s">
        <v>57</v>
      </c>
      <c r="B18" s="22" t="s">
        <v>998</v>
      </c>
      <c r="C18" s="22">
        <v>759</v>
      </c>
      <c r="D18" s="22">
        <v>779</v>
      </c>
      <c r="E18" s="22">
        <v>793</v>
      </c>
      <c r="F18" s="22">
        <v>804</v>
      </c>
      <c r="G18" s="22">
        <v>823</v>
      </c>
    </row>
    <row r="19" spans="1:8">
      <c r="A19" s="22" t="s">
        <v>1004</v>
      </c>
      <c r="B19" s="22" t="s">
        <v>999</v>
      </c>
      <c r="C19" s="22">
        <v>35</v>
      </c>
      <c r="D19" s="22">
        <v>35</v>
      </c>
      <c r="E19" s="22">
        <v>35</v>
      </c>
      <c r="F19" s="22">
        <v>35</v>
      </c>
      <c r="G19" s="22">
        <v>35</v>
      </c>
    </row>
    <row r="20" spans="1:8">
      <c r="A20" s="22" t="s">
        <v>140</v>
      </c>
      <c r="B20" s="22" t="s">
        <v>1000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8">
      <c r="A21" s="22" t="s">
        <v>69</v>
      </c>
      <c r="B21" s="22" t="s">
        <v>69</v>
      </c>
    </row>
    <row r="22" spans="1:8">
      <c r="A22" s="22" t="s">
        <v>70</v>
      </c>
      <c r="B22" s="22" t="s">
        <v>70</v>
      </c>
    </row>
    <row r="23" spans="1:8">
      <c r="A23" s="22" t="s">
        <v>71</v>
      </c>
      <c r="B23" s="22" t="s">
        <v>71</v>
      </c>
    </row>
    <row r="24" spans="1:8">
      <c r="A24" s="22" t="s">
        <v>68</v>
      </c>
      <c r="B24" s="22" t="s">
        <v>68</v>
      </c>
      <c r="C24" s="22">
        <v>700</v>
      </c>
      <c r="D24" s="22">
        <v>700</v>
      </c>
      <c r="E24" s="22">
        <v>700</v>
      </c>
      <c r="F24" s="22">
        <v>700</v>
      </c>
      <c r="G24" s="22">
        <v>700</v>
      </c>
    </row>
    <row r="25" spans="1:8">
      <c r="A25" s="22" t="s">
        <v>139</v>
      </c>
      <c r="B25" s="22" t="s">
        <v>139</v>
      </c>
      <c r="C25" s="22">
        <v>38</v>
      </c>
      <c r="D25" s="22">
        <v>38</v>
      </c>
      <c r="E25" s="22">
        <v>38</v>
      </c>
      <c r="F25" s="22">
        <v>38</v>
      </c>
      <c r="G25" s="22">
        <v>38</v>
      </c>
    </row>
    <row r="26" spans="1:8">
      <c r="A26" s="22" t="s">
        <v>1752</v>
      </c>
      <c r="H26" s="22" t="s">
        <v>2624</v>
      </c>
    </row>
    <row r="27" spans="1:8">
      <c r="A27" s="22" t="s">
        <v>1753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7C8B-3E36-C84F-8A07-D0D7E04CB3DF}">
  <dimension ref="A1:H50"/>
  <sheetViews>
    <sheetView topLeftCell="A6" workbookViewId="0">
      <selection activeCell="G27" sqref="G27"/>
    </sheetView>
  </sheetViews>
  <sheetFormatPr baseColWidth="10" defaultRowHeight="20"/>
  <cols>
    <col min="1" max="1" width="28" style="22" bestFit="1" customWidth="1"/>
    <col min="2" max="2" width="43.33203125" style="22" bestFit="1" customWidth="1"/>
    <col min="3" max="3" width="11.1640625" style="22" bestFit="1" customWidth="1"/>
    <col min="4" max="5" width="11.33203125" style="22" bestFit="1" customWidth="1"/>
    <col min="6" max="6" width="11.1640625" style="22" bestFit="1" customWidth="1"/>
    <col min="7" max="16384" width="10.83203125" style="22"/>
  </cols>
  <sheetData>
    <row r="1" spans="1:8" ht="22">
      <c r="A1" s="22" t="s">
        <v>72</v>
      </c>
      <c r="B1" s="94" t="s">
        <v>141</v>
      </c>
      <c r="C1" s="94" t="s">
        <v>16</v>
      </c>
      <c r="D1" s="94" t="s">
        <v>17</v>
      </c>
      <c r="E1" s="94" t="s">
        <v>18</v>
      </c>
      <c r="F1" s="94" t="s">
        <v>19</v>
      </c>
      <c r="G1" s="89" t="s">
        <v>1152</v>
      </c>
    </row>
    <row r="2" spans="1:8" ht="22">
      <c r="A2" s="22" t="s">
        <v>60</v>
      </c>
      <c r="B2" s="96" t="s">
        <v>2296</v>
      </c>
      <c r="C2" s="97">
        <v>390</v>
      </c>
      <c r="D2" s="97">
        <v>420</v>
      </c>
      <c r="E2" s="97">
        <v>465</v>
      </c>
      <c r="F2" s="97">
        <v>500</v>
      </c>
      <c r="G2" s="90" t="s">
        <v>1274</v>
      </c>
      <c r="H2"/>
    </row>
    <row r="3" spans="1:8" ht="22">
      <c r="A3" s="22" t="s">
        <v>63</v>
      </c>
      <c r="B3" s="96" t="s">
        <v>2297</v>
      </c>
      <c r="C3" s="97">
        <v>75</v>
      </c>
      <c r="D3" s="97">
        <v>75</v>
      </c>
      <c r="E3" s="97">
        <v>74.5</v>
      </c>
      <c r="F3" s="97">
        <v>74.5</v>
      </c>
      <c r="G3" s="90" t="s">
        <v>1275</v>
      </c>
    </row>
    <row r="4" spans="1:8" ht="22">
      <c r="A4" s="22" t="s">
        <v>73</v>
      </c>
      <c r="B4" s="96" t="s">
        <v>2298</v>
      </c>
      <c r="C4" s="97">
        <v>515</v>
      </c>
      <c r="D4" s="97">
        <v>525</v>
      </c>
      <c r="E4" s="97">
        <v>535</v>
      </c>
      <c r="F4" s="97">
        <v>550</v>
      </c>
      <c r="G4" s="90" t="s">
        <v>27</v>
      </c>
    </row>
    <row r="5" spans="1:8" ht="22">
      <c r="A5" s="22" t="s">
        <v>64</v>
      </c>
      <c r="B5" s="96" t="s">
        <v>2299</v>
      </c>
      <c r="C5" s="97">
        <v>95</v>
      </c>
      <c r="D5" s="97">
        <v>125</v>
      </c>
      <c r="E5" s="97">
        <v>155</v>
      </c>
      <c r="F5" s="97">
        <v>180</v>
      </c>
      <c r="G5" s="90" t="s">
        <v>888</v>
      </c>
    </row>
    <row r="6" spans="1:8" ht="22">
      <c r="A6" s="22" t="s">
        <v>62</v>
      </c>
      <c r="B6" s="96" t="s">
        <v>2300</v>
      </c>
      <c r="C6" s="97">
        <v>70.5</v>
      </c>
      <c r="D6" s="97">
        <v>70.5</v>
      </c>
      <c r="E6" s="97">
        <v>71</v>
      </c>
      <c r="F6" s="97">
        <v>71</v>
      </c>
      <c r="G6" s="90" t="s">
        <v>30</v>
      </c>
    </row>
    <row r="7" spans="1:8" ht="22">
      <c r="A7" s="22" t="s">
        <v>67</v>
      </c>
      <c r="B7" s="96" t="s">
        <v>2301</v>
      </c>
      <c r="C7" s="97">
        <v>50</v>
      </c>
      <c r="D7" s="97">
        <v>50</v>
      </c>
      <c r="E7" s="97">
        <v>50</v>
      </c>
      <c r="F7" s="97">
        <v>50</v>
      </c>
      <c r="G7" s="90" t="s">
        <v>578</v>
      </c>
    </row>
    <row r="8" spans="1:8" ht="22">
      <c r="A8" s="90" t="s">
        <v>494</v>
      </c>
      <c r="B8" s="96" t="s">
        <v>2302</v>
      </c>
      <c r="C8" s="97">
        <v>75.900000000000006</v>
      </c>
      <c r="D8" s="97">
        <v>75.900000000000006</v>
      </c>
      <c r="E8" s="97">
        <v>72.5</v>
      </c>
      <c r="F8" s="97">
        <v>72.5</v>
      </c>
      <c r="G8" s="90" t="s">
        <v>889</v>
      </c>
    </row>
    <row r="9" spans="1:8" ht="22">
      <c r="A9" s="22" t="s">
        <v>56</v>
      </c>
      <c r="B9" s="96" t="s">
        <v>2303</v>
      </c>
      <c r="C9" s="97">
        <v>1013</v>
      </c>
      <c r="D9" s="97">
        <v>1020</v>
      </c>
      <c r="E9" s="97">
        <v>1022</v>
      </c>
      <c r="F9" s="97">
        <v>1039</v>
      </c>
      <c r="G9" s="90" t="s">
        <v>1276</v>
      </c>
    </row>
    <row r="10" spans="1:8" ht="22">
      <c r="A10" s="22" t="s">
        <v>66</v>
      </c>
      <c r="B10" s="96" t="s">
        <v>2304</v>
      </c>
      <c r="C10" s="97">
        <v>430</v>
      </c>
      <c r="D10" s="97">
        <v>430</v>
      </c>
      <c r="E10" s="97">
        <v>430</v>
      </c>
      <c r="F10" s="97">
        <v>430</v>
      </c>
      <c r="G10" s="90" t="s">
        <v>1277</v>
      </c>
    </row>
    <row r="11" spans="1:8" ht="22">
      <c r="A11" s="22" t="s">
        <v>65</v>
      </c>
      <c r="B11" s="96" t="s">
        <v>2305</v>
      </c>
      <c r="C11" s="97">
        <v>80</v>
      </c>
      <c r="D11" s="97">
        <v>80</v>
      </c>
      <c r="E11" s="97">
        <v>80</v>
      </c>
      <c r="F11" s="97">
        <v>80</v>
      </c>
      <c r="G11" s="90" t="s">
        <v>1278</v>
      </c>
    </row>
    <row r="12" spans="1:8" ht="22">
      <c r="A12" s="22" t="s">
        <v>54</v>
      </c>
      <c r="B12" s="96" t="s">
        <v>2306</v>
      </c>
      <c r="C12" s="97">
        <v>530</v>
      </c>
      <c r="D12" s="97">
        <v>558</v>
      </c>
      <c r="E12" s="97">
        <v>588</v>
      </c>
      <c r="F12" s="97">
        <v>612</v>
      </c>
      <c r="G12" s="90" t="s">
        <v>1855</v>
      </c>
    </row>
    <row r="13" spans="1:8" ht="22">
      <c r="A13" s="22" t="s">
        <v>55</v>
      </c>
      <c r="B13" s="96" t="s">
        <v>2307</v>
      </c>
      <c r="C13" s="97">
        <v>378</v>
      </c>
      <c r="D13" s="97">
        <v>376</v>
      </c>
      <c r="E13" s="97">
        <v>372</v>
      </c>
      <c r="F13" s="97">
        <v>380</v>
      </c>
      <c r="G13" s="22" t="s">
        <v>19</v>
      </c>
    </row>
    <row r="14" spans="1:8" ht="22">
      <c r="A14" s="27" t="s">
        <v>2290</v>
      </c>
      <c r="B14" s="96" t="s">
        <v>2308</v>
      </c>
      <c r="C14" s="97">
        <v>429</v>
      </c>
      <c r="D14" s="97">
        <v>437</v>
      </c>
      <c r="E14" s="97">
        <v>443</v>
      </c>
      <c r="F14" s="97">
        <v>452</v>
      </c>
      <c r="G14" s="22" t="s">
        <v>19</v>
      </c>
    </row>
    <row r="15" spans="1:8" ht="22">
      <c r="A15" s="22" t="s">
        <v>57</v>
      </c>
      <c r="B15" s="96" t="s">
        <v>2309</v>
      </c>
      <c r="C15" s="97">
        <v>683</v>
      </c>
      <c r="D15" s="97">
        <v>711</v>
      </c>
      <c r="E15" s="97">
        <v>749</v>
      </c>
      <c r="F15" s="97">
        <v>779</v>
      </c>
      <c r="G15" s="22" t="s">
        <v>18</v>
      </c>
    </row>
    <row r="16" spans="1:8" ht="22">
      <c r="A16" s="22" t="s">
        <v>70</v>
      </c>
      <c r="B16" s="96" t="s">
        <v>2310</v>
      </c>
      <c r="C16" s="97">
        <v>400</v>
      </c>
      <c r="D16" s="97">
        <v>400</v>
      </c>
      <c r="E16" s="97">
        <v>420</v>
      </c>
      <c r="F16" s="97">
        <v>420</v>
      </c>
      <c r="G16" s="22" t="s">
        <v>1868</v>
      </c>
    </row>
    <row r="17" spans="1:7" ht="22">
      <c r="A17" s="22" t="s">
        <v>71</v>
      </c>
      <c r="B17" s="96" t="s">
        <v>2311</v>
      </c>
      <c r="C17" s="97">
        <v>70</v>
      </c>
      <c r="D17" s="97">
        <v>80</v>
      </c>
      <c r="E17" s="97">
        <v>90</v>
      </c>
      <c r="F17" s="97">
        <v>90</v>
      </c>
      <c r="G17" s="22" t="s">
        <v>2081</v>
      </c>
    </row>
    <row r="18" spans="1:7" ht="22">
      <c r="A18" s="22" t="s">
        <v>69</v>
      </c>
      <c r="B18" s="96" t="s">
        <v>2312</v>
      </c>
      <c r="C18" s="97">
        <v>170</v>
      </c>
      <c r="D18" s="97">
        <v>170</v>
      </c>
      <c r="E18" s="97">
        <v>172.5</v>
      </c>
      <c r="F18" s="97">
        <v>172.5</v>
      </c>
      <c r="G18" s="22" t="s">
        <v>887</v>
      </c>
    </row>
    <row r="19" spans="1:7">
      <c r="A19" s="22" t="s">
        <v>68</v>
      </c>
      <c r="B19" s="22" t="s">
        <v>45</v>
      </c>
      <c r="C19" s="22">
        <v>700</v>
      </c>
      <c r="D19" s="22">
        <v>700</v>
      </c>
      <c r="E19" s="22">
        <v>700</v>
      </c>
      <c r="F19" s="22">
        <v>700</v>
      </c>
      <c r="G19" s="22" t="s">
        <v>2082</v>
      </c>
    </row>
    <row r="20" spans="1:7">
      <c r="A20" s="22" t="s">
        <v>495</v>
      </c>
    </row>
    <row r="21" spans="1:7">
      <c r="A21" s="22" t="s">
        <v>139</v>
      </c>
      <c r="C21" s="22">
        <v>40</v>
      </c>
      <c r="D21" s="22">
        <v>40</v>
      </c>
      <c r="E21" s="22">
        <v>40</v>
      </c>
      <c r="F21" s="22">
        <v>40</v>
      </c>
    </row>
    <row r="22" spans="1:7">
      <c r="A22" s="22" t="s">
        <v>140</v>
      </c>
      <c r="C22" s="22">
        <v>45</v>
      </c>
      <c r="D22" s="22">
        <v>45</v>
      </c>
      <c r="E22" s="22">
        <v>45</v>
      </c>
      <c r="F22" s="22">
        <v>45</v>
      </c>
    </row>
    <row r="23" spans="1:7">
      <c r="A23" s="22" t="s">
        <v>1752</v>
      </c>
      <c r="C23" s="35">
        <f>C25*2.54</f>
        <v>149.86000000000001</v>
      </c>
      <c r="D23" s="35">
        <f>AVERAGE(D25,C26)*2.54</f>
        <v>160.02000000000001</v>
      </c>
      <c r="E23" s="35">
        <f t="shared" ref="E23:F23" si="0">AVERAGE(E25,D26)*2.54</f>
        <v>167.64000000000001</v>
      </c>
      <c r="F23" s="35">
        <f t="shared" si="0"/>
        <v>172.72</v>
      </c>
    </row>
    <row r="24" spans="1:7" ht="22">
      <c r="A24" s="22" t="s">
        <v>1753</v>
      </c>
      <c r="B24" s="40"/>
      <c r="C24" s="35">
        <f>D23</f>
        <v>160.02000000000001</v>
      </c>
      <c r="D24" s="35">
        <f t="shared" ref="D24:E24" si="1">E23</f>
        <v>167.64000000000001</v>
      </c>
      <c r="E24" s="35">
        <f t="shared" si="1"/>
        <v>172.72</v>
      </c>
      <c r="F24" s="35">
        <f>F26*2.54</f>
        <v>180.34</v>
      </c>
      <c r="G24" s="91"/>
    </row>
    <row r="25" spans="1:7">
      <c r="C25" s="22">
        <v>59</v>
      </c>
      <c r="D25" s="22">
        <v>62</v>
      </c>
      <c r="E25" s="22">
        <v>65</v>
      </c>
      <c r="F25" s="22">
        <v>67</v>
      </c>
    </row>
    <row r="26" spans="1:7">
      <c r="C26" s="22">
        <v>64</v>
      </c>
      <c r="D26" s="22">
        <v>67</v>
      </c>
      <c r="E26" s="22">
        <v>69</v>
      </c>
      <c r="F26" s="22">
        <v>71</v>
      </c>
    </row>
    <row r="27" spans="1:7">
      <c r="C27" s="92" t="s">
        <v>16</v>
      </c>
      <c r="D27" s="92" t="s">
        <v>17</v>
      </c>
      <c r="E27" s="92" t="s">
        <v>18</v>
      </c>
      <c r="F27" s="92" t="s">
        <v>19</v>
      </c>
    </row>
    <row r="28" spans="1:7" ht="22">
      <c r="C28" s="15" t="s">
        <v>2281</v>
      </c>
      <c r="D28" s="22" t="s">
        <v>2282</v>
      </c>
      <c r="E28" s="22" t="s">
        <v>2283</v>
      </c>
      <c r="F28" s="22" t="s">
        <v>2284</v>
      </c>
      <c r="G28" s="15"/>
    </row>
    <row r="29" spans="1:7" ht="22">
      <c r="C29" s="93" t="s">
        <v>2285</v>
      </c>
      <c r="D29" s="22" t="s">
        <v>2286</v>
      </c>
      <c r="E29" s="22" t="s">
        <v>2287</v>
      </c>
      <c r="F29" s="22" t="s">
        <v>2288</v>
      </c>
      <c r="G29" s="91"/>
    </row>
    <row r="30" spans="1:7" ht="22">
      <c r="G30" s="15"/>
    </row>
    <row r="33" spans="1:7">
      <c r="A33" s="94"/>
      <c r="B33" s="94"/>
      <c r="C33" s="94" t="s">
        <v>16</v>
      </c>
      <c r="D33" s="94" t="s">
        <v>17</v>
      </c>
      <c r="E33" s="94" t="s">
        <v>18</v>
      </c>
      <c r="F33" s="94" t="s">
        <v>19</v>
      </c>
      <c r="G33" s="27"/>
    </row>
    <row r="34" spans="1:7" ht="22">
      <c r="A34" s="95" t="s">
        <v>1274</v>
      </c>
      <c r="B34" s="96" t="s">
        <v>2296</v>
      </c>
      <c r="C34" s="97">
        <v>390</v>
      </c>
      <c r="D34" s="97">
        <v>420</v>
      </c>
      <c r="E34" s="97">
        <v>465</v>
      </c>
      <c r="F34" s="97">
        <v>500</v>
      </c>
    </row>
    <row r="35" spans="1:7" ht="22">
      <c r="A35" s="95" t="s">
        <v>1275</v>
      </c>
      <c r="B35" s="96" t="s">
        <v>2297</v>
      </c>
      <c r="C35" s="97" t="s">
        <v>2289</v>
      </c>
      <c r="D35" s="97" t="s">
        <v>2289</v>
      </c>
      <c r="E35" s="97" t="s">
        <v>799</v>
      </c>
      <c r="F35" s="97" t="s">
        <v>799</v>
      </c>
    </row>
    <row r="36" spans="1:7" ht="22">
      <c r="A36" s="95" t="s">
        <v>27</v>
      </c>
      <c r="B36" s="96" t="s">
        <v>2298</v>
      </c>
      <c r="C36" s="97">
        <v>515</v>
      </c>
      <c r="D36" s="97">
        <v>525</v>
      </c>
      <c r="E36" s="97">
        <v>535</v>
      </c>
      <c r="F36" s="97">
        <v>550</v>
      </c>
    </row>
    <row r="37" spans="1:7" ht="22">
      <c r="A37" s="95" t="s">
        <v>888</v>
      </c>
      <c r="B37" s="96" t="s">
        <v>2299</v>
      </c>
      <c r="C37" s="97">
        <v>95</v>
      </c>
      <c r="D37" s="97">
        <v>125</v>
      </c>
      <c r="E37" s="97">
        <v>155</v>
      </c>
      <c r="F37" s="97">
        <v>180</v>
      </c>
    </row>
    <row r="38" spans="1:7" ht="22">
      <c r="A38" s="95" t="s">
        <v>30</v>
      </c>
      <c r="B38" s="96" t="s">
        <v>2300</v>
      </c>
      <c r="C38" s="97" t="s">
        <v>843</v>
      </c>
      <c r="D38" s="97" t="s">
        <v>843</v>
      </c>
      <c r="E38" s="97" t="s">
        <v>286</v>
      </c>
      <c r="F38" s="97" t="s">
        <v>286</v>
      </c>
    </row>
    <row r="39" spans="1:7" ht="22">
      <c r="A39" s="95" t="s">
        <v>578</v>
      </c>
      <c r="B39" s="96" t="s">
        <v>2301</v>
      </c>
      <c r="C39" s="97">
        <v>50</v>
      </c>
      <c r="D39" s="97">
        <v>50</v>
      </c>
      <c r="E39" s="97">
        <v>50</v>
      </c>
      <c r="F39" s="97">
        <v>50</v>
      </c>
    </row>
    <row r="40" spans="1:7" ht="22">
      <c r="A40" s="95" t="s">
        <v>889</v>
      </c>
      <c r="B40" s="96" t="s">
        <v>2302</v>
      </c>
      <c r="C40" s="97">
        <v>75.900000000000006</v>
      </c>
      <c r="D40" s="97">
        <v>75.900000000000006</v>
      </c>
      <c r="E40" s="97">
        <v>72.5</v>
      </c>
      <c r="F40" s="97">
        <v>72.5</v>
      </c>
    </row>
    <row r="41" spans="1:7" ht="22">
      <c r="A41" s="95" t="s">
        <v>1276</v>
      </c>
      <c r="B41" s="96" t="s">
        <v>2303</v>
      </c>
      <c r="C41" s="97">
        <v>1013</v>
      </c>
      <c r="D41" s="97">
        <v>1020</v>
      </c>
      <c r="E41" s="97">
        <v>1022</v>
      </c>
      <c r="F41" s="97">
        <v>1039</v>
      </c>
    </row>
    <row r="42" spans="1:7" ht="22">
      <c r="A42" s="95" t="s">
        <v>1277</v>
      </c>
      <c r="B42" s="96" t="s">
        <v>2304</v>
      </c>
      <c r="C42" s="97">
        <v>430</v>
      </c>
      <c r="D42" s="97">
        <v>430</v>
      </c>
      <c r="E42" s="97">
        <v>430</v>
      </c>
      <c r="F42" s="97">
        <v>430</v>
      </c>
    </row>
    <row r="43" spans="1:7" ht="22">
      <c r="A43" s="95" t="s">
        <v>1278</v>
      </c>
      <c r="B43" s="96" t="s">
        <v>2305</v>
      </c>
      <c r="C43" s="97">
        <v>80</v>
      </c>
      <c r="D43" s="97">
        <v>80</v>
      </c>
      <c r="E43" s="97">
        <v>80</v>
      </c>
      <c r="F43" s="97">
        <v>80</v>
      </c>
    </row>
    <row r="44" spans="1:7" ht="22">
      <c r="A44" s="95" t="s">
        <v>1855</v>
      </c>
      <c r="B44" s="96" t="s">
        <v>2306</v>
      </c>
      <c r="C44" s="97">
        <v>530</v>
      </c>
      <c r="D44" s="97">
        <v>558</v>
      </c>
      <c r="E44" s="97">
        <v>588</v>
      </c>
      <c r="F44" s="97">
        <v>612</v>
      </c>
    </row>
    <row r="45" spans="1:7" ht="22">
      <c r="A45" s="95" t="s">
        <v>19</v>
      </c>
      <c r="B45" s="96" t="s">
        <v>2307</v>
      </c>
      <c r="C45" s="97">
        <v>378</v>
      </c>
      <c r="D45" s="97">
        <v>376</v>
      </c>
      <c r="E45" s="97">
        <v>372</v>
      </c>
      <c r="F45" s="97">
        <v>380</v>
      </c>
    </row>
    <row r="46" spans="1:7" ht="22">
      <c r="A46" s="95" t="s">
        <v>19</v>
      </c>
      <c r="B46" s="96" t="s">
        <v>2308</v>
      </c>
      <c r="C46" s="97">
        <v>429</v>
      </c>
      <c r="D46" s="97">
        <v>437</v>
      </c>
      <c r="E46" s="97">
        <v>443</v>
      </c>
      <c r="F46" s="97">
        <v>452</v>
      </c>
    </row>
    <row r="47" spans="1:7" ht="22">
      <c r="A47" s="95" t="s">
        <v>18</v>
      </c>
      <c r="B47" s="96" t="s">
        <v>2309</v>
      </c>
      <c r="C47" s="97">
        <v>683</v>
      </c>
      <c r="D47" s="97">
        <v>711</v>
      </c>
      <c r="E47" s="97">
        <v>749</v>
      </c>
      <c r="F47" s="97">
        <v>779</v>
      </c>
    </row>
    <row r="48" spans="1:7" ht="22">
      <c r="A48" s="95" t="s">
        <v>1868</v>
      </c>
      <c r="B48" s="96" t="s">
        <v>2310</v>
      </c>
      <c r="C48" s="97">
        <v>400</v>
      </c>
      <c r="D48" s="97">
        <v>400</v>
      </c>
      <c r="E48" s="97">
        <v>420</v>
      </c>
      <c r="F48" s="97">
        <v>420</v>
      </c>
    </row>
    <row r="49" spans="1:6" ht="22">
      <c r="A49" s="95" t="s">
        <v>2081</v>
      </c>
      <c r="B49" s="96" t="s">
        <v>2311</v>
      </c>
      <c r="C49" s="97">
        <v>70</v>
      </c>
      <c r="D49" s="97">
        <v>80</v>
      </c>
      <c r="E49" s="97">
        <v>90</v>
      </c>
      <c r="F49" s="97">
        <v>90</v>
      </c>
    </row>
    <row r="50" spans="1:6" ht="22">
      <c r="A50" s="95" t="s">
        <v>887</v>
      </c>
      <c r="B50" s="96" t="s">
        <v>2312</v>
      </c>
      <c r="C50" s="97">
        <v>170</v>
      </c>
      <c r="D50" s="97">
        <v>170</v>
      </c>
      <c r="E50" s="97">
        <v>172.5</v>
      </c>
      <c r="F50" s="97">
        <v>172.5</v>
      </c>
    </row>
  </sheetData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6A35-2862-AA4B-9D67-22AB73F890B4}">
  <dimension ref="A1:I55"/>
  <sheetViews>
    <sheetView workbookViewId="0">
      <selection activeCell="L29" sqref="L29"/>
    </sheetView>
  </sheetViews>
  <sheetFormatPr baseColWidth="10" defaultRowHeight="20"/>
  <cols>
    <col min="1" max="1" width="28" style="22" customWidth="1"/>
    <col min="2" max="2" width="43.33203125" style="22" bestFit="1" customWidth="1"/>
    <col min="3" max="3" width="11.1640625" style="22" bestFit="1" customWidth="1"/>
    <col min="4" max="5" width="11.33203125" style="22" bestFit="1" customWidth="1"/>
    <col min="6" max="6" width="11.1640625" style="22" bestFit="1" customWidth="1"/>
    <col min="7" max="16384" width="10.83203125" style="22"/>
  </cols>
  <sheetData>
    <row r="1" spans="1:8">
      <c r="A1" s="22" t="s">
        <v>2412</v>
      </c>
      <c r="B1" s="22" t="s">
        <v>2555</v>
      </c>
    </row>
    <row r="2" spans="1:8">
      <c r="A2" s="22" t="s">
        <v>2423</v>
      </c>
      <c r="B2" s="22">
        <v>2023</v>
      </c>
    </row>
    <row r="3" spans="1:8">
      <c r="A3" s="22" t="s">
        <v>2424</v>
      </c>
      <c r="B3" s="114">
        <v>45120</v>
      </c>
    </row>
    <row r="4" spans="1:8">
      <c r="A4" s="22" t="s">
        <v>2414</v>
      </c>
      <c r="B4" s="22" t="s">
        <v>2553</v>
      </c>
    </row>
    <row r="5" spans="1:8">
      <c r="A5" s="22" t="s">
        <v>2415</v>
      </c>
      <c r="B5" s="22" t="s">
        <v>2474</v>
      </c>
    </row>
    <row r="6" spans="1:8">
      <c r="A6" s="22" t="s">
        <v>72</v>
      </c>
      <c r="B6" s="94" t="s">
        <v>141</v>
      </c>
      <c r="C6" s="94" t="str">
        <f>C32</f>
        <v>XS</v>
      </c>
      <c r="D6" s="94" t="str">
        <f t="shared" ref="D6:G6" si="0">D32</f>
        <v>S</v>
      </c>
      <c r="E6" s="94" t="str">
        <f t="shared" si="0"/>
        <v>M</v>
      </c>
      <c r="F6" s="94" t="str">
        <f t="shared" si="0"/>
        <v>ML</v>
      </c>
      <c r="G6" s="94" t="str">
        <f t="shared" si="0"/>
        <v>L</v>
      </c>
      <c r="H6" s="94" t="str">
        <f t="shared" ref="H6" si="1">H32</f>
        <v>XL</v>
      </c>
    </row>
    <row r="7" spans="1:8" ht="22">
      <c r="A7" s="22" t="s">
        <v>60</v>
      </c>
      <c r="B7" s="96" t="str">
        <f>B35</f>
        <v>Seat Tube Length (A)</v>
      </c>
      <c r="C7" s="97">
        <f>C35*10</f>
        <v>450</v>
      </c>
      <c r="D7" s="97">
        <f t="shared" ref="D7:G7" si="2">D35*10</f>
        <v>470</v>
      </c>
      <c r="E7" s="97">
        <f t="shared" si="2"/>
        <v>490</v>
      </c>
      <c r="F7" s="97">
        <f t="shared" si="2"/>
        <v>510</v>
      </c>
      <c r="G7" s="97">
        <f t="shared" si="2"/>
        <v>530</v>
      </c>
      <c r="H7" s="97">
        <f t="shared" ref="H7" si="3">H35*10</f>
        <v>550</v>
      </c>
    </row>
    <row r="8" spans="1:8" ht="22">
      <c r="A8" s="22" t="s">
        <v>73</v>
      </c>
      <c r="B8" s="96" t="str">
        <f t="shared" ref="B8:B20" si="4">B36</f>
        <v>Top Tube Length Effective (B)</v>
      </c>
      <c r="C8" s="97">
        <f t="shared" ref="C8:G19" si="5">C36*10</f>
        <v>524</v>
      </c>
      <c r="D8" s="97">
        <f t="shared" si="5"/>
        <v>538</v>
      </c>
      <c r="E8" s="97">
        <f t="shared" si="5"/>
        <v>550</v>
      </c>
      <c r="F8" s="97">
        <f t="shared" si="5"/>
        <v>565</v>
      </c>
      <c r="G8" s="97">
        <f t="shared" si="5"/>
        <v>580</v>
      </c>
      <c r="H8" s="97">
        <f t="shared" ref="H8" si="6">H36*10</f>
        <v>600</v>
      </c>
    </row>
    <row r="9" spans="1:8" ht="22">
      <c r="A9" s="22" t="s">
        <v>62</v>
      </c>
      <c r="B9" s="96" t="str">
        <f t="shared" si="4"/>
        <v>Head Tube Angle (C)</v>
      </c>
      <c r="C9" s="97">
        <f>VALUE(LEFT(C37,LEN(C37)-1))</f>
        <v>70</v>
      </c>
      <c r="D9" s="97">
        <f t="shared" ref="D9:G10" si="7">VALUE(LEFT(D37,LEN(D37)-1))</f>
        <v>70</v>
      </c>
      <c r="E9" s="97">
        <f t="shared" si="7"/>
        <v>70.5</v>
      </c>
      <c r="F9" s="97">
        <f t="shared" si="7"/>
        <v>70.5</v>
      </c>
      <c r="G9" s="97">
        <f t="shared" si="7"/>
        <v>71</v>
      </c>
      <c r="H9" s="97">
        <f t="shared" ref="H9" si="8">VALUE(LEFT(H37,LEN(H37)-1))</f>
        <v>71</v>
      </c>
    </row>
    <row r="10" spans="1:8" ht="22">
      <c r="A10" s="22" t="s">
        <v>63</v>
      </c>
      <c r="B10" s="96" t="str">
        <f t="shared" si="4"/>
        <v>Seat Tube Angle (D)</v>
      </c>
      <c r="C10" s="97">
        <f>VALUE(LEFT(C38,LEN(C38)-1))</f>
        <v>74</v>
      </c>
      <c r="D10" s="97">
        <f t="shared" si="7"/>
        <v>73.5</v>
      </c>
      <c r="E10" s="97">
        <f t="shared" si="7"/>
        <v>73.5</v>
      </c>
      <c r="F10" s="97">
        <f t="shared" si="7"/>
        <v>73</v>
      </c>
      <c r="G10" s="97">
        <f t="shared" si="7"/>
        <v>73</v>
      </c>
      <c r="H10" s="97">
        <f t="shared" ref="H10" si="9">VALUE(LEFT(H38,LEN(H38)-1))</f>
        <v>72.5</v>
      </c>
    </row>
    <row r="11" spans="1:8" ht="22">
      <c r="A11" s="22" t="s">
        <v>65</v>
      </c>
      <c r="B11" s="96" t="str">
        <f t="shared" si="4"/>
        <v>Bottom Bracket Drop (E)</v>
      </c>
      <c r="C11" s="97">
        <f t="shared" si="5"/>
        <v>80</v>
      </c>
      <c r="D11" s="97">
        <f t="shared" si="5"/>
        <v>77.5</v>
      </c>
      <c r="E11" s="97">
        <f t="shared" si="5"/>
        <v>77.5</v>
      </c>
      <c r="F11" s="97">
        <f t="shared" si="5"/>
        <v>75</v>
      </c>
      <c r="G11" s="97">
        <f t="shared" si="5"/>
        <v>75</v>
      </c>
      <c r="H11" s="97">
        <f t="shared" ref="H11" si="10">H39*10</f>
        <v>72.5</v>
      </c>
    </row>
    <row r="12" spans="1:8" ht="22">
      <c r="A12" s="22" t="s">
        <v>66</v>
      </c>
      <c r="B12" s="96" t="str">
        <f t="shared" si="4"/>
        <v>Chain Stay Length (F)</v>
      </c>
      <c r="C12" s="97">
        <f t="shared" si="5"/>
        <v>435</v>
      </c>
      <c r="D12" s="97">
        <f t="shared" si="5"/>
        <v>435</v>
      </c>
      <c r="E12" s="97">
        <f t="shared" si="5"/>
        <v>435</v>
      </c>
      <c r="F12" s="97">
        <f t="shared" si="5"/>
        <v>435</v>
      </c>
      <c r="G12" s="97">
        <f t="shared" si="5"/>
        <v>435</v>
      </c>
      <c r="H12" s="97">
        <f t="shared" ref="H12" si="11">H40*10</f>
        <v>435</v>
      </c>
    </row>
    <row r="13" spans="1:8" ht="22">
      <c r="A13" s="22" t="s">
        <v>64</v>
      </c>
      <c r="B13" s="96" t="str">
        <f t="shared" si="4"/>
        <v>Head Tube Length (G)</v>
      </c>
      <c r="C13" s="97">
        <f t="shared" si="5"/>
        <v>110</v>
      </c>
      <c r="D13" s="97">
        <f t="shared" si="5"/>
        <v>126</v>
      </c>
      <c r="E13" s="97">
        <f t="shared" si="5"/>
        <v>145</v>
      </c>
      <c r="F13" s="97">
        <f t="shared" si="5"/>
        <v>169</v>
      </c>
      <c r="G13" s="97">
        <f t="shared" si="5"/>
        <v>193</v>
      </c>
      <c r="H13" s="97">
        <f t="shared" ref="H13" si="12">H41*10</f>
        <v>217</v>
      </c>
    </row>
    <row r="14" spans="1:8" ht="22">
      <c r="A14" s="22" t="s">
        <v>67</v>
      </c>
      <c r="B14" s="96" t="str">
        <f t="shared" si="4"/>
        <v>Rake (H)</v>
      </c>
      <c r="C14" s="97">
        <f t="shared" si="5"/>
        <v>45</v>
      </c>
      <c r="D14" s="97">
        <f t="shared" si="5"/>
        <v>45</v>
      </c>
      <c r="E14" s="97">
        <f t="shared" si="5"/>
        <v>45</v>
      </c>
      <c r="F14" s="97">
        <f t="shared" si="5"/>
        <v>45</v>
      </c>
      <c r="G14" s="97">
        <f t="shared" si="5"/>
        <v>45</v>
      </c>
      <c r="H14" s="97">
        <f t="shared" ref="H14" si="13">H42*10</f>
        <v>45</v>
      </c>
    </row>
    <row r="15" spans="1:8" ht="22">
      <c r="A15" s="22" t="s">
        <v>57</v>
      </c>
      <c r="B15" s="96" t="str">
        <f t="shared" si="4"/>
        <v>Stand Over Height (I)</v>
      </c>
      <c r="C15" s="97">
        <f t="shared" si="5"/>
        <v>716</v>
      </c>
      <c r="D15" s="97">
        <f t="shared" si="5"/>
        <v>737</v>
      </c>
      <c r="E15" s="97">
        <f t="shared" si="5"/>
        <v>758</v>
      </c>
      <c r="F15" s="97">
        <f t="shared" si="5"/>
        <v>780</v>
      </c>
      <c r="G15" s="97">
        <f t="shared" si="5"/>
        <v>800</v>
      </c>
      <c r="H15" s="97">
        <f t="shared" ref="H15" si="14">H43*10</f>
        <v>824</v>
      </c>
    </row>
    <row r="16" spans="1:8" ht="22">
      <c r="A16" s="22" t="s">
        <v>56</v>
      </c>
      <c r="B16" s="96" t="str">
        <f t="shared" si="4"/>
        <v>Wheelbase (J)</v>
      </c>
      <c r="C16" s="97">
        <f t="shared" si="5"/>
        <v>1018</v>
      </c>
      <c r="D16" s="97">
        <f t="shared" si="5"/>
        <v>1028</v>
      </c>
      <c r="E16" s="97">
        <f t="shared" si="5"/>
        <v>1036</v>
      </c>
      <c r="F16" s="97">
        <f t="shared" si="5"/>
        <v>1050</v>
      </c>
      <c r="G16" s="97">
        <f t="shared" si="5"/>
        <v>1057</v>
      </c>
      <c r="H16" s="97">
        <f t="shared" ref="H16" si="15">H44*10</f>
        <v>1075</v>
      </c>
    </row>
    <row r="17" spans="1:9" ht="22">
      <c r="A17" s="22" t="s">
        <v>480</v>
      </c>
      <c r="B17" s="96" t="str">
        <f t="shared" si="4"/>
        <v>Front Center (K)</v>
      </c>
      <c r="C17" s="97">
        <f t="shared" si="5"/>
        <v>595</v>
      </c>
      <c r="D17" s="97">
        <f t="shared" si="5"/>
        <v>605</v>
      </c>
      <c r="E17" s="97">
        <f t="shared" si="5"/>
        <v>612</v>
      </c>
      <c r="F17" s="97">
        <f t="shared" si="5"/>
        <v>625</v>
      </c>
      <c r="G17" s="97">
        <f t="shared" si="5"/>
        <v>633</v>
      </c>
      <c r="H17" s="97">
        <f t="shared" ref="H17" si="16">H45*10</f>
        <v>650</v>
      </c>
    </row>
    <row r="18" spans="1:9" ht="22">
      <c r="A18" s="22" t="s">
        <v>54</v>
      </c>
      <c r="B18" s="96" t="str">
        <f t="shared" si="4"/>
        <v>Stack (L)</v>
      </c>
      <c r="C18" s="97">
        <f t="shared" si="5"/>
        <v>530</v>
      </c>
      <c r="D18" s="97">
        <f t="shared" si="5"/>
        <v>550</v>
      </c>
      <c r="E18" s="97">
        <f t="shared" si="5"/>
        <v>570</v>
      </c>
      <c r="F18" s="97">
        <f t="shared" si="5"/>
        <v>590</v>
      </c>
      <c r="G18" s="97">
        <f t="shared" si="5"/>
        <v>615</v>
      </c>
      <c r="H18" s="97">
        <f t="shared" ref="H18" si="17">H46*10</f>
        <v>635</v>
      </c>
    </row>
    <row r="19" spans="1:9" ht="22">
      <c r="A19" s="22" t="s">
        <v>55</v>
      </c>
      <c r="B19" s="96" t="str">
        <f t="shared" si="4"/>
        <v>Reach (M)</v>
      </c>
      <c r="C19" s="97">
        <f t="shared" si="5"/>
        <v>370</v>
      </c>
      <c r="D19" s="97">
        <f t="shared" si="5"/>
        <v>375</v>
      </c>
      <c r="E19" s="97">
        <f t="shared" si="5"/>
        <v>380</v>
      </c>
      <c r="F19" s="97">
        <f t="shared" si="5"/>
        <v>385</v>
      </c>
      <c r="G19" s="97">
        <f t="shared" si="5"/>
        <v>390</v>
      </c>
      <c r="H19" s="97">
        <f t="shared" ref="H19" si="18">H47*10</f>
        <v>400</v>
      </c>
    </row>
    <row r="20" spans="1:9" ht="22">
      <c r="A20" s="22" t="s">
        <v>217</v>
      </c>
      <c r="B20" s="96" t="str">
        <f t="shared" si="4"/>
        <v>Frame Weight (lbs.)</v>
      </c>
      <c r="C20" s="97">
        <f>C48</f>
        <v>3.8</v>
      </c>
      <c r="D20" s="97">
        <f t="shared" ref="D20:G20" si="19">D48</f>
        <v>3.9</v>
      </c>
      <c r="E20" s="97">
        <f t="shared" si="19"/>
        <v>4</v>
      </c>
      <c r="F20" s="97">
        <f t="shared" si="19"/>
        <v>4.0999999999999996</v>
      </c>
      <c r="G20" s="97">
        <f t="shared" si="19"/>
        <v>4.2</v>
      </c>
      <c r="H20" s="97">
        <f t="shared" ref="H20" si="20">H48</f>
        <v>4.3</v>
      </c>
    </row>
    <row r="21" spans="1:9" ht="22">
      <c r="A21" s="22" t="s">
        <v>70</v>
      </c>
      <c r="B21" s="96"/>
      <c r="C21" s="97"/>
      <c r="D21" s="97"/>
      <c r="E21" s="97"/>
      <c r="F21" s="97"/>
    </row>
    <row r="22" spans="1:9" ht="22">
      <c r="A22" s="22" t="s">
        <v>71</v>
      </c>
      <c r="B22" s="96"/>
      <c r="C22" s="97"/>
      <c r="D22" s="97"/>
      <c r="E22" s="97"/>
      <c r="F22" s="97"/>
    </row>
    <row r="23" spans="1:9">
      <c r="A23" s="22" t="s">
        <v>69</v>
      </c>
      <c r="C23" s="97"/>
      <c r="D23" s="97"/>
      <c r="E23" s="97"/>
      <c r="F23" s="97"/>
    </row>
    <row r="24" spans="1:9">
      <c r="A24" s="22" t="s">
        <v>495</v>
      </c>
    </row>
    <row r="25" spans="1:9">
      <c r="A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</row>
    <row r="26" spans="1:9">
      <c r="A26" s="22" t="s">
        <v>139</v>
      </c>
      <c r="C26" s="22">
        <v>45</v>
      </c>
      <c r="D26" s="22">
        <v>45</v>
      </c>
      <c r="E26" s="22">
        <v>45</v>
      </c>
      <c r="F26" s="22">
        <v>45</v>
      </c>
      <c r="G26" s="22">
        <v>45</v>
      </c>
      <c r="H26" s="22">
        <v>45</v>
      </c>
      <c r="I26" s="22" t="s">
        <v>2554</v>
      </c>
    </row>
    <row r="27" spans="1:9">
      <c r="A27" s="22" t="s">
        <v>140</v>
      </c>
      <c r="C27" s="22">
        <v>45</v>
      </c>
      <c r="D27" s="22">
        <v>45</v>
      </c>
      <c r="E27" s="22">
        <v>45</v>
      </c>
      <c r="F27" s="22">
        <v>45</v>
      </c>
      <c r="G27" s="22">
        <v>45</v>
      </c>
      <c r="H27" s="22">
        <v>45</v>
      </c>
    </row>
    <row r="28" spans="1:9">
      <c r="A28" s="22" t="s">
        <v>1752</v>
      </c>
      <c r="C28" s="35">
        <f>VALUE(LEFT(C34,3))</f>
        <v>152</v>
      </c>
      <c r="D28" s="35">
        <f>VALUE(LEFT(D34,3)) - 1.5</f>
        <v>158.5</v>
      </c>
      <c r="E28" s="35">
        <f t="shared" ref="E28:G28" si="21">VALUE(LEFT(E34,3)) - 1.5</f>
        <v>166.5</v>
      </c>
      <c r="F28" s="35">
        <f>VALUE(LEFT(F34,3)) - 1</f>
        <v>174</v>
      </c>
      <c r="G28" s="35">
        <f t="shared" si="21"/>
        <v>181.5</v>
      </c>
      <c r="H28" s="35">
        <f>VALUE(LEFT(H34,3)) - 1</f>
        <v>189</v>
      </c>
    </row>
    <row r="29" spans="1:9">
      <c r="A29" s="22" t="s">
        <v>1753</v>
      </c>
      <c r="B29" s="40"/>
      <c r="C29" s="35">
        <f>VALUE(RIGHT(C34,3)) + 1.5</f>
        <v>158.5</v>
      </c>
      <c r="D29" s="35">
        <f>VALUE(RIGHT(D34,3)) + 1.5</f>
        <v>166.5</v>
      </c>
      <c r="E29" s="35">
        <f>VALUE(RIGHT(E34,3)) + 1</f>
        <v>174</v>
      </c>
      <c r="F29" s="35">
        <f t="shared" ref="F29" si="22">VALUE(RIGHT(F34,3)) + 1.5</f>
        <v>181.5</v>
      </c>
      <c r="G29" s="35">
        <f>VALUE(RIGHT(G34,3)) + 1</f>
        <v>189</v>
      </c>
      <c r="H29" s="35">
        <f>H28+6</f>
        <v>195</v>
      </c>
    </row>
    <row r="32" spans="1:9">
      <c r="B32" s="22" t="s">
        <v>1152</v>
      </c>
      <c r="C32" t="s">
        <v>16</v>
      </c>
      <c r="D32" s="92" t="s">
        <v>17</v>
      </c>
      <c r="E32" s="92" t="s">
        <v>18</v>
      </c>
      <c r="F32" s="92" t="s">
        <v>1715</v>
      </c>
      <c r="G32" s="22" t="s">
        <v>19</v>
      </c>
      <c r="H32" s="22" t="s">
        <v>20</v>
      </c>
    </row>
    <row r="33" spans="1:8" ht="22">
      <c r="B33" s="22" t="s">
        <v>2523</v>
      </c>
      <c r="C33" s="15" t="s">
        <v>2524</v>
      </c>
      <c r="D33" s="22" t="s">
        <v>2525</v>
      </c>
      <c r="E33" s="22" t="s">
        <v>2526</v>
      </c>
      <c r="F33" s="22" t="s">
        <v>2527</v>
      </c>
      <c r="G33" s="15" t="s">
        <v>2528</v>
      </c>
      <c r="H33" s="22" t="s">
        <v>1038</v>
      </c>
    </row>
    <row r="34" spans="1:8" ht="22">
      <c r="B34" s="22" t="s">
        <v>2529</v>
      </c>
      <c r="C34" s="93" t="s">
        <v>2530</v>
      </c>
      <c r="D34" s="22" t="s">
        <v>2531</v>
      </c>
      <c r="E34" s="22" t="s">
        <v>2532</v>
      </c>
      <c r="F34" s="22" t="s">
        <v>2533</v>
      </c>
      <c r="G34" s="91" t="s">
        <v>2534</v>
      </c>
      <c r="H34" s="22" t="s">
        <v>2535</v>
      </c>
    </row>
    <row r="35" spans="1:8" ht="22">
      <c r="B35" s="22" t="s">
        <v>2536</v>
      </c>
      <c r="C35" s="22">
        <v>45</v>
      </c>
      <c r="D35" s="22">
        <v>47</v>
      </c>
      <c r="E35" s="22">
        <v>49</v>
      </c>
      <c r="F35" s="22">
        <v>51</v>
      </c>
      <c r="G35" s="15">
        <v>53</v>
      </c>
      <c r="H35" s="22">
        <v>55</v>
      </c>
    </row>
    <row r="36" spans="1:8">
      <c r="B36" s="22" t="s">
        <v>2537</v>
      </c>
      <c r="C36" s="22">
        <v>52.4</v>
      </c>
      <c r="D36" s="22">
        <v>53.8</v>
      </c>
      <c r="E36" s="22">
        <v>55</v>
      </c>
      <c r="F36" s="22">
        <v>56.5</v>
      </c>
      <c r="G36" s="22">
        <v>58</v>
      </c>
      <c r="H36" s="22">
        <v>60</v>
      </c>
    </row>
    <row r="37" spans="1:8">
      <c r="B37" s="22" t="s">
        <v>2538</v>
      </c>
      <c r="C37" s="22" t="s">
        <v>579</v>
      </c>
      <c r="D37" s="22" t="s">
        <v>579</v>
      </c>
      <c r="E37" s="22" t="s">
        <v>843</v>
      </c>
      <c r="F37" s="22" t="s">
        <v>843</v>
      </c>
      <c r="G37" s="22" t="s">
        <v>309</v>
      </c>
      <c r="H37" s="22" t="s">
        <v>309</v>
      </c>
    </row>
    <row r="38" spans="1:8">
      <c r="A38" s="94"/>
      <c r="B38" s="94" t="s">
        <v>2539</v>
      </c>
      <c r="C38" s="94" t="s">
        <v>32</v>
      </c>
      <c r="D38" s="94" t="s">
        <v>33</v>
      </c>
      <c r="E38" s="94" t="s">
        <v>33</v>
      </c>
      <c r="F38" s="94" t="s">
        <v>800</v>
      </c>
      <c r="G38" s="27" t="s">
        <v>800</v>
      </c>
      <c r="H38" s="22" t="s">
        <v>293</v>
      </c>
    </row>
    <row r="39" spans="1:8" ht="22">
      <c r="A39" s="95"/>
      <c r="B39" s="96" t="s">
        <v>2540</v>
      </c>
      <c r="C39" s="97">
        <v>8</v>
      </c>
      <c r="D39" s="97">
        <v>7.75</v>
      </c>
      <c r="E39" s="97">
        <v>7.75</v>
      </c>
      <c r="F39" s="97">
        <v>7.5</v>
      </c>
      <c r="G39" s="22">
        <v>7.5</v>
      </c>
      <c r="H39" s="22">
        <v>7.25</v>
      </c>
    </row>
    <row r="40" spans="1:8" ht="22">
      <c r="A40" s="95"/>
      <c r="B40" s="96" t="s">
        <v>2541</v>
      </c>
      <c r="C40" s="97">
        <v>43.5</v>
      </c>
      <c r="D40" s="97">
        <v>43.5</v>
      </c>
      <c r="E40" s="97">
        <v>43.5</v>
      </c>
      <c r="F40" s="97">
        <v>43.5</v>
      </c>
      <c r="G40" s="22">
        <v>43.5</v>
      </c>
      <c r="H40" s="22">
        <v>43.5</v>
      </c>
    </row>
    <row r="41" spans="1:8" ht="22">
      <c r="A41" s="95"/>
      <c r="B41" s="96" t="s">
        <v>2542</v>
      </c>
      <c r="C41" s="97">
        <v>11</v>
      </c>
      <c r="D41" s="97">
        <v>12.6</v>
      </c>
      <c r="E41" s="97">
        <v>14.5</v>
      </c>
      <c r="F41" s="97">
        <v>16.899999999999999</v>
      </c>
      <c r="G41" s="22">
        <v>19.3</v>
      </c>
      <c r="H41" s="22">
        <v>21.7</v>
      </c>
    </row>
    <row r="42" spans="1:8" ht="22">
      <c r="A42" s="95"/>
      <c r="B42" s="96" t="s">
        <v>2543</v>
      </c>
      <c r="C42" s="97">
        <v>4.5</v>
      </c>
      <c r="D42" s="97">
        <v>4.5</v>
      </c>
      <c r="E42" s="97">
        <v>4.5</v>
      </c>
      <c r="F42" s="97">
        <v>4.5</v>
      </c>
      <c r="G42" s="22">
        <v>4.5</v>
      </c>
      <c r="H42" s="22">
        <v>4.5</v>
      </c>
    </row>
    <row r="43" spans="1:8" ht="22">
      <c r="A43" s="95"/>
      <c r="B43" s="96" t="s">
        <v>2544</v>
      </c>
      <c r="C43" s="97">
        <v>71.599999999999994</v>
      </c>
      <c r="D43" s="97">
        <v>73.7</v>
      </c>
      <c r="E43" s="97">
        <v>75.8</v>
      </c>
      <c r="F43" s="97">
        <v>78</v>
      </c>
      <c r="G43" s="22">
        <v>80</v>
      </c>
      <c r="H43" s="22">
        <v>82.4</v>
      </c>
    </row>
    <row r="44" spans="1:8" ht="22">
      <c r="A44" s="95"/>
      <c r="B44" s="96" t="s">
        <v>2545</v>
      </c>
      <c r="C44" s="97">
        <v>101.8</v>
      </c>
      <c r="D44" s="97">
        <v>102.8</v>
      </c>
      <c r="E44" s="97">
        <v>103.6</v>
      </c>
      <c r="F44" s="97">
        <v>105</v>
      </c>
      <c r="G44" s="22">
        <v>105.7</v>
      </c>
      <c r="H44" s="22">
        <v>107.5</v>
      </c>
    </row>
    <row r="45" spans="1:8" ht="22">
      <c r="A45" s="95"/>
      <c r="B45" s="96" t="s">
        <v>2546</v>
      </c>
      <c r="C45" s="97">
        <v>59.5</v>
      </c>
      <c r="D45" s="97">
        <v>60.5</v>
      </c>
      <c r="E45" s="97">
        <v>61.2</v>
      </c>
      <c r="F45" s="97">
        <v>62.5</v>
      </c>
      <c r="G45" s="22">
        <v>63.3</v>
      </c>
      <c r="H45" s="22">
        <v>65</v>
      </c>
    </row>
    <row r="46" spans="1:8" ht="22">
      <c r="A46" s="95"/>
      <c r="B46" s="96" t="s">
        <v>2547</v>
      </c>
      <c r="C46" s="97">
        <v>53</v>
      </c>
      <c r="D46" s="97">
        <v>55</v>
      </c>
      <c r="E46" s="97">
        <v>57</v>
      </c>
      <c r="F46" s="97">
        <v>59</v>
      </c>
      <c r="G46" s="22">
        <v>61.5</v>
      </c>
      <c r="H46" s="22">
        <v>63.5</v>
      </c>
    </row>
    <row r="47" spans="1:8" ht="22">
      <c r="A47" s="95"/>
      <c r="B47" s="96" t="s">
        <v>2548</v>
      </c>
      <c r="C47" s="97">
        <v>37</v>
      </c>
      <c r="D47" s="97">
        <v>37.5</v>
      </c>
      <c r="E47" s="97">
        <v>38</v>
      </c>
      <c r="F47" s="97">
        <v>38.5</v>
      </c>
      <c r="G47" s="22">
        <v>39</v>
      </c>
      <c r="H47" s="22">
        <v>40</v>
      </c>
    </row>
    <row r="48" spans="1:8" ht="22">
      <c r="A48" s="95"/>
      <c r="B48" s="96" t="s">
        <v>2549</v>
      </c>
      <c r="C48" s="97">
        <v>3.8</v>
      </c>
      <c r="D48" s="97">
        <v>3.9</v>
      </c>
      <c r="E48" s="97">
        <v>4</v>
      </c>
      <c r="F48" s="97">
        <v>4.0999999999999996</v>
      </c>
      <c r="G48" s="22">
        <v>4.2</v>
      </c>
      <c r="H48" s="22">
        <v>4.3</v>
      </c>
    </row>
    <row r="49" spans="1:6" ht="22">
      <c r="A49" s="95"/>
      <c r="B49" s="96"/>
      <c r="C49" s="97"/>
      <c r="D49" s="97"/>
      <c r="E49" s="97"/>
      <c r="F49" s="97"/>
    </row>
    <row r="50" spans="1:6" ht="22">
      <c r="A50" s="95"/>
      <c r="B50" s="96"/>
      <c r="C50" s="97"/>
      <c r="D50" s="97"/>
      <c r="E50" s="97"/>
      <c r="F50" s="97"/>
    </row>
    <row r="51" spans="1:6" ht="22">
      <c r="A51" s="95"/>
      <c r="B51" s="96"/>
      <c r="C51" s="97"/>
      <c r="D51" s="97"/>
      <c r="E51" s="97"/>
      <c r="F51" s="97"/>
    </row>
    <row r="52" spans="1:6" ht="22">
      <c r="A52" s="95"/>
      <c r="B52" s="96"/>
      <c r="C52" s="97"/>
      <c r="D52" s="97"/>
      <c r="E52" s="97"/>
      <c r="F52" s="97"/>
    </row>
    <row r="53" spans="1:6" ht="22">
      <c r="A53" s="95"/>
      <c r="B53" s="96"/>
      <c r="C53" s="97"/>
      <c r="D53" s="97"/>
      <c r="E53" s="97"/>
      <c r="F53" s="97"/>
    </row>
    <row r="54" spans="1:6" ht="22">
      <c r="A54" s="95"/>
      <c r="B54" s="96"/>
      <c r="C54" s="97"/>
      <c r="D54" s="97"/>
      <c r="E54" s="97"/>
      <c r="F54" s="97"/>
    </row>
    <row r="55" spans="1:6" ht="22">
      <c r="A55" s="95"/>
      <c r="B55" s="96"/>
      <c r="C55" s="97"/>
      <c r="D55" s="97"/>
      <c r="E55" s="97"/>
      <c r="F55" s="97"/>
    </row>
  </sheetData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45A5-AEEF-8B46-88F4-55C9585FC852}">
  <dimension ref="A1:H22"/>
  <sheetViews>
    <sheetView workbookViewId="0">
      <selection activeCell="C1" sqref="C1"/>
    </sheetView>
  </sheetViews>
  <sheetFormatPr baseColWidth="10" defaultRowHeight="16"/>
  <cols>
    <col min="1" max="2" width="29.33203125" bestFit="1" customWidth="1"/>
    <col min="3" max="3" width="33.6640625" bestFit="1" customWidth="1"/>
  </cols>
  <sheetData>
    <row r="1" spans="1:8" ht="20">
      <c r="A1" s="22" t="s">
        <v>72</v>
      </c>
      <c r="B1" s="22" t="s">
        <v>72</v>
      </c>
      <c r="C1" s="22" t="s">
        <v>2115</v>
      </c>
      <c r="D1" s="28" t="s">
        <v>17</v>
      </c>
      <c r="E1" s="28" t="s">
        <v>18</v>
      </c>
      <c r="F1" s="28" t="s">
        <v>19</v>
      </c>
      <c r="G1" s="28" t="s">
        <v>20</v>
      </c>
      <c r="H1" s="22"/>
    </row>
    <row r="2" spans="1:8" ht="20">
      <c r="A2" s="22" t="s">
        <v>54</v>
      </c>
      <c r="B2" s="22" t="s">
        <v>54</v>
      </c>
      <c r="C2" s="28" t="s">
        <v>645</v>
      </c>
      <c r="D2" s="29">
        <v>544.4</v>
      </c>
      <c r="E2" s="29">
        <v>572.5</v>
      </c>
      <c r="F2" s="29">
        <v>600.6</v>
      </c>
      <c r="G2" s="29">
        <v>628.70000000000005</v>
      </c>
      <c r="H2" s="22"/>
    </row>
    <row r="3" spans="1:8" ht="20">
      <c r="A3" s="22" t="s">
        <v>55</v>
      </c>
      <c r="B3" s="22" t="s">
        <v>55</v>
      </c>
      <c r="C3" s="28" t="s">
        <v>646</v>
      </c>
      <c r="D3" s="29">
        <v>380</v>
      </c>
      <c r="E3" s="29">
        <v>405</v>
      </c>
      <c r="F3" s="29">
        <v>420</v>
      </c>
      <c r="G3" s="29">
        <v>435</v>
      </c>
      <c r="H3" s="22"/>
    </row>
    <row r="4" spans="1:8" ht="20">
      <c r="A4" s="22" t="s">
        <v>60</v>
      </c>
      <c r="B4" s="22" t="s">
        <v>62</v>
      </c>
      <c r="C4" s="28" t="s">
        <v>647</v>
      </c>
      <c r="D4" s="29">
        <v>69.5</v>
      </c>
      <c r="E4" s="29">
        <v>69.5</v>
      </c>
      <c r="F4" s="29">
        <v>69.5</v>
      </c>
      <c r="G4" s="29">
        <v>69.5</v>
      </c>
      <c r="H4" s="22"/>
    </row>
    <row r="5" spans="1:8" ht="20">
      <c r="A5" s="22" t="s">
        <v>73</v>
      </c>
      <c r="B5" s="22" t="s">
        <v>64</v>
      </c>
      <c r="C5" s="28" t="s">
        <v>648</v>
      </c>
      <c r="D5" s="29">
        <v>120</v>
      </c>
      <c r="E5" s="29">
        <v>150</v>
      </c>
      <c r="F5" s="29">
        <v>180</v>
      </c>
      <c r="G5" s="29">
        <v>210</v>
      </c>
      <c r="H5" s="22"/>
    </row>
    <row r="6" spans="1:8" ht="20">
      <c r="A6" s="22" t="s">
        <v>62</v>
      </c>
      <c r="B6" s="22" t="s">
        <v>63</v>
      </c>
      <c r="C6" s="28" t="s">
        <v>649</v>
      </c>
      <c r="D6" s="29">
        <v>74</v>
      </c>
      <c r="E6" s="29">
        <v>74</v>
      </c>
      <c r="F6" s="29">
        <v>74</v>
      </c>
      <c r="G6" s="29">
        <v>74</v>
      </c>
      <c r="H6" s="22"/>
    </row>
    <row r="7" spans="1:8" ht="20">
      <c r="A7" s="22" t="s">
        <v>63</v>
      </c>
      <c r="B7" s="22" t="s">
        <v>60</v>
      </c>
      <c r="C7" s="28" t="s">
        <v>650</v>
      </c>
      <c r="D7" s="29">
        <v>430</v>
      </c>
      <c r="E7" s="29">
        <v>480</v>
      </c>
      <c r="F7" s="29">
        <v>520</v>
      </c>
      <c r="G7" s="29">
        <v>558</v>
      </c>
      <c r="H7" s="22"/>
    </row>
    <row r="8" spans="1:8" ht="20">
      <c r="A8" s="22" t="s">
        <v>64</v>
      </c>
      <c r="B8" s="22" t="s">
        <v>73</v>
      </c>
      <c r="C8" s="28" t="s">
        <v>651</v>
      </c>
      <c r="D8" s="29">
        <v>536.1</v>
      </c>
      <c r="E8" s="29">
        <v>569.20000000000005</v>
      </c>
      <c r="F8" s="29">
        <v>592.20000000000005</v>
      </c>
      <c r="G8" s="29">
        <v>615.29999999999995</v>
      </c>
      <c r="H8" s="22"/>
    </row>
    <row r="9" spans="1:8" ht="20">
      <c r="A9" s="22" t="s">
        <v>65</v>
      </c>
      <c r="B9" s="22" t="s">
        <v>569</v>
      </c>
      <c r="C9" s="28" t="s">
        <v>652</v>
      </c>
      <c r="D9" s="29">
        <v>279.5</v>
      </c>
      <c r="E9" s="29">
        <v>279.5</v>
      </c>
      <c r="F9" s="29">
        <v>279.5</v>
      </c>
      <c r="G9" s="29">
        <v>279.5</v>
      </c>
      <c r="H9" s="22"/>
    </row>
    <row r="10" spans="1:8" ht="20">
      <c r="A10" s="22" t="s">
        <v>66</v>
      </c>
      <c r="B10" s="22" t="s">
        <v>65</v>
      </c>
      <c r="C10" s="28" t="s">
        <v>653</v>
      </c>
      <c r="D10" s="29">
        <v>80</v>
      </c>
      <c r="E10" s="29">
        <v>80</v>
      </c>
      <c r="F10" s="29">
        <v>80</v>
      </c>
      <c r="G10" s="29">
        <v>80</v>
      </c>
      <c r="H10" s="22"/>
    </row>
    <row r="11" spans="1:8" ht="20">
      <c r="A11" s="22" t="s">
        <v>56</v>
      </c>
      <c r="B11" s="22" t="s">
        <v>917</v>
      </c>
      <c r="C11" s="28" t="s">
        <v>654</v>
      </c>
      <c r="D11" s="29">
        <v>425</v>
      </c>
      <c r="E11" s="29">
        <v>425</v>
      </c>
      <c r="F11" s="29">
        <v>425</v>
      </c>
      <c r="G11" s="29">
        <v>425</v>
      </c>
      <c r="H11" s="22" t="s">
        <v>923</v>
      </c>
    </row>
    <row r="12" spans="1:8" ht="20">
      <c r="A12" s="22" t="s">
        <v>67</v>
      </c>
      <c r="B12" s="22" t="s">
        <v>56</v>
      </c>
      <c r="C12" s="28" t="s">
        <v>655</v>
      </c>
      <c r="D12" s="29">
        <v>1024.42</v>
      </c>
      <c r="E12" s="29">
        <v>1060</v>
      </c>
      <c r="F12" s="29">
        <v>1085.4000000000001</v>
      </c>
      <c r="G12" s="29">
        <v>1110.9000000000001</v>
      </c>
      <c r="H12" s="22"/>
    </row>
    <row r="13" spans="1:8" ht="20">
      <c r="A13" s="22" t="s">
        <v>57</v>
      </c>
      <c r="B13" s="22" t="s">
        <v>57</v>
      </c>
      <c r="C13" s="28" t="s">
        <v>656</v>
      </c>
      <c r="D13" s="29">
        <v>658.76</v>
      </c>
      <c r="E13" s="29">
        <v>700.51</v>
      </c>
      <c r="F13" s="29">
        <v>730.39</v>
      </c>
      <c r="G13" s="29">
        <v>758.5</v>
      </c>
      <c r="H13" s="22"/>
    </row>
    <row r="14" spans="1:8" ht="20">
      <c r="A14" s="22" t="s">
        <v>69</v>
      </c>
      <c r="B14" s="22" t="s">
        <v>67</v>
      </c>
      <c r="C14" s="28" t="s">
        <v>657</v>
      </c>
      <c r="D14" s="29">
        <v>50</v>
      </c>
      <c r="E14" s="29">
        <v>50</v>
      </c>
      <c r="F14" s="29">
        <v>50</v>
      </c>
      <c r="G14" s="29">
        <v>50</v>
      </c>
      <c r="H14" s="22"/>
    </row>
    <row r="15" spans="1:8" ht="20">
      <c r="A15" s="22" t="s">
        <v>70</v>
      </c>
      <c r="B15" s="22" t="s">
        <v>59</v>
      </c>
      <c r="C15" s="28" t="s">
        <v>641</v>
      </c>
      <c r="D15" s="29">
        <v>27.2</v>
      </c>
      <c r="E15" s="29">
        <v>27.2</v>
      </c>
      <c r="F15" s="29">
        <v>27.2</v>
      </c>
      <c r="G15" s="29">
        <v>27.2</v>
      </c>
      <c r="H15" s="22"/>
    </row>
    <row r="16" spans="1:8" ht="20">
      <c r="A16" s="22" t="s">
        <v>71</v>
      </c>
      <c r="B16" s="22" t="s">
        <v>70</v>
      </c>
      <c r="C16" s="28" t="s">
        <v>642</v>
      </c>
      <c r="D16" s="29">
        <v>640</v>
      </c>
      <c r="E16" s="29">
        <v>680</v>
      </c>
      <c r="F16" s="29">
        <v>680</v>
      </c>
      <c r="G16" s="29">
        <v>680</v>
      </c>
      <c r="H16" s="22"/>
    </row>
    <row r="17" spans="1:8" ht="20">
      <c r="A17" s="22" t="s">
        <v>68</v>
      </c>
      <c r="B17" s="22" t="s">
        <v>71</v>
      </c>
      <c r="C17" s="28" t="s">
        <v>643</v>
      </c>
      <c r="D17" s="29">
        <v>70</v>
      </c>
      <c r="E17" s="29">
        <v>70</v>
      </c>
      <c r="F17" s="29">
        <v>70</v>
      </c>
      <c r="G17" s="29">
        <v>70</v>
      </c>
      <c r="H17" s="22"/>
    </row>
    <row r="18" spans="1:8" ht="20">
      <c r="A18" s="22" t="s">
        <v>139</v>
      </c>
      <c r="B18" s="22" t="s">
        <v>69</v>
      </c>
      <c r="C18" s="28" t="s">
        <v>644</v>
      </c>
      <c r="D18" s="29">
        <v>170</v>
      </c>
      <c r="E18" s="29">
        <v>170</v>
      </c>
      <c r="F18" s="29">
        <v>175</v>
      </c>
      <c r="G18" s="29">
        <v>175</v>
      </c>
      <c r="H18" s="22"/>
    </row>
    <row r="19" spans="1:8" ht="20">
      <c r="A19" s="22" t="s">
        <v>140</v>
      </c>
      <c r="B19" s="22" t="s">
        <v>68</v>
      </c>
      <c r="C19" s="22" t="s">
        <v>68</v>
      </c>
      <c r="D19" s="29">
        <v>700</v>
      </c>
      <c r="E19" s="29">
        <v>700</v>
      </c>
      <c r="F19" s="29">
        <v>700</v>
      </c>
      <c r="G19" s="29">
        <v>700</v>
      </c>
      <c r="H19" s="22"/>
    </row>
    <row r="20" spans="1:8" ht="20">
      <c r="A20" s="22"/>
      <c r="B20" s="22" t="s">
        <v>139</v>
      </c>
      <c r="C20" s="22" t="s">
        <v>139</v>
      </c>
      <c r="D20" s="29">
        <v>45</v>
      </c>
      <c r="E20" s="29">
        <v>45</v>
      </c>
      <c r="F20" s="29">
        <v>45</v>
      </c>
      <c r="G20" s="29">
        <v>45</v>
      </c>
      <c r="H20" s="22"/>
    </row>
    <row r="21" spans="1:8" ht="20">
      <c r="A21" s="22"/>
      <c r="B21" s="22" t="s">
        <v>140</v>
      </c>
      <c r="C21" s="22" t="s">
        <v>140</v>
      </c>
      <c r="D21" s="22">
        <f>2.1*25.4</f>
        <v>53.339999999999996</v>
      </c>
      <c r="E21" s="22">
        <f t="shared" ref="E21:G21" si="0">2.1*25.4</f>
        <v>53.339999999999996</v>
      </c>
      <c r="F21" s="22">
        <f t="shared" si="0"/>
        <v>53.339999999999996</v>
      </c>
      <c r="G21" s="22">
        <f t="shared" si="0"/>
        <v>53.339999999999996</v>
      </c>
      <c r="H21" s="22"/>
    </row>
    <row r="22" spans="1:8" ht="20">
      <c r="A22" s="22"/>
      <c r="B22" s="22" t="s">
        <v>66</v>
      </c>
      <c r="C22" s="22" t="s">
        <v>66</v>
      </c>
      <c r="D22" s="35">
        <f>SQRT(D11^2+D10^2)</f>
        <v>432.46387132337424</v>
      </c>
      <c r="E22" s="35">
        <f t="shared" ref="E22:G22" si="1">SQRT(E11^2+E10^2)</f>
        <v>432.46387132337424</v>
      </c>
      <c r="F22" s="35">
        <f t="shared" si="1"/>
        <v>432.46387132337424</v>
      </c>
      <c r="G22" s="35">
        <f t="shared" si="1"/>
        <v>432.46387132337424</v>
      </c>
      <c r="H22" s="2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E612-74B4-1144-8271-461DC8AA336D}">
  <dimension ref="A1:H34"/>
  <sheetViews>
    <sheetView zoomScale="127" zoomScaleNormal="127" workbookViewId="0">
      <selection activeCell="A29" sqref="A29:XFD29"/>
    </sheetView>
  </sheetViews>
  <sheetFormatPr baseColWidth="10" defaultRowHeight="16"/>
  <cols>
    <col min="1" max="1" width="23.1640625" bestFit="1" customWidth="1"/>
    <col min="2" max="2" width="38.6640625" bestFit="1" customWidth="1"/>
    <col min="3" max="3" width="31.33203125" bestFit="1" customWidth="1"/>
  </cols>
  <sheetData>
    <row r="1" spans="1:8">
      <c r="A1" s="3" t="s">
        <v>72</v>
      </c>
      <c r="B1" t="s">
        <v>72</v>
      </c>
      <c r="C1" t="s">
        <v>141</v>
      </c>
      <c r="D1" s="4" t="s">
        <v>197</v>
      </c>
      <c r="E1" s="4" t="s">
        <v>198</v>
      </c>
      <c r="F1" s="4" t="s">
        <v>199</v>
      </c>
      <c r="G1" s="4" t="s">
        <v>200</v>
      </c>
      <c r="H1" s="4" t="s">
        <v>201</v>
      </c>
    </row>
    <row r="2" spans="1:8">
      <c r="A2" s="3" t="s">
        <v>54</v>
      </c>
      <c r="B2" t="s">
        <v>60</v>
      </c>
      <c r="C2" s="5" t="s">
        <v>182</v>
      </c>
      <c r="D2" s="6">
        <v>420</v>
      </c>
      <c r="E2" s="6">
        <v>460</v>
      </c>
      <c r="F2" s="6">
        <v>500</v>
      </c>
      <c r="G2" s="6">
        <v>540</v>
      </c>
      <c r="H2" s="6">
        <v>580</v>
      </c>
    </row>
    <row r="3" spans="1:8">
      <c r="A3" s="3" t="s">
        <v>55</v>
      </c>
      <c r="B3" t="s">
        <v>196</v>
      </c>
      <c r="C3" s="5" t="s">
        <v>183</v>
      </c>
      <c r="D3" s="6">
        <v>380</v>
      </c>
      <c r="E3" s="6">
        <v>415</v>
      </c>
      <c r="F3" s="6">
        <v>445</v>
      </c>
      <c r="G3" s="6">
        <v>490</v>
      </c>
      <c r="H3" s="6">
        <v>530</v>
      </c>
    </row>
    <row r="4" spans="1:8">
      <c r="A4" s="3" t="s">
        <v>60</v>
      </c>
      <c r="B4" t="s">
        <v>65</v>
      </c>
      <c r="C4" s="5" t="s">
        <v>184</v>
      </c>
      <c r="D4" s="6">
        <v>76</v>
      </c>
      <c r="E4" s="6">
        <v>75</v>
      </c>
      <c r="F4" s="6">
        <v>75</v>
      </c>
      <c r="G4" s="6">
        <v>75</v>
      </c>
      <c r="H4" s="6">
        <v>73</v>
      </c>
    </row>
    <row r="5" spans="1:8">
      <c r="A5" s="3" t="s">
        <v>73</v>
      </c>
      <c r="B5" t="s">
        <v>66</v>
      </c>
      <c r="C5" s="5" t="s">
        <v>185</v>
      </c>
      <c r="D5" s="6">
        <v>445</v>
      </c>
      <c r="E5" s="6">
        <v>445</v>
      </c>
      <c r="F5" s="6">
        <v>445</v>
      </c>
      <c r="G5" s="6">
        <v>445</v>
      </c>
      <c r="H5" s="6">
        <v>445</v>
      </c>
    </row>
    <row r="6" spans="1:8">
      <c r="A6" s="3" t="s">
        <v>62</v>
      </c>
      <c r="B6" t="s">
        <v>73</v>
      </c>
      <c r="C6" s="5" t="s">
        <v>186</v>
      </c>
      <c r="D6" s="6">
        <v>542.70000000000005</v>
      </c>
      <c r="E6" s="6">
        <v>554.1</v>
      </c>
      <c r="F6" s="6">
        <v>560.5</v>
      </c>
      <c r="G6" s="6">
        <v>567.6</v>
      </c>
      <c r="H6" s="6">
        <v>587</v>
      </c>
    </row>
    <row r="7" spans="1:8">
      <c r="A7" s="3" t="s">
        <v>63</v>
      </c>
      <c r="B7" t="s">
        <v>195</v>
      </c>
      <c r="C7" s="5" t="s">
        <v>187</v>
      </c>
      <c r="D7" s="6">
        <v>527.29999999999995</v>
      </c>
      <c r="E7" s="6">
        <v>534.70000000000005</v>
      </c>
      <c r="F7" s="6">
        <v>539</v>
      </c>
      <c r="G7" s="6">
        <v>545.70000000000005</v>
      </c>
      <c r="H7" s="6">
        <v>565.20000000000005</v>
      </c>
    </row>
    <row r="8" spans="1:8">
      <c r="A8" s="3" t="s">
        <v>64</v>
      </c>
      <c r="B8" t="s">
        <v>54</v>
      </c>
      <c r="C8" s="5" t="s">
        <v>39</v>
      </c>
      <c r="D8" s="6">
        <v>606</v>
      </c>
      <c r="E8" s="6">
        <v>614.4</v>
      </c>
      <c r="F8" s="6">
        <v>623.79999999999995</v>
      </c>
      <c r="G8" s="6">
        <v>633.1</v>
      </c>
      <c r="H8" s="6">
        <v>654.5</v>
      </c>
    </row>
    <row r="9" spans="1:8">
      <c r="A9" s="3" t="s">
        <v>65</v>
      </c>
      <c r="B9" t="s">
        <v>55</v>
      </c>
      <c r="C9" s="5" t="s">
        <v>40</v>
      </c>
      <c r="D9" s="6">
        <v>366.6</v>
      </c>
      <c r="E9" s="6">
        <v>375.7</v>
      </c>
      <c r="F9" s="6">
        <v>379.4</v>
      </c>
      <c r="G9" s="6">
        <v>384</v>
      </c>
      <c r="H9" s="6">
        <v>397.4</v>
      </c>
    </row>
    <row r="10" spans="1:8">
      <c r="A10" s="3" t="s">
        <v>66</v>
      </c>
      <c r="B10" t="s">
        <v>194</v>
      </c>
      <c r="C10" s="5" t="s">
        <v>202</v>
      </c>
      <c r="D10" s="6">
        <v>74</v>
      </c>
      <c r="E10" s="6">
        <v>76.5</v>
      </c>
      <c r="F10" s="6">
        <v>79</v>
      </c>
      <c r="G10" s="6">
        <v>82.5</v>
      </c>
      <c r="H10" s="6">
        <v>86.5</v>
      </c>
    </row>
    <row r="11" spans="1:8">
      <c r="A11" s="3" t="s">
        <v>56</v>
      </c>
      <c r="B11" t="s">
        <v>57</v>
      </c>
      <c r="C11" s="5" t="s">
        <v>203</v>
      </c>
      <c r="D11" s="6">
        <v>76</v>
      </c>
      <c r="E11" s="6">
        <v>78.5</v>
      </c>
      <c r="F11" s="6">
        <v>81</v>
      </c>
      <c r="G11" s="6">
        <v>84.5</v>
      </c>
      <c r="H11" s="6">
        <v>88.5</v>
      </c>
    </row>
    <row r="12" spans="1:8">
      <c r="A12" s="3" t="s">
        <v>67</v>
      </c>
      <c r="B12" t="s">
        <v>67</v>
      </c>
      <c r="C12" s="5" t="s">
        <v>188</v>
      </c>
      <c r="D12" s="6">
        <v>50</v>
      </c>
      <c r="E12" s="6">
        <v>50</v>
      </c>
      <c r="F12" s="6">
        <v>50</v>
      </c>
      <c r="G12" s="6">
        <v>50</v>
      </c>
      <c r="H12" s="6">
        <v>50</v>
      </c>
    </row>
    <row r="13" spans="1:8">
      <c r="A13" s="3" t="s">
        <v>57</v>
      </c>
      <c r="B13" t="s">
        <v>135</v>
      </c>
      <c r="C13" s="5" t="s">
        <v>189</v>
      </c>
      <c r="D13" s="6">
        <v>89.6</v>
      </c>
      <c r="E13" s="6">
        <v>89.6</v>
      </c>
      <c r="F13" s="6">
        <v>89.6</v>
      </c>
      <c r="G13" s="6">
        <v>89.6</v>
      </c>
      <c r="H13" s="6">
        <v>82.6</v>
      </c>
    </row>
    <row r="14" spans="1:8">
      <c r="A14" s="3" t="s">
        <v>69</v>
      </c>
      <c r="B14" t="s">
        <v>193</v>
      </c>
      <c r="C14" s="5" t="s">
        <v>190</v>
      </c>
      <c r="D14" s="6">
        <v>483</v>
      </c>
      <c r="E14" s="6">
        <v>483</v>
      </c>
      <c r="F14" s="6">
        <v>483</v>
      </c>
      <c r="G14" s="6">
        <v>483</v>
      </c>
      <c r="H14" s="6">
        <v>483</v>
      </c>
    </row>
    <row r="15" spans="1:8">
      <c r="A15" s="3" t="s">
        <v>70</v>
      </c>
      <c r="B15" t="s">
        <v>62</v>
      </c>
      <c r="C15" s="5" t="s">
        <v>191</v>
      </c>
      <c r="D15" s="6">
        <v>69</v>
      </c>
      <c r="E15" s="6">
        <v>69</v>
      </c>
      <c r="F15" s="6">
        <v>69</v>
      </c>
      <c r="G15" s="6">
        <v>69</v>
      </c>
      <c r="H15" s="6">
        <v>70</v>
      </c>
    </row>
    <row r="16" spans="1:8">
      <c r="A16" s="3" t="s">
        <v>71</v>
      </c>
      <c r="B16" t="s">
        <v>64</v>
      </c>
      <c r="C16" s="5" t="s">
        <v>29</v>
      </c>
      <c r="D16" s="6">
        <v>100</v>
      </c>
      <c r="E16" s="6">
        <v>110</v>
      </c>
      <c r="F16" s="6">
        <v>120</v>
      </c>
      <c r="G16" s="6">
        <v>130</v>
      </c>
      <c r="H16" s="6">
        <v>150</v>
      </c>
    </row>
    <row r="17" spans="1:8">
      <c r="A17" s="3" t="s">
        <v>68</v>
      </c>
      <c r="B17" t="s">
        <v>63</v>
      </c>
      <c r="C17" s="5" t="s">
        <v>31</v>
      </c>
      <c r="D17" s="6">
        <v>74</v>
      </c>
      <c r="E17" s="6">
        <v>74</v>
      </c>
      <c r="F17" s="6">
        <v>74</v>
      </c>
      <c r="G17" s="6">
        <v>74</v>
      </c>
      <c r="H17" s="6">
        <v>74</v>
      </c>
    </row>
    <row r="18" spans="1:8">
      <c r="A18" s="3" t="s">
        <v>139</v>
      </c>
      <c r="B18" t="s">
        <v>56</v>
      </c>
      <c r="C18" s="5" t="s">
        <v>36</v>
      </c>
      <c r="D18" s="6">
        <v>1062.0999999999999</v>
      </c>
      <c r="E18" s="6">
        <v>1075</v>
      </c>
      <c r="F18" s="6">
        <v>1082.3</v>
      </c>
      <c r="G18" s="6">
        <v>1090.2</v>
      </c>
      <c r="H18" s="6">
        <v>1101.3</v>
      </c>
    </row>
    <row r="19" spans="1:8">
      <c r="A19" s="3" t="s">
        <v>140</v>
      </c>
      <c r="B19" t="s">
        <v>70</v>
      </c>
      <c r="C19" s="5" t="s">
        <v>192</v>
      </c>
      <c r="D19" s="6">
        <v>420</v>
      </c>
      <c r="E19" s="6">
        <v>440</v>
      </c>
      <c r="F19" s="6">
        <v>460</v>
      </c>
      <c r="G19" s="6">
        <v>460</v>
      </c>
      <c r="H19" s="6">
        <v>480</v>
      </c>
    </row>
    <row r="20" spans="1:8">
      <c r="B20" t="s">
        <v>134</v>
      </c>
      <c r="C20" s="5" t="s">
        <v>204</v>
      </c>
      <c r="D20" s="6">
        <v>628.29999999999995</v>
      </c>
      <c r="E20" s="6">
        <v>640.70000000000005</v>
      </c>
      <c r="F20" s="6">
        <v>648</v>
      </c>
      <c r="G20" s="6">
        <v>656</v>
      </c>
      <c r="H20" s="6">
        <v>666.3</v>
      </c>
    </row>
    <row r="21" spans="1:8">
      <c r="B21" t="s">
        <v>216</v>
      </c>
      <c r="C21" s="5" t="s">
        <v>205</v>
      </c>
      <c r="D21" s="6">
        <v>148</v>
      </c>
      <c r="E21" s="6">
        <v>148</v>
      </c>
      <c r="F21" s="6">
        <v>148</v>
      </c>
      <c r="G21" s="6">
        <v>148</v>
      </c>
      <c r="H21" s="6">
        <v>148</v>
      </c>
    </row>
    <row r="22" spans="1:8">
      <c r="B22" t="s">
        <v>217</v>
      </c>
      <c r="C22" s="5" t="s">
        <v>206</v>
      </c>
      <c r="D22" s="6">
        <f>VALUE(LEFT(D33,4))</f>
        <v>2100</v>
      </c>
      <c r="E22" s="6">
        <f t="shared" ref="E22:H22" si="0">VALUE(LEFT(E33,4))</f>
        <v>2180</v>
      </c>
      <c r="F22" s="6">
        <f t="shared" si="0"/>
        <v>2260</v>
      </c>
      <c r="G22" s="6">
        <f t="shared" si="0"/>
        <v>2400</v>
      </c>
      <c r="H22" s="6">
        <f t="shared" si="0"/>
        <v>2480</v>
      </c>
    </row>
    <row r="23" spans="1:8">
      <c r="B23" t="s">
        <v>218</v>
      </c>
      <c r="C23" s="5" t="s">
        <v>212</v>
      </c>
      <c r="D23" s="6">
        <f>VALUE(LEFT(D34,3))</f>
        <v>700</v>
      </c>
      <c r="E23" s="6">
        <f t="shared" ref="E23:H23" si="1">VALUE(LEFT(E34,3))</f>
        <v>700</v>
      </c>
      <c r="F23" s="6">
        <f t="shared" si="1"/>
        <v>700</v>
      </c>
      <c r="G23" s="6">
        <f t="shared" si="1"/>
        <v>700</v>
      </c>
      <c r="H23" s="6">
        <f t="shared" si="1"/>
        <v>700</v>
      </c>
    </row>
    <row r="24" spans="1:8">
      <c r="B24" t="s">
        <v>71</v>
      </c>
      <c r="C24" s="5" t="s">
        <v>214</v>
      </c>
      <c r="D24" s="6">
        <v>70</v>
      </c>
      <c r="E24" s="6">
        <v>70</v>
      </c>
      <c r="F24" s="6">
        <v>80</v>
      </c>
      <c r="G24" s="6">
        <v>90</v>
      </c>
      <c r="H24" s="6">
        <v>100</v>
      </c>
    </row>
    <row r="25" spans="1:8">
      <c r="B25" t="s">
        <v>69</v>
      </c>
      <c r="C25" s="5" t="s">
        <v>215</v>
      </c>
      <c r="D25" s="6">
        <v>170</v>
      </c>
      <c r="E25" s="6">
        <v>170</v>
      </c>
      <c r="F25" s="6">
        <v>170</v>
      </c>
      <c r="G25" s="6">
        <v>170</v>
      </c>
      <c r="H25" s="6">
        <v>175</v>
      </c>
    </row>
    <row r="26" spans="1:8">
      <c r="B26" t="s">
        <v>68</v>
      </c>
      <c r="C26" t="s">
        <v>68</v>
      </c>
      <c r="D26" s="6">
        <v>29</v>
      </c>
      <c r="E26" s="6">
        <v>29</v>
      </c>
      <c r="F26" s="6">
        <v>29</v>
      </c>
      <c r="G26" s="6">
        <v>29</v>
      </c>
      <c r="H26" s="6">
        <v>29</v>
      </c>
    </row>
    <row r="27" spans="1:8">
      <c r="B27" t="s">
        <v>139</v>
      </c>
      <c r="C27" t="s">
        <v>139</v>
      </c>
      <c r="D27">
        <f>2.4*25.4</f>
        <v>60.959999999999994</v>
      </c>
      <c r="E27">
        <f t="shared" ref="E27:H27" si="2">2.4*25.4</f>
        <v>60.959999999999994</v>
      </c>
      <c r="F27">
        <f t="shared" si="2"/>
        <v>60.959999999999994</v>
      </c>
      <c r="G27">
        <f t="shared" si="2"/>
        <v>60.959999999999994</v>
      </c>
      <c r="H27">
        <f t="shared" si="2"/>
        <v>60.959999999999994</v>
      </c>
    </row>
    <row r="28" spans="1:8">
      <c r="B28" t="s">
        <v>140</v>
      </c>
      <c r="C28" t="s">
        <v>140</v>
      </c>
      <c r="D28">
        <f>2.5*25.4</f>
        <v>63.5</v>
      </c>
      <c r="E28">
        <f t="shared" ref="E28:H28" si="3">2.5*25.4</f>
        <v>63.5</v>
      </c>
      <c r="F28">
        <f t="shared" si="3"/>
        <v>63.5</v>
      </c>
      <c r="G28">
        <f t="shared" si="3"/>
        <v>63.5</v>
      </c>
      <c r="H28">
        <f t="shared" si="3"/>
        <v>63.5</v>
      </c>
    </row>
    <row r="29" spans="1:8">
      <c r="B29" t="s">
        <v>1752</v>
      </c>
      <c r="C29" t="s">
        <v>1752</v>
      </c>
      <c r="D29">
        <f>D31</f>
        <v>151</v>
      </c>
      <c r="E29">
        <f>AVERAGE(E31,D32)</f>
        <v>162.5</v>
      </c>
      <c r="F29">
        <f t="shared" ref="F29:H29" si="4">AVERAGE(F31,E32)</f>
        <v>172</v>
      </c>
      <c r="G29">
        <f t="shared" si="4"/>
        <v>181.5</v>
      </c>
      <c r="H29">
        <f t="shared" si="4"/>
        <v>189</v>
      </c>
    </row>
    <row r="30" spans="1:8">
      <c r="B30" t="s">
        <v>1753</v>
      </c>
      <c r="C30" t="s">
        <v>1753</v>
      </c>
      <c r="D30">
        <f>E29</f>
        <v>162.5</v>
      </c>
      <c r="E30">
        <f t="shared" ref="E30:G30" si="5">F29</f>
        <v>172</v>
      </c>
      <c r="F30">
        <f t="shared" si="5"/>
        <v>181.5</v>
      </c>
      <c r="G30">
        <f t="shared" si="5"/>
        <v>189</v>
      </c>
      <c r="H30">
        <f t="shared" ref="H30" si="6">H32</f>
        <v>198</v>
      </c>
    </row>
    <row r="31" spans="1:8">
      <c r="C31" t="s">
        <v>1752</v>
      </c>
      <c r="D31">
        <v>151</v>
      </c>
      <c r="E31">
        <v>162</v>
      </c>
      <c r="F31">
        <v>170</v>
      </c>
      <c r="G31">
        <v>180</v>
      </c>
      <c r="H31">
        <v>188</v>
      </c>
    </row>
    <row r="32" spans="1:8">
      <c r="C32" t="s">
        <v>1753</v>
      </c>
      <c r="D32">
        <v>163</v>
      </c>
      <c r="E32">
        <v>174</v>
      </c>
      <c r="F32">
        <v>183</v>
      </c>
      <c r="G32">
        <v>190</v>
      </c>
      <c r="H32">
        <v>198</v>
      </c>
    </row>
    <row r="33" spans="3:8">
      <c r="C33" s="5" t="s">
        <v>206</v>
      </c>
      <c r="D33" s="6" t="s">
        <v>207</v>
      </c>
      <c r="E33" s="6" t="s">
        <v>208</v>
      </c>
      <c r="F33" s="6" t="s">
        <v>209</v>
      </c>
      <c r="G33" s="6" t="s">
        <v>210</v>
      </c>
      <c r="H33" s="6" t="s">
        <v>211</v>
      </c>
    </row>
    <row r="34" spans="3:8">
      <c r="C34" s="5" t="s">
        <v>212</v>
      </c>
      <c r="D34" s="6" t="s">
        <v>213</v>
      </c>
      <c r="E34" s="6" t="s">
        <v>213</v>
      </c>
      <c r="F34" s="6" t="s">
        <v>213</v>
      </c>
      <c r="G34" s="6" t="s">
        <v>213</v>
      </c>
      <c r="H34" s="6" t="s">
        <v>213</v>
      </c>
    </row>
  </sheetData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B1C9-117E-7A47-AFD9-82CEA27C475B}">
  <dimension ref="A1:J25"/>
  <sheetViews>
    <sheetView workbookViewId="0">
      <selection activeCell="D15" sqref="D15"/>
    </sheetView>
  </sheetViews>
  <sheetFormatPr baseColWidth="10" defaultRowHeight="20"/>
  <cols>
    <col min="1" max="2" width="29.33203125" style="22" bestFit="1" customWidth="1"/>
    <col min="3" max="3" width="41.1640625" style="22" bestFit="1" customWidth="1"/>
    <col min="4" max="16384" width="10.83203125" style="22"/>
  </cols>
  <sheetData>
    <row r="1" spans="1:8">
      <c r="A1" s="22" t="s">
        <v>72</v>
      </c>
      <c r="B1" s="22" t="s">
        <v>72</v>
      </c>
      <c r="C1" s="22" t="s">
        <v>757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</row>
    <row r="2" spans="1:8">
      <c r="A2" s="22" t="s">
        <v>54</v>
      </c>
      <c r="B2" s="22" t="s">
        <v>60</v>
      </c>
      <c r="C2" s="22" t="s">
        <v>952</v>
      </c>
      <c r="D2" s="22">
        <v>440</v>
      </c>
      <c r="E2" s="22">
        <v>470</v>
      </c>
      <c r="F2" s="22">
        <v>500</v>
      </c>
      <c r="G2" s="22">
        <v>530</v>
      </c>
      <c r="H2" s="22">
        <v>560</v>
      </c>
    </row>
    <row r="3" spans="1:8">
      <c r="A3" s="22" t="s">
        <v>55</v>
      </c>
      <c r="B3" s="22" t="s">
        <v>73</v>
      </c>
      <c r="C3" s="22" t="s">
        <v>953</v>
      </c>
      <c r="D3" s="22">
        <v>548</v>
      </c>
      <c r="E3" s="22">
        <v>564</v>
      </c>
      <c r="F3" s="22">
        <v>580</v>
      </c>
      <c r="G3" s="22">
        <v>600</v>
      </c>
      <c r="H3" s="22">
        <v>620</v>
      </c>
    </row>
    <row r="4" spans="1:8">
      <c r="A4" s="22" t="s">
        <v>60</v>
      </c>
      <c r="B4" s="22" t="s">
        <v>66</v>
      </c>
      <c r="C4" s="22" t="s">
        <v>954</v>
      </c>
      <c r="D4" s="22">
        <v>430</v>
      </c>
      <c r="E4" s="22">
        <v>430</v>
      </c>
      <c r="F4" s="22">
        <v>430</v>
      </c>
      <c r="G4" s="22">
        <v>430</v>
      </c>
      <c r="H4" s="22">
        <v>430</v>
      </c>
    </row>
    <row r="5" spans="1:8">
      <c r="A5" s="22" t="s">
        <v>73</v>
      </c>
      <c r="B5" s="22" t="s">
        <v>62</v>
      </c>
      <c r="C5" s="22" t="s">
        <v>955</v>
      </c>
      <c r="D5" s="22">
        <v>71</v>
      </c>
      <c r="E5" s="22">
        <v>71</v>
      </c>
      <c r="F5" s="22">
        <v>71</v>
      </c>
      <c r="G5" s="22">
        <v>71</v>
      </c>
      <c r="H5" s="22">
        <v>71</v>
      </c>
    </row>
    <row r="6" spans="1:8">
      <c r="A6" s="22" t="s">
        <v>62</v>
      </c>
      <c r="B6" s="22" t="s">
        <v>63</v>
      </c>
      <c r="C6" s="22" t="s">
        <v>956</v>
      </c>
      <c r="D6" s="22">
        <v>74</v>
      </c>
      <c r="E6" s="22">
        <v>74</v>
      </c>
      <c r="F6" s="22">
        <v>74</v>
      </c>
      <c r="G6" s="22">
        <v>74</v>
      </c>
      <c r="H6" s="22">
        <v>74</v>
      </c>
    </row>
    <row r="7" spans="1:8">
      <c r="A7" s="22" t="s">
        <v>63</v>
      </c>
      <c r="B7" s="22" t="s">
        <v>65</v>
      </c>
      <c r="C7" s="22" t="s">
        <v>957</v>
      </c>
      <c r="D7" s="22">
        <v>75</v>
      </c>
      <c r="E7" s="22">
        <v>75</v>
      </c>
      <c r="F7" s="22">
        <v>75</v>
      </c>
      <c r="G7" s="22">
        <v>75</v>
      </c>
      <c r="H7" s="22">
        <v>75</v>
      </c>
    </row>
    <row r="8" spans="1:8">
      <c r="A8" s="22" t="s">
        <v>64</v>
      </c>
      <c r="B8" s="22" t="s">
        <v>64</v>
      </c>
      <c r="C8" s="22" t="s">
        <v>958</v>
      </c>
      <c r="D8" s="22">
        <v>160</v>
      </c>
      <c r="E8" s="22">
        <v>180</v>
      </c>
      <c r="F8" s="22">
        <v>200</v>
      </c>
      <c r="G8" s="22">
        <v>220</v>
      </c>
      <c r="H8" s="22">
        <v>240</v>
      </c>
    </row>
    <row r="9" spans="1:8">
      <c r="A9" s="22" t="s">
        <v>65</v>
      </c>
      <c r="B9" s="22" t="s">
        <v>163</v>
      </c>
      <c r="C9" s="22" t="s">
        <v>959</v>
      </c>
      <c r="D9" s="22">
        <v>398</v>
      </c>
      <c r="E9" s="22">
        <v>398</v>
      </c>
      <c r="F9" s="22">
        <v>398</v>
      </c>
      <c r="G9" s="22">
        <v>398</v>
      </c>
      <c r="H9" s="22">
        <v>398</v>
      </c>
    </row>
    <row r="10" spans="1:8">
      <c r="A10" s="22" t="s">
        <v>66</v>
      </c>
      <c r="B10" s="22" t="s">
        <v>55</v>
      </c>
      <c r="C10" s="22" t="s">
        <v>960</v>
      </c>
      <c r="D10" s="22">
        <v>379</v>
      </c>
      <c r="E10" s="22">
        <v>390</v>
      </c>
      <c r="F10" s="22">
        <v>400</v>
      </c>
      <c r="G10" s="22">
        <v>415</v>
      </c>
      <c r="H10" s="22">
        <v>430</v>
      </c>
    </row>
    <row r="11" spans="1:8">
      <c r="A11" s="22" t="s">
        <v>56</v>
      </c>
      <c r="B11" s="22" t="s">
        <v>54</v>
      </c>
      <c r="C11" s="22" t="s">
        <v>961</v>
      </c>
      <c r="D11" s="22">
        <v>588</v>
      </c>
      <c r="E11" s="22">
        <v>607</v>
      </c>
      <c r="F11" s="22">
        <v>626</v>
      </c>
      <c r="G11" s="22">
        <v>645</v>
      </c>
      <c r="H11" s="22">
        <v>664</v>
      </c>
    </row>
    <row r="12" spans="1:8">
      <c r="A12" s="22" t="s">
        <v>67</v>
      </c>
      <c r="B12" s="22" t="s">
        <v>56</v>
      </c>
      <c r="C12" s="22" t="s">
        <v>962</v>
      </c>
      <c r="D12" s="22">
        <v>1027</v>
      </c>
      <c r="E12" s="22">
        <v>1044</v>
      </c>
      <c r="F12" s="22">
        <v>1061</v>
      </c>
      <c r="G12" s="22">
        <v>1082</v>
      </c>
      <c r="H12" s="22">
        <v>1104</v>
      </c>
    </row>
    <row r="13" spans="1:8">
      <c r="A13" s="22" t="s">
        <v>57</v>
      </c>
      <c r="B13" s="22" t="s">
        <v>67</v>
      </c>
      <c r="C13" s="22" t="s">
        <v>67</v>
      </c>
      <c r="D13" s="35">
        <v>45</v>
      </c>
      <c r="E13" s="35">
        <v>45</v>
      </c>
      <c r="F13" s="35">
        <v>45</v>
      </c>
      <c r="G13" s="35">
        <v>45</v>
      </c>
      <c r="H13" s="35">
        <v>45</v>
      </c>
    </row>
    <row r="14" spans="1:8">
      <c r="A14" s="22" t="s">
        <v>69</v>
      </c>
      <c r="B14" s="22" t="s">
        <v>57</v>
      </c>
      <c r="C14" s="22" t="s">
        <v>963</v>
      </c>
      <c r="D14" s="22">
        <v>706</v>
      </c>
      <c r="E14" s="22">
        <v>736</v>
      </c>
      <c r="F14" s="22">
        <v>765</v>
      </c>
      <c r="G14" s="22">
        <v>794</v>
      </c>
      <c r="H14" s="22">
        <v>822</v>
      </c>
    </row>
    <row r="15" spans="1:8">
      <c r="A15" s="22" t="s">
        <v>70</v>
      </c>
      <c r="B15" s="22" t="s">
        <v>69</v>
      </c>
      <c r="C15" s="22" t="s">
        <v>69</v>
      </c>
    </row>
    <row r="16" spans="1:8">
      <c r="A16" s="22" t="s">
        <v>71</v>
      </c>
      <c r="B16" s="22" t="s">
        <v>70</v>
      </c>
      <c r="C16" s="22" t="s">
        <v>70</v>
      </c>
    </row>
    <row r="17" spans="1:10">
      <c r="A17" s="22" t="s">
        <v>68</v>
      </c>
      <c r="B17" s="22" t="s">
        <v>71</v>
      </c>
      <c r="C17" s="22" t="s">
        <v>71</v>
      </c>
    </row>
    <row r="18" spans="1:10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</row>
    <row r="19" spans="1:10">
      <c r="A19" s="22" t="s">
        <v>140</v>
      </c>
      <c r="B19" s="22" t="s">
        <v>139</v>
      </c>
      <c r="C19" s="22" t="s">
        <v>139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</row>
    <row r="20" spans="1:10">
      <c r="B20" s="22" t="s">
        <v>140</v>
      </c>
      <c r="C20" s="22" t="s">
        <v>140</v>
      </c>
      <c r="D20" s="29">
        <v>45</v>
      </c>
      <c r="E20" s="29">
        <v>45</v>
      </c>
      <c r="F20" s="29">
        <v>45</v>
      </c>
      <c r="G20" s="29">
        <v>45</v>
      </c>
      <c r="H20" s="29">
        <v>45</v>
      </c>
    </row>
    <row r="21" spans="1:10">
      <c r="B21" s="22" t="s">
        <v>917</v>
      </c>
      <c r="C21" s="22" t="s">
        <v>964</v>
      </c>
      <c r="D21" s="22">
        <f>SQRT(D4^2 - D7^2)</f>
        <v>423.40878592679201</v>
      </c>
      <c r="E21" s="22">
        <f t="shared" ref="E21:H21" si="0">SQRT(E4^2 - E7^2)</f>
        <v>423.40878592679201</v>
      </c>
      <c r="F21" s="22">
        <f t="shared" si="0"/>
        <v>423.40878592679201</v>
      </c>
      <c r="G21" s="22">
        <f t="shared" si="0"/>
        <v>423.40878592679201</v>
      </c>
      <c r="H21" s="22">
        <f t="shared" si="0"/>
        <v>423.40878592679201</v>
      </c>
    </row>
    <row r="22" spans="1:10">
      <c r="B22" s="22" t="s">
        <v>933</v>
      </c>
      <c r="C22" s="22" t="s">
        <v>934</v>
      </c>
      <c r="D22" s="35">
        <f>(D11-D7)/TAN(D5*PI()/180)</f>
        <v>176.64006561759834</v>
      </c>
      <c r="E22" s="35">
        <f t="shared" ref="E22:H22" si="1">(E11-E7)/TAN(E5*PI()/180)</f>
        <v>183.18229027010199</v>
      </c>
      <c r="F22" s="35">
        <f t="shared" si="1"/>
        <v>189.72451492260561</v>
      </c>
      <c r="G22" s="35">
        <f t="shared" si="1"/>
        <v>196.26673957510926</v>
      </c>
      <c r="H22" s="35">
        <f t="shared" si="1"/>
        <v>202.8089642276129</v>
      </c>
      <c r="I22" s="35"/>
      <c r="J22" s="35"/>
    </row>
    <row r="23" spans="1:10">
      <c r="B23" s="22" t="s">
        <v>916</v>
      </c>
      <c r="C23" s="22" t="s">
        <v>935</v>
      </c>
      <c r="D23" s="35">
        <f>D12-D22-D10-D21</f>
        <v>47.951148455609655</v>
      </c>
      <c r="E23" s="35">
        <f t="shared" ref="E23:H23" si="2">E12-E22-E10-E21</f>
        <v>47.408923803106063</v>
      </c>
      <c r="F23" s="35">
        <f t="shared" si="2"/>
        <v>47.866699150602358</v>
      </c>
      <c r="G23" s="35">
        <f t="shared" si="2"/>
        <v>47.324474498098766</v>
      </c>
      <c r="H23" s="35">
        <f t="shared" si="2"/>
        <v>47.782249845595061</v>
      </c>
      <c r="I23" s="35"/>
      <c r="J23" s="35"/>
    </row>
    <row r="24" spans="1:10">
      <c r="B24" s="22" t="s">
        <v>67</v>
      </c>
      <c r="C24" s="22" t="s">
        <v>936</v>
      </c>
      <c r="D24" s="35">
        <f>ROUND(D23*SIN(D5*PI()/180),0)</f>
        <v>45</v>
      </c>
      <c r="E24" s="35">
        <f t="shared" ref="E24:H24" si="3">ROUND(E23*SIN(E5*PI()/180),0)</f>
        <v>45</v>
      </c>
      <c r="F24" s="35">
        <f t="shared" si="3"/>
        <v>45</v>
      </c>
      <c r="G24" s="35">
        <f t="shared" si="3"/>
        <v>45</v>
      </c>
      <c r="H24" s="35">
        <f t="shared" si="3"/>
        <v>45</v>
      </c>
      <c r="I24" s="35"/>
      <c r="J24" s="35"/>
    </row>
    <row r="25" spans="1:10">
      <c r="B25" s="22" t="s">
        <v>135</v>
      </c>
      <c r="C25" s="22" t="s">
        <v>937</v>
      </c>
      <c r="F25" s="40"/>
      <c r="G25" s="40"/>
      <c r="H25" s="40"/>
      <c r="I25" s="40"/>
      <c r="J25" s="40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26FA-2EF4-7D4D-9B31-47F47CC810DA}">
  <dimension ref="A1:L62"/>
  <sheetViews>
    <sheetView workbookViewId="0">
      <selection activeCell="C25" sqref="C25:F26"/>
    </sheetView>
  </sheetViews>
  <sheetFormatPr baseColWidth="10" defaultRowHeight="20"/>
  <cols>
    <col min="1" max="1" width="29.33203125" style="22" bestFit="1" customWidth="1"/>
    <col min="2" max="2" width="35.5" style="22" customWidth="1"/>
    <col min="3" max="16384" width="10.83203125" style="22"/>
  </cols>
  <sheetData>
    <row r="1" spans="1:6">
      <c r="A1" s="22" t="s">
        <v>2412</v>
      </c>
      <c r="B1" s="2" t="s">
        <v>2509</v>
      </c>
    </row>
    <row r="2" spans="1:6">
      <c r="A2" s="22" t="s">
        <v>2423</v>
      </c>
      <c r="B2" s="2">
        <v>2022</v>
      </c>
    </row>
    <row r="3" spans="1:6">
      <c r="A3" s="22" t="s">
        <v>2424</v>
      </c>
      <c r="B3" s="114">
        <v>45111</v>
      </c>
    </row>
    <row r="4" spans="1:6">
      <c r="A4" s="22" t="s">
        <v>2414</v>
      </c>
      <c r="B4" s="2" t="s">
        <v>2510</v>
      </c>
    </row>
    <row r="5" spans="1:6">
      <c r="A5" s="22" t="s">
        <v>2415</v>
      </c>
      <c r="B5" s="2" t="s">
        <v>2474</v>
      </c>
    </row>
    <row r="6" spans="1:6">
      <c r="A6" s="22" t="s">
        <v>72</v>
      </c>
      <c r="B6" s="22" t="str" cm="1">
        <f t="array" ref="B6:F16">TRANSPOSE(B35:L39)</f>
        <v>SIZE</v>
      </c>
      <c r="C6" s="22" t="str">
        <v>S</v>
      </c>
      <c r="D6" s="22" t="str">
        <v>M</v>
      </c>
      <c r="E6" s="22" t="str">
        <v>L</v>
      </c>
      <c r="F6" s="22" t="str">
        <v>XL</v>
      </c>
    </row>
    <row r="7" spans="1:6">
      <c r="A7" s="22" t="s">
        <v>73</v>
      </c>
      <c r="B7" s="22" t="str">
        <v>EFFECTIVE TOP TUBE (CM)</v>
      </c>
      <c r="C7" s="22">
        <v>530</v>
      </c>
      <c r="D7" s="22">
        <v>560</v>
      </c>
      <c r="E7" s="22">
        <v>590</v>
      </c>
      <c r="F7" s="22">
        <v>620</v>
      </c>
    </row>
    <row r="8" spans="1:6">
      <c r="A8" s="22" t="s">
        <v>60</v>
      </c>
      <c r="B8" s="22" t="str">
        <v>SEAT TUBE (C-T CM)</v>
      </c>
      <c r="C8" s="22">
        <v>520</v>
      </c>
      <c r="D8" s="22">
        <v>540</v>
      </c>
      <c r="E8" s="22">
        <v>570</v>
      </c>
      <c r="F8" s="22">
        <v>600</v>
      </c>
    </row>
    <row r="9" spans="1:6">
      <c r="A9" s="22" t="s">
        <v>64</v>
      </c>
      <c r="B9" s="22" t="str">
        <v>HEAD TUBE (MM)</v>
      </c>
      <c r="C9" s="22">
        <v>140</v>
      </c>
      <c r="D9" s="22">
        <v>160</v>
      </c>
      <c r="E9" s="22">
        <v>190</v>
      </c>
      <c r="F9" s="22">
        <v>220</v>
      </c>
    </row>
    <row r="10" spans="1:6">
      <c r="A10" s="22" t="s">
        <v>62</v>
      </c>
      <c r="B10" s="22" t="str">
        <v>HEAD TUBE ANGLE</v>
      </c>
      <c r="C10" s="22">
        <v>70</v>
      </c>
      <c r="D10" s="22">
        <v>70</v>
      </c>
      <c r="E10" s="22">
        <v>70.5</v>
      </c>
      <c r="F10" s="22">
        <v>71</v>
      </c>
    </row>
    <row r="11" spans="1:6">
      <c r="A11" s="22" t="s">
        <v>63</v>
      </c>
      <c r="B11" s="22" t="str">
        <v>SEAT TUBE ANGLE</v>
      </c>
      <c r="C11" s="22">
        <v>74.25</v>
      </c>
      <c r="D11" s="22">
        <v>74</v>
      </c>
      <c r="E11" s="22">
        <v>73.5</v>
      </c>
      <c r="F11" s="22">
        <v>73</v>
      </c>
    </row>
    <row r="12" spans="1:6">
      <c r="A12" s="22" t="s">
        <v>65</v>
      </c>
      <c r="B12" s="22" t="str">
        <v>BB DROP (CM)</v>
      </c>
      <c r="C12" s="22">
        <v>72</v>
      </c>
      <c r="D12" s="22">
        <v>72</v>
      </c>
      <c r="E12" s="22">
        <v>70</v>
      </c>
      <c r="F12" s="22">
        <v>68</v>
      </c>
    </row>
    <row r="13" spans="1:6">
      <c r="A13" s="22" t="s">
        <v>66</v>
      </c>
      <c r="B13" s="22" t="str">
        <v>CHAIN STAY (CM)</v>
      </c>
      <c r="C13" s="22">
        <v>445</v>
      </c>
      <c r="D13" s="22">
        <v>445</v>
      </c>
      <c r="E13" s="22">
        <v>445</v>
      </c>
      <c r="F13" s="22">
        <v>445</v>
      </c>
    </row>
    <row r="14" spans="1:6">
      <c r="A14" s="22" t="s">
        <v>57</v>
      </c>
      <c r="B14" s="22" t="str">
        <v>STAND OVER (IN)</v>
      </c>
      <c r="C14" s="22">
        <v>31.9</v>
      </c>
      <c r="D14" s="22">
        <v>32.6</v>
      </c>
      <c r="E14" s="22">
        <v>33.700000000000003</v>
      </c>
      <c r="F14" s="22">
        <v>34.799999999999997</v>
      </c>
    </row>
    <row r="15" spans="1:6">
      <c r="A15" s="22" t="s">
        <v>54</v>
      </c>
      <c r="B15" s="22" t="str">
        <v>STACK (MM)</v>
      </c>
      <c r="C15" s="22">
        <v>602</v>
      </c>
      <c r="D15" s="22">
        <v>620</v>
      </c>
      <c r="E15" s="22">
        <v>650</v>
      </c>
      <c r="F15" s="22">
        <v>678</v>
      </c>
    </row>
    <row r="16" spans="1:6">
      <c r="A16" s="22" t="s">
        <v>55</v>
      </c>
      <c r="B16" s="22" t="str">
        <v>REACH (MM)</v>
      </c>
      <c r="C16" s="22">
        <v>358</v>
      </c>
      <c r="D16" s="22">
        <v>378</v>
      </c>
      <c r="E16" s="22">
        <v>396</v>
      </c>
      <c r="F16" s="22">
        <v>411</v>
      </c>
    </row>
    <row r="17" spans="1:6">
      <c r="A17" s="22" t="s">
        <v>56</v>
      </c>
      <c r="B17" s="22" t="s">
        <v>56</v>
      </c>
      <c r="C17" s="22">
        <f>VALUE(LEFT(C42,6))</f>
        <v>1044.3</v>
      </c>
      <c r="D17" s="22">
        <f t="shared" ref="D17:F17" si="0">VALUE(LEFT(D42,6))</f>
        <v>1070.9000000000001</v>
      </c>
      <c r="E17" s="22">
        <f>VALUE(LEFT(E42,4))</f>
        <v>1095</v>
      </c>
      <c r="F17" s="22">
        <f t="shared" si="0"/>
        <v>1114.8</v>
      </c>
    </row>
    <row r="18" spans="1:6">
      <c r="A18" s="22" t="s">
        <v>67</v>
      </c>
      <c r="B18" s="22" t="s">
        <v>67</v>
      </c>
      <c r="C18" s="22">
        <v>51</v>
      </c>
      <c r="D18" s="22">
        <v>51</v>
      </c>
      <c r="E18" s="22">
        <v>51</v>
      </c>
      <c r="F18" s="22">
        <v>51</v>
      </c>
    </row>
    <row r="19" spans="1:6">
      <c r="A19" s="22" t="s">
        <v>69</v>
      </c>
      <c r="B19" s="22" t="s">
        <v>69</v>
      </c>
    </row>
    <row r="20" spans="1:6">
      <c r="A20" s="22" t="s">
        <v>70</v>
      </c>
      <c r="B20" s="22" t="s">
        <v>70</v>
      </c>
    </row>
    <row r="21" spans="1:6">
      <c r="A21" s="22" t="s">
        <v>71</v>
      </c>
      <c r="B21" s="22" t="s">
        <v>71</v>
      </c>
    </row>
    <row r="22" spans="1:6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</row>
    <row r="23" spans="1:6">
      <c r="A23" s="22" t="s">
        <v>139</v>
      </c>
      <c r="B23" s="22" t="s">
        <v>139</v>
      </c>
      <c r="C23" s="22">
        <f>2.35*2.54*10</f>
        <v>59.690000000000005</v>
      </c>
      <c r="D23" s="22">
        <f t="shared" ref="D23:F23" si="1">2.35*2.54*10</f>
        <v>59.690000000000005</v>
      </c>
      <c r="E23" s="22">
        <f t="shared" si="1"/>
        <v>59.690000000000005</v>
      </c>
      <c r="F23" s="22">
        <f t="shared" si="1"/>
        <v>59.690000000000005</v>
      </c>
    </row>
    <row r="24" spans="1:6">
      <c r="A24" s="22" t="s">
        <v>140</v>
      </c>
      <c r="B24" s="22" t="s">
        <v>140</v>
      </c>
      <c r="C24" s="22">
        <f>2.4*25.4</f>
        <v>60.959999999999994</v>
      </c>
      <c r="D24" s="22">
        <f t="shared" ref="D24:F24" si="2">2.4*25.4</f>
        <v>60.959999999999994</v>
      </c>
      <c r="E24" s="22">
        <f t="shared" si="2"/>
        <v>60.959999999999994</v>
      </c>
      <c r="F24" s="22">
        <f t="shared" si="2"/>
        <v>60.959999999999994</v>
      </c>
    </row>
    <row r="25" spans="1:6">
      <c r="A25" s="22" t="s">
        <v>1752</v>
      </c>
      <c r="C25" s="22">
        <v>163</v>
      </c>
      <c r="D25" s="22">
        <v>169</v>
      </c>
      <c r="E25" s="22">
        <v>179</v>
      </c>
      <c r="F25" s="22">
        <v>186</v>
      </c>
    </row>
    <row r="26" spans="1:6">
      <c r="A26" s="22" t="s">
        <v>1753</v>
      </c>
      <c r="C26" s="22">
        <v>169</v>
      </c>
      <c r="D26" s="22">
        <v>179</v>
      </c>
      <c r="E26" s="22">
        <v>186</v>
      </c>
      <c r="F26" s="22">
        <v>196</v>
      </c>
    </row>
    <row r="27" spans="1:6">
      <c r="A27" s="22" t="s">
        <v>2593</v>
      </c>
      <c r="C27" s="22">
        <f t="shared" ref="C27:F28" si="3">VALUE(LEFT(C29,3))</f>
        <v>163</v>
      </c>
      <c r="D27" s="22">
        <f t="shared" si="3"/>
        <v>168</v>
      </c>
      <c r="E27" s="22">
        <f t="shared" si="3"/>
        <v>178</v>
      </c>
      <c r="F27" s="22">
        <f t="shared" si="3"/>
        <v>185</v>
      </c>
    </row>
    <row r="28" spans="1:6">
      <c r="A28" s="22" t="s">
        <v>2594</v>
      </c>
      <c r="C28" s="22">
        <f t="shared" si="3"/>
        <v>170</v>
      </c>
      <c r="D28" s="22">
        <f t="shared" si="3"/>
        <v>180</v>
      </c>
      <c r="E28" s="22">
        <f t="shared" si="3"/>
        <v>188</v>
      </c>
      <c r="F28" s="22">
        <f t="shared" si="3"/>
        <v>196</v>
      </c>
    </row>
    <row r="29" spans="1:6" ht="21">
      <c r="C29" s="120" t="s">
        <v>2500</v>
      </c>
      <c r="D29" s="120" t="s">
        <v>2502</v>
      </c>
      <c r="E29" s="120" t="s">
        <v>2504</v>
      </c>
      <c r="F29" s="120" t="s">
        <v>2506</v>
      </c>
    </row>
    <row r="30" spans="1:6" ht="21">
      <c r="C30" s="120" t="s">
        <v>2501</v>
      </c>
      <c r="D30" s="120" t="s">
        <v>2503</v>
      </c>
      <c r="E30" s="120" t="s">
        <v>2505</v>
      </c>
      <c r="F30" s="120" t="s">
        <v>2507</v>
      </c>
    </row>
    <row r="35" spans="2:12">
      <c r="B35" s="22" t="s">
        <v>167</v>
      </c>
      <c r="C35" s="22" t="s">
        <v>941</v>
      </c>
      <c r="D35" s="22" t="s">
        <v>942</v>
      </c>
      <c r="E35" s="22" t="s">
        <v>943</v>
      </c>
      <c r="F35" s="22" t="s">
        <v>34</v>
      </c>
      <c r="G35" s="22" t="s">
        <v>31</v>
      </c>
      <c r="H35" s="22" t="s">
        <v>944</v>
      </c>
      <c r="I35" s="22" t="s">
        <v>945</v>
      </c>
      <c r="J35" s="22" t="s">
        <v>946</v>
      </c>
      <c r="K35" s="22" t="s">
        <v>317</v>
      </c>
      <c r="L35" s="22" t="s">
        <v>316</v>
      </c>
    </row>
    <row r="36" spans="2:12">
      <c r="B36" s="22" t="s">
        <v>17</v>
      </c>
      <c r="C36" s="22">
        <f>C45*10</f>
        <v>530</v>
      </c>
      <c r="D36" s="22">
        <f>D45*10</f>
        <v>520</v>
      </c>
      <c r="E36" s="22">
        <v>140</v>
      </c>
      <c r="F36" s="22">
        <v>70</v>
      </c>
      <c r="G36" s="22">
        <v>74.25</v>
      </c>
      <c r="H36" s="22">
        <v>72</v>
      </c>
      <c r="I36" s="22">
        <v>445</v>
      </c>
      <c r="J36" s="22">
        <v>31.9</v>
      </c>
      <c r="K36" s="22">
        <v>602</v>
      </c>
      <c r="L36" s="22">
        <v>358</v>
      </c>
    </row>
    <row r="37" spans="2:12">
      <c r="B37" s="22" t="s">
        <v>18</v>
      </c>
      <c r="C37" s="22">
        <f t="shared" ref="C37:D39" si="4">C46*10</f>
        <v>560</v>
      </c>
      <c r="D37" s="22">
        <f t="shared" si="4"/>
        <v>540</v>
      </c>
      <c r="E37" s="22">
        <v>160</v>
      </c>
      <c r="F37" s="22">
        <v>70</v>
      </c>
      <c r="G37" s="22">
        <v>74</v>
      </c>
      <c r="H37" s="22">
        <v>72</v>
      </c>
      <c r="I37" s="22">
        <v>445</v>
      </c>
      <c r="J37" s="22">
        <v>32.6</v>
      </c>
      <c r="K37" s="22">
        <v>620</v>
      </c>
      <c r="L37" s="22">
        <v>378</v>
      </c>
    </row>
    <row r="38" spans="2:12">
      <c r="B38" s="22" t="s">
        <v>19</v>
      </c>
      <c r="C38" s="22">
        <f t="shared" si="4"/>
        <v>590</v>
      </c>
      <c r="D38" s="22">
        <f t="shared" si="4"/>
        <v>570</v>
      </c>
      <c r="E38" s="22">
        <v>190</v>
      </c>
      <c r="F38" s="22">
        <v>70.5</v>
      </c>
      <c r="G38" s="22">
        <v>73.5</v>
      </c>
      <c r="H38" s="22">
        <v>70</v>
      </c>
      <c r="I38" s="22">
        <v>445</v>
      </c>
      <c r="J38" s="22">
        <v>33.700000000000003</v>
      </c>
      <c r="K38" s="22">
        <v>650</v>
      </c>
      <c r="L38" s="22">
        <v>396</v>
      </c>
    </row>
    <row r="39" spans="2:12">
      <c r="B39" s="22" t="s">
        <v>20</v>
      </c>
      <c r="C39" s="22">
        <f t="shared" si="4"/>
        <v>620</v>
      </c>
      <c r="D39" s="22">
        <f t="shared" si="4"/>
        <v>600</v>
      </c>
      <c r="E39" s="22">
        <v>220</v>
      </c>
      <c r="F39" s="22">
        <v>71</v>
      </c>
      <c r="G39" s="22">
        <v>73</v>
      </c>
      <c r="H39" s="22">
        <v>68</v>
      </c>
      <c r="I39" s="22">
        <v>445</v>
      </c>
      <c r="J39" s="22">
        <v>34.799999999999997</v>
      </c>
      <c r="K39" s="22">
        <v>678</v>
      </c>
      <c r="L39" s="22">
        <v>411</v>
      </c>
    </row>
    <row r="40" spans="2:12">
      <c r="B40" s="22" t="s">
        <v>947</v>
      </c>
    </row>
    <row r="42" spans="2:12">
      <c r="B42" s="1" t="s">
        <v>9</v>
      </c>
      <c r="C42" s="7" t="s">
        <v>948</v>
      </c>
      <c r="D42" s="7" t="s">
        <v>949</v>
      </c>
      <c r="E42" s="7" t="s">
        <v>950</v>
      </c>
      <c r="F42" s="7" t="s">
        <v>951</v>
      </c>
    </row>
    <row r="44" spans="2:12">
      <c r="B44" s="22" t="s">
        <v>167</v>
      </c>
      <c r="C44" s="22" t="s">
        <v>941</v>
      </c>
      <c r="D44" s="22" t="s">
        <v>942</v>
      </c>
      <c r="E44" s="22" t="s">
        <v>943</v>
      </c>
      <c r="F44" s="22" t="s">
        <v>34</v>
      </c>
      <c r="G44" s="22" t="s">
        <v>31</v>
      </c>
      <c r="H44" s="22" t="s">
        <v>944</v>
      </c>
      <c r="I44" s="22" t="s">
        <v>945</v>
      </c>
      <c r="J44" s="22" t="s">
        <v>946</v>
      </c>
      <c r="K44" s="22" t="s">
        <v>317</v>
      </c>
      <c r="L44" s="22" t="s">
        <v>316</v>
      </c>
    </row>
    <row r="45" spans="2:12">
      <c r="B45" s="22" t="s">
        <v>17</v>
      </c>
      <c r="C45" s="22">
        <v>53</v>
      </c>
      <c r="D45" s="22">
        <v>52</v>
      </c>
      <c r="E45" s="22">
        <v>140</v>
      </c>
      <c r="F45" s="22">
        <v>70</v>
      </c>
      <c r="G45" s="22">
        <v>74.25</v>
      </c>
      <c r="H45" s="22">
        <v>72</v>
      </c>
      <c r="I45" s="22">
        <v>445</v>
      </c>
      <c r="J45" s="22">
        <v>31.9</v>
      </c>
      <c r="K45" s="22">
        <v>602</v>
      </c>
      <c r="L45" s="22">
        <v>358</v>
      </c>
    </row>
    <row r="46" spans="2:12">
      <c r="B46" s="22" t="s">
        <v>18</v>
      </c>
      <c r="C46" s="22">
        <v>56</v>
      </c>
      <c r="D46" s="22">
        <v>54</v>
      </c>
      <c r="E46" s="22">
        <v>160</v>
      </c>
      <c r="F46" s="22">
        <v>70</v>
      </c>
      <c r="G46" s="22">
        <v>74</v>
      </c>
      <c r="H46" s="22">
        <v>72</v>
      </c>
      <c r="I46" s="22">
        <v>445</v>
      </c>
      <c r="J46" s="22">
        <v>32.6</v>
      </c>
      <c r="K46" s="22">
        <v>620</v>
      </c>
      <c r="L46" s="22">
        <v>378</v>
      </c>
    </row>
    <row r="47" spans="2:12">
      <c r="B47" s="22" t="s">
        <v>19</v>
      </c>
      <c r="C47" s="22">
        <v>59</v>
      </c>
      <c r="D47" s="22">
        <v>57</v>
      </c>
      <c r="E47" s="22">
        <v>190</v>
      </c>
      <c r="F47" s="22">
        <v>70.5</v>
      </c>
      <c r="G47" s="22">
        <v>73.5</v>
      </c>
      <c r="H47" s="22">
        <v>70</v>
      </c>
      <c r="I47" s="22">
        <v>445</v>
      </c>
      <c r="J47" s="22">
        <v>33.700000000000003</v>
      </c>
      <c r="K47" s="22">
        <v>650</v>
      </c>
      <c r="L47" s="22">
        <v>396</v>
      </c>
    </row>
    <row r="48" spans="2:12">
      <c r="B48" s="22" t="s">
        <v>20</v>
      </c>
      <c r="C48" s="22">
        <v>62</v>
      </c>
      <c r="D48" s="22">
        <v>60</v>
      </c>
      <c r="E48" s="22">
        <v>220</v>
      </c>
      <c r="F48" s="22">
        <v>71</v>
      </c>
      <c r="G48" s="22">
        <v>73</v>
      </c>
      <c r="H48" s="22">
        <v>68</v>
      </c>
      <c r="I48" s="22">
        <v>445</v>
      </c>
      <c r="J48" s="22">
        <v>34.799999999999997</v>
      </c>
      <c r="K48" s="22">
        <v>678</v>
      </c>
      <c r="L48" s="22">
        <v>411</v>
      </c>
    </row>
    <row r="49" spans="2:2">
      <c r="B49" s="22" t="s">
        <v>947</v>
      </c>
    </row>
    <row r="51" spans="2:2" ht="21">
      <c r="B51" s="120" t="s">
        <v>17</v>
      </c>
    </row>
    <row r="52" spans="2:2" ht="21">
      <c r="B52" s="120" t="s">
        <v>2500</v>
      </c>
    </row>
    <row r="53" spans="2:2" ht="21">
      <c r="B53" s="120" t="s">
        <v>2501</v>
      </c>
    </row>
    <row r="54" spans="2:2" ht="21">
      <c r="B54" s="120" t="s">
        <v>18</v>
      </c>
    </row>
    <row r="55" spans="2:2" ht="21">
      <c r="B55" s="120" t="s">
        <v>2502</v>
      </c>
    </row>
    <row r="56" spans="2:2" ht="21">
      <c r="B56" s="120" t="s">
        <v>2503</v>
      </c>
    </row>
    <row r="57" spans="2:2" ht="21">
      <c r="B57" s="120" t="s">
        <v>19</v>
      </c>
    </row>
    <row r="58" spans="2:2" ht="21">
      <c r="B58" s="120" t="s">
        <v>2504</v>
      </c>
    </row>
    <row r="59" spans="2:2" ht="21">
      <c r="B59" s="120" t="s">
        <v>2505</v>
      </c>
    </row>
    <row r="60" spans="2:2" ht="21">
      <c r="B60" s="120" t="s">
        <v>20</v>
      </c>
    </row>
    <row r="61" spans="2:2" ht="21">
      <c r="B61" s="120" t="s">
        <v>2506</v>
      </c>
    </row>
    <row r="62" spans="2:2" ht="21">
      <c r="B62" s="120" t="s">
        <v>2507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82E0-AB0C-964C-A834-901DEE0B81A1}">
  <dimension ref="A1:J22"/>
  <sheetViews>
    <sheetView workbookViewId="0">
      <selection activeCell="C29" sqref="C29"/>
    </sheetView>
  </sheetViews>
  <sheetFormatPr baseColWidth="10" defaultRowHeight="20"/>
  <cols>
    <col min="1" max="2" width="29.33203125" style="22" bestFit="1" customWidth="1"/>
    <col min="3" max="3" width="20.5" style="22" bestFit="1" customWidth="1"/>
    <col min="4" max="16384" width="10.83203125" style="22"/>
  </cols>
  <sheetData>
    <row r="1" spans="1:10">
      <c r="A1" s="22" t="s">
        <v>72</v>
      </c>
      <c r="B1" s="22" t="s">
        <v>72</v>
      </c>
      <c r="C1" s="22" t="s">
        <v>141</v>
      </c>
      <c r="D1" s="22">
        <v>50</v>
      </c>
      <c r="E1" s="22">
        <v>52</v>
      </c>
      <c r="F1" s="22">
        <v>54</v>
      </c>
      <c r="G1" s="22">
        <v>55</v>
      </c>
      <c r="H1" s="22">
        <v>56</v>
      </c>
      <c r="I1" s="22">
        <v>58</v>
      </c>
      <c r="J1" s="22">
        <v>60</v>
      </c>
    </row>
    <row r="2" spans="1:10">
      <c r="A2" s="22" t="s">
        <v>54</v>
      </c>
      <c r="B2" s="22" t="s">
        <v>62</v>
      </c>
      <c r="C2" s="22" t="s">
        <v>1619</v>
      </c>
      <c r="D2" s="22">
        <v>69</v>
      </c>
      <c r="E2" s="22">
        <v>69.5</v>
      </c>
      <c r="F2" s="22">
        <v>70</v>
      </c>
      <c r="G2" s="22">
        <v>70</v>
      </c>
      <c r="H2" s="22">
        <v>70</v>
      </c>
      <c r="I2" s="22">
        <v>70.5</v>
      </c>
      <c r="J2" s="22">
        <v>71</v>
      </c>
    </row>
    <row r="3" spans="1:10">
      <c r="A3" s="22" t="s">
        <v>55</v>
      </c>
      <c r="B3" s="22" t="s">
        <v>63</v>
      </c>
      <c r="C3" s="22" t="s">
        <v>1620</v>
      </c>
      <c r="D3" s="22">
        <v>74.5</v>
      </c>
      <c r="E3" s="22">
        <v>74</v>
      </c>
      <c r="F3" s="22">
        <v>74</v>
      </c>
      <c r="G3" s="22">
        <v>74</v>
      </c>
      <c r="H3" s="22">
        <v>73.5</v>
      </c>
      <c r="I3" s="22">
        <v>73.5</v>
      </c>
      <c r="J3" s="22">
        <v>73</v>
      </c>
    </row>
    <row r="4" spans="1:10">
      <c r="A4" s="22" t="s">
        <v>60</v>
      </c>
      <c r="B4" s="22" t="s">
        <v>60</v>
      </c>
      <c r="C4" s="22" t="s">
        <v>1621</v>
      </c>
      <c r="D4" s="22">
        <v>500</v>
      </c>
      <c r="E4" s="22">
        <v>525</v>
      </c>
      <c r="F4" s="22">
        <v>545</v>
      </c>
      <c r="G4" s="22">
        <v>555</v>
      </c>
      <c r="H4" s="22">
        <v>565</v>
      </c>
      <c r="I4" s="22">
        <v>580</v>
      </c>
      <c r="J4" s="22">
        <v>600</v>
      </c>
    </row>
    <row r="5" spans="1:10">
      <c r="A5" s="22" t="s">
        <v>73</v>
      </c>
      <c r="B5" s="22" t="s">
        <v>73</v>
      </c>
      <c r="C5" s="22" t="s">
        <v>1622</v>
      </c>
      <c r="D5" s="22">
        <v>530</v>
      </c>
      <c r="E5" s="22">
        <v>545</v>
      </c>
      <c r="F5" s="22">
        <v>555</v>
      </c>
      <c r="G5" s="22">
        <v>565</v>
      </c>
      <c r="H5" s="22">
        <v>575</v>
      </c>
      <c r="I5" s="22">
        <v>595</v>
      </c>
      <c r="J5" s="22">
        <v>615</v>
      </c>
    </row>
    <row r="6" spans="1:10">
      <c r="A6" s="22" t="s">
        <v>62</v>
      </c>
      <c r="B6" s="22" t="s">
        <v>64</v>
      </c>
      <c r="C6" s="22" t="s">
        <v>1623</v>
      </c>
      <c r="D6" s="22">
        <v>115</v>
      </c>
      <c r="E6" s="22">
        <v>135</v>
      </c>
      <c r="F6" s="22">
        <v>150</v>
      </c>
      <c r="G6" s="22">
        <v>155</v>
      </c>
      <c r="H6" s="22">
        <v>165</v>
      </c>
      <c r="I6" s="22">
        <v>180</v>
      </c>
      <c r="J6" s="22">
        <v>200</v>
      </c>
    </row>
    <row r="7" spans="1:10">
      <c r="A7" s="22" t="s">
        <v>63</v>
      </c>
      <c r="B7" s="22" t="s">
        <v>56</v>
      </c>
      <c r="C7" s="22" t="s">
        <v>382</v>
      </c>
      <c r="D7" s="22">
        <v>1054</v>
      </c>
      <c r="E7" s="22">
        <v>1062</v>
      </c>
      <c r="F7" s="22">
        <v>1068</v>
      </c>
      <c r="G7" s="22">
        <v>1081</v>
      </c>
      <c r="H7" s="22">
        <v>1085</v>
      </c>
      <c r="I7" s="22">
        <v>1100</v>
      </c>
      <c r="J7" s="22">
        <v>1110</v>
      </c>
    </row>
    <row r="8" spans="1:10">
      <c r="A8" s="22" t="s">
        <v>64</v>
      </c>
      <c r="B8" s="22" t="s">
        <v>66</v>
      </c>
      <c r="C8" s="22" t="s">
        <v>1624</v>
      </c>
      <c r="D8" s="22">
        <v>445</v>
      </c>
      <c r="E8" s="22">
        <v>445</v>
      </c>
      <c r="F8" s="22">
        <v>445</v>
      </c>
      <c r="G8" s="22">
        <v>445</v>
      </c>
      <c r="H8" s="22">
        <v>445</v>
      </c>
      <c r="I8" s="22">
        <v>445</v>
      </c>
      <c r="J8" s="22">
        <v>445</v>
      </c>
    </row>
    <row r="9" spans="1:10">
      <c r="A9" s="22" t="s">
        <v>65</v>
      </c>
      <c r="B9" s="22" t="s">
        <v>67</v>
      </c>
      <c r="C9" s="22" t="s">
        <v>742</v>
      </c>
      <c r="D9" s="22">
        <v>56</v>
      </c>
      <c r="E9" s="22">
        <v>56</v>
      </c>
      <c r="F9" s="22">
        <v>56</v>
      </c>
      <c r="G9" s="22">
        <v>56</v>
      </c>
      <c r="H9" s="22">
        <v>56</v>
      </c>
      <c r="I9" s="22">
        <v>56</v>
      </c>
      <c r="J9" s="22">
        <v>56</v>
      </c>
    </row>
    <row r="10" spans="1:10">
      <c r="A10" s="22" t="s">
        <v>66</v>
      </c>
      <c r="B10" s="22" t="s">
        <v>135</v>
      </c>
      <c r="C10" s="22" t="s">
        <v>997</v>
      </c>
      <c r="D10" s="22">
        <v>82</v>
      </c>
      <c r="E10" s="22">
        <v>78</v>
      </c>
      <c r="F10" s="22">
        <v>75</v>
      </c>
      <c r="G10" s="22">
        <v>75</v>
      </c>
      <c r="H10" s="22">
        <v>75</v>
      </c>
      <c r="I10" s="22">
        <v>71</v>
      </c>
      <c r="J10" s="22">
        <v>68</v>
      </c>
    </row>
    <row r="11" spans="1:10">
      <c r="A11" s="22" t="s">
        <v>56</v>
      </c>
      <c r="B11" s="22" t="s">
        <v>57</v>
      </c>
      <c r="C11" s="22" t="s">
        <v>998</v>
      </c>
      <c r="D11" s="22">
        <v>791</v>
      </c>
      <c r="E11" s="22">
        <v>813</v>
      </c>
      <c r="F11" s="22">
        <v>830</v>
      </c>
      <c r="G11" s="22">
        <v>837</v>
      </c>
      <c r="H11" s="22">
        <v>846</v>
      </c>
      <c r="I11" s="22">
        <v>862</v>
      </c>
      <c r="J11" s="22">
        <v>881</v>
      </c>
    </row>
    <row r="12" spans="1:10">
      <c r="A12" s="22" t="s">
        <v>67</v>
      </c>
      <c r="B12" s="22" t="s">
        <v>65</v>
      </c>
      <c r="C12" s="22" t="s">
        <v>1625</v>
      </c>
      <c r="D12" s="22">
        <v>75</v>
      </c>
      <c r="E12" s="22">
        <v>75</v>
      </c>
      <c r="F12" s="22">
        <v>75</v>
      </c>
      <c r="G12" s="22">
        <v>75</v>
      </c>
      <c r="H12" s="22">
        <v>75</v>
      </c>
      <c r="I12" s="22">
        <v>75</v>
      </c>
      <c r="J12" s="22">
        <v>75</v>
      </c>
    </row>
    <row r="13" spans="1:10">
      <c r="A13" s="22" t="s">
        <v>57</v>
      </c>
      <c r="B13" s="22" t="s">
        <v>137</v>
      </c>
      <c r="C13" s="22" t="s">
        <v>1626</v>
      </c>
      <c r="D13" s="22">
        <v>293</v>
      </c>
      <c r="E13" s="22">
        <v>293</v>
      </c>
      <c r="F13" s="22">
        <v>293</v>
      </c>
      <c r="G13" s="22">
        <v>293</v>
      </c>
      <c r="H13" s="22">
        <v>293</v>
      </c>
      <c r="I13" s="22">
        <v>293</v>
      </c>
      <c r="J13" s="22">
        <v>293</v>
      </c>
    </row>
    <row r="14" spans="1:10">
      <c r="A14" s="22" t="s">
        <v>69</v>
      </c>
      <c r="B14" s="22" t="s">
        <v>1630</v>
      </c>
      <c r="C14" s="22" t="s">
        <v>1627</v>
      </c>
      <c r="D14" s="22">
        <v>7.5</v>
      </c>
      <c r="E14" s="22">
        <v>7</v>
      </c>
      <c r="F14" s="22">
        <v>6.5</v>
      </c>
      <c r="G14" s="22">
        <v>5.6</v>
      </c>
      <c r="H14" s="22">
        <v>5.8</v>
      </c>
      <c r="I14" s="22">
        <v>5.8</v>
      </c>
      <c r="J14" s="22">
        <v>6</v>
      </c>
    </row>
    <row r="15" spans="1:10">
      <c r="A15" s="22" t="s">
        <v>70</v>
      </c>
      <c r="B15" s="22" t="s">
        <v>54</v>
      </c>
      <c r="C15" s="22" t="s">
        <v>1628</v>
      </c>
      <c r="D15" s="22">
        <v>551</v>
      </c>
      <c r="E15" s="22">
        <v>572</v>
      </c>
      <c r="F15" s="22">
        <v>588</v>
      </c>
      <c r="G15" s="22">
        <v>592</v>
      </c>
      <c r="H15" s="22">
        <v>602</v>
      </c>
      <c r="I15" s="22">
        <v>618</v>
      </c>
      <c r="J15" s="22">
        <v>640</v>
      </c>
    </row>
    <row r="16" spans="1:10">
      <c r="A16" s="22" t="s">
        <v>71</v>
      </c>
      <c r="B16" s="22" t="s">
        <v>55</v>
      </c>
      <c r="C16" s="22" t="s">
        <v>1629</v>
      </c>
      <c r="D16" s="22">
        <v>373</v>
      </c>
      <c r="E16" s="22">
        <v>378</v>
      </c>
      <c r="F16" s="22">
        <v>384</v>
      </c>
      <c r="G16" s="22">
        <v>392</v>
      </c>
      <c r="H16" s="22">
        <v>395</v>
      </c>
      <c r="I16" s="22">
        <v>410</v>
      </c>
      <c r="J16" s="22">
        <v>418</v>
      </c>
    </row>
    <row r="17" spans="1:10">
      <c r="A17" s="22" t="s">
        <v>68</v>
      </c>
      <c r="B17" s="22" t="s">
        <v>69</v>
      </c>
      <c r="C17" s="22" t="s">
        <v>69</v>
      </c>
    </row>
    <row r="18" spans="1:10">
      <c r="A18" s="22" t="s">
        <v>139</v>
      </c>
      <c r="B18" s="22" t="s">
        <v>70</v>
      </c>
      <c r="C18" s="22" t="s">
        <v>70</v>
      </c>
    </row>
    <row r="19" spans="1:10">
      <c r="A19" s="22" t="s">
        <v>140</v>
      </c>
      <c r="B19" s="22" t="s">
        <v>71</v>
      </c>
      <c r="C19" s="22" t="s">
        <v>71</v>
      </c>
    </row>
    <row r="20" spans="1:10">
      <c r="B20" s="22" t="s">
        <v>68</v>
      </c>
      <c r="C20" s="22" t="s">
        <v>68</v>
      </c>
      <c r="D20" s="22">
        <v>29</v>
      </c>
      <c r="E20" s="22">
        <v>30</v>
      </c>
      <c r="F20" s="22">
        <v>31</v>
      </c>
      <c r="G20" s="22">
        <v>32</v>
      </c>
      <c r="H20" s="22">
        <v>33</v>
      </c>
      <c r="I20" s="22">
        <v>34</v>
      </c>
      <c r="J20" s="22">
        <v>35</v>
      </c>
    </row>
    <row r="21" spans="1:10">
      <c r="B21" s="22" t="s">
        <v>139</v>
      </c>
      <c r="C21" s="22" t="s">
        <v>139</v>
      </c>
      <c r="D21" s="22">
        <f>2.5*25.4</f>
        <v>63.5</v>
      </c>
      <c r="E21" s="22">
        <f t="shared" ref="E21:J22" si="0">2.5*25.4</f>
        <v>63.5</v>
      </c>
      <c r="F21" s="22">
        <f t="shared" si="0"/>
        <v>63.5</v>
      </c>
      <c r="G21" s="22">
        <f t="shared" si="0"/>
        <v>63.5</v>
      </c>
      <c r="H21" s="22">
        <f t="shared" si="0"/>
        <v>63.5</v>
      </c>
      <c r="I21" s="22">
        <f t="shared" si="0"/>
        <v>63.5</v>
      </c>
      <c r="J21" s="22">
        <f t="shared" si="0"/>
        <v>63.5</v>
      </c>
    </row>
    <row r="22" spans="1:10">
      <c r="B22" s="22" t="s">
        <v>140</v>
      </c>
      <c r="C22" s="22" t="s">
        <v>140</v>
      </c>
      <c r="D22" s="22">
        <f>2.5*25.4</f>
        <v>63.5</v>
      </c>
      <c r="E22" s="22">
        <f t="shared" si="0"/>
        <v>63.5</v>
      </c>
      <c r="F22" s="22">
        <f t="shared" si="0"/>
        <v>63.5</v>
      </c>
      <c r="G22" s="22">
        <f t="shared" si="0"/>
        <v>63.5</v>
      </c>
      <c r="H22" s="22">
        <f t="shared" si="0"/>
        <v>63.5</v>
      </c>
      <c r="I22" s="22">
        <f t="shared" si="0"/>
        <v>63.5</v>
      </c>
      <c r="J22" s="22">
        <f t="shared" si="0"/>
        <v>63.5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F303-EDC5-BC4F-B3C0-3862C4907691}">
  <dimension ref="A1:Q34"/>
  <sheetViews>
    <sheetView workbookViewId="0">
      <selection activeCell="K24" sqref="K24"/>
    </sheetView>
  </sheetViews>
  <sheetFormatPr baseColWidth="10" defaultRowHeight="16"/>
  <cols>
    <col min="1" max="2" width="23.1640625" bestFit="1" customWidth="1"/>
    <col min="3" max="3" width="18" bestFit="1" customWidth="1"/>
  </cols>
  <sheetData>
    <row r="1" spans="1:10">
      <c r="A1" t="s">
        <v>72</v>
      </c>
      <c r="B1" t="s">
        <v>72</v>
      </c>
      <c r="C1" t="str" cm="1">
        <f t="array" ref="C1:I15">TRANSPOSE(C26:Q32)</f>
        <v>Size</v>
      </c>
      <c r="D1">
        <v>47</v>
      </c>
      <c r="E1">
        <v>50</v>
      </c>
      <c r="F1">
        <v>53</v>
      </c>
      <c r="G1">
        <v>56</v>
      </c>
      <c r="H1">
        <v>59</v>
      </c>
      <c r="I1">
        <v>62</v>
      </c>
    </row>
    <row r="2" spans="1:10">
      <c r="A2" t="s">
        <v>54</v>
      </c>
      <c r="B2" t="s">
        <v>73</v>
      </c>
      <c r="C2" t="str">
        <v>TT Length</v>
      </c>
      <c r="D2">
        <v>510</v>
      </c>
      <c r="E2">
        <v>525</v>
      </c>
      <c r="F2">
        <v>545</v>
      </c>
      <c r="G2">
        <v>565</v>
      </c>
      <c r="H2">
        <v>585</v>
      </c>
      <c r="I2">
        <v>605</v>
      </c>
    </row>
    <row r="3" spans="1:10">
      <c r="A3" t="s">
        <v>55</v>
      </c>
      <c r="B3" t="s">
        <v>60</v>
      </c>
      <c r="C3" t="str">
        <v>Seat Tube Length</v>
      </c>
      <c r="D3">
        <v>430</v>
      </c>
      <c r="E3">
        <v>460</v>
      </c>
      <c r="F3">
        <v>490</v>
      </c>
      <c r="G3">
        <v>520</v>
      </c>
      <c r="H3">
        <v>550</v>
      </c>
      <c r="I3">
        <v>580</v>
      </c>
    </row>
    <row r="4" spans="1:10">
      <c r="A4" t="s">
        <v>60</v>
      </c>
      <c r="B4" t="s">
        <v>66</v>
      </c>
      <c r="C4" t="str">
        <v>Chainstay Length</v>
      </c>
      <c r="D4">
        <v>430</v>
      </c>
      <c r="E4">
        <v>430</v>
      </c>
      <c r="F4">
        <v>430</v>
      </c>
      <c r="G4">
        <v>430</v>
      </c>
      <c r="H4">
        <v>430</v>
      </c>
      <c r="I4">
        <v>430</v>
      </c>
    </row>
    <row r="5" spans="1:10">
      <c r="A5" t="s">
        <v>73</v>
      </c>
      <c r="B5" t="s">
        <v>479</v>
      </c>
      <c r="C5" t="str">
        <v>Horizontal Chainstay</v>
      </c>
      <c r="D5">
        <v>425</v>
      </c>
      <c r="E5">
        <v>425</v>
      </c>
      <c r="F5">
        <v>425</v>
      </c>
      <c r="G5">
        <v>425</v>
      </c>
      <c r="H5">
        <v>425</v>
      </c>
      <c r="I5">
        <v>425</v>
      </c>
      <c r="J5" t="s">
        <v>922</v>
      </c>
    </row>
    <row r="6" spans="1:10">
      <c r="A6" t="s">
        <v>62</v>
      </c>
      <c r="B6" t="s">
        <v>480</v>
      </c>
      <c r="C6" t="str">
        <v>Front Center</v>
      </c>
      <c r="D6">
        <v>581</v>
      </c>
      <c r="E6">
        <v>589</v>
      </c>
      <c r="F6">
        <v>600</v>
      </c>
      <c r="G6">
        <v>611</v>
      </c>
      <c r="H6">
        <v>626</v>
      </c>
      <c r="I6">
        <v>634</v>
      </c>
    </row>
    <row r="7" spans="1:10">
      <c r="A7" t="s">
        <v>63</v>
      </c>
      <c r="B7" t="s">
        <v>56</v>
      </c>
      <c r="C7" t="str">
        <v>Wheelbase</v>
      </c>
      <c r="D7">
        <v>1000</v>
      </c>
      <c r="E7">
        <v>1007</v>
      </c>
      <c r="F7">
        <v>1017</v>
      </c>
      <c r="G7">
        <v>1030</v>
      </c>
      <c r="H7">
        <v>1045</v>
      </c>
      <c r="I7">
        <v>1054</v>
      </c>
    </row>
    <row r="8" spans="1:10">
      <c r="A8" t="s">
        <v>64</v>
      </c>
      <c r="B8" t="s">
        <v>65</v>
      </c>
      <c r="C8" t="str">
        <v>BB Drop</v>
      </c>
      <c r="D8">
        <v>75</v>
      </c>
      <c r="E8">
        <v>75</v>
      </c>
      <c r="F8">
        <v>75</v>
      </c>
      <c r="G8">
        <v>70</v>
      </c>
      <c r="H8">
        <v>70</v>
      </c>
      <c r="I8">
        <v>70</v>
      </c>
    </row>
    <row r="9" spans="1:10">
      <c r="A9" t="s">
        <v>65</v>
      </c>
      <c r="B9" t="s">
        <v>64</v>
      </c>
      <c r="C9" t="str">
        <v>Head Tube Length</v>
      </c>
      <c r="D9">
        <v>105</v>
      </c>
      <c r="E9">
        <v>125</v>
      </c>
      <c r="F9">
        <v>145</v>
      </c>
      <c r="G9">
        <v>165</v>
      </c>
      <c r="H9">
        <v>185</v>
      </c>
      <c r="I9">
        <v>205</v>
      </c>
    </row>
    <row r="10" spans="1:10">
      <c r="A10" t="s">
        <v>66</v>
      </c>
      <c r="B10" t="s">
        <v>62</v>
      </c>
      <c r="C10" t="str">
        <v>Head Tube Angle</v>
      </c>
      <c r="D10">
        <v>70</v>
      </c>
      <c r="E10">
        <v>70.5</v>
      </c>
      <c r="F10">
        <v>71</v>
      </c>
      <c r="G10">
        <v>71.5</v>
      </c>
      <c r="H10">
        <v>72</v>
      </c>
      <c r="I10">
        <v>72.5</v>
      </c>
    </row>
    <row r="11" spans="1:10">
      <c r="A11" t="s">
        <v>56</v>
      </c>
      <c r="B11" t="s">
        <v>63</v>
      </c>
      <c r="C11" t="str">
        <v>Seat Tube Angle</v>
      </c>
      <c r="D11">
        <v>74.5</v>
      </c>
      <c r="E11">
        <v>74</v>
      </c>
      <c r="F11">
        <v>73.5</v>
      </c>
      <c r="G11">
        <v>73</v>
      </c>
      <c r="H11">
        <v>73</v>
      </c>
      <c r="I11">
        <v>72.5</v>
      </c>
    </row>
    <row r="12" spans="1:10">
      <c r="A12" t="s">
        <v>67</v>
      </c>
      <c r="B12" t="s">
        <v>57</v>
      </c>
      <c r="C12" t="str">
        <v>Standover Height</v>
      </c>
      <c r="D12">
        <v>693</v>
      </c>
      <c r="E12">
        <v>731</v>
      </c>
      <c r="F12">
        <v>754</v>
      </c>
      <c r="G12">
        <v>780</v>
      </c>
      <c r="H12">
        <v>804</v>
      </c>
      <c r="I12">
        <v>827</v>
      </c>
    </row>
    <row r="13" spans="1:10">
      <c r="A13" t="s">
        <v>57</v>
      </c>
      <c r="B13" t="s">
        <v>55</v>
      </c>
      <c r="C13" t="str">
        <v>Reach</v>
      </c>
      <c r="D13">
        <v>362</v>
      </c>
      <c r="E13">
        <v>365</v>
      </c>
      <c r="F13">
        <v>374</v>
      </c>
      <c r="G13">
        <v>384</v>
      </c>
      <c r="H13">
        <v>398</v>
      </c>
      <c r="I13">
        <v>405</v>
      </c>
    </row>
    <row r="14" spans="1:10">
      <c r="A14" t="s">
        <v>69</v>
      </c>
      <c r="B14" t="s">
        <v>54</v>
      </c>
      <c r="C14" t="str">
        <v>Stack</v>
      </c>
      <c r="D14">
        <v>535</v>
      </c>
      <c r="E14">
        <v>556</v>
      </c>
      <c r="F14">
        <v>577</v>
      </c>
      <c r="G14">
        <v>592</v>
      </c>
      <c r="H14">
        <v>613</v>
      </c>
      <c r="I14">
        <v>634</v>
      </c>
    </row>
    <row r="15" spans="1:10">
      <c r="A15" t="s">
        <v>70</v>
      </c>
      <c r="B15" t="s">
        <v>67</v>
      </c>
      <c r="C15" t="str">
        <v>Fork Rake</v>
      </c>
      <c r="D15">
        <v>45</v>
      </c>
      <c r="E15">
        <v>45</v>
      </c>
      <c r="F15">
        <v>45</v>
      </c>
      <c r="G15">
        <v>45</v>
      </c>
      <c r="H15">
        <v>45</v>
      </c>
      <c r="I15">
        <v>45</v>
      </c>
    </row>
    <row r="16" spans="1:10">
      <c r="A16" t="s">
        <v>71</v>
      </c>
      <c r="B16" t="s">
        <v>69</v>
      </c>
      <c r="C16" t="s">
        <v>69</v>
      </c>
    </row>
    <row r="17" spans="1:17">
      <c r="A17" t="s">
        <v>68</v>
      </c>
      <c r="B17" t="s">
        <v>70</v>
      </c>
      <c r="C17" t="s">
        <v>70</v>
      </c>
    </row>
    <row r="18" spans="1:17">
      <c r="A18" t="s">
        <v>139</v>
      </c>
      <c r="B18" t="s">
        <v>71</v>
      </c>
      <c r="C18" t="s">
        <v>71</v>
      </c>
    </row>
    <row r="19" spans="1:17">
      <c r="A19" t="s">
        <v>140</v>
      </c>
      <c r="B19" t="s">
        <v>68</v>
      </c>
      <c r="C19" t="s">
        <v>68</v>
      </c>
      <c r="D19">
        <v>700</v>
      </c>
      <c r="E19">
        <v>700</v>
      </c>
      <c r="F19">
        <v>700</v>
      </c>
      <c r="G19">
        <v>700</v>
      </c>
      <c r="H19">
        <v>700</v>
      </c>
      <c r="I19">
        <v>700</v>
      </c>
    </row>
    <row r="20" spans="1:17">
      <c r="B20" t="s">
        <v>139</v>
      </c>
      <c r="C20" t="s">
        <v>139</v>
      </c>
      <c r="D20">
        <v>45</v>
      </c>
      <c r="E20">
        <v>45</v>
      </c>
      <c r="F20">
        <v>45</v>
      </c>
      <c r="G20">
        <v>45</v>
      </c>
      <c r="H20">
        <v>45</v>
      </c>
      <c r="I20">
        <v>45</v>
      </c>
    </row>
    <row r="21" spans="1:17">
      <c r="B21" t="s">
        <v>140</v>
      </c>
      <c r="C21" t="s">
        <v>140</v>
      </c>
      <c r="D21">
        <v>50</v>
      </c>
      <c r="E21">
        <v>50</v>
      </c>
      <c r="F21">
        <v>50</v>
      </c>
      <c r="G21">
        <v>50</v>
      </c>
      <c r="H21">
        <v>50</v>
      </c>
      <c r="I21">
        <v>50</v>
      </c>
    </row>
    <row r="22" spans="1:17" s="22" customFormat="1" ht="20">
      <c r="B22" s="22" t="s">
        <v>1752</v>
      </c>
      <c r="C22" s="22" t="s">
        <v>1752</v>
      </c>
      <c r="D22" s="22">
        <v>150</v>
      </c>
      <c r="E22" s="22">
        <f>AVERAGE(E24,D25)</f>
        <v>158.5</v>
      </c>
      <c r="F22" s="22">
        <f t="shared" ref="F22:I22" si="0">AVERAGE(F24,E25)</f>
        <v>166.5</v>
      </c>
      <c r="G22" s="22">
        <f t="shared" si="0"/>
        <v>174</v>
      </c>
      <c r="H22" s="22">
        <f t="shared" si="0"/>
        <v>181.5</v>
      </c>
      <c r="I22" s="22">
        <f t="shared" si="0"/>
        <v>189.5</v>
      </c>
    </row>
    <row r="23" spans="1:17" s="22" customFormat="1" ht="20">
      <c r="B23" s="22" t="s">
        <v>1753</v>
      </c>
      <c r="C23" s="22" t="s">
        <v>1753</v>
      </c>
      <c r="D23" s="22">
        <f>E22</f>
        <v>158.5</v>
      </c>
      <c r="E23" s="22">
        <f t="shared" ref="E23:H23" si="1">F22</f>
        <v>166.5</v>
      </c>
      <c r="F23" s="22">
        <f t="shared" si="1"/>
        <v>174</v>
      </c>
      <c r="G23" s="22">
        <f t="shared" si="1"/>
        <v>181.5</v>
      </c>
      <c r="H23" s="22">
        <f t="shared" si="1"/>
        <v>189.5</v>
      </c>
      <c r="I23" s="22">
        <f>I25</f>
        <v>198</v>
      </c>
    </row>
    <row r="24" spans="1:17" s="22" customFormat="1" ht="20">
      <c r="D24" s="22">
        <v>150</v>
      </c>
      <c r="E24" s="22">
        <v>157</v>
      </c>
      <c r="F24" s="22">
        <v>165</v>
      </c>
      <c r="G24" s="22">
        <v>173</v>
      </c>
      <c r="H24" s="22">
        <v>180</v>
      </c>
      <c r="I24" s="22">
        <v>188</v>
      </c>
    </row>
    <row r="25" spans="1:17" s="22" customFormat="1" ht="20">
      <c r="D25" s="22">
        <v>160</v>
      </c>
      <c r="E25" s="22">
        <v>168</v>
      </c>
      <c r="F25" s="22">
        <v>175</v>
      </c>
      <c r="G25" s="22">
        <v>183</v>
      </c>
      <c r="H25" s="22">
        <v>191</v>
      </c>
      <c r="I25" s="22">
        <v>198</v>
      </c>
    </row>
    <row r="26" spans="1:17">
      <c r="C26" t="s">
        <v>141</v>
      </c>
      <c r="D26" t="s">
        <v>476</v>
      </c>
      <c r="E26" t="s">
        <v>173</v>
      </c>
      <c r="F26" t="s">
        <v>7</v>
      </c>
      <c r="G26" t="s">
        <v>477</v>
      </c>
      <c r="H26" t="s">
        <v>478</v>
      </c>
      <c r="I26" t="s">
        <v>9</v>
      </c>
      <c r="J26" t="s">
        <v>174</v>
      </c>
      <c r="K26" t="s">
        <v>5</v>
      </c>
      <c r="L26" t="s">
        <v>3</v>
      </c>
      <c r="M26" t="s">
        <v>4</v>
      </c>
      <c r="N26" t="s">
        <v>176</v>
      </c>
      <c r="O26" t="s">
        <v>1</v>
      </c>
      <c r="P26" t="s">
        <v>0</v>
      </c>
      <c r="Q26" t="s">
        <v>179</v>
      </c>
    </row>
    <row r="27" spans="1:17">
      <c r="C27">
        <v>47</v>
      </c>
      <c r="D27">
        <v>510</v>
      </c>
      <c r="E27">
        <v>430</v>
      </c>
      <c r="F27">
        <v>430</v>
      </c>
      <c r="G27">
        <v>425</v>
      </c>
      <c r="H27">
        <v>581</v>
      </c>
      <c r="I27">
        <v>1000</v>
      </c>
      <c r="J27">
        <v>75</v>
      </c>
      <c r="K27">
        <v>105</v>
      </c>
      <c r="L27">
        <v>70</v>
      </c>
      <c r="M27">
        <v>74.5</v>
      </c>
      <c r="N27">
        <v>693</v>
      </c>
      <c r="O27">
        <v>362</v>
      </c>
      <c r="P27">
        <v>535</v>
      </c>
      <c r="Q27">
        <v>45</v>
      </c>
    </row>
    <row r="28" spans="1:17">
      <c r="C28">
        <v>50</v>
      </c>
      <c r="D28">
        <v>525</v>
      </c>
      <c r="E28">
        <v>460</v>
      </c>
      <c r="F28">
        <v>430</v>
      </c>
      <c r="G28">
        <v>425</v>
      </c>
      <c r="H28">
        <v>589</v>
      </c>
      <c r="I28">
        <v>1007</v>
      </c>
      <c r="J28">
        <v>75</v>
      </c>
      <c r="K28">
        <v>125</v>
      </c>
      <c r="L28">
        <v>70.5</v>
      </c>
      <c r="M28">
        <v>74</v>
      </c>
      <c r="N28">
        <v>731</v>
      </c>
      <c r="O28">
        <v>365</v>
      </c>
      <c r="P28">
        <v>556</v>
      </c>
      <c r="Q28">
        <v>45</v>
      </c>
    </row>
    <row r="29" spans="1:17">
      <c r="C29">
        <v>53</v>
      </c>
      <c r="D29">
        <v>545</v>
      </c>
      <c r="E29">
        <v>490</v>
      </c>
      <c r="F29">
        <v>430</v>
      </c>
      <c r="G29">
        <v>425</v>
      </c>
      <c r="H29">
        <v>600</v>
      </c>
      <c r="I29">
        <v>1017</v>
      </c>
      <c r="J29">
        <v>75</v>
      </c>
      <c r="K29">
        <v>145</v>
      </c>
      <c r="L29">
        <v>71</v>
      </c>
      <c r="M29">
        <v>73.5</v>
      </c>
      <c r="N29">
        <v>754</v>
      </c>
      <c r="O29">
        <v>374</v>
      </c>
      <c r="P29">
        <v>577</v>
      </c>
      <c r="Q29">
        <v>45</v>
      </c>
    </row>
    <row r="30" spans="1:17">
      <c r="C30">
        <v>56</v>
      </c>
      <c r="D30">
        <v>565</v>
      </c>
      <c r="E30">
        <v>520</v>
      </c>
      <c r="F30">
        <v>430</v>
      </c>
      <c r="G30">
        <v>425</v>
      </c>
      <c r="H30">
        <v>611</v>
      </c>
      <c r="I30">
        <v>1030</v>
      </c>
      <c r="J30">
        <v>70</v>
      </c>
      <c r="K30">
        <v>165</v>
      </c>
      <c r="L30">
        <v>71.5</v>
      </c>
      <c r="M30">
        <v>73</v>
      </c>
      <c r="N30">
        <v>780</v>
      </c>
      <c r="O30">
        <v>384</v>
      </c>
      <c r="P30">
        <v>592</v>
      </c>
      <c r="Q30">
        <v>45</v>
      </c>
    </row>
    <row r="31" spans="1:17">
      <c r="C31">
        <v>59</v>
      </c>
      <c r="D31">
        <v>585</v>
      </c>
      <c r="E31">
        <v>550</v>
      </c>
      <c r="F31">
        <v>430</v>
      </c>
      <c r="G31">
        <v>425</v>
      </c>
      <c r="H31">
        <v>626</v>
      </c>
      <c r="I31">
        <v>1045</v>
      </c>
      <c r="J31">
        <v>70</v>
      </c>
      <c r="K31">
        <v>185</v>
      </c>
      <c r="L31">
        <v>72</v>
      </c>
      <c r="M31">
        <v>73</v>
      </c>
      <c r="N31">
        <v>804</v>
      </c>
      <c r="O31">
        <v>398</v>
      </c>
      <c r="P31">
        <v>613</v>
      </c>
      <c r="Q31">
        <v>45</v>
      </c>
    </row>
    <row r="32" spans="1:17">
      <c r="C32">
        <v>62</v>
      </c>
      <c r="D32">
        <v>605</v>
      </c>
      <c r="E32">
        <v>580</v>
      </c>
      <c r="F32">
        <v>430</v>
      </c>
      <c r="G32">
        <v>425</v>
      </c>
      <c r="H32">
        <v>634</v>
      </c>
      <c r="I32">
        <v>1054</v>
      </c>
      <c r="J32">
        <v>70</v>
      </c>
      <c r="K32">
        <v>205</v>
      </c>
      <c r="L32">
        <v>72.5</v>
      </c>
      <c r="M32">
        <v>72.5</v>
      </c>
      <c r="N32">
        <v>827</v>
      </c>
      <c r="O32">
        <v>405</v>
      </c>
      <c r="P32">
        <v>634</v>
      </c>
      <c r="Q32">
        <v>45</v>
      </c>
    </row>
    <row r="34" spans="3:9">
      <c r="C34" t="s">
        <v>917</v>
      </c>
      <c r="D34" s="39">
        <f>SQRT(D4^2-D8^2)</f>
        <v>423.40878592679201</v>
      </c>
      <c r="E34" s="39">
        <f t="shared" ref="E34:I34" si="2">SQRT(E4^2-E8^2)</f>
        <v>423.40878592679201</v>
      </c>
      <c r="F34" s="39">
        <f t="shared" si="2"/>
        <v>423.40878592679201</v>
      </c>
      <c r="G34" s="39">
        <f t="shared" si="2"/>
        <v>424.26406871192853</v>
      </c>
      <c r="H34" s="39">
        <f t="shared" si="2"/>
        <v>424.26406871192853</v>
      </c>
      <c r="I34" s="39">
        <f t="shared" si="2"/>
        <v>424.26406871192853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C4CA-2CFD-FF47-9BD8-361538A98E3E}">
  <dimension ref="A1:J23"/>
  <sheetViews>
    <sheetView workbookViewId="0">
      <selection activeCell="J21" sqref="J21"/>
    </sheetView>
  </sheetViews>
  <sheetFormatPr baseColWidth="10" defaultRowHeight="20"/>
  <cols>
    <col min="1" max="1" width="26.83203125" style="22" bestFit="1" customWidth="1"/>
    <col min="2" max="2" width="33.5" style="22" customWidth="1"/>
    <col min="3" max="16384" width="10.83203125" style="22"/>
  </cols>
  <sheetData>
    <row r="1" spans="1:10">
      <c r="A1" s="22" t="s">
        <v>72</v>
      </c>
      <c r="B1" s="22" t="s">
        <v>141</v>
      </c>
      <c r="C1" s="22" t="s">
        <v>22</v>
      </c>
      <c r="D1" s="22" t="s">
        <v>412</v>
      </c>
      <c r="E1" s="22" t="s">
        <v>413</v>
      </c>
      <c r="F1" s="22" t="s">
        <v>23</v>
      </c>
      <c r="G1" s="22" t="s">
        <v>414</v>
      </c>
      <c r="H1" s="22" t="s">
        <v>415</v>
      </c>
      <c r="I1" s="22" t="s">
        <v>25</v>
      </c>
    </row>
    <row r="2" spans="1:10">
      <c r="A2" s="22" t="s">
        <v>73</v>
      </c>
      <c r="B2" s="22" t="s">
        <v>416</v>
      </c>
      <c r="C2" s="22">
        <v>502</v>
      </c>
      <c r="D2" s="22">
        <v>511</v>
      </c>
      <c r="E2" s="22">
        <v>525</v>
      </c>
      <c r="F2" s="22">
        <v>545</v>
      </c>
      <c r="G2" s="22">
        <v>560</v>
      </c>
      <c r="H2" s="22">
        <v>575</v>
      </c>
      <c r="I2" s="22">
        <v>595</v>
      </c>
    </row>
    <row r="3" spans="1:10">
      <c r="A3" s="22" t="s">
        <v>427</v>
      </c>
      <c r="B3" s="22" t="s">
        <v>417</v>
      </c>
      <c r="C3" s="22">
        <v>460</v>
      </c>
      <c r="D3" s="22">
        <v>478</v>
      </c>
      <c r="E3" s="22">
        <v>502</v>
      </c>
      <c r="F3" s="22">
        <v>520</v>
      </c>
      <c r="G3" s="22">
        <v>535</v>
      </c>
      <c r="H3" s="22">
        <v>552</v>
      </c>
      <c r="I3" s="22">
        <v>576</v>
      </c>
    </row>
    <row r="4" spans="1:10">
      <c r="A4" s="22" t="s">
        <v>64</v>
      </c>
      <c r="B4" s="22" t="s">
        <v>418</v>
      </c>
      <c r="C4" s="22">
        <v>110</v>
      </c>
      <c r="D4" s="22">
        <v>120</v>
      </c>
      <c r="E4" s="22">
        <v>135</v>
      </c>
      <c r="F4" s="22">
        <v>155</v>
      </c>
      <c r="G4" s="22">
        <v>170</v>
      </c>
      <c r="H4" s="22">
        <v>190</v>
      </c>
      <c r="I4" s="22">
        <v>210</v>
      </c>
    </row>
    <row r="5" spans="1:10">
      <c r="A5" s="22" t="s">
        <v>63</v>
      </c>
      <c r="B5" s="22" t="s">
        <v>419</v>
      </c>
      <c r="C5" s="22">
        <v>74.5</v>
      </c>
      <c r="D5" s="22">
        <v>74</v>
      </c>
      <c r="E5" s="22">
        <v>74</v>
      </c>
      <c r="F5" s="22">
        <v>73.5</v>
      </c>
      <c r="G5" s="22">
        <v>73</v>
      </c>
      <c r="H5" s="22">
        <v>73</v>
      </c>
      <c r="I5" s="22">
        <v>72.5</v>
      </c>
    </row>
    <row r="6" spans="1:10">
      <c r="A6" s="22" t="s">
        <v>62</v>
      </c>
      <c r="B6" s="22" t="s">
        <v>420</v>
      </c>
      <c r="C6" s="22">
        <v>70.5</v>
      </c>
      <c r="D6" s="22">
        <v>70.5</v>
      </c>
      <c r="E6" s="22">
        <v>70.8</v>
      </c>
      <c r="F6" s="22">
        <v>71</v>
      </c>
      <c r="G6" s="22">
        <v>71.2</v>
      </c>
      <c r="H6" s="22">
        <v>71.2</v>
      </c>
      <c r="I6" s="22">
        <v>71.5</v>
      </c>
    </row>
    <row r="7" spans="1:10">
      <c r="A7" s="22" t="s">
        <v>134</v>
      </c>
      <c r="B7" s="22" t="s">
        <v>421</v>
      </c>
      <c r="C7" s="22">
        <v>571</v>
      </c>
      <c r="D7" s="22">
        <v>576</v>
      </c>
      <c r="E7" s="22">
        <v>589</v>
      </c>
      <c r="F7" s="22">
        <v>603</v>
      </c>
      <c r="G7" s="22">
        <v>612</v>
      </c>
      <c r="H7" s="22">
        <v>627</v>
      </c>
      <c r="I7" s="22">
        <v>640</v>
      </c>
    </row>
    <row r="8" spans="1:10">
      <c r="A8" s="22" t="s">
        <v>66</v>
      </c>
      <c r="B8" s="22" t="s">
        <v>422</v>
      </c>
      <c r="C8" s="22">
        <v>427</v>
      </c>
      <c r="D8" s="22">
        <v>427</v>
      </c>
      <c r="E8" s="22">
        <v>427</v>
      </c>
      <c r="F8" s="22">
        <v>427</v>
      </c>
      <c r="G8" s="22">
        <v>430</v>
      </c>
      <c r="H8" s="22">
        <v>432</v>
      </c>
      <c r="I8" s="22">
        <v>432</v>
      </c>
    </row>
    <row r="9" spans="1:10">
      <c r="A9" s="22" t="s">
        <v>65</v>
      </c>
      <c r="B9" s="22" t="s">
        <v>423</v>
      </c>
      <c r="C9" s="22">
        <v>73</v>
      </c>
      <c r="D9" s="22">
        <v>73</v>
      </c>
      <c r="E9" s="22">
        <v>73</v>
      </c>
      <c r="F9" s="22">
        <v>72</v>
      </c>
      <c r="G9" s="22">
        <v>70</v>
      </c>
      <c r="H9" s="22">
        <v>70</v>
      </c>
      <c r="I9" s="22">
        <v>70</v>
      </c>
    </row>
    <row r="10" spans="1:10">
      <c r="A10" s="22" t="s">
        <v>55</v>
      </c>
      <c r="B10" s="22" t="s">
        <v>424</v>
      </c>
      <c r="C10" s="22">
        <v>355</v>
      </c>
      <c r="D10" s="22">
        <v>356</v>
      </c>
      <c r="E10" s="22">
        <v>363</v>
      </c>
      <c r="F10" s="22">
        <v>376</v>
      </c>
      <c r="G10" s="22">
        <v>382</v>
      </c>
      <c r="H10" s="22">
        <v>392</v>
      </c>
      <c r="I10" s="22">
        <v>400</v>
      </c>
      <c r="J10" s="22" t="s">
        <v>918</v>
      </c>
    </row>
    <row r="11" spans="1:10">
      <c r="A11" s="22" t="s">
        <v>54</v>
      </c>
      <c r="B11" s="22" t="s">
        <v>425</v>
      </c>
      <c r="C11" s="22">
        <v>521</v>
      </c>
      <c r="D11" s="22">
        <v>530</v>
      </c>
      <c r="E11" s="22">
        <v>546</v>
      </c>
      <c r="F11" s="22">
        <v>564</v>
      </c>
      <c r="G11" s="22">
        <v>577</v>
      </c>
      <c r="H11" s="22">
        <v>596</v>
      </c>
      <c r="I11" s="22">
        <v>616</v>
      </c>
    </row>
    <row r="12" spans="1:10">
      <c r="A12" s="22" t="s">
        <v>57</v>
      </c>
      <c r="B12" s="22" t="s">
        <v>426</v>
      </c>
      <c r="C12" s="22">
        <v>758</v>
      </c>
      <c r="D12" s="22">
        <v>772</v>
      </c>
      <c r="E12" s="22">
        <v>790</v>
      </c>
      <c r="F12" s="22">
        <v>809</v>
      </c>
      <c r="G12" s="22">
        <v>824</v>
      </c>
      <c r="H12" s="22">
        <v>842</v>
      </c>
      <c r="I12" s="22">
        <v>863</v>
      </c>
    </row>
    <row r="13" spans="1:10">
      <c r="A13" s="22" t="s">
        <v>60</v>
      </c>
      <c r="B13" s="22" t="s">
        <v>60</v>
      </c>
      <c r="C13" s="22">
        <f>C3</f>
        <v>460</v>
      </c>
      <c r="D13" s="22">
        <f t="shared" ref="D13:I13" si="0">D3</f>
        <v>478</v>
      </c>
      <c r="E13" s="22">
        <f t="shared" si="0"/>
        <v>502</v>
      </c>
      <c r="F13" s="22">
        <f t="shared" si="0"/>
        <v>520</v>
      </c>
      <c r="G13" s="22">
        <f t="shared" si="0"/>
        <v>535</v>
      </c>
      <c r="H13" s="22">
        <f t="shared" si="0"/>
        <v>552</v>
      </c>
      <c r="I13" s="22">
        <f t="shared" si="0"/>
        <v>576</v>
      </c>
      <c r="J13" s="22" t="s">
        <v>467</v>
      </c>
    </row>
    <row r="14" spans="1:10">
      <c r="A14" s="22" t="s">
        <v>56</v>
      </c>
      <c r="B14" s="22" t="s">
        <v>56</v>
      </c>
      <c r="C14" s="24">
        <v>987</v>
      </c>
      <c r="D14" s="24">
        <v>992.1</v>
      </c>
      <c r="E14" s="24">
        <v>1005.2</v>
      </c>
      <c r="F14" s="24">
        <v>1019.6</v>
      </c>
      <c r="G14" s="24">
        <v>1032.3</v>
      </c>
      <c r="H14" s="24">
        <v>1049.4000000000001</v>
      </c>
      <c r="I14" s="24">
        <v>1062.5</v>
      </c>
      <c r="J14" s="24" t="s">
        <v>372</v>
      </c>
    </row>
    <row r="15" spans="1:10">
      <c r="A15" s="22" t="s">
        <v>67</v>
      </c>
      <c r="B15" s="22" t="s">
        <v>67</v>
      </c>
      <c r="C15" s="22">
        <v>50</v>
      </c>
      <c r="D15" s="22">
        <v>50</v>
      </c>
      <c r="E15" s="22">
        <v>50</v>
      </c>
      <c r="F15" s="22">
        <v>50</v>
      </c>
      <c r="G15" s="22">
        <v>50</v>
      </c>
      <c r="H15" s="22">
        <v>50</v>
      </c>
      <c r="I15" s="22">
        <v>50</v>
      </c>
    </row>
    <row r="16" spans="1:10">
      <c r="A16" s="22" t="s">
        <v>69</v>
      </c>
      <c r="B16" s="22" t="s">
        <v>69</v>
      </c>
    </row>
    <row r="17" spans="1:10">
      <c r="A17" s="22" t="s">
        <v>70</v>
      </c>
      <c r="B17" s="22" t="s">
        <v>70</v>
      </c>
    </row>
    <row r="18" spans="1:10">
      <c r="A18" s="22" t="s">
        <v>71</v>
      </c>
      <c r="B18" s="22" t="s">
        <v>71</v>
      </c>
    </row>
    <row r="19" spans="1:10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  <c r="I19" s="22">
        <v>700</v>
      </c>
    </row>
    <row r="20" spans="1:10">
      <c r="A20" s="22" t="s">
        <v>139</v>
      </c>
      <c r="B20" s="22" t="s">
        <v>139</v>
      </c>
      <c r="C20" s="22">
        <v>38</v>
      </c>
      <c r="D20" s="22">
        <v>38</v>
      </c>
      <c r="E20" s="22">
        <v>38</v>
      </c>
      <c r="F20" s="22">
        <v>38</v>
      </c>
      <c r="G20" s="22">
        <v>38</v>
      </c>
      <c r="H20" s="22">
        <v>38</v>
      </c>
      <c r="I20" s="22">
        <v>38</v>
      </c>
      <c r="J20" s="22" t="s">
        <v>2511</v>
      </c>
    </row>
    <row r="21" spans="1:10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  <c r="I21" s="22">
        <v>45</v>
      </c>
    </row>
    <row r="22" spans="1:10">
      <c r="A22" s="22" t="s">
        <v>1752</v>
      </c>
    </row>
    <row r="23" spans="1:10">
      <c r="A23" s="22" t="s">
        <v>1753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B945-8C08-1340-82E6-7D05E1E14107}">
  <dimension ref="A1:J40"/>
  <sheetViews>
    <sheetView topLeftCell="A3" workbookViewId="0">
      <selection activeCell="J14" sqref="J14"/>
    </sheetView>
  </sheetViews>
  <sheetFormatPr baseColWidth="10" defaultRowHeight="20"/>
  <cols>
    <col min="1" max="2" width="29.33203125" style="22" bestFit="1" customWidth="1"/>
    <col min="3" max="3" width="29.5" style="22" bestFit="1" customWidth="1"/>
    <col min="4" max="16384" width="10.83203125" style="22"/>
  </cols>
  <sheetData>
    <row r="1" spans="1:10">
      <c r="A1" s="22" t="s">
        <v>72</v>
      </c>
      <c r="B1" s="22" t="s">
        <v>72</v>
      </c>
      <c r="C1" s="22" t="str">
        <f>C26</f>
        <v>Size</v>
      </c>
      <c r="D1" s="22" t="str">
        <f t="shared" ref="D1:I1" si="0">D26</f>
        <v>48cm</v>
      </c>
      <c r="E1" s="22" t="str">
        <f t="shared" si="0"/>
        <v>50cm</v>
      </c>
      <c r="F1" s="22" t="str">
        <f t="shared" si="0"/>
        <v>52cm</v>
      </c>
      <c r="G1" s="22" t="str">
        <f t="shared" si="0"/>
        <v>54cm</v>
      </c>
      <c r="H1" s="22" t="str">
        <f t="shared" si="0"/>
        <v>56cm</v>
      </c>
      <c r="I1" s="22" t="str">
        <f t="shared" si="0"/>
        <v>58cm</v>
      </c>
    </row>
    <row r="2" spans="1:10">
      <c r="A2" s="22" t="s">
        <v>54</v>
      </c>
      <c r="B2" s="22" t="s">
        <v>60</v>
      </c>
      <c r="C2" s="22" t="str">
        <f>C28</f>
        <v xml:space="preserve">Seat Tube </v>
      </c>
      <c r="D2" s="22">
        <f>VALUE(LEFT(D28,3))</f>
        <v>450</v>
      </c>
      <c r="E2" s="22">
        <f t="shared" ref="E2:I2" si="1">VALUE(LEFT(E28,3))</f>
        <v>470</v>
      </c>
      <c r="F2" s="22">
        <f t="shared" si="1"/>
        <v>490</v>
      </c>
      <c r="G2" s="22">
        <f t="shared" si="1"/>
        <v>510</v>
      </c>
      <c r="H2" s="22">
        <f t="shared" si="1"/>
        <v>530</v>
      </c>
      <c r="I2" s="22">
        <f t="shared" si="1"/>
        <v>550</v>
      </c>
    </row>
    <row r="3" spans="1:10">
      <c r="A3" s="22" t="s">
        <v>55</v>
      </c>
      <c r="B3" s="22" t="s">
        <v>73</v>
      </c>
      <c r="C3" s="22" t="str">
        <f t="shared" ref="C3:C12" si="2">C29</f>
        <v xml:space="preserve">Effective Top Tube Length </v>
      </c>
      <c r="D3" s="22">
        <f t="shared" ref="D3:I3" si="3">VALUE(LEFT(D29,3))</f>
        <v>510</v>
      </c>
      <c r="E3" s="22">
        <f t="shared" si="3"/>
        <v>520</v>
      </c>
      <c r="F3" s="22">
        <f t="shared" si="3"/>
        <v>535</v>
      </c>
      <c r="G3" s="22">
        <f t="shared" si="3"/>
        <v>555</v>
      </c>
      <c r="H3" s="22">
        <f t="shared" si="3"/>
        <v>570</v>
      </c>
      <c r="I3" s="22">
        <f t="shared" si="3"/>
        <v>585</v>
      </c>
    </row>
    <row r="4" spans="1:10">
      <c r="A4" s="22" t="s">
        <v>60</v>
      </c>
      <c r="B4" s="22" t="s">
        <v>64</v>
      </c>
      <c r="C4" s="22" t="str">
        <f t="shared" si="2"/>
        <v xml:space="preserve">Head Tube Length </v>
      </c>
      <c r="D4" s="22">
        <f t="shared" ref="D4:I4" si="4">VALUE(LEFT(D30,3))</f>
        <v>100</v>
      </c>
      <c r="E4" s="22">
        <f t="shared" si="4"/>
        <v>110</v>
      </c>
      <c r="F4" s="22">
        <f t="shared" si="4"/>
        <v>125</v>
      </c>
      <c r="G4" s="22">
        <f t="shared" si="4"/>
        <v>145</v>
      </c>
      <c r="H4" s="22">
        <f t="shared" si="4"/>
        <v>160</v>
      </c>
      <c r="I4" s="22">
        <f t="shared" si="4"/>
        <v>185</v>
      </c>
    </row>
    <row r="5" spans="1:10">
      <c r="A5" s="22" t="s">
        <v>73</v>
      </c>
      <c r="B5" s="22" t="s">
        <v>66</v>
      </c>
      <c r="C5" s="22" t="str">
        <f t="shared" si="2"/>
        <v xml:space="preserve">Chain Stay Length </v>
      </c>
      <c r="D5" s="22">
        <f t="shared" ref="D5:I5" si="5">VALUE(LEFT(D31,3))</f>
        <v>440</v>
      </c>
      <c r="E5" s="22">
        <f t="shared" si="5"/>
        <v>440</v>
      </c>
      <c r="F5" s="22">
        <f t="shared" si="5"/>
        <v>440</v>
      </c>
      <c r="G5" s="22">
        <f t="shared" si="5"/>
        <v>440</v>
      </c>
      <c r="H5" s="22">
        <f t="shared" si="5"/>
        <v>440</v>
      </c>
      <c r="I5" s="22">
        <f t="shared" si="5"/>
        <v>440</v>
      </c>
    </row>
    <row r="6" spans="1:10">
      <c r="A6" s="22" t="s">
        <v>62</v>
      </c>
      <c r="B6" s="22" t="s">
        <v>62</v>
      </c>
      <c r="C6" s="22" t="str">
        <f t="shared" si="2"/>
        <v xml:space="preserve">Head Tube Angle </v>
      </c>
      <c r="D6" s="22">
        <f>VALUE(LEFT(D32,4))</f>
        <v>70</v>
      </c>
      <c r="E6" s="22">
        <f t="shared" ref="E6:I7" si="6">VALUE(LEFT(E32,4))</f>
        <v>70.5</v>
      </c>
      <c r="F6" s="22">
        <f t="shared" si="6"/>
        <v>71.5</v>
      </c>
      <c r="G6" s="22">
        <f t="shared" si="6"/>
        <v>71.5</v>
      </c>
      <c r="H6" s="22">
        <f t="shared" si="6"/>
        <v>71.5</v>
      </c>
      <c r="I6" s="22">
        <f t="shared" si="6"/>
        <v>71.5</v>
      </c>
    </row>
    <row r="7" spans="1:10">
      <c r="A7" s="22" t="s">
        <v>63</v>
      </c>
      <c r="B7" s="22" t="s">
        <v>63</v>
      </c>
      <c r="C7" s="22" t="str">
        <f t="shared" si="2"/>
        <v xml:space="preserve">Seat Tube Angle </v>
      </c>
      <c r="D7" s="22">
        <f>VALUE(LEFT(D33,4))</f>
        <v>75</v>
      </c>
      <c r="E7" s="22">
        <f t="shared" si="6"/>
        <v>74.5</v>
      </c>
      <c r="F7" s="22">
        <f t="shared" si="6"/>
        <v>74</v>
      </c>
      <c r="G7" s="22">
        <f t="shared" si="6"/>
        <v>73</v>
      </c>
      <c r="H7" s="22">
        <f t="shared" si="6"/>
        <v>73</v>
      </c>
      <c r="I7" s="22">
        <f t="shared" si="6"/>
        <v>72.5</v>
      </c>
    </row>
    <row r="8" spans="1:10">
      <c r="A8" s="22" t="s">
        <v>64</v>
      </c>
      <c r="B8" s="22" t="s">
        <v>65</v>
      </c>
      <c r="C8" s="22" t="str">
        <f t="shared" si="2"/>
        <v xml:space="preserve">Bottom Bracket Drop </v>
      </c>
      <c r="D8" s="22">
        <f>VALUE(LEFT(D34,4))</f>
        <v>82.5</v>
      </c>
      <c r="E8" s="22">
        <f t="shared" ref="E8:I8" si="7">VALUE(LEFT(E34,4))</f>
        <v>77.5</v>
      </c>
      <c r="F8" s="22">
        <f t="shared" si="7"/>
        <v>77.5</v>
      </c>
      <c r="G8" s="22">
        <f>VALUE(LEFT(G34,2))</f>
        <v>75</v>
      </c>
      <c r="H8" s="22">
        <f>VALUE(LEFT(H34,2))</f>
        <v>75</v>
      </c>
      <c r="I8" s="22">
        <f t="shared" si="7"/>
        <v>72.5</v>
      </c>
    </row>
    <row r="9" spans="1:10">
      <c r="A9" s="22" t="s">
        <v>65</v>
      </c>
      <c r="B9" s="22" t="s">
        <v>55</v>
      </c>
      <c r="C9" s="22" t="str">
        <f t="shared" si="2"/>
        <v xml:space="preserve">Reach </v>
      </c>
      <c r="D9" s="22">
        <f t="shared" ref="D9:I9" si="8">VALUE(LEFT(D35,3))</f>
        <v>367</v>
      </c>
      <c r="E9" s="22">
        <f t="shared" si="8"/>
        <v>370</v>
      </c>
      <c r="F9" s="22">
        <f t="shared" si="8"/>
        <v>374</v>
      </c>
      <c r="G9" s="22">
        <f t="shared" si="8"/>
        <v>379</v>
      </c>
      <c r="H9" s="22">
        <f t="shared" si="8"/>
        <v>389</v>
      </c>
      <c r="I9" s="22">
        <f t="shared" si="8"/>
        <v>392</v>
      </c>
    </row>
    <row r="10" spans="1:10">
      <c r="A10" s="22" t="s">
        <v>66</v>
      </c>
      <c r="B10" s="22" t="s">
        <v>54</v>
      </c>
      <c r="C10" s="22" t="str">
        <f t="shared" si="2"/>
        <v xml:space="preserve">Stack </v>
      </c>
      <c r="D10" s="22">
        <f t="shared" ref="D10:I10" si="9">VALUE(LEFT(D36,3))</f>
        <v>536</v>
      </c>
      <c r="E10" s="22">
        <f t="shared" si="9"/>
        <v>542</v>
      </c>
      <c r="F10" s="22">
        <f t="shared" si="9"/>
        <v>560</v>
      </c>
      <c r="G10" s="22">
        <f t="shared" si="9"/>
        <v>576</v>
      </c>
      <c r="H10" s="22">
        <f t="shared" si="9"/>
        <v>591</v>
      </c>
      <c r="I10" s="22">
        <f t="shared" si="9"/>
        <v>612</v>
      </c>
    </row>
    <row r="11" spans="1:10">
      <c r="A11" s="22" t="s">
        <v>56</v>
      </c>
      <c r="B11" s="22" t="s">
        <v>163</v>
      </c>
      <c r="C11" s="22" t="str">
        <f t="shared" si="2"/>
        <v xml:space="preserve">Fork Length </v>
      </c>
      <c r="D11" s="22">
        <f t="shared" ref="D11:I11" si="10">VALUE(LEFT(D37,3))</f>
        <v>400</v>
      </c>
      <c r="E11" s="22">
        <f t="shared" si="10"/>
        <v>400</v>
      </c>
      <c r="F11" s="22">
        <f t="shared" si="10"/>
        <v>400</v>
      </c>
      <c r="G11" s="22">
        <f t="shared" si="10"/>
        <v>400</v>
      </c>
      <c r="H11" s="22">
        <f t="shared" si="10"/>
        <v>400</v>
      </c>
      <c r="I11" s="22">
        <f t="shared" si="10"/>
        <v>400</v>
      </c>
    </row>
    <row r="12" spans="1:10">
      <c r="A12" s="22" t="s">
        <v>67</v>
      </c>
      <c r="B12" s="22" t="s">
        <v>67</v>
      </c>
      <c r="C12" s="22" t="str">
        <f t="shared" si="2"/>
        <v xml:space="preserve">Fork Offset </v>
      </c>
      <c r="D12" s="22">
        <f>VALUE(LEFT(D38,2))</f>
        <v>52</v>
      </c>
      <c r="E12" s="22">
        <f t="shared" ref="E12:I12" si="11">VALUE(LEFT(E38,2))</f>
        <v>52</v>
      </c>
      <c r="F12" s="22">
        <f t="shared" si="11"/>
        <v>52</v>
      </c>
      <c r="G12" s="22">
        <f t="shared" si="11"/>
        <v>52</v>
      </c>
      <c r="H12" s="22">
        <f t="shared" si="11"/>
        <v>52</v>
      </c>
      <c r="I12" s="22">
        <f t="shared" si="11"/>
        <v>52</v>
      </c>
    </row>
    <row r="13" spans="1:10">
      <c r="A13" s="22" t="s">
        <v>57</v>
      </c>
      <c r="B13" s="22" t="s">
        <v>56</v>
      </c>
      <c r="C13" s="22" t="s">
        <v>56</v>
      </c>
      <c r="D13" s="22">
        <f>VALUE(LEFT(D40,6))</f>
        <v>1019.6</v>
      </c>
      <c r="E13" s="22">
        <f t="shared" ref="E13:I13" si="12">VALUE(LEFT(E40,6))</f>
        <v>1022.8</v>
      </c>
      <c r="F13" s="22">
        <f t="shared" si="12"/>
        <v>1023.4</v>
      </c>
      <c r="G13" s="22">
        <f>VALUE(LEFT(G40,4))</f>
        <v>1035</v>
      </c>
      <c r="H13" s="22">
        <f t="shared" si="12"/>
        <v>1050.0999999999999</v>
      </c>
      <c r="I13" s="22">
        <f t="shared" si="12"/>
        <v>1061.3</v>
      </c>
      <c r="J13" s="22" t="s">
        <v>372</v>
      </c>
    </row>
    <row r="14" spans="1:10">
      <c r="A14" s="22" t="s">
        <v>69</v>
      </c>
      <c r="B14" s="22" t="s">
        <v>57</v>
      </c>
      <c r="C14" s="22" t="s">
        <v>57</v>
      </c>
    </row>
    <row r="15" spans="1:10">
      <c r="A15" s="22" t="s">
        <v>70</v>
      </c>
      <c r="B15" s="22" t="s">
        <v>69</v>
      </c>
      <c r="C15" s="22" t="s">
        <v>69</v>
      </c>
      <c r="D15" s="22">
        <v>165</v>
      </c>
      <c r="E15" s="22">
        <v>165</v>
      </c>
      <c r="F15" s="22">
        <v>170</v>
      </c>
      <c r="G15" s="22">
        <v>172.5</v>
      </c>
      <c r="H15" s="22">
        <v>175</v>
      </c>
      <c r="I15" s="22">
        <v>175</v>
      </c>
      <c r="J15" s="22" t="s">
        <v>744</v>
      </c>
    </row>
    <row r="16" spans="1:10">
      <c r="A16" s="22" t="s">
        <v>71</v>
      </c>
      <c r="B16" s="22" t="s">
        <v>70</v>
      </c>
      <c r="C16" s="22" t="s">
        <v>70</v>
      </c>
      <c r="D16" s="22">
        <v>380</v>
      </c>
      <c r="E16" s="22">
        <v>380</v>
      </c>
      <c r="F16" s="22">
        <v>400</v>
      </c>
      <c r="G16" s="22">
        <v>400</v>
      </c>
      <c r="H16" s="22">
        <v>420</v>
      </c>
      <c r="I16" s="22">
        <v>440</v>
      </c>
      <c r="J16" s="22" t="s">
        <v>744</v>
      </c>
    </row>
    <row r="17" spans="1:10">
      <c r="A17" s="22" t="s">
        <v>68</v>
      </c>
      <c r="B17" s="22" t="s">
        <v>71</v>
      </c>
      <c r="C17" s="22" t="s">
        <v>71</v>
      </c>
      <c r="D17" s="22">
        <v>70</v>
      </c>
      <c r="E17" s="22">
        <v>70</v>
      </c>
      <c r="F17" s="22">
        <v>80</v>
      </c>
      <c r="G17" s="22">
        <v>80</v>
      </c>
      <c r="H17" s="22">
        <v>90</v>
      </c>
      <c r="I17" s="22">
        <v>100</v>
      </c>
      <c r="J17" s="22" t="s">
        <v>744</v>
      </c>
    </row>
    <row r="18" spans="1:10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  <c r="I18" s="22">
        <v>700</v>
      </c>
    </row>
    <row r="19" spans="1:10">
      <c r="A19" s="22" t="s">
        <v>140</v>
      </c>
      <c r="B19" s="22" t="s">
        <v>139</v>
      </c>
      <c r="C19" s="22" t="s">
        <v>139</v>
      </c>
      <c r="D19" s="22">
        <v>40</v>
      </c>
      <c r="E19" s="22">
        <v>40</v>
      </c>
      <c r="F19" s="22">
        <v>40</v>
      </c>
      <c r="G19" s="22">
        <v>40</v>
      </c>
      <c r="H19" s="22">
        <v>40</v>
      </c>
      <c r="I19" s="22">
        <v>40</v>
      </c>
    </row>
    <row r="20" spans="1:10">
      <c r="B20" s="22" t="s">
        <v>140</v>
      </c>
      <c r="C20" s="22" t="s">
        <v>140</v>
      </c>
    </row>
    <row r="26" spans="1:10">
      <c r="B26" s="22" t="s">
        <v>675</v>
      </c>
      <c r="C26" s="22" t="s">
        <v>141</v>
      </c>
      <c r="D26" s="22" t="s">
        <v>22</v>
      </c>
      <c r="E26" s="22" t="s">
        <v>412</v>
      </c>
      <c r="F26" s="22" t="s">
        <v>413</v>
      </c>
      <c r="G26" s="22" t="s">
        <v>23</v>
      </c>
      <c r="H26" s="22" t="s">
        <v>414</v>
      </c>
      <c r="I26" s="22" t="s">
        <v>415</v>
      </c>
    </row>
    <row r="27" spans="1:10">
      <c r="B27" s="22" t="s">
        <v>676</v>
      </c>
      <c r="C27" s="22" t="s">
        <v>677</v>
      </c>
      <c r="D27" s="22" t="s">
        <v>678</v>
      </c>
      <c r="E27" s="22" t="s">
        <v>679</v>
      </c>
      <c r="F27" s="22" t="s">
        <v>680</v>
      </c>
      <c r="G27" s="22" t="s">
        <v>681</v>
      </c>
      <c r="H27" s="22" t="s">
        <v>682</v>
      </c>
      <c r="I27" s="22" t="s">
        <v>683</v>
      </c>
    </row>
    <row r="28" spans="1:10">
      <c r="B28" s="22" t="s">
        <v>684</v>
      </c>
      <c r="C28" s="22" t="s">
        <v>685</v>
      </c>
      <c r="D28" s="22" t="s">
        <v>686</v>
      </c>
      <c r="E28" s="22" t="s">
        <v>687</v>
      </c>
      <c r="F28" s="22" t="s">
        <v>688</v>
      </c>
      <c r="G28" s="22" t="s">
        <v>689</v>
      </c>
      <c r="H28" s="22" t="s">
        <v>690</v>
      </c>
      <c r="I28" s="22" t="s">
        <v>691</v>
      </c>
    </row>
    <row r="29" spans="1:10">
      <c r="B29" s="22" t="s">
        <v>692</v>
      </c>
      <c r="C29" s="22" t="s">
        <v>693</v>
      </c>
      <c r="D29" s="22" t="s">
        <v>689</v>
      </c>
      <c r="E29" s="22" t="s">
        <v>694</v>
      </c>
      <c r="F29" s="22" t="s">
        <v>695</v>
      </c>
      <c r="G29" s="22" t="s">
        <v>696</v>
      </c>
      <c r="H29" s="22" t="s">
        <v>697</v>
      </c>
      <c r="I29" s="22" t="s">
        <v>698</v>
      </c>
    </row>
    <row r="30" spans="1:10">
      <c r="B30" s="22" t="s">
        <v>699</v>
      </c>
      <c r="C30" s="22" t="s">
        <v>700</v>
      </c>
      <c r="D30" s="22" t="s">
        <v>701</v>
      </c>
      <c r="E30" s="22" t="s">
        <v>702</v>
      </c>
      <c r="F30" s="22" t="s">
        <v>703</v>
      </c>
      <c r="G30" s="22" t="s">
        <v>704</v>
      </c>
      <c r="H30" s="22" t="s">
        <v>705</v>
      </c>
      <c r="I30" s="22" t="s">
        <v>706</v>
      </c>
    </row>
    <row r="31" spans="1:10">
      <c r="B31" s="22" t="s">
        <v>707</v>
      </c>
      <c r="C31" s="22" t="s">
        <v>708</v>
      </c>
      <c r="D31" s="22" t="s">
        <v>709</v>
      </c>
      <c r="E31" s="22" t="s">
        <v>709</v>
      </c>
      <c r="F31" s="22" t="s">
        <v>709</v>
      </c>
      <c r="G31" s="22" t="s">
        <v>709</v>
      </c>
      <c r="H31" s="22" t="s">
        <v>709</v>
      </c>
      <c r="I31" s="22" t="s">
        <v>709</v>
      </c>
    </row>
    <row r="32" spans="1:10">
      <c r="B32" s="22" t="s">
        <v>710</v>
      </c>
      <c r="C32" s="22" t="s">
        <v>711</v>
      </c>
      <c r="D32" s="22" t="s">
        <v>712</v>
      </c>
      <c r="E32" s="22" t="s">
        <v>713</v>
      </c>
      <c r="F32" s="22" t="s">
        <v>714</v>
      </c>
      <c r="G32" s="22" t="s">
        <v>714</v>
      </c>
      <c r="H32" s="22" t="s">
        <v>714</v>
      </c>
      <c r="I32" s="22" t="s">
        <v>714</v>
      </c>
    </row>
    <row r="33" spans="2:9">
      <c r="B33" s="22" t="s">
        <v>715</v>
      </c>
      <c r="C33" s="22" t="s">
        <v>716</v>
      </c>
      <c r="D33" s="22" t="s">
        <v>717</v>
      </c>
      <c r="E33" s="22" t="s">
        <v>718</v>
      </c>
      <c r="F33" s="22" t="s">
        <v>719</v>
      </c>
      <c r="G33" s="22" t="s">
        <v>720</v>
      </c>
      <c r="H33" s="22" t="s">
        <v>720</v>
      </c>
      <c r="I33" s="22" t="s">
        <v>721</v>
      </c>
    </row>
    <row r="34" spans="2:9">
      <c r="B34" s="22" t="s">
        <v>396</v>
      </c>
      <c r="C34" s="22" t="s">
        <v>722</v>
      </c>
      <c r="D34" s="22" t="s">
        <v>723</v>
      </c>
      <c r="E34" s="22" t="s">
        <v>724</v>
      </c>
      <c r="F34" s="22" t="s">
        <v>724</v>
      </c>
      <c r="G34" s="22" t="s">
        <v>725</v>
      </c>
      <c r="H34" s="22" t="s">
        <v>725</v>
      </c>
      <c r="I34" s="22" t="s">
        <v>726</v>
      </c>
    </row>
    <row r="35" spans="2:9">
      <c r="B35" s="22" t="s">
        <v>395</v>
      </c>
      <c r="C35" s="22" t="s">
        <v>385</v>
      </c>
      <c r="D35" s="22" t="s">
        <v>727</v>
      </c>
      <c r="E35" s="22" t="s">
        <v>728</v>
      </c>
      <c r="F35" s="22" t="s">
        <v>729</v>
      </c>
      <c r="G35" s="22" t="s">
        <v>730</v>
      </c>
      <c r="H35" s="22" t="s">
        <v>731</v>
      </c>
      <c r="I35" s="22" t="s">
        <v>732</v>
      </c>
    </row>
    <row r="36" spans="2:9">
      <c r="B36" s="22" t="s">
        <v>397</v>
      </c>
      <c r="C36" s="22" t="s">
        <v>384</v>
      </c>
      <c r="D36" s="22" t="s">
        <v>733</v>
      </c>
      <c r="E36" s="22" t="s">
        <v>734</v>
      </c>
      <c r="F36" s="22" t="s">
        <v>735</v>
      </c>
      <c r="G36" s="22" t="s">
        <v>736</v>
      </c>
      <c r="H36" s="22" t="s">
        <v>737</v>
      </c>
      <c r="I36" s="22" t="s">
        <v>738</v>
      </c>
    </row>
    <row r="37" spans="2:9">
      <c r="B37" s="22" t="s">
        <v>739</v>
      </c>
      <c r="C37" s="22" t="s">
        <v>387</v>
      </c>
      <c r="D37" s="22" t="s">
        <v>740</v>
      </c>
      <c r="E37" s="22" t="s">
        <v>740</v>
      </c>
      <c r="F37" s="22" t="s">
        <v>740</v>
      </c>
      <c r="G37" s="22" t="s">
        <v>740</v>
      </c>
      <c r="H37" s="22" t="s">
        <v>740</v>
      </c>
      <c r="I37" s="22" t="s">
        <v>740</v>
      </c>
    </row>
    <row r="38" spans="2:9">
      <c r="B38" s="22" t="s">
        <v>741</v>
      </c>
      <c r="C38" s="22" t="s">
        <v>742</v>
      </c>
      <c r="D38" s="22" t="s">
        <v>743</v>
      </c>
      <c r="E38" s="22" t="s">
        <v>743</v>
      </c>
      <c r="F38" s="22" t="s">
        <v>743</v>
      </c>
      <c r="G38" s="22" t="s">
        <v>743</v>
      </c>
      <c r="H38" s="22" t="s">
        <v>743</v>
      </c>
      <c r="I38" s="22" t="s">
        <v>743</v>
      </c>
    </row>
    <row r="40" spans="2:9">
      <c r="C40" s="22" t="s">
        <v>56</v>
      </c>
      <c r="D40" s="7" t="s">
        <v>466</v>
      </c>
      <c r="E40" s="7" t="s">
        <v>745</v>
      </c>
      <c r="F40" s="7" t="s">
        <v>746</v>
      </c>
      <c r="G40" s="7" t="s">
        <v>747</v>
      </c>
      <c r="H40" s="7" t="s">
        <v>748</v>
      </c>
      <c r="I40" s="7" t="s">
        <v>749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DBE8-DBF6-C043-9FF0-45D3A0CA37A6}">
  <dimension ref="A1:G21"/>
  <sheetViews>
    <sheetView workbookViewId="0">
      <selection activeCell="G21" sqref="G21"/>
    </sheetView>
  </sheetViews>
  <sheetFormatPr baseColWidth="10" defaultRowHeight="20"/>
  <cols>
    <col min="1" max="1" width="29.33203125" style="22" bestFit="1" customWidth="1"/>
    <col min="2" max="2" width="19.1640625" style="22" bestFit="1" customWidth="1"/>
    <col min="3" max="3" width="27" style="22" bestFit="1" customWidth="1"/>
    <col min="4" max="4" width="15.33203125" style="22" customWidth="1"/>
    <col min="5" max="16384" width="10.83203125" style="22"/>
  </cols>
  <sheetData>
    <row r="1" spans="1:7">
      <c r="A1" s="22" t="s">
        <v>72</v>
      </c>
      <c r="D1" s="27" t="s">
        <v>18</v>
      </c>
      <c r="E1" s="27" t="s">
        <v>1715</v>
      </c>
      <c r="F1" s="27" t="s">
        <v>19</v>
      </c>
    </row>
    <row r="2" spans="1:7">
      <c r="A2" s="22" t="s">
        <v>54</v>
      </c>
      <c r="B2" s="22" t="s">
        <v>62</v>
      </c>
      <c r="C2" s="22" t="s">
        <v>1716</v>
      </c>
      <c r="D2" s="22">
        <v>68</v>
      </c>
      <c r="E2" s="22">
        <v>68</v>
      </c>
      <c r="F2" s="22">
        <v>68</v>
      </c>
      <c r="G2" s="27" t="s">
        <v>1274</v>
      </c>
    </row>
    <row r="3" spans="1:7">
      <c r="A3" s="22" t="s">
        <v>55</v>
      </c>
      <c r="B3" s="22" t="s">
        <v>64</v>
      </c>
      <c r="C3" s="22" t="s">
        <v>1717</v>
      </c>
      <c r="D3" s="22">
        <v>115</v>
      </c>
      <c r="E3" s="22">
        <v>130</v>
      </c>
      <c r="F3" s="22">
        <v>145</v>
      </c>
      <c r="G3" s="27" t="s">
        <v>1275</v>
      </c>
    </row>
    <row r="4" spans="1:7">
      <c r="A4" s="22" t="s">
        <v>60</v>
      </c>
      <c r="B4" s="22" t="s">
        <v>73</v>
      </c>
      <c r="C4" s="22" t="s">
        <v>1718</v>
      </c>
      <c r="D4" s="22">
        <v>569</v>
      </c>
      <c r="E4" s="22">
        <v>586</v>
      </c>
      <c r="F4" s="22">
        <v>609</v>
      </c>
      <c r="G4" s="27" t="s">
        <v>27</v>
      </c>
    </row>
    <row r="5" spans="1:7">
      <c r="A5" s="22" t="s">
        <v>73</v>
      </c>
      <c r="B5" s="22" t="s">
        <v>63</v>
      </c>
      <c r="C5" s="22" t="s">
        <v>1719</v>
      </c>
      <c r="D5" s="22">
        <v>74.5</v>
      </c>
      <c r="E5" s="22">
        <v>74.5</v>
      </c>
      <c r="F5" s="22">
        <v>74.5</v>
      </c>
      <c r="G5" s="27" t="s">
        <v>888</v>
      </c>
    </row>
    <row r="6" spans="1:7">
      <c r="A6" s="22" t="s">
        <v>62</v>
      </c>
      <c r="B6" s="22" t="s">
        <v>60</v>
      </c>
      <c r="C6" s="22" t="s">
        <v>1720</v>
      </c>
      <c r="D6" s="22">
        <v>460</v>
      </c>
      <c r="E6" s="22">
        <v>480</v>
      </c>
      <c r="F6" s="22">
        <v>510</v>
      </c>
      <c r="G6" s="27" t="s">
        <v>30</v>
      </c>
    </row>
    <row r="7" spans="1:7">
      <c r="A7" s="22" t="s">
        <v>63</v>
      </c>
      <c r="B7" s="22" t="s">
        <v>66</v>
      </c>
      <c r="C7" s="22" t="s">
        <v>1721</v>
      </c>
      <c r="D7" s="22">
        <v>430</v>
      </c>
      <c r="E7" s="22">
        <v>430</v>
      </c>
      <c r="F7" s="22">
        <v>430</v>
      </c>
      <c r="G7" s="27" t="s">
        <v>578</v>
      </c>
    </row>
    <row r="8" spans="1:7">
      <c r="A8" s="22" t="s">
        <v>64</v>
      </c>
      <c r="B8" s="22" t="s">
        <v>55</v>
      </c>
      <c r="C8" s="22" t="s">
        <v>1</v>
      </c>
      <c r="D8" s="22">
        <v>404</v>
      </c>
      <c r="E8" s="22">
        <v>418</v>
      </c>
      <c r="F8" s="22">
        <v>437</v>
      </c>
      <c r="G8" s="27" t="s">
        <v>889</v>
      </c>
    </row>
    <row r="9" spans="1:7">
      <c r="A9" s="22" t="s">
        <v>65</v>
      </c>
      <c r="B9" s="22" t="s">
        <v>54</v>
      </c>
      <c r="C9" s="22" t="s">
        <v>0</v>
      </c>
      <c r="D9" s="22">
        <v>599</v>
      </c>
      <c r="E9" s="22">
        <v>613</v>
      </c>
      <c r="F9" s="22">
        <v>627</v>
      </c>
      <c r="G9" s="27" t="s">
        <v>1276</v>
      </c>
    </row>
    <row r="10" spans="1:7">
      <c r="A10" s="22" t="s">
        <v>66</v>
      </c>
      <c r="B10" s="22" t="s">
        <v>65</v>
      </c>
      <c r="C10" s="22" t="s">
        <v>1722</v>
      </c>
      <c r="D10" s="22">
        <v>60</v>
      </c>
      <c r="E10" s="22">
        <v>60</v>
      </c>
      <c r="F10" s="22">
        <v>60</v>
      </c>
      <c r="G10" s="27" t="s">
        <v>1277</v>
      </c>
    </row>
    <row r="11" spans="1:7">
      <c r="A11" s="22" t="s">
        <v>56</v>
      </c>
      <c r="B11" s="22" t="s">
        <v>56</v>
      </c>
      <c r="C11" s="22" t="s">
        <v>1723</v>
      </c>
      <c r="D11" s="22">
        <v>1103</v>
      </c>
      <c r="E11" s="22">
        <v>1122</v>
      </c>
      <c r="F11" s="22">
        <v>1147</v>
      </c>
      <c r="G11" s="27" t="s">
        <v>1278</v>
      </c>
    </row>
    <row r="12" spans="1:7">
      <c r="A12" s="22" t="s">
        <v>67</v>
      </c>
      <c r="B12" s="22" t="s">
        <v>495</v>
      </c>
      <c r="C12" s="22" t="s">
        <v>1724</v>
      </c>
      <c r="D12" s="22">
        <v>483</v>
      </c>
      <c r="E12" s="22">
        <v>483</v>
      </c>
      <c r="F12" s="22">
        <v>483</v>
      </c>
    </row>
    <row r="13" spans="1:7">
      <c r="A13" s="22" t="s">
        <v>57</v>
      </c>
      <c r="C13" s="22" t="s">
        <v>1725</v>
      </c>
      <c r="D13" s="22">
        <v>70</v>
      </c>
      <c r="E13" s="22">
        <v>70</v>
      </c>
      <c r="F13" s="22">
        <v>70</v>
      </c>
    </row>
    <row r="14" spans="1:7">
      <c r="A14" s="22" t="s">
        <v>69</v>
      </c>
      <c r="B14" s="22" t="s">
        <v>67</v>
      </c>
      <c r="C14" s="22" t="s">
        <v>67</v>
      </c>
      <c r="D14" s="22">
        <v>51</v>
      </c>
      <c r="E14" s="22">
        <v>51</v>
      </c>
      <c r="F14" s="22">
        <v>51</v>
      </c>
    </row>
    <row r="15" spans="1:7">
      <c r="A15" s="22" t="s">
        <v>70</v>
      </c>
      <c r="B15" s="22" t="s">
        <v>57</v>
      </c>
      <c r="C15" s="22" t="s">
        <v>57</v>
      </c>
    </row>
    <row r="16" spans="1:7">
      <c r="A16" s="22" t="s">
        <v>71</v>
      </c>
      <c r="B16" s="22" t="s">
        <v>69</v>
      </c>
      <c r="C16" s="22" t="s">
        <v>69</v>
      </c>
    </row>
    <row r="17" spans="1:7">
      <c r="A17" s="22" t="s">
        <v>68</v>
      </c>
      <c r="B17" s="22" t="s">
        <v>70</v>
      </c>
      <c r="C17" s="22" t="s">
        <v>70</v>
      </c>
    </row>
    <row r="18" spans="1:7">
      <c r="A18" s="22" t="s">
        <v>139</v>
      </c>
      <c r="B18" s="22" t="s">
        <v>71</v>
      </c>
      <c r="C18" s="22" t="s">
        <v>71</v>
      </c>
    </row>
    <row r="19" spans="1:7">
      <c r="A19" s="22" t="s">
        <v>140</v>
      </c>
      <c r="B19" s="22" t="s">
        <v>68</v>
      </c>
      <c r="C19" s="22" t="s">
        <v>68</v>
      </c>
      <c r="D19" s="22">
        <v>29</v>
      </c>
      <c r="E19" s="22">
        <v>29</v>
      </c>
      <c r="F19" s="22">
        <v>29</v>
      </c>
    </row>
    <row r="20" spans="1:7">
      <c r="B20" s="22" t="s">
        <v>139</v>
      </c>
      <c r="C20" s="22" t="s">
        <v>139</v>
      </c>
      <c r="D20" s="22">
        <f>2.25*2.54*10</f>
        <v>57.15</v>
      </c>
      <c r="E20" s="22">
        <f t="shared" ref="E20:F20" si="0">2.25*2.54*10</f>
        <v>57.15</v>
      </c>
      <c r="F20" s="22">
        <f t="shared" si="0"/>
        <v>57.15</v>
      </c>
      <c r="G20" s="22" t="s">
        <v>2513</v>
      </c>
    </row>
    <row r="21" spans="1:7">
      <c r="B21" s="22" t="s">
        <v>140</v>
      </c>
      <c r="C21" s="22" t="s">
        <v>140</v>
      </c>
      <c r="D21" s="22">
        <f>2.4*25.4</f>
        <v>60.959999999999994</v>
      </c>
      <c r="E21" s="22">
        <f t="shared" ref="E21:F21" si="1">2.4*25.4</f>
        <v>60.959999999999994</v>
      </c>
      <c r="F21" s="22">
        <f t="shared" si="1"/>
        <v>60.959999999999994</v>
      </c>
    </row>
  </sheetData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E7AD-7892-5443-9F34-434F75FFB9B3}">
  <dimension ref="A1:N45"/>
  <sheetViews>
    <sheetView workbookViewId="0">
      <selection activeCell="H32" sqref="H32"/>
    </sheetView>
  </sheetViews>
  <sheetFormatPr baseColWidth="10" defaultRowHeight="20"/>
  <cols>
    <col min="1" max="1" width="29.33203125" style="22" customWidth="1"/>
    <col min="2" max="2" width="37.83203125" style="22" customWidth="1"/>
    <col min="3" max="3" width="11.33203125" style="22" bestFit="1" customWidth="1"/>
    <col min="4" max="9" width="10.83203125" style="22"/>
    <col min="10" max="10" width="14.83203125" style="22" customWidth="1"/>
    <col min="11" max="14" width="19.1640625" style="22" customWidth="1"/>
    <col min="15" max="16384" width="10.83203125" style="22"/>
  </cols>
  <sheetData>
    <row r="1" spans="1:14">
      <c r="A1" s="22" t="s">
        <v>2412</v>
      </c>
      <c r="B1" s="22" t="s">
        <v>2769</v>
      </c>
    </row>
    <row r="2" spans="1:14">
      <c r="A2" s="22" t="s">
        <v>2423</v>
      </c>
      <c r="B2" s="22">
        <v>2022</v>
      </c>
    </row>
    <row r="3" spans="1:14">
      <c r="A3" s="22" t="s">
        <v>2424</v>
      </c>
      <c r="B3" s="114">
        <v>45137</v>
      </c>
    </row>
    <row r="4" spans="1:14">
      <c r="A4" s="22" t="s">
        <v>2414</v>
      </c>
      <c r="B4" s="22" t="s">
        <v>2770</v>
      </c>
    </row>
    <row r="5" spans="1:14">
      <c r="A5" s="22" t="s">
        <v>2415</v>
      </c>
      <c r="B5" s="22" t="s">
        <v>2771</v>
      </c>
    </row>
    <row r="6" spans="1:14">
      <c r="A6" s="22" t="s">
        <v>72</v>
      </c>
      <c r="B6" s="22" t="s">
        <v>167</v>
      </c>
      <c r="C6" s="22" t="str">
        <f>K6</f>
        <v>SMALL</v>
      </c>
      <c r="D6" s="22" t="str">
        <f t="shared" ref="D6:F6" si="0">L6</f>
        <v>MEDIUM</v>
      </c>
      <c r="E6" s="22" t="str">
        <f t="shared" si="0"/>
        <v>LARGE</v>
      </c>
      <c r="F6" s="22" t="str">
        <f t="shared" si="0"/>
        <v>X-LARGE</v>
      </c>
      <c r="J6" s="133" t="s">
        <v>2707</v>
      </c>
      <c r="K6" s="133" t="s">
        <v>1020</v>
      </c>
      <c r="L6" s="133" t="s">
        <v>1021</v>
      </c>
      <c r="M6" s="133" t="s">
        <v>1022</v>
      </c>
      <c r="N6" s="133" t="s">
        <v>1023</v>
      </c>
    </row>
    <row r="7" spans="1:14">
      <c r="A7" s="22" t="s">
        <v>55</v>
      </c>
      <c r="B7" s="22" t="str">
        <f>J9</f>
        <v>(A) REACH</v>
      </c>
      <c r="C7" s="22">
        <f>VALUE(LEFT(K9,LEN(K9)-2))</f>
        <v>404.3</v>
      </c>
      <c r="D7" s="22">
        <f t="shared" ref="D7:F10" si="1">VALUE(LEFT(L9,LEN(L9)-2))</f>
        <v>419</v>
      </c>
      <c r="E7" s="22">
        <f t="shared" si="1"/>
        <v>443.6</v>
      </c>
      <c r="F7" s="22">
        <f t="shared" si="1"/>
        <v>458.3</v>
      </c>
      <c r="J7" s="133" t="s">
        <v>2708</v>
      </c>
      <c r="K7" s="134" t="s">
        <v>1645</v>
      </c>
      <c r="L7" s="134" t="s">
        <v>2709</v>
      </c>
      <c r="M7" s="134" t="s">
        <v>2710</v>
      </c>
      <c r="N7" s="134" t="s">
        <v>2711</v>
      </c>
    </row>
    <row r="8" spans="1:14">
      <c r="A8" s="22" t="s">
        <v>54</v>
      </c>
      <c r="B8" s="22" t="str">
        <f t="shared" ref="B8:B26" si="2">J10</f>
        <v>(B) STACK</v>
      </c>
      <c r="C8" s="22">
        <f t="shared" ref="C8:C26" si="3">VALUE(LEFT(K10,LEN(K10)-2))</f>
        <v>542.9</v>
      </c>
      <c r="D8" s="22">
        <f t="shared" si="1"/>
        <v>561.6</v>
      </c>
      <c r="E8" s="22">
        <f t="shared" si="1"/>
        <v>580.29999999999995</v>
      </c>
      <c r="F8" s="22">
        <f t="shared" si="1"/>
        <v>598.9</v>
      </c>
      <c r="J8" s="133" t="s">
        <v>2712</v>
      </c>
      <c r="K8" s="134" t="s">
        <v>2713</v>
      </c>
      <c r="L8" s="134" t="s">
        <v>2714</v>
      </c>
      <c r="M8" s="134" t="s">
        <v>2715</v>
      </c>
      <c r="N8" s="134" t="s">
        <v>2716</v>
      </c>
    </row>
    <row r="9" spans="1:14">
      <c r="A9" s="22" t="s">
        <v>73</v>
      </c>
      <c r="B9" s="22" t="str">
        <f t="shared" si="2"/>
        <v>(C) EFFECTIVE TOP TUBE LENGTH</v>
      </c>
      <c r="C9" s="22">
        <f t="shared" si="3"/>
        <v>560</v>
      </c>
      <c r="D9" s="22">
        <f t="shared" si="1"/>
        <v>580</v>
      </c>
      <c r="E9" s="22">
        <f t="shared" si="1"/>
        <v>610</v>
      </c>
      <c r="F9" s="22">
        <f t="shared" si="1"/>
        <v>630</v>
      </c>
      <c r="J9" s="133" t="s">
        <v>2717</v>
      </c>
      <c r="K9" s="134" t="s">
        <v>2718</v>
      </c>
      <c r="L9" s="134" t="s">
        <v>1308</v>
      </c>
      <c r="M9" s="134" t="s">
        <v>2719</v>
      </c>
      <c r="N9" s="134" t="s">
        <v>2720</v>
      </c>
    </row>
    <row r="10" spans="1:14">
      <c r="A10" s="22" t="s">
        <v>60</v>
      </c>
      <c r="B10" s="22" t="str">
        <f t="shared" si="2"/>
        <v>(D) SEAT TUBE LENGTH</v>
      </c>
      <c r="C10" s="22">
        <f t="shared" si="3"/>
        <v>460</v>
      </c>
      <c r="D10" s="22">
        <f t="shared" si="1"/>
        <v>480</v>
      </c>
      <c r="E10" s="22">
        <f t="shared" si="1"/>
        <v>500</v>
      </c>
      <c r="F10" s="22">
        <f t="shared" si="1"/>
        <v>520</v>
      </c>
      <c r="J10" s="133" t="s">
        <v>2721</v>
      </c>
      <c r="K10" s="134" t="s">
        <v>2722</v>
      </c>
      <c r="L10" s="134" t="s">
        <v>2723</v>
      </c>
      <c r="M10" s="134" t="s">
        <v>2724</v>
      </c>
      <c r="N10" s="134" t="s">
        <v>2725</v>
      </c>
    </row>
    <row r="11" spans="1:14">
      <c r="A11" s="22" t="s">
        <v>63</v>
      </c>
      <c r="B11" s="22" t="str">
        <f t="shared" si="2"/>
        <v>(F) SEAT TUBE ANGLE (ACTUAL)</v>
      </c>
      <c r="C11" s="22">
        <f>VALUE(LEFT(K13,LEN(K13)-1))</f>
        <v>74</v>
      </c>
      <c r="D11" s="22">
        <f t="shared" ref="D11:F11" si="4">VALUE(LEFT(L13,LEN(L13)-1))</f>
        <v>74</v>
      </c>
      <c r="E11" s="22">
        <f t="shared" si="4"/>
        <v>74</v>
      </c>
      <c r="F11" s="22">
        <f t="shared" si="4"/>
        <v>74</v>
      </c>
      <c r="J11" s="133" t="s">
        <v>2726</v>
      </c>
      <c r="K11" s="134" t="s">
        <v>855</v>
      </c>
      <c r="L11" s="134" t="s">
        <v>606</v>
      </c>
      <c r="M11" s="134" t="s">
        <v>1300</v>
      </c>
      <c r="N11" s="134" t="s">
        <v>254</v>
      </c>
    </row>
    <row r="12" spans="1:14">
      <c r="A12" s="22" t="s">
        <v>2773</v>
      </c>
      <c r="B12" s="22" t="str">
        <f t="shared" si="2"/>
        <v>(G) SADDLE HEIGHT AT SADDLE OFFSET</v>
      </c>
      <c r="C12" s="22">
        <f t="shared" si="3"/>
        <v>650</v>
      </c>
      <c r="D12" s="22">
        <f t="shared" ref="D12:D14" si="5">VALUE(LEFT(L14,LEN(L14)-2))</f>
        <v>700</v>
      </c>
      <c r="E12" s="22">
        <f t="shared" ref="E12:E14" si="6">VALUE(LEFT(M14,LEN(M14)-2))</f>
        <v>750</v>
      </c>
      <c r="F12" s="22">
        <f t="shared" ref="F12:F14" si="7">VALUE(LEFT(N14,LEN(N14)-2))</f>
        <v>800</v>
      </c>
      <c r="J12" s="133" t="s">
        <v>2727</v>
      </c>
      <c r="K12" s="134" t="s">
        <v>238</v>
      </c>
      <c r="L12" s="134" t="s">
        <v>1267</v>
      </c>
      <c r="M12" s="134" t="s">
        <v>637</v>
      </c>
      <c r="N12" s="134" t="s">
        <v>824</v>
      </c>
    </row>
    <row r="13" spans="1:14">
      <c r="A13" s="22" t="s">
        <v>2774</v>
      </c>
      <c r="B13" s="22" t="str">
        <f t="shared" si="2"/>
        <v>(H) SADDLE OFFSET AT SADDLE HEIGHT</v>
      </c>
      <c r="C13" s="22">
        <f t="shared" si="3"/>
        <v>179.16</v>
      </c>
      <c r="D13" s="22">
        <f t="shared" si="5"/>
        <v>192.95</v>
      </c>
      <c r="E13" s="22">
        <f t="shared" si="6"/>
        <v>206.73</v>
      </c>
      <c r="F13" s="22">
        <f t="shared" si="7"/>
        <v>220.51</v>
      </c>
      <c r="J13" s="133" t="s">
        <v>2728</v>
      </c>
      <c r="K13" s="134" t="s">
        <v>32</v>
      </c>
      <c r="L13" s="134" t="s">
        <v>32</v>
      </c>
      <c r="M13" s="134" t="s">
        <v>32</v>
      </c>
      <c r="N13" s="134" t="s">
        <v>32</v>
      </c>
    </row>
    <row r="14" spans="1:14">
      <c r="A14" s="22" t="s">
        <v>64</v>
      </c>
      <c r="B14" s="22" t="str">
        <f t="shared" si="2"/>
        <v>(I) HEAD TUBE LENGTH</v>
      </c>
      <c r="C14" s="22">
        <f t="shared" si="3"/>
        <v>130</v>
      </c>
      <c r="D14" s="22">
        <f t="shared" si="5"/>
        <v>150</v>
      </c>
      <c r="E14" s="22">
        <f t="shared" si="6"/>
        <v>170</v>
      </c>
      <c r="F14" s="22">
        <f t="shared" si="7"/>
        <v>190</v>
      </c>
      <c r="J14" s="133" t="s">
        <v>2729</v>
      </c>
      <c r="K14" s="134" t="s">
        <v>2730</v>
      </c>
      <c r="L14" s="134" t="s">
        <v>1333</v>
      </c>
      <c r="M14" s="134" t="s">
        <v>263</v>
      </c>
      <c r="N14" s="134" t="s">
        <v>1699</v>
      </c>
    </row>
    <row r="15" spans="1:14">
      <c r="A15" s="22" t="s">
        <v>62</v>
      </c>
      <c r="B15" s="22" t="str">
        <f t="shared" si="2"/>
        <v>(J) HEAD TUBE ANGLE</v>
      </c>
      <c r="C15" s="22">
        <f>VALUE(LEFT(K17,LEN(K17)-1))</f>
        <v>69</v>
      </c>
      <c r="D15" s="22">
        <f t="shared" ref="D15:F15" si="8">VALUE(LEFT(L17,LEN(L17)-1))</f>
        <v>69</v>
      </c>
      <c r="E15" s="22">
        <f t="shared" si="8"/>
        <v>69</v>
      </c>
      <c r="F15" s="22">
        <f t="shared" si="8"/>
        <v>69</v>
      </c>
      <c r="J15" s="133" t="s">
        <v>2731</v>
      </c>
      <c r="K15" s="134" t="s">
        <v>2732</v>
      </c>
      <c r="L15" s="134" t="s">
        <v>2733</v>
      </c>
      <c r="M15" s="134" t="s">
        <v>2734</v>
      </c>
      <c r="N15" s="134" t="s">
        <v>2735</v>
      </c>
    </row>
    <row r="16" spans="1:14">
      <c r="A16" s="22" t="s">
        <v>66</v>
      </c>
      <c r="B16" s="22" t="str">
        <f t="shared" si="2"/>
        <v>(K) CHAINSTAY LENGTH</v>
      </c>
      <c r="C16" s="22">
        <f t="shared" si="3"/>
        <v>430</v>
      </c>
      <c r="D16" s="22">
        <f t="shared" ref="D16:D18" si="9">VALUE(LEFT(L18,LEN(L18)-2))</f>
        <v>430</v>
      </c>
      <c r="E16" s="22">
        <f t="shared" ref="E16:E18" si="10">VALUE(LEFT(M18,LEN(M18)-2))</f>
        <v>430</v>
      </c>
      <c r="F16" s="22">
        <f t="shared" ref="F16:F18" si="11">VALUE(LEFT(N18,LEN(N18)-2))</f>
        <v>430</v>
      </c>
      <c r="J16" s="133" t="s">
        <v>2736</v>
      </c>
      <c r="K16" s="134" t="s">
        <v>830</v>
      </c>
      <c r="L16" s="134" t="s">
        <v>850</v>
      </c>
      <c r="M16" s="134" t="s">
        <v>1190</v>
      </c>
      <c r="N16" s="134" t="s">
        <v>860</v>
      </c>
    </row>
    <row r="17" spans="1:14">
      <c r="A17" s="22" t="s">
        <v>134</v>
      </c>
      <c r="B17" s="22" t="str">
        <f t="shared" si="2"/>
        <v>(L) FRONT CENTER</v>
      </c>
      <c r="C17" s="22">
        <f t="shared" si="3"/>
        <v>641.1</v>
      </c>
      <c r="D17" s="22">
        <f t="shared" si="9"/>
        <v>662.8</v>
      </c>
      <c r="E17" s="22">
        <f t="shared" si="10"/>
        <v>694.4</v>
      </c>
      <c r="F17" s="22">
        <f t="shared" si="11"/>
        <v>716.1</v>
      </c>
      <c r="J17" s="133" t="s">
        <v>2737</v>
      </c>
      <c r="K17" s="134" t="s">
        <v>1186</v>
      </c>
      <c r="L17" s="134" t="s">
        <v>1186</v>
      </c>
      <c r="M17" s="134" t="s">
        <v>1186</v>
      </c>
      <c r="N17" s="134" t="s">
        <v>1186</v>
      </c>
    </row>
    <row r="18" spans="1:14">
      <c r="A18" s="22" t="s">
        <v>56</v>
      </c>
      <c r="B18" s="22" t="str">
        <f t="shared" si="2"/>
        <v>(M) WHEELBASE</v>
      </c>
      <c r="C18" s="22">
        <f t="shared" si="3"/>
        <v>1061.5</v>
      </c>
      <c r="D18" s="22">
        <f t="shared" si="9"/>
        <v>1083.4000000000001</v>
      </c>
      <c r="E18" s="22">
        <f t="shared" si="10"/>
        <v>1115.2</v>
      </c>
      <c r="F18" s="22">
        <f t="shared" si="11"/>
        <v>1137</v>
      </c>
      <c r="J18" s="133" t="s">
        <v>2738</v>
      </c>
      <c r="K18" s="134" t="s">
        <v>237</v>
      </c>
      <c r="L18" s="134" t="s">
        <v>237</v>
      </c>
      <c r="M18" s="134" t="s">
        <v>237</v>
      </c>
      <c r="N18" s="134" t="s">
        <v>237</v>
      </c>
    </row>
    <row r="19" spans="1:14">
      <c r="A19" s="22" t="s">
        <v>65</v>
      </c>
      <c r="B19" s="22" t="str">
        <f t="shared" si="2"/>
        <v>(N) BOTTOM BRACKET DROP</v>
      </c>
      <c r="C19" s="22">
        <f>-VALUE(LEFT(K21,LEN(K21)-2))</f>
        <v>70</v>
      </c>
      <c r="D19" s="22">
        <f t="shared" ref="D19:F19" si="12">-VALUE(LEFT(L21,LEN(L21)-2))</f>
        <v>70</v>
      </c>
      <c r="E19" s="22">
        <f t="shared" si="12"/>
        <v>70</v>
      </c>
      <c r="F19" s="22">
        <f t="shared" si="12"/>
        <v>70</v>
      </c>
      <c r="J19" s="133" t="s">
        <v>2739</v>
      </c>
      <c r="K19" s="134" t="s">
        <v>2740</v>
      </c>
      <c r="L19" s="134" t="s">
        <v>2741</v>
      </c>
      <c r="M19" s="134" t="s">
        <v>2742</v>
      </c>
      <c r="N19" s="134" t="s">
        <v>2743</v>
      </c>
    </row>
    <row r="20" spans="1:14">
      <c r="A20" s="22" t="s">
        <v>137</v>
      </c>
      <c r="B20" s="22" t="str">
        <f t="shared" si="2"/>
        <v>(O) BOTTOM BRACKET HEIGHT</v>
      </c>
      <c r="C20" s="22">
        <f>VALUE(MID(K22,20,5))</f>
        <v>288.5</v>
      </c>
      <c r="D20" s="22">
        <f t="shared" ref="D20:F20" si="13">VALUE(MID(L22,20,5))</f>
        <v>288.5</v>
      </c>
      <c r="E20" s="22">
        <f t="shared" si="13"/>
        <v>288.5</v>
      </c>
      <c r="F20" s="22">
        <f t="shared" si="13"/>
        <v>288.5</v>
      </c>
      <c r="J20" s="133" t="s">
        <v>2744</v>
      </c>
      <c r="K20" s="134" t="s">
        <v>2745</v>
      </c>
      <c r="L20" s="134" t="s">
        <v>2746</v>
      </c>
      <c r="M20" s="134" t="s">
        <v>2747</v>
      </c>
      <c r="N20" s="134" t="s">
        <v>1485</v>
      </c>
    </row>
    <row r="21" spans="1:14">
      <c r="A21" s="22" t="s">
        <v>57</v>
      </c>
      <c r="B21" s="22" t="str">
        <f t="shared" si="2"/>
        <v>(P) STAND OVER HEIGHT</v>
      </c>
      <c r="C21" s="22">
        <f>VALUE(MID(K23,22,6))</f>
        <v>738.41</v>
      </c>
      <c r="D21" s="22">
        <f t="shared" ref="D21:F21" si="14">VALUE(MID(L23,22,6))</f>
        <v>757.54</v>
      </c>
      <c r="E21" s="22">
        <f t="shared" si="14"/>
        <v>776.21</v>
      </c>
      <c r="F21" s="22">
        <f t="shared" si="14"/>
        <v>795.09</v>
      </c>
      <c r="J21" s="133" t="s">
        <v>2748</v>
      </c>
      <c r="K21" s="134" t="s">
        <v>2749</v>
      </c>
      <c r="L21" s="134" t="s">
        <v>2749</v>
      </c>
      <c r="M21" s="134" t="s">
        <v>2749</v>
      </c>
      <c r="N21" s="134" t="s">
        <v>2749</v>
      </c>
    </row>
    <row r="22" spans="1:14">
      <c r="A22" s="22" t="s">
        <v>2775</v>
      </c>
      <c r="B22" s="22" t="str">
        <f t="shared" si="2"/>
        <v>(Q) FORK TRAVEL</v>
      </c>
      <c r="J22" s="133" t="s">
        <v>2750</v>
      </c>
      <c r="K22" s="134" t="s">
        <v>2751</v>
      </c>
      <c r="L22" s="134" t="s">
        <v>2751</v>
      </c>
      <c r="M22" s="134" t="s">
        <v>2751</v>
      </c>
      <c r="N22" s="134" t="s">
        <v>2751</v>
      </c>
    </row>
    <row r="23" spans="1:14">
      <c r="A23" s="22" t="s">
        <v>135</v>
      </c>
      <c r="B23" s="22" t="str">
        <f t="shared" si="2"/>
        <v>(R) TRAIL</v>
      </c>
      <c r="C23" s="22">
        <f>VALUE(MID(K25,22,4))</f>
        <v>86.2</v>
      </c>
      <c r="D23" s="22">
        <f t="shared" ref="D23:F23" si="15">VALUE(MID(L25,22,4))</f>
        <v>86.2</v>
      </c>
      <c r="E23" s="22">
        <f t="shared" si="15"/>
        <v>86.2</v>
      </c>
      <c r="F23" s="22">
        <f t="shared" si="15"/>
        <v>86.2</v>
      </c>
      <c r="J23" s="133" t="s">
        <v>2752</v>
      </c>
      <c r="K23" s="134" t="s">
        <v>2753</v>
      </c>
      <c r="L23" s="134" t="s">
        <v>2754</v>
      </c>
      <c r="M23" s="134" t="s">
        <v>2755</v>
      </c>
      <c r="N23" s="134" t="s">
        <v>2756</v>
      </c>
    </row>
    <row r="24" spans="1:14">
      <c r="A24" s="22" t="s">
        <v>67</v>
      </c>
      <c r="B24" s="22" t="str">
        <f t="shared" si="2"/>
        <v>(S) FORK OFFSET</v>
      </c>
      <c r="C24" s="22">
        <f t="shared" si="3"/>
        <v>48</v>
      </c>
      <c r="D24" s="22">
        <f t="shared" ref="D24:D26" si="16">VALUE(LEFT(L26,LEN(L26)-2))</f>
        <v>48</v>
      </c>
      <c r="E24" s="22">
        <f t="shared" ref="E24:E26" si="17">VALUE(LEFT(M26,LEN(M26)-2))</f>
        <v>48</v>
      </c>
      <c r="F24" s="22">
        <f t="shared" ref="F24:F26" si="18">VALUE(LEFT(N26,LEN(N26)-2))</f>
        <v>48</v>
      </c>
      <c r="J24" s="133" t="s">
        <v>2757</v>
      </c>
      <c r="K24" s="134" t="s">
        <v>2758</v>
      </c>
      <c r="L24" s="134" t="s">
        <v>2758</v>
      </c>
      <c r="M24" s="134" t="s">
        <v>2758</v>
      </c>
      <c r="N24" s="134" t="s">
        <v>2758</v>
      </c>
    </row>
    <row r="25" spans="1:14">
      <c r="A25" s="22" t="s">
        <v>495</v>
      </c>
      <c r="B25" s="22" t="str">
        <f t="shared" si="2"/>
        <v>(T) AXLE TO CROWN</v>
      </c>
      <c r="C25" s="22">
        <f t="shared" si="3"/>
        <v>395</v>
      </c>
      <c r="D25" s="22">
        <f t="shared" si="16"/>
        <v>395</v>
      </c>
      <c r="E25" s="22">
        <f t="shared" si="17"/>
        <v>395</v>
      </c>
      <c r="F25" s="22">
        <f t="shared" si="18"/>
        <v>395</v>
      </c>
      <c r="J25" s="133" t="s">
        <v>2759</v>
      </c>
      <c r="K25" s="134" t="s">
        <v>2760</v>
      </c>
      <c r="L25" s="134" t="s">
        <v>2760</v>
      </c>
      <c r="M25" s="134" t="s">
        <v>2760</v>
      </c>
      <c r="N25" s="134" t="s">
        <v>2760</v>
      </c>
    </row>
    <row r="26" spans="1:14">
      <c r="A26" s="22" t="s">
        <v>2772</v>
      </c>
      <c r="B26" s="22" t="str">
        <f t="shared" si="2"/>
        <v>(U) MAXIMUM SEATPOST INSERT</v>
      </c>
      <c r="C26" s="22">
        <f t="shared" si="3"/>
        <v>240</v>
      </c>
      <c r="D26" s="22">
        <f t="shared" si="16"/>
        <v>260</v>
      </c>
      <c r="E26" s="22">
        <f t="shared" si="17"/>
        <v>280</v>
      </c>
      <c r="F26" s="22">
        <f t="shared" si="18"/>
        <v>300</v>
      </c>
      <c r="G26" s="135"/>
      <c r="H26" s="135"/>
      <c r="J26" s="133" t="s">
        <v>2761</v>
      </c>
      <c r="K26" s="134" t="s">
        <v>2762</v>
      </c>
      <c r="L26" s="134" t="s">
        <v>2762</v>
      </c>
      <c r="M26" s="134" t="s">
        <v>2762</v>
      </c>
      <c r="N26" s="134" t="s">
        <v>2762</v>
      </c>
    </row>
    <row r="27" spans="1:14">
      <c r="A27" s="22" t="s">
        <v>69</v>
      </c>
      <c r="B27" s="22" t="s">
        <v>69</v>
      </c>
      <c r="F27" s="135"/>
      <c r="G27" s="135"/>
      <c r="H27" s="135"/>
      <c r="J27" s="133" t="s">
        <v>2763</v>
      </c>
      <c r="K27" s="134" t="s">
        <v>609</v>
      </c>
      <c r="L27" s="134" t="s">
        <v>609</v>
      </c>
      <c r="M27" s="134" t="s">
        <v>609</v>
      </c>
      <c r="N27" s="134" t="s">
        <v>609</v>
      </c>
    </row>
    <row r="28" spans="1:14">
      <c r="A28" s="22" t="s">
        <v>70</v>
      </c>
      <c r="B28" s="22" t="s">
        <v>70</v>
      </c>
      <c r="J28" s="133" t="s">
        <v>2764</v>
      </c>
      <c r="K28" s="134" t="s">
        <v>2765</v>
      </c>
      <c r="L28" s="134" t="s">
        <v>2766</v>
      </c>
      <c r="M28" s="134" t="s">
        <v>2767</v>
      </c>
      <c r="N28" s="134" t="s">
        <v>2768</v>
      </c>
    </row>
    <row r="29" spans="1:14">
      <c r="A29" s="22" t="s">
        <v>71</v>
      </c>
      <c r="B29" s="22" t="s">
        <v>71</v>
      </c>
    </row>
    <row r="30" spans="1:14">
      <c r="A30" s="22" t="s">
        <v>68</v>
      </c>
      <c r="B30" s="22" t="s">
        <v>68</v>
      </c>
      <c r="C30" s="22">
        <v>700</v>
      </c>
      <c r="D30" s="22">
        <v>700</v>
      </c>
      <c r="E30" s="22">
        <v>700</v>
      </c>
      <c r="F30" s="22">
        <v>700</v>
      </c>
      <c r="G30" s="136"/>
      <c r="H30" s="136"/>
    </row>
    <row r="31" spans="1:14">
      <c r="A31" s="22" t="s">
        <v>139</v>
      </c>
      <c r="B31" s="22" t="s">
        <v>139</v>
      </c>
      <c r="C31" s="22">
        <v>45</v>
      </c>
      <c r="D31" s="22">
        <v>45</v>
      </c>
      <c r="E31" s="22">
        <v>45</v>
      </c>
      <c r="F31" s="22">
        <v>45</v>
      </c>
      <c r="G31" s="135"/>
      <c r="H31" s="135"/>
    </row>
    <row r="32" spans="1:14">
      <c r="A32" s="22" t="s">
        <v>140</v>
      </c>
      <c r="B32" s="22" t="s">
        <v>140</v>
      </c>
      <c r="C32" s="22">
        <v>45</v>
      </c>
      <c r="D32" s="22">
        <v>45</v>
      </c>
      <c r="E32" s="22">
        <v>45</v>
      </c>
      <c r="F32" s="22">
        <v>45</v>
      </c>
      <c r="G32" s="135"/>
      <c r="H32" s="135"/>
    </row>
    <row r="33" spans="1:8">
      <c r="A33" s="22" t="s">
        <v>1752</v>
      </c>
      <c r="B33" s="22" t="s">
        <v>1752</v>
      </c>
      <c r="C33" s="135">
        <f>VALUE(LEFT(K7,3))</f>
        <v>165</v>
      </c>
      <c r="D33" s="135">
        <f t="shared" ref="D33:F33" si="19">VALUE(LEFT(L7,3))</f>
        <v>172</v>
      </c>
      <c r="E33" s="135">
        <f t="shared" si="19"/>
        <v>180</v>
      </c>
      <c r="F33" s="135">
        <f t="shared" si="19"/>
        <v>186</v>
      </c>
      <c r="G33" s="135"/>
      <c r="H33" s="135"/>
    </row>
    <row r="34" spans="1:8">
      <c r="A34" s="22" t="s">
        <v>1753</v>
      </c>
      <c r="B34" s="22" t="s">
        <v>1753</v>
      </c>
      <c r="C34" s="135">
        <f>VALUE(MID(K7,9,3))</f>
        <v>172</v>
      </c>
      <c r="D34" s="135">
        <f t="shared" ref="D34:F34" si="20">VALUE(MID(L7,9,3))</f>
        <v>180</v>
      </c>
      <c r="E34" s="135">
        <f t="shared" si="20"/>
        <v>186</v>
      </c>
      <c r="F34" s="135">
        <f t="shared" si="20"/>
        <v>193</v>
      </c>
      <c r="G34" s="135"/>
      <c r="H34" s="135"/>
    </row>
    <row r="35" spans="1:8">
      <c r="B35" s="137"/>
      <c r="C35" s="135"/>
      <c r="D35" s="135"/>
      <c r="F35" s="135"/>
      <c r="G35" s="135"/>
      <c r="H35" s="135"/>
    </row>
    <row r="36" spans="1:8">
      <c r="B36" s="137"/>
      <c r="C36" s="135"/>
      <c r="D36" s="135"/>
      <c r="F36" s="135"/>
      <c r="G36" s="135"/>
      <c r="H36" s="135"/>
    </row>
    <row r="37" spans="1:8">
      <c r="B37" s="135"/>
      <c r="C37" s="135"/>
      <c r="D37" s="135"/>
      <c r="E37" s="135"/>
      <c r="F37" s="135"/>
      <c r="G37" s="135"/>
      <c r="H37" s="135"/>
    </row>
    <row r="38" spans="1:8">
      <c r="B38" s="135"/>
      <c r="C38" s="135"/>
      <c r="D38" s="135"/>
      <c r="E38" s="135"/>
      <c r="F38" s="135"/>
      <c r="G38" s="135"/>
      <c r="H38" s="135"/>
    </row>
    <row r="39" spans="1:8">
      <c r="B39" s="135"/>
      <c r="C39" s="135"/>
      <c r="D39" s="135"/>
      <c r="E39" s="135"/>
      <c r="F39" s="135"/>
      <c r="G39" s="135"/>
      <c r="H39" s="135"/>
    </row>
    <row r="40" spans="1:8">
      <c r="B40" s="135"/>
      <c r="C40" s="135"/>
      <c r="D40" s="135"/>
      <c r="E40" s="135"/>
      <c r="F40" s="135"/>
      <c r="G40" s="135"/>
      <c r="H40" s="135"/>
    </row>
    <row r="41" spans="1:8">
      <c r="B41" s="135"/>
      <c r="C41" s="135"/>
      <c r="D41" s="135"/>
      <c r="E41" s="135"/>
      <c r="F41" s="135"/>
      <c r="G41" s="135"/>
      <c r="H41" s="135"/>
    </row>
    <row r="42" spans="1:8">
      <c r="B42" s="135"/>
      <c r="C42" s="135"/>
      <c r="D42" s="135"/>
      <c r="E42" s="135"/>
      <c r="F42" s="135"/>
      <c r="G42" s="135"/>
      <c r="H42" s="135"/>
    </row>
    <row r="43" spans="1:8">
      <c r="B43" s="135"/>
      <c r="C43" s="135"/>
      <c r="D43" s="135"/>
      <c r="E43" s="135"/>
      <c r="F43" s="135"/>
      <c r="G43" s="135"/>
      <c r="H43" s="135"/>
    </row>
    <row r="44" spans="1:8">
      <c r="B44" s="135"/>
      <c r="C44" s="135"/>
      <c r="D44" s="135"/>
      <c r="E44" s="135"/>
      <c r="F44" s="135"/>
      <c r="G44" s="135"/>
      <c r="H44" s="135"/>
    </row>
    <row r="45" spans="1:8">
      <c r="B45" s="135"/>
      <c r="C45" s="135"/>
      <c r="D45" s="135"/>
      <c r="E45" s="135"/>
      <c r="F45" s="135"/>
      <c r="G45" s="135"/>
      <c r="H45" s="135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333-D869-6A40-8C58-AF9257771ADD}">
  <dimension ref="A1:H29"/>
  <sheetViews>
    <sheetView topLeftCell="A2" workbookViewId="0">
      <selection activeCell="E1" sqref="E1"/>
    </sheetView>
  </sheetViews>
  <sheetFormatPr baseColWidth="10" defaultRowHeight="20"/>
  <cols>
    <col min="1" max="2" width="29.33203125" style="22" bestFit="1" customWidth="1"/>
    <col min="3" max="3" width="28.33203125" style="22" bestFit="1" customWidth="1"/>
    <col min="4" max="16384" width="10.83203125" style="22"/>
  </cols>
  <sheetData>
    <row r="1" spans="1:8">
      <c r="A1" s="22" t="s">
        <v>72</v>
      </c>
      <c r="B1" s="22" t="s">
        <v>72</v>
      </c>
      <c r="C1" s="22" t="s">
        <v>141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</row>
    <row r="2" spans="1:8">
      <c r="A2" s="22" t="s">
        <v>54</v>
      </c>
      <c r="B2" s="22" t="s">
        <v>73</v>
      </c>
      <c r="C2" s="22" t="s">
        <v>1141</v>
      </c>
      <c r="D2" s="22">
        <v>520</v>
      </c>
      <c r="E2" s="22">
        <v>535</v>
      </c>
      <c r="F2" s="22">
        <v>550</v>
      </c>
      <c r="G2" s="22">
        <v>565</v>
      </c>
      <c r="H2" s="22">
        <v>580</v>
      </c>
    </row>
    <row r="3" spans="1:8">
      <c r="A3" s="22" t="s">
        <v>55</v>
      </c>
      <c r="B3" s="22" t="s">
        <v>64</v>
      </c>
      <c r="C3" s="22" t="s">
        <v>1142</v>
      </c>
      <c r="D3" s="22">
        <v>120</v>
      </c>
      <c r="E3" s="22">
        <v>140</v>
      </c>
      <c r="F3" s="22">
        <v>150</v>
      </c>
      <c r="G3" s="22">
        <v>170</v>
      </c>
      <c r="H3" s="22">
        <v>190</v>
      </c>
    </row>
    <row r="4" spans="1:8">
      <c r="A4" s="22" t="s">
        <v>60</v>
      </c>
      <c r="B4" s="22" t="s">
        <v>63</v>
      </c>
      <c r="C4" s="22" t="s">
        <v>4</v>
      </c>
      <c r="D4" s="22">
        <v>74.5</v>
      </c>
      <c r="E4" s="22">
        <v>74</v>
      </c>
      <c r="F4" s="22">
        <v>73</v>
      </c>
      <c r="G4" s="22">
        <v>73</v>
      </c>
      <c r="H4" s="22">
        <v>73</v>
      </c>
    </row>
    <row r="5" spans="1:8">
      <c r="A5" s="22" t="s">
        <v>73</v>
      </c>
      <c r="B5" s="22" t="s">
        <v>62</v>
      </c>
      <c r="C5" s="22" t="s">
        <v>3</v>
      </c>
      <c r="D5" s="22">
        <v>70.5</v>
      </c>
      <c r="E5" s="22">
        <v>71</v>
      </c>
      <c r="F5" s="22">
        <v>71.5</v>
      </c>
      <c r="G5" s="22">
        <v>72</v>
      </c>
      <c r="H5" s="22">
        <v>72</v>
      </c>
    </row>
    <row r="6" spans="1:8">
      <c r="A6" s="22" t="s">
        <v>62</v>
      </c>
      <c r="B6" s="22" t="s">
        <v>65</v>
      </c>
      <c r="C6" s="22" t="s">
        <v>1143</v>
      </c>
      <c r="D6" s="22">
        <v>67</v>
      </c>
      <c r="E6" s="22">
        <v>67</v>
      </c>
      <c r="F6" s="22">
        <v>67</v>
      </c>
      <c r="G6" s="22">
        <v>67</v>
      </c>
      <c r="H6" s="22">
        <v>67</v>
      </c>
    </row>
    <row r="7" spans="1:8">
      <c r="A7" s="22" t="s">
        <v>63</v>
      </c>
      <c r="B7" s="22" t="s">
        <v>66</v>
      </c>
      <c r="C7" s="22" t="s">
        <v>1144</v>
      </c>
      <c r="D7" s="22">
        <v>435</v>
      </c>
      <c r="E7" s="22">
        <v>435</v>
      </c>
      <c r="F7" s="22">
        <v>435</v>
      </c>
      <c r="G7" s="22">
        <v>435</v>
      </c>
      <c r="H7" s="22">
        <v>435</v>
      </c>
    </row>
    <row r="8" spans="1:8">
      <c r="A8" s="22" t="s">
        <v>64</v>
      </c>
      <c r="B8" s="22" t="s">
        <v>56</v>
      </c>
      <c r="C8" s="22" t="s">
        <v>1145</v>
      </c>
      <c r="D8" s="22">
        <v>1020</v>
      </c>
      <c r="E8" s="22">
        <v>1021</v>
      </c>
      <c r="F8" s="22">
        <v>1026</v>
      </c>
      <c r="G8" s="22">
        <v>1037</v>
      </c>
      <c r="H8" s="22">
        <v>1052</v>
      </c>
    </row>
    <row r="9" spans="1:8">
      <c r="A9" s="22" t="s">
        <v>65</v>
      </c>
      <c r="B9" s="22" t="s">
        <v>134</v>
      </c>
      <c r="C9" s="22" t="s">
        <v>1146</v>
      </c>
      <c r="D9" s="22">
        <v>594</v>
      </c>
      <c r="E9" s="22">
        <v>595</v>
      </c>
      <c r="F9" s="22">
        <v>600</v>
      </c>
      <c r="G9" s="22">
        <v>611</v>
      </c>
      <c r="H9" s="22">
        <v>626</v>
      </c>
    </row>
    <row r="10" spans="1:8">
      <c r="A10" s="22" t="s">
        <v>66</v>
      </c>
      <c r="B10" s="22" t="s">
        <v>57</v>
      </c>
      <c r="C10" s="22" t="s">
        <v>1147</v>
      </c>
      <c r="D10" s="22">
        <v>75.900000000000006</v>
      </c>
      <c r="E10" s="22">
        <v>78.599999999999994</v>
      </c>
      <c r="F10" s="22">
        <v>80.3</v>
      </c>
      <c r="G10" s="22">
        <v>82.3</v>
      </c>
      <c r="H10" s="22">
        <v>84.3</v>
      </c>
    </row>
    <row r="11" spans="1:8">
      <c r="A11" s="22" t="s">
        <v>56</v>
      </c>
      <c r="B11" s="22" t="s">
        <v>1232</v>
      </c>
      <c r="C11" s="22" t="s">
        <v>1148</v>
      </c>
      <c r="D11" s="22">
        <v>395</v>
      </c>
      <c r="E11" s="22">
        <v>395</v>
      </c>
      <c r="F11" s="22">
        <v>395</v>
      </c>
      <c r="G11" s="22">
        <v>395</v>
      </c>
      <c r="H11" s="22">
        <v>395</v>
      </c>
    </row>
    <row r="12" spans="1:8">
      <c r="A12" s="22" t="s">
        <v>67</v>
      </c>
      <c r="B12" s="22" t="s">
        <v>67</v>
      </c>
      <c r="C12" s="22" t="s">
        <v>1149</v>
      </c>
      <c r="D12" s="22">
        <v>50</v>
      </c>
      <c r="E12" s="22">
        <v>50</v>
      </c>
      <c r="F12" s="22">
        <v>50</v>
      </c>
      <c r="G12" s="22">
        <v>50</v>
      </c>
      <c r="H12" s="22">
        <v>50</v>
      </c>
    </row>
    <row r="13" spans="1:8">
      <c r="A13" s="22" t="s">
        <v>57</v>
      </c>
      <c r="B13" s="22" t="s">
        <v>60</v>
      </c>
      <c r="C13" s="22" t="s">
        <v>1150</v>
      </c>
      <c r="D13" s="22">
        <v>490</v>
      </c>
      <c r="E13" s="22">
        <v>520</v>
      </c>
      <c r="F13" s="22">
        <v>540</v>
      </c>
      <c r="G13" s="22">
        <v>560</v>
      </c>
      <c r="H13" s="22">
        <v>580</v>
      </c>
    </row>
    <row r="14" spans="1:8">
      <c r="A14" s="22" t="s">
        <v>69</v>
      </c>
      <c r="B14" s="22" t="s">
        <v>55</v>
      </c>
      <c r="C14" s="22" t="s">
        <v>424</v>
      </c>
      <c r="D14" s="22">
        <v>371</v>
      </c>
      <c r="E14" s="22">
        <v>375</v>
      </c>
      <c r="F14" s="22">
        <v>376</v>
      </c>
      <c r="G14" s="22">
        <v>385</v>
      </c>
      <c r="H14" s="22">
        <v>394</v>
      </c>
    </row>
    <row r="15" spans="1:8">
      <c r="A15" s="22" t="s">
        <v>70</v>
      </c>
      <c r="B15" s="22" t="s">
        <v>54</v>
      </c>
      <c r="C15" s="22" t="s">
        <v>425</v>
      </c>
      <c r="D15" s="22">
        <v>537</v>
      </c>
      <c r="E15" s="22">
        <v>557</v>
      </c>
      <c r="F15" s="22">
        <v>568</v>
      </c>
      <c r="G15" s="22">
        <v>590</v>
      </c>
      <c r="H15" s="22">
        <v>609</v>
      </c>
    </row>
    <row r="16" spans="1:8">
      <c r="A16" s="22" t="s">
        <v>71</v>
      </c>
      <c r="B16" s="22" t="s">
        <v>69</v>
      </c>
      <c r="C16" s="22" t="s">
        <v>69</v>
      </c>
    </row>
    <row r="17" spans="1:8">
      <c r="A17" s="22" t="s">
        <v>68</v>
      </c>
      <c r="B17" s="22" t="s">
        <v>70</v>
      </c>
      <c r="C17" s="22" t="s">
        <v>70</v>
      </c>
    </row>
    <row r="18" spans="1:8">
      <c r="A18" s="22" t="s">
        <v>139</v>
      </c>
      <c r="B18" s="22" t="s">
        <v>71</v>
      </c>
      <c r="C18" s="22" t="s">
        <v>71</v>
      </c>
    </row>
    <row r="19" spans="1:8">
      <c r="A19" s="22" t="s">
        <v>140</v>
      </c>
      <c r="B19" s="22" t="s">
        <v>68</v>
      </c>
      <c r="C19" s="22" t="s">
        <v>68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B20" s="22" t="s">
        <v>139</v>
      </c>
      <c r="C20" s="22" t="s">
        <v>139</v>
      </c>
      <c r="D20" s="22">
        <v>43</v>
      </c>
      <c r="E20" s="22">
        <v>43</v>
      </c>
      <c r="F20" s="22">
        <v>43</v>
      </c>
      <c r="G20" s="22">
        <v>43</v>
      </c>
      <c r="H20" s="22">
        <v>43</v>
      </c>
    </row>
    <row r="21" spans="1:8">
      <c r="B21" s="22" t="s">
        <v>140</v>
      </c>
      <c r="C21" s="22" t="s">
        <v>140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</row>
    <row r="24" spans="1:8">
      <c r="D24" s="45" t="s">
        <v>1136</v>
      </c>
    </row>
    <row r="25" spans="1:8">
      <c r="D25" s="33" t="s">
        <v>1151</v>
      </c>
      <c r="E25" s="33" t="s">
        <v>1137</v>
      </c>
    </row>
    <row r="26" spans="1:8">
      <c r="D26" s="45" t="s">
        <v>17</v>
      </c>
      <c r="E26" s="33" t="s">
        <v>1138</v>
      </c>
    </row>
    <row r="27" spans="1:8">
      <c r="D27" s="45" t="s">
        <v>18</v>
      </c>
      <c r="E27" s="33" t="s">
        <v>1139</v>
      </c>
    </row>
    <row r="28" spans="1:8">
      <c r="D28" s="45" t="s">
        <v>1140</v>
      </c>
      <c r="E28" s="33" t="s">
        <v>574</v>
      </c>
    </row>
    <row r="29" spans="1:8">
      <c r="D29" s="45" t="s">
        <v>20</v>
      </c>
      <c r="E29" s="33" t="s">
        <v>575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61BD-619D-E14C-9308-ABD559093E99}">
  <dimension ref="A1:G44"/>
  <sheetViews>
    <sheetView topLeftCell="A16" workbookViewId="0">
      <selection activeCell="I24" sqref="I24"/>
    </sheetView>
  </sheetViews>
  <sheetFormatPr baseColWidth="10" defaultRowHeight="16"/>
  <cols>
    <col min="1" max="2" width="23.1640625" bestFit="1" customWidth="1"/>
    <col min="3" max="3" width="22.1640625" bestFit="1" customWidth="1"/>
  </cols>
  <sheetData>
    <row r="1" spans="1:7">
      <c r="A1" t="s">
        <v>72</v>
      </c>
      <c r="B1" t="s">
        <v>72</v>
      </c>
      <c r="C1" t="s">
        <v>138</v>
      </c>
      <c r="D1" s="18" t="s">
        <v>17</v>
      </c>
      <c r="E1" s="18" t="s">
        <v>18</v>
      </c>
      <c r="F1" s="18" t="s">
        <v>19</v>
      </c>
      <c r="G1" s="18" t="s">
        <v>20</v>
      </c>
    </row>
    <row r="2" spans="1:7">
      <c r="A2" t="s">
        <v>54</v>
      </c>
      <c r="B2" t="s">
        <v>54</v>
      </c>
      <c r="C2" s="11" t="s">
        <v>54</v>
      </c>
      <c r="D2" s="11">
        <v>522</v>
      </c>
      <c r="E2" s="11">
        <v>551</v>
      </c>
      <c r="F2" s="11">
        <v>580</v>
      </c>
      <c r="G2" s="11">
        <v>604</v>
      </c>
    </row>
    <row r="3" spans="1:7">
      <c r="A3" t="s">
        <v>55</v>
      </c>
      <c r="B3" t="s">
        <v>55</v>
      </c>
      <c r="C3" s="11" t="s">
        <v>55</v>
      </c>
      <c r="D3" s="11">
        <v>365</v>
      </c>
      <c r="E3" s="11">
        <v>376</v>
      </c>
      <c r="F3" s="11">
        <v>387</v>
      </c>
      <c r="G3" s="11">
        <v>401</v>
      </c>
    </row>
    <row r="4" spans="1:7">
      <c r="A4" t="s">
        <v>60</v>
      </c>
      <c r="B4" t="s">
        <v>57</v>
      </c>
      <c r="C4" s="11" t="s">
        <v>504</v>
      </c>
      <c r="D4" s="11">
        <v>743</v>
      </c>
      <c r="E4" s="11">
        <v>767</v>
      </c>
      <c r="F4" s="11">
        <v>791</v>
      </c>
      <c r="G4" s="11">
        <v>815</v>
      </c>
    </row>
    <row r="5" spans="1:7">
      <c r="A5" t="s">
        <v>73</v>
      </c>
      <c r="B5" t="s">
        <v>62</v>
      </c>
      <c r="C5" s="11" t="s">
        <v>505</v>
      </c>
      <c r="D5" s="11">
        <v>69.5</v>
      </c>
      <c r="E5" s="11">
        <v>71</v>
      </c>
      <c r="F5" s="11">
        <v>72.5</v>
      </c>
      <c r="G5" s="11">
        <v>72.5</v>
      </c>
    </row>
    <row r="6" spans="1:7">
      <c r="A6" t="s">
        <v>62</v>
      </c>
      <c r="B6" t="s">
        <v>64</v>
      </c>
      <c r="C6" s="11" t="s">
        <v>506</v>
      </c>
      <c r="D6" s="11">
        <v>105</v>
      </c>
      <c r="E6" s="11">
        <v>130</v>
      </c>
      <c r="F6" s="11">
        <v>155</v>
      </c>
      <c r="G6" s="11">
        <v>180</v>
      </c>
    </row>
    <row r="7" spans="1:7">
      <c r="A7" t="s">
        <v>63</v>
      </c>
      <c r="B7" t="s">
        <v>67</v>
      </c>
      <c r="C7" s="11" t="s">
        <v>507</v>
      </c>
      <c r="D7" s="11">
        <v>50</v>
      </c>
      <c r="E7" s="11">
        <v>50</v>
      </c>
      <c r="F7" s="11">
        <v>50</v>
      </c>
      <c r="G7" s="11">
        <v>50</v>
      </c>
    </row>
    <row r="8" spans="1:7">
      <c r="A8" t="s">
        <v>64</v>
      </c>
      <c r="B8" t="s">
        <v>60</v>
      </c>
      <c r="C8" s="11" t="s">
        <v>508</v>
      </c>
      <c r="D8" s="11">
        <v>520</v>
      </c>
      <c r="E8" s="11">
        <v>540</v>
      </c>
      <c r="F8" s="11">
        <v>560</v>
      </c>
      <c r="G8" s="11">
        <v>580</v>
      </c>
    </row>
    <row r="9" spans="1:7">
      <c r="A9" t="s">
        <v>65</v>
      </c>
      <c r="B9" t="s">
        <v>63</v>
      </c>
      <c r="C9" s="11" t="s">
        <v>509</v>
      </c>
      <c r="D9" s="11">
        <v>72.5</v>
      </c>
      <c r="E9" s="11">
        <v>72.5</v>
      </c>
      <c r="F9" s="11">
        <v>72.5</v>
      </c>
      <c r="G9" s="11">
        <v>72.5</v>
      </c>
    </row>
    <row r="10" spans="1:7">
      <c r="A10" t="s">
        <v>66</v>
      </c>
      <c r="B10" t="s">
        <v>517</v>
      </c>
      <c r="C10" s="11" t="s">
        <v>510</v>
      </c>
      <c r="D10" s="11">
        <v>74</v>
      </c>
      <c r="E10" s="11">
        <v>73.5</v>
      </c>
      <c r="F10" s="11">
        <v>73.5</v>
      </c>
      <c r="G10" s="11">
        <v>73.5</v>
      </c>
    </row>
    <row r="11" spans="1:7">
      <c r="A11" t="s">
        <v>56</v>
      </c>
      <c r="B11" t="s">
        <v>73</v>
      </c>
      <c r="C11" s="11" t="s">
        <v>511</v>
      </c>
      <c r="D11" s="11">
        <v>528</v>
      </c>
      <c r="E11" s="11">
        <v>549</v>
      </c>
      <c r="F11" s="11">
        <v>570</v>
      </c>
      <c r="G11" s="11">
        <v>591</v>
      </c>
    </row>
    <row r="12" spans="1:7">
      <c r="A12" t="s">
        <v>67</v>
      </c>
      <c r="B12" t="s">
        <v>516</v>
      </c>
      <c r="C12" s="11" t="s">
        <v>512</v>
      </c>
      <c r="D12" s="11">
        <v>514</v>
      </c>
      <c r="E12" s="11">
        <v>540</v>
      </c>
      <c r="F12" s="11">
        <v>560</v>
      </c>
      <c r="G12" s="11">
        <v>581</v>
      </c>
    </row>
    <row r="13" spans="1:7">
      <c r="A13" t="s">
        <v>57</v>
      </c>
      <c r="B13" t="s">
        <v>65</v>
      </c>
      <c r="C13" s="11" t="s">
        <v>513</v>
      </c>
      <c r="D13" s="11">
        <v>70</v>
      </c>
      <c r="E13" s="11">
        <v>70</v>
      </c>
      <c r="F13" s="11">
        <v>70</v>
      </c>
      <c r="G13" s="11">
        <v>70</v>
      </c>
    </row>
    <row r="14" spans="1:7">
      <c r="A14" t="s">
        <v>69</v>
      </c>
      <c r="B14" t="s">
        <v>480</v>
      </c>
      <c r="C14" s="11" t="s">
        <v>514</v>
      </c>
      <c r="D14" s="11">
        <v>592</v>
      </c>
      <c r="E14" s="11">
        <v>598</v>
      </c>
      <c r="F14" s="11">
        <v>604</v>
      </c>
      <c r="G14" s="11">
        <v>622</v>
      </c>
    </row>
    <row r="15" spans="1:7">
      <c r="A15" t="s">
        <v>70</v>
      </c>
      <c r="B15" t="s">
        <v>66</v>
      </c>
      <c r="C15" s="11" t="s">
        <v>515</v>
      </c>
      <c r="D15" s="11">
        <v>420</v>
      </c>
      <c r="E15" s="11">
        <v>420</v>
      </c>
      <c r="F15" s="11">
        <v>420</v>
      </c>
      <c r="G15" s="11">
        <v>420</v>
      </c>
    </row>
    <row r="16" spans="1:7">
      <c r="A16" t="s">
        <v>71</v>
      </c>
      <c r="B16" t="s">
        <v>56</v>
      </c>
      <c r="C16" s="11" t="s">
        <v>56</v>
      </c>
      <c r="D16" s="11">
        <v>1002</v>
      </c>
      <c r="E16" s="11">
        <v>1008</v>
      </c>
      <c r="F16" s="11">
        <v>1014</v>
      </c>
      <c r="G16" s="11">
        <v>1032</v>
      </c>
    </row>
    <row r="17" spans="1:7">
      <c r="A17" t="s">
        <v>68</v>
      </c>
      <c r="B17" t="s">
        <v>69</v>
      </c>
      <c r="C17" t="s">
        <v>69</v>
      </c>
      <c r="D17" s="11">
        <v>170</v>
      </c>
      <c r="E17" s="11">
        <v>172.5</v>
      </c>
      <c r="F17" s="11">
        <v>175</v>
      </c>
      <c r="G17" s="11">
        <v>175</v>
      </c>
    </row>
    <row r="18" spans="1:7">
      <c r="A18" t="s">
        <v>139</v>
      </c>
      <c r="B18" t="s">
        <v>70</v>
      </c>
      <c r="C18" t="s">
        <v>70</v>
      </c>
      <c r="D18" s="11">
        <v>400</v>
      </c>
      <c r="E18" s="11">
        <v>420</v>
      </c>
      <c r="F18" s="11">
        <v>440</v>
      </c>
      <c r="G18" s="11">
        <v>440</v>
      </c>
    </row>
    <row r="19" spans="1:7">
      <c r="A19" t="s">
        <v>140</v>
      </c>
      <c r="B19" t="s">
        <v>71</v>
      </c>
      <c r="C19" t="s">
        <v>71</v>
      </c>
      <c r="D19" s="11">
        <v>80</v>
      </c>
      <c r="E19" s="11">
        <v>90</v>
      </c>
      <c r="F19" s="11">
        <v>100</v>
      </c>
      <c r="G19" s="11">
        <v>110</v>
      </c>
    </row>
    <row r="20" spans="1:7" ht="17" customHeight="1">
      <c r="B20" t="s">
        <v>68</v>
      </c>
      <c r="C20" t="s">
        <v>68</v>
      </c>
      <c r="D20" s="11">
        <v>700</v>
      </c>
      <c r="E20" s="11">
        <v>700</v>
      </c>
      <c r="F20" s="11">
        <v>700</v>
      </c>
      <c r="G20" s="11">
        <v>700</v>
      </c>
    </row>
    <row r="21" spans="1:7" ht="17" customHeight="1">
      <c r="B21" t="s">
        <v>139</v>
      </c>
      <c r="C21" t="s">
        <v>139</v>
      </c>
      <c r="D21">
        <v>40</v>
      </c>
      <c r="E21">
        <v>40</v>
      </c>
      <c r="F21">
        <v>40</v>
      </c>
      <c r="G21">
        <v>40</v>
      </c>
    </row>
    <row r="22" spans="1:7" ht="17" customHeight="1">
      <c r="B22" t="s">
        <v>140</v>
      </c>
      <c r="C22" t="s">
        <v>140</v>
      </c>
      <c r="D22">
        <v>40</v>
      </c>
      <c r="E22">
        <v>40</v>
      </c>
      <c r="F22">
        <v>40</v>
      </c>
      <c r="G22">
        <v>40</v>
      </c>
    </row>
    <row r="23" spans="1:7" ht="17" customHeight="1"/>
    <row r="24" spans="1:7" ht="17" customHeight="1"/>
    <row r="25" spans="1:7" ht="17" customHeight="1"/>
    <row r="27" spans="1:7" ht="18">
      <c r="C27" s="17" t="s">
        <v>498</v>
      </c>
    </row>
    <row r="28" spans="1:7">
      <c r="C28" s="11"/>
      <c r="D28" s="18" t="s">
        <v>17</v>
      </c>
      <c r="E28" s="18" t="s">
        <v>18</v>
      </c>
      <c r="F28" s="18" t="s">
        <v>19</v>
      </c>
      <c r="G28" s="18" t="s">
        <v>20</v>
      </c>
    </row>
    <row r="29" spans="1:7">
      <c r="C29" s="11" t="s">
        <v>499</v>
      </c>
      <c r="D29" s="11" t="s">
        <v>500</v>
      </c>
      <c r="E29" s="11" t="s">
        <v>501</v>
      </c>
      <c r="F29" s="11" t="s">
        <v>502</v>
      </c>
      <c r="G29" s="11" t="s">
        <v>503</v>
      </c>
    </row>
    <row r="30" spans="1:7">
      <c r="C30" s="11" t="s">
        <v>54</v>
      </c>
      <c r="D30" s="11">
        <v>522</v>
      </c>
      <c r="E30" s="11">
        <v>551</v>
      </c>
      <c r="F30" s="11">
        <v>580</v>
      </c>
      <c r="G30" s="11">
        <v>604</v>
      </c>
    </row>
    <row r="31" spans="1:7">
      <c r="C31" s="11" t="s">
        <v>55</v>
      </c>
      <c r="D31" s="11">
        <v>365</v>
      </c>
      <c r="E31" s="11">
        <v>376</v>
      </c>
      <c r="F31" s="11">
        <v>387</v>
      </c>
      <c r="G31" s="11">
        <v>401</v>
      </c>
    </row>
    <row r="32" spans="1:7">
      <c r="C32" s="11" t="s">
        <v>504</v>
      </c>
      <c r="D32" s="11">
        <v>743</v>
      </c>
      <c r="E32" s="11">
        <v>767</v>
      </c>
      <c r="F32" s="11">
        <v>791</v>
      </c>
      <c r="G32" s="11">
        <v>815</v>
      </c>
    </row>
    <row r="33" spans="3:7">
      <c r="C33" s="11" t="s">
        <v>505</v>
      </c>
      <c r="D33" s="11" t="s">
        <v>172</v>
      </c>
      <c r="E33" s="11" t="s">
        <v>286</v>
      </c>
      <c r="F33" s="11" t="s">
        <v>293</v>
      </c>
      <c r="G33" s="11" t="s">
        <v>293</v>
      </c>
    </row>
    <row r="34" spans="3:7">
      <c r="C34" s="11" t="s">
        <v>506</v>
      </c>
      <c r="D34" s="11">
        <v>105</v>
      </c>
      <c r="E34" s="11">
        <v>130</v>
      </c>
      <c r="F34" s="11">
        <v>155</v>
      </c>
      <c r="G34" s="11">
        <v>180</v>
      </c>
    </row>
    <row r="35" spans="3:7">
      <c r="C35" s="11" t="s">
        <v>507</v>
      </c>
      <c r="D35" s="11">
        <v>50</v>
      </c>
      <c r="E35" s="11">
        <v>50</v>
      </c>
      <c r="F35" s="11">
        <v>50</v>
      </c>
      <c r="G35" s="11">
        <v>50</v>
      </c>
    </row>
    <row r="36" spans="3:7">
      <c r="C36" s="11" t="s">
        <v>508</v>
      </c>
      <c r="D36" s="11">
        <v>520</v>
      </c>
      <c r="E36" s="11">
        <v>540</v>
      </c>
      <c r="F36" s="11">
        <v>560</v>
      </c>
      <c r="G36" s="11">
        <v>580</v>
      </c>
    </row>
    <row r="37" spans="3:7">
      <c r="C37" s="11" t="s">
        <v>509</v>
      </c>
      <c r="D37" s="11" t="s">
        <v>293</v>
      </c>
      <c r="E37" s="11" t="s">
        <v>293</v>
      </c>
      <c r="F37" s="11" t="s">
        <v>293</v>
      </c>
      <c r="G37" s="11" t="s">
        <v>293</v>
      </c>
    </row>
    <row r="38" spans="3:7">
      <c r="C38" s="11" t="s">
        <v>510</v>
      </c>
      <c r="D38" s="11" t="s">
        <v>32</v>
      </c>
      <c r="E38" s="11" t="s">
        <v>33</v>
      </c>
      <c r="F38" s="11" t="s">
        <v>33</v>
      </c>
      <c r="G38" s="11" t="s">
        <v>33</v>
      </c>
    </row>
    <row r="39" spans="3:7">
      <c r="C39" s="11" t="s">
        <v>511</v>
      </c>
      <c r="D39" s="11">
        <v>528</v>
      </c>
      <c r="E39" s="11">
        <v>549</v>
      </c>
      <c r="F39" s="11">
        <v>570</v>
      </c>
      <c r="G39" s="11">
        <v>591</v>
      </c>
    </row>
    <row r="40" spans="3:7">
      <c r="C40" s="11" t="s">
        <v>512</v>
      </c>
      <c r="D40" s="11">
        <v>514</v>
      </c>
      <c r="E40" s="11">
        <v>540</v>
      </c>
      <c r="F40" s="11">
        <v>560</v>
      </c>
      <c r="G40" s="11">
        <v>581</v>
      </c>
    </row>
    <row r="41" spans="3:7">
      <c r="C41" s="11" t="s">
        <v>513</v>
      </c>
      <c r="D41" s="11">
        <v>70</v>
      </c>
      <c r="E41" s="11">
        <v>70</v>
      </c>
      <c r="F41" s="11">
        <v>70</v>
      </c>
      <c r="G41" s="11">
        <v>70</v>
      </c>
    </row>
    <row r="42" spans="3:7">
      <c r="C42" s="11" t="s">
        <v>514</v>
      </c>
      <c r="D42" s="11">
        <v>592</v>
      </c>
      <c r="E42" s="11">
        <v>598</v>
      </c>
      <c r="F42" s="11">
        <v>604</v>
      </c>
      <c r="G42" s="11">
        <v>622</v>
      </c>
    </row>
    <row r="43" spans="3:7">
      <c r="C43" s="11" t="s">
        <v>515</v>
      </c>
      <c r="D43" s="11">
        <v>420</v>
      </c>
      <c r="E43" s="11">
        <v>420</v>
      </c>
      <c r="F43" s="11">
        <v>420</v>
      </c>
      <c r="G43" s="11">
        <v>420</v>
      </c>
    </row>
    <row r="44" spans="3:7">
      <c r="C44" s="11" t="s">
        <v>56</v>
      </c>
      <c r="D44" s="11">
        <v>1002</v>
      </c>
      <c r="E44" s="11">
        <v>1008</v>
      </c>
      <c r="F44" s="11">
        <v>1014</v>
      </c>
      <c r="G44" s="11">
        <v>1032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180-877E-4446-9D03-09D9FDA1B549}">
  <dimension ref="A1:H32"/>
  <sheetViews>
    <sheetView workbookViewId="0">
      <selection activeCell="L28" sqref="L28"/>
    </sheetView>
  </sheetViews>
  <sheetFormatPr baseColWidth="10" defaultRowHeight="20"/>
  <cols>
    <col min="1" max="2" width="29.33203125" style="22" bestFit="1" customWidth="1"/>
    <col min="3" max="3" width="26.6640625" style="22" bestFit="1" customWidth="1"/>
    <col min="4" max="8" width="11.1640625" style="22" bestFit="1" customWidth="1"/>
    <col min="9" max="16384" width="10.83203125" style="22"/>
  </cols>
  <sheetData>
    <row r="1" spans="1:8">
      <c r="A1" s="22" t="s">
        <v>72</v>
      </c>
      <c r="B1" s="22" t="s">
        <v>72</v>
      </c>
      <c r="C1" s="22" t="s">
        <v>141</v>
      </c>
      <c r="D1" s="22" t="s">
        <v>16</v>
      </c>
      <c r="E1" s="22" t="s">
        <v>17</v>
      </c>
      <c r="F1" s="22" t="s">
        <v>18</v>
      </c>
      <c r="G1" s="22" t="s">
        <v>19</v>
      </c>
      <c r="H1" s="22" t="s">
        <v>20</v>
      </c>
    </row>
    <row r="2" spans="1:8">
      <c r="A2" s="22" t="s">
        <v>54</v>
      </c>
      <c r="B2" s="22" t="s">
        <v>54</v>
      </c>
      <c r="C2" s="22" t="s">
        <v>54</v>
      </c>
      <c r="D2" s="22">
        <v>520</v>
      </c>
      <c r="E2" s="22">
        <v>545</v>
      </c>
      <c r="F2" s="22">
        <v>570</v>
      </c>
      <c r="G2" s="22">
        <v>595</v>
      </c>
      <c r="H2" s="22">
        <v>620</v>
      </c>
    </row>
    <row r="3" spans="1:8">
      <c r="A3" s="22" t="s">
        <v>55</v>
      </c>
      <c r="B3" s="22" t="s">
        <v>55</v>
      </c>
      <c r="C3" s="22" t="s">
        <v>55</v>
      </c>
      <c r="D3" s="22">
        <v>346</v>
      </c>
      <c r="E3" s="22">
        <v>358</v>
      </c>
      <c r="F3" s="22">
        <v>370</v>
      </c>
      <c r="G3" s="22">
        <v>382</v>
      </c>
      <c r="H3" s="22">
        <v>394</v>
      </c>
    </row>
    <row r="4" spans="1:8">
      <c r="A4" s="22" t="s">
        <v>60</v>
      </c>
      <c r="B4" s="22" t="s">
        <v>57</v>
      </c>
      <c r="C4" s="22" t="s">
        <v>504</v>
      </c>
      <c r="D4" s="22">
        <v>707</v>
      </c>
      <c r="E4" s="22">
        <v>739</v>
      </c>
      <c r="F4" s="22">
        <v>777</v>
      </c>
      <c r="G4" s="22">
        <v>794</v>
      </c>
      <c r="H4" s="22">
        <v>817</v>
      </c>
    </row>
    <row r="5" spans="1:8">
      <c r="A5" s="22" t="s">
        <v>73</v>
      </c>
      <c r="B5" s="22" t="s">
        <v>62</v>
      </c>
      <c r="C5" s="22" t="s">
        <v>1744</v>
      </c>
      <c r="D5" s="22">
        <v>68</v>
      </c>
      <c r="E5" s="22">
        <v>69</v>
      </c>
      <c r="F5" s="22">
        <v>71</v>
      </c>
      <c r="G5" s="22">
        <v>71.5</v>
      </c>
      <c r="H5" s="22">
        <v>71.5</v>
      </c>
    </row>
    <row r="6" spans="1:8">
      <c r="A6" s="22" t="s">
        <v>62</v>
      </c>
      <c r="B6" s="22" t="s">
        <v>64</v>
      </c>
      <c r="C6" s="22" t="s">
        <v>1745</v>
      </c>
      <c r="D6" s="22">
        <v>99</v>
      </c>
      <c r="E6" s="22">
        <v>125</v>
      </c>
      <c r="F6" s="22">
        <v>150</v>
      </c>
      <c r="G6" s="22">
        <v>170</v>
      </c>
      <c r="H6" s="22">
        <v>196</v>
      </c>
    </row>
    <row r="7" spans="1:8">
      <c r="A7" s="22" t="s">
        <v>63</v>
      </c>
      <c r="B7" s="22" t="s">
        <v>67</v>
      </c>
      <c r="C7" s="22" t="s">
        <v>976</v>
      </c>
      <c r="D7" s="22">
        <v>50</v>
      </c>
      <c r="E7" s="22">
        <v>50</v>
      </c>
      <c r="F7" s="22">
        <v>50</v>
      </c>
      <c r="G7" s="22">
        <v>50</v>
      </c>
      <c r="H7" s="22">
        <v>50</v>
      </c>
    </row>
    <row r="8" spans="1:8">
      <c r="A8" s="22" t="s">
        <v>64</v>
      </c>
      <c r="B8" s="22" t="s">
        <v>60</v>
      </c>
      <c r="C8" s="22" t="s">
        <v>1746</v>
      </c>
      <c r="D8" s="22">
        <v>464</v>
      </c>
      <c r="E8" s="22">
        <v>495</v>
      </c>
      <c r="F8" s="22">
        <v>530</v>
      </c>
      <c r="G8" s="22">
        <v>550</v>
      </c>
      <c r="H8" s="22">
        <v>564</v>
      </c>
    </row>
    <row r="9" spans="1:8">
      <c r="A9" s="22" t="s">
        <v>65</v>
      </c>
      <c r="B9" s="22" t="s">
        <v>1784</v>
      </c>
      <c r="C9" s="22" t="s">
        <v>1747</v>
      </c>
      <c r="D9" s="22">
        <v>72.5</v>
      </c>
      <c r="E9" s="22">
        <v>72.5</v>
      </c>
      <c r="F9" s="22">
        <v>72.5</v>
      </c>
      <c r="G9" s="22">
        <v>72.5</v>
      </c>
      <c r="H9" s="22">
        <v>72.5</v>
      </c>
    </row>
    <row r="10" spans="1:8">
      <c r="A10" s="22" t="s">
        <v>66</v>
      </c>
      <c r="B10" s="22" t="s">
        <v>63</v>
      </c>
      <c r="C10" s="22" t="s">
        <v>1748</v>
      </c>
      <c r="D10" s="22">
        <v>74.5</v>
      </c>
      <c r="E10" s="22">
        <v>74</v>
      </c>
      <c r="F10" s="22">
        <v>73.5</v>
      </c>
      <c r="G10" s="22">
        <v>73.5</v>
      </c>
      <c r="H10" s="22">
        <v>73.5</v>
      </c>
    </row>
    <row r="11" spans="1:8">
      <c r="A11" s="22" t="s">
        <v>56</v>
      </c>
      <c r="B11" s="22" t="s">
        <v>73</v>
      </c>
      <c r="C11" s="22" t="s">
        <v>1749</v>
      </c>
      <c r="D11" s="22">
        <v>510</v>
      </c>
      <c r="E11" s="22">
        <v>530</v>
      </c>
      <c r="F11" s="22">
        <v>550</v>
      </c>
      <c r="G11" s="22">
        <v>570</v>
      </c>
      <c r="H11" s="22">
        <v>590</v>
      </c>
    </row>
    <row r="12" spans="1:8">
      <c r="A12" s="22" t="s">
        <v>67</v>
      </c>
      <c r="B12" s="22" t="s">
        <v>1783</v>
      </c>
      <c r="C12" s="22" t="s">
        <v>1750</v>
      </c>
      <c r="D12" s="22">
        <v>490</v>
      </c>
      <c r="E12" s="22">
        <v>515</v>
      </c>
      <c r="F12" s="22">
        <v>540</v>
      </c>
      <c r="G12" s="22">
        <v>560</v>
      </c>
      <c r="H12" s="22">
        <v>580</v>
      </c>
    </row>
    <row r="13" spans="1:8">
      <c r="A13" s="22" t="s">
        <v>57</v>
      </c>
      <c r="B13" s="22" t="s">
        <v>65</v>
      </c>
      <c r="C13" s="22" t="s">
        <v>354</v>
      </c>
      <c r="D13" s="22">
        <v>80</v>
      </c>
      <c r="E13" s="22">
        <v>77</v>
      </c>
      <c r="F13" s="22">
        <v>75</v>
      </c>
      <c r="G13" s="22">
        <v>75</v>
      </c>
      <c r="H13" s="22">
        <v>75</v>
      </c>
    </row>
    <row r="14" spans="1:8">
      <c r="A14" s="22" t="s">
        <v>69</v>
      </c>
      <c r="B14" s="22" t="s">
        <v>1754</v>
      </c>
      <c r="C14" s="22" t="s">
        <v>973</v>
      </c>
      <c r="D14" s="22">
        <v>583</v>
      </c>
      <c r="E14" s="22">
        <v>596</v>
      </c>
      <c r="F14" s="22">
        <v>599</v>
      </c>
      <c r="G14" s="22">
        <v>613</v>
      </c>
      <c r="H14" s="22">
        <v>634</v>
      </c>
    </row>
    <row r="15" spans="1:8">
      <c r="A15" s="22" t="s">
        <v>70</v>
      </c>
      <c r="B15" s="22" t="s">
        <v>66</v>
      </c>
      <c r="C15" s="22" t="s">
        <v>1751</v>
      </c>
      <c r="D15" s="22">
        <v>420</v>
      </c>
      <c r="E15" s="22">
        <v>420</v>
      </c>
      <c r="F15" s="22">
        <v>420</v>
      </c>
      <c r="G15" s="22">
        <v>420</v>
      </c>
      <c r="H15" s="22">
        <v>420</v>
      </c>
    </row>
    <row r="16" spans="1:8">
      <c r="A16" s="22" t="s">
        <v>71</v>
      </c>
      <c r="B16" s="22" t="s">
        <v>56</v>
      </c>
      <c r="C16" s="22" t="s">
        <v>56</v>
      </c>
      <c r="D16" s="22">
        <v>990</v>
      </c>
      <c r="E16" s="22">
        <v>1004</v>
      </c>
      <c r="F16" s="22">
        <v>1009</v>
      </c>
      <c r="G16" s="22">
        <v>1022</v>
      </c>
      <c r="H16" s="22">
        <v>1042</v>
      </c>
    </row>
    <row r="17" spans="1:8">
      <c r="A17" s="22" t="s">
        <v>68</v>
      </c>
      <c r="B17" s="22" t="s">
        <v>69</v>
      </c>
      <c r="C17" s="22" t="s">
        <v>69</v>
      </c>
    </row>
    <row r="18" spans="1:8">
      <c r="A18" s="22" t="s">
        <v>139</v>
      </c>
      <c r="B18" s="22" t="s">
        <v>70</v>
      </c>
      <c r="C18" s="22" t="s">
        <v>70</v>
      </c>
    </row>
    <row r="19" spans="1:8">
      <c r="A19" s="22" t="s">
        <v>140</v>
      </c>
      <c r="B19" s="22" t="s">
        <v>71</v>
      </c>
      <c r="C19" s="22" t="s">
        <v>71</v>
      </c>
    </row>
    <row r="20" spans="1:8">
      <c r="B20" s="22" t="s">
        <v>68</v>
      </c>
      <c r="C20" s="22" t="s">
        <v>68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</row>
    <row r="21" spans="1:8">
      <c r="B21" s="22" t="s">
        <v>139</v>
      </c>
      <c r="C21" s="22" t="s">
        <v>139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</row>
    <row r="22" spans="1:8">
      <c r="B22" s="22" t="s">
        <v>140</v>
      </c>
      <c r="C22" s="22" t="s">
        <v>140</v>
      </c>
      <c r="D22" s="22">
        <v>46</v>
      </c>
      <c r="E22" s="22">
        <v>46</v>
      </c>
      <c r="F22" s="22">
        <v>46</v>
      </c>
      <c r="G22" s="22">
        <v>46</v>
      </c>
      <c r="H22" s="22">
        <v>46</v>
      </c>
    </row>
    <row r="23" spans="1:8">
      <c r="B23" s="22" t="s">
        <v>1752</v>
      </c>
      <c r="C23" s="22" t="s">
        <v>1752</v>
      </c>
      <c r="D23" s="35">
        <f>D26*2.54</f>
        <v>152.4</v>
      </c>
      <c r="E23" s="35">
        <f>AVERAGE(E26,D27)*2.54</f>
        <v>162.56</v>
      </c>
      <c r="F23" s="35">
        <f t="shared" ref="F23:H23" si="0">AVERAGE(F26,E27)*2.54</f>
        <v>168.91</v>
      </c>
      <c r="G23" s="35">
        <f t="shared" si="0"/>
        <v>179.07</v>
      </c>
      <c r="H23" s="35">
        <f t="shared" si="0"/>
        <v>189.23</v>
      </c>
    </row>
    <row r="24" spans="1:8">
      <c r="B24" s="22" t="s">
        <v>1753</v>
      </c>
      <c r="C24" s="22" t="s">
        <v>1753</v>
      </c>
      <c r="D24" s="35">
        <f>E23</f>
        <v>162.56</v>
      </c>
      <c r="E24" s="35">
        <f t="shared" ref="E24:G24" si="1">F23</f>
        <v>168.91</v>
      </c>
      <c r="F24" s="35">
        <f t="shared" si="1"/>
        <v>179.07</v>
      </c>
      <c r="G24" s="35">
        <f t="shared" si="1"/>
        <v>189.23</v>
      </c>
      <c r="H24" s="35">
        <f>H27*2.54</f>
        <v>203.2</v>
      </c>
    </row>
    <row r="26" spans="1:8">
      <c r="D26" s="22">
        <v>60</v>
      </c>
      <c r="E26" s="22">
        <v>63</v>
      </c>
      <c r="F26" s="22">
        <v>66</v>
      </c>
      <c r="G26" s="22">
        <v>70</v>
      </c>
      <c r="H26" s="22">
        <v>74</v>
      </c>
    </row>
    <row r="27" spans="1:8">
      <c r="D27" s="22">
        <v>65</v>
      </c>
      <c r="E27" s="22">
        <v>67</v>
      </c>
      <c r="F27" s="22">
        <v>71</v>
      </c>
      <c r="G27" s="22">
        <v>75</v>
      </c>
      <c r="H27" s="22">
        <v>80</v>
      </c>
    </row>
    <row r="28" spans="1:8">
      <c r="C28" s="22" t="s">
        <v>1755</v>
      </c>
      <c r="D28" s="22">
        <v>0</v>
      </c>
      <c r="E28" s="22">
        <v>5</v>
      </c>
      <c r="F28" s="22">
        <v>5</v>
      </c>
      <c r="G28" s="22">
        <v>5</v>
      </c>
      <c r="H28" s="22">
        <v>6</v>
      </c>
    </row>
    <row r="29" spans="1:8">
      <c r="C29" s="22" t="s">
        <v>1756</v>
      </c>
      <c r="D29" s="22">
        <v>0</v>
      </c>
      <c r="E29" s="22">
        <v>3</v>
      </c>
      <c r="F29" s="22">
        <v>6</v>
      </c>
      <c r="G29" s="22">
        <v>10</v>
      </c>
      <c r="H29" s="22">
        <v>2</v>
      </c>
    </row>
    <row r="30" spans="1:8">
      <c r="C30" s="22" t="s">
        <v>1757</v>
      </c>
      <c r="D30" s="22">
        <v>5</v>
      </c>
      <c r="E30" s="22">
        <v>5</v>
      </c>
      <c r="F30" s="22">
        <v>5</v>
      </c>
      <c r="G30" s="22">
        <v>6</v>
      </c>
      <c r="H30" s="22">
        <v>6</v>
      </c>
    </row>
    <row r="31" spans="1:8">
      <c r="C31" s="22" t="s">
        <v>1758</v>
      </c>
      <c r="D31" s="22">
        <v>5</v>
      </c>
      <c r="E31" s="22">
        <v>7</v>
      </c>
      <c r="F31" s="22">
        <v>11</v>
      </c>
      <c r="G31" s="22">
        <v>3</v>
      </c>
      <c r="H31" s="22">
        <v>8</v>
      </c>
    </row>
    <row r="32" spans="1:8">
      <c r="C32" s="22" t="s">
        <v>499</v>
      </c>
      <c r="D32" s="22" t="s">
        <v>1740</v>
      </c>
      <c r="E32" s="22" t="s">
        <v>1741</v>
      </c>
      <c r="F32" s="22" t="s">
        <v>1742</v>
      </c>
      <c r="G32" s="22" t="s">
        <v>502</v>
      </c>
      <c r="H32" s="22" t="s">
        <v>1743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03EC-EA75-E649-9353-88E6F09542FB}">
  <dimension ref="A1:J53"/>
  <sheetViews>
    <sheetView topLeftCell="A19" workbookViewId="0">
      <selection activeCell="C26" sqref="C26:H29"/>
    </sheetView>
  </sheetViews>
  <sheetFormatPr baseColWidth="10" defaultRowHeight="20"/>
  <cols>
    <col min="1" max="1" width="29.33203125" style="22" bestFit="1" customWidth="1"/>
    <col min="2" max="2" width="28" style="22" bestFit="1" customWidth="1"/>
    <col min="3" max="8" width="13.83203125" style="22" customWidth="1"/>
    <col min="9" max="16384" width="10.83203125" style="22"/>
  </cols>
  <sheetData>
    <row r="1" spans="1:8">
      <c r="A1" s="22" t="s">
        <v>72</v>
      </c>
      <c r="B1" s="27" t="s">
        <v>141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  <c r="H1" s="27" t="s">
        <v>1289</v>
      </c>
    </row>
    <row r="2" spans="1:8">
      <c r="A2" s="22" t="s">
        <v>60</v>
      </c>
      <c r="B2" s="27" t="s">
        <v>2232</v>
      </c>
      <c r="C2" s="22">
        <v>405</v>
      </c>
      <c r="D2" s="22">
        <v>438</v>
      </c>
      <c r="E2" s="22">
        <v>471</v>
      </c>
      <c r="F2" s="22">
        <v>504</v>
      </c>
      <c r="G2" s="22">
        <v>537</v>
      </c>
      <c r="H2" s="22">
        <v>570</v>
      </c>
    </row>
    <row r="3" spans="1:8">
      <c r="A3" s="22" t="s">
        <v>73</v>
      </c>
      <c r="B3" s="27" t="s">
        <v>2233</v>
      </c>
      <c r="C3" s="22">
        <v>526</v>
      </c>
      <c r="D3" s="22">
        <v>539</v>
      </c>
      <c r="E3" s="22">
        <v>558</v>
      </c>
      <c r="F3" s="22">
        <v>570</v>
      </c>
      <c r="G3" s="22">
        <v>590</v>
      </c>
      <c r="H3" s="22">
        <v>603</v>
      </c>
    </row>
    <row r="4" spans="1:8">
      <c r="A4" s="22" t="s">
        <v>64</v>
      </c>
      <c r="B4" s="27" t="s">
        <v>2234</v>
      </c>
      <c r="C4" s="22">
        <v>110</v>
      </c>
      <c r="D4" s="22">
        <v>131</v>
      </c>
      <c r="E4" s="22">
        <v>152</v>
      </c>
      <c r="F4" s="22">
        <v>178</v>
      </c>
      <c r="G4" s="22">
        <v>199</v>
      </c>
      <c r="H4" s="22">
        <v>220</v>
      </c>
    </row>
    <row r="5" spans="1:8">
      <c r="A5" s="22" t="s">
        <v>66</v>
      </c>
      <c r="B5" s="27" t="s">
        <v>2235</v>
      </c>
      <c r="C5" s="22">
        <v>420</v>
      </c>
      <c r="D5" s="22">
        <v>420</v>
      </c>
      <c r="E5" s="22">
        <v>420</v>
      </c>
      <c r="F5" s="22">
        <v>420</v>
      </c>
      <c r="G5" s="22">
        <v>420</v>
      </c>
      <c r="H5" s="22">
        <v>420</v>
      </c>
    </row>
    <row r="6" spans="1:8">
      <c r="A6" s="22" t="s">
        <v>2266</v>
      </c>
      <c r="B6" s="27" t="s">
        <v>2236</v>
      </c>
      <c r="C6" s="22">
        <v>263</v>
      </c>
      <c r="D6" s="22">
        <v>263</v>
      </c>
      <c r="E6" s="22">
        <v>263</v>
      </c>
      <c r="F6" s="22">
        <v>265</v>
      </c>
      <c r="G6" s="22">
        <v>265</v>
      </c>
      <c r="H6" s="22">
        <v>265</v>
      </c>
    </row>
    <row r="7" spans="1:8">
      <c r="A7" s="22" t="s">
        <v>2267</v>
      </c>
      <c r="B7" s="27" t="s">
        <v>2237</v>
      </c>
      <c r="C7" s="22">
        <v>278</v>
      </c>
      <c r="D7" s="22">
        <v>278</v>
      </c>
      <c r="E7" s="22">
        <v>278</v>
      </c>
      <c r="F7" s="22">
        <v>280</v>
      </c>
      <c r="G7" s="22">
        <v>280</v>
      </c>
      <c r="H7" s="22">
        <v>280</v>
      </c>
    </row>
    <row r="8" spans="1:8">
      <c r="A8" s="22" t="s">
        <v>65</v>
      </c>
      <c r="B8" s="27" t="s">
        <v>2238</v>
      </c>
      <c r="C8" s="22">
        <v>78</v>
      </c>
      <c r="D8" s="22">
        <v>78</v>
      </c>
      <c r="E8" s="22">
        <v>78</v>
      </c>
      <c r="F8" s="22">
        <v>76</v>
      </c>
      <c r="G8" s="22">
        <v>76</v>
      </c>
      <c r="H8" s="22">
        <v>76</v>
      </c>
    </row>
    <row r="9" spans="1:8">
      <c r="A9" s="22" t="s">
        <v>56</v>
      </c>
      <c r="B9" s="27" t="s">
        <v>2239</v>
      </c>
      <c r="C9" s="22">
        <v>1009</v>
      </c>
      <c r="D9" s="22">
        <v>1019</v>
      </c>
      <c r="E9" s="22">
        <v>1029</v>
      </c>
      <c r="F9" s="22">
        <v>1044</v>
      </c>
      <c r="G9" s="22">
        <v>1053</v>
      </c>
      <c r="H9" s="22">
        <v>1062</v>
      </c>
    </row>
    <row r="10" spans="1:8">
      <c r="A10" s="22" t="s">
        <v>62</v>
      </c>
      <c r="B10" s="27" t="s">
        <v>2240</v>
      </c>
      <c r="C10" s="22">
        <v>70</v>
      </c>
      <c r="D10" s="22">
        <v>70.5</v>
      </c>
      <c r="E10" s="22">
        <v>71</v>
      </c>
      <c r="F10" s="22">
        <v>71</v>
      </c>
      <c r="G10" s="22">
        <v>71.5</v>
      </c>
      <c r="H10" s="22">
        <v>72</v>
      </c>
    </row>
    <row r="11" spans="1:8">
      <c r="A11" s="22" t="s">
        <v>63</v>
      </c>
      <c r="B11" s="27" t="s">
        <v>2241</v>
      </c>
      <c r="C11" s="22">
        <v>74</v>
      </c>
      <c r="D11" s="22">
        <v>74</v>
      </c>
      <c r="E11" s="22">
        <v>73.5</v>
      </c>
      <c r="F11" s="22">
        <v>73.5</v>
      </c>
      <c r="G11" s="22">
        <v>73</v>
      </c>
      <c r="H11" s="22">
        <v>73</v>
      </c>
    </row>
    <row r="12" spans="1:8">
      <c r="A12" s="22" t="s">
        <v>2268</v>
      </c>
      <c r="B12" s="27" t="s">
        <v>2242</v>
      </c>
      <c r="C12" s="22">
        <v>713</v>
      </c>
      <c r="D12" s="22">
        <v>746</v>
      </c>
      <c r="E12" s="22">
        <v>768</v>
      </c>
      <c r="F12" s="22">
        <v>798</v>
      </c>
      <c r="G12" s="22">
        <v>825</v>
      </c>
      <c r="H12" s="22">
        <v>853</v>
      </c>
    </row>
    <row r="13" spans="1:8">
      <c r="A13" s="22" t="s">
        <v>57</v>
      </c>
      <c r="B13" s="27" t="s">
        <v>2243</v>
      </c>
      <c r="C13" s="22">
        <v>727</v>
      </c>
      <c r="D13" s="22">
        <v>755</v>
      </c>
      <c r="E13" s="22">
        <v>783</v>
      </c>
      <c r="F13" s="22">
        <v>813</v>
      </c>
      <c r="G13" s="22">
        <v>840</v>
      </c>
      <c r="H13" s="22">
        <v>868</v>
      </c>
    </row>
    <row r="14" spans="1:8">
      <c r="A14" s="22" t="s">
        <v>55</v>
      </c>
      <c r="B14" s="27" t="s">
        <v>2244</v>
      </c>
      <c r="C14" s="22">
        <v>375</v>
      </c>
      <c r="D14" s="22">
        <v>382</v>
      </c>
      <c r="E14" s="22">
        <v>389</v>
      </c>
      <c r="F14" s="22">
        <v>395</v>
      </c>
      <c r="G14" s="22">
        <v>402</v>
      </c>
      <c r="H14" s="22">
        <v>409</v>
      </c>
    </row>
    <row r="15" spans="1:8">
      <c r="A15" s="22" t="s">
        <v>54</v>
      </c>
      <c r="B15" s="27" t="s">
        <v>2245</v>
      </c>
      <c r="C15" s="22">
        <v>526</v>
      </c>
      <c r="D15" s="22">
        <v>548</v>
      </c>
      <c r="E15" s="22">
        <v>570</v>
      </c>
      <c r="F15" s="22">
        <v>592</v>
      </c>
      <c r="G15" s="22">
        <v>614</v>
      </c>
      <c r="H15" s="22">
        <v>636</v>
      </c>
    </row>
    <row r="16" spans="1:8">
      <c r="A16" s="22" t="s">
        <v>495</v>
      </c>
      <c r="B16" s="27" t="s">
        <v>2246</v>
      </c>
      <c r="C16" s="22">
        <v>390</v>
      </c>
      <c r="D16" s="22">
        <v>390</v>
      </c>
      <c r="E16" s="22">
        <v>390</v>
      </c>
      <c r="F16" s="22">
        <v>390</v>
      </c>
      <c r="G16" s="22">
        <v>390</v>
      </c>
      <c r="H16" s="22">
        <v>390</v>
      </c>
    </row>
    <row r="17" spans="1:8">
      <c r="A17" s="22" t="s">
        <v>2269</v>
      </c>
      <c r="B17" s="27" t="s">
        <v>2247</v>
      </c>
      <c r="C17" s="22">
        <v>66</v>
      </c>
      <c r="D17" s="22">
        <v>62</v>
      </c>
      <c r="E17" s="22">
        <v>59</v>
      </c>
      <c r="F17" s="22">
        <v>59</v>
      </c>
      <c r="G17" s="22">
        <v>56</v>
      </c>
      <c r="H17" s="22">
        <v>53</v>
      </c>
    </row>
    <row r="18" spans="1:8">
      <c r="A18" s="22" t="s">
        <v>2270</v>
      </c>
      <c r="B18" s="27" t="s">
        <v>2248</v>
      </c>
      <c r="C18" s="22">
        <v>71</v>
      </c>
      <c r="D18" s="22">
        <v>68</v>
      </c>
      <c r="E18" s="22">
        <v>64</v>
      </c>
      <c r="F18" s="22">
        <v>64</v>
      </c>
      <c r="G18" s="22">
        <v>61</v>
      </c>
      <c r="H18" s="22">
        <v>58</v>
      </c>
    </row>
    <row r="19" spans="1:8">
      <c r="A19" s="22" t="s">
        <v>67</v>
      </c>
      <c r="B19" s="27" t="s">
        <v>1800</v>
      </c>
    </row>
    <row r="20" spans="1:8">
      <c r="A20" s="22" t="s">
        <v>69</v>
      </c>
      <c r="B20" s="22" t="s">
        <v>2291</v>
      </c>
      <c r="C20" s="22">
        <v>170</v>
      </c>
      <c r="D20" s="22">
        <v>170</v>
      </c>
      <c r="E20" s="22">
        <v>170</v>
      </c>
      <c r="F20" s="22">
        <v>172</v>
      </c>
      <c r="G20" s="22">
        <v>172</v>
      </c>
      <c r="H20" s="22">
        <v>175</v>
      </c>
    </row>
    <row r="21" spans="1:8">
      <c r="A21" s="22" t="s">
        <v>71</v>
      </c>
      <c r="B21" s="22" t="s">
        <v>2292</v>
      </c>
      <c r="C21" s="22">
        <v>70</v>
      </c>
      <c r="D21" s="22">
        <v>80</v>
      </c>
      <c r="E21" s="22">
        <v>90</v>
      </c>
      <c r="F21" s="22">
        <v>90</v>
      </c>
      <c r="G21" s="22">
        <v>100</v>
      </c>
      <c r="H21" s="22">
        <v>110</v>
      </c>
    </row>
    <row r="22" spans="1:8">
      <c r="A22" s="22" t="s">
        <v>70</v>
      </c>
      <c r="B22" s="22" t="s">
        <v>2293</v>
      </c>
      <c r="C22" s="22">
        <v>380</v>
      </c>
      <c r="D22" s="22">
        <v>400</v>
      </c>
      <c r="E22" s="22">
        <v>400</v>
      </c>
      <c r="F22" s="22">
        <v>420</v>
      </c>
      <c r="G22" s="22">
        <v>420</v>
      </c>
      <c r="H22" s="22">
        <v>440</v>
      </c>
    </row>
    <row r="23" spans="1:8">
      <c r="A23" s="22" t="s">
        <v>68</v>
      </c>
      <c r="B23" s="22" t="s">
        <v>977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8">
      <c r="A24" s="22" t="s">
        <v>139</v>
      </c>
      <c r="B24" s="22" t="s">
        <v>2294</v>
      </c>
      <c r="C24" s="22">
        <v>38</v>
      </c>
      <c r="D24" s="22">
        <v>38</v>
      </c>
      <c r="E24" s="22">
        <v>38</v>
      </c>
      <c r="F24" s="22">
        <v>38</v>
      </c>
      <c r="G24" s="22">
        <v>38</v>
      </c>
      <c r="H24" s="22">
        <v>38</v>
      </c>
    </row>
    <row r="25" spans="1:8">
      <c r="A25" s="22" t="s">
        <v>140</v>
      </c>
      <c r="B25" s="22" t="s">
        <v>2295</v>
      </c>
      <c r="C25" s="22">
        <v>45</v>
      </c>
      <c r="D25" s="22">
        <v>45</v>
      </c>
      <c r="E25" s="22">
        <v>45</v>
      </c>
      <c r="F25" s="22">
        <v>45</v>
      </c>
      <c r="G25" s="22">
        <v>45</v>
      </c>
      <c r="H25" s="22">
        <v>45</v>
      </c>
    </row>
    <row r="26" spans="1:8">
      <c r="A26" s="22" t="s">
        <v>1752</v>
      </c>
      <c r="B26" s="22" t="s">
        <v>2128</v>
      </c>
      <c r="C26" s="35">
        <v>155</v>
      </c>
      <c r="D26" s="35">
        <f>AVERAGE(D28,C29)</f>
        <v>166.5</v>
      </c>
      <c r="E26" s="35">
        <f t="shared" ref="E26:H26" si="0">AVERAGE(E28,D29)</f>
        <v>172.5</v>
      </c>
      <c r="F26" s="35">
        <f t="shared" si="0"/>
        <v>179.5</v>
      </c>
      <c r="G26" s="35">
        <f t="shared" si="0"/>
        <v>185.5</v>
      </c>
      <c r="H26" s="35">
        <f t="shared" si="0"/>
        <v>191.5</v>
      </c>
    </row>
    <row r="27" spans="1:8">
      <c r="A27" s="22" t="s">
        <v>1753</v>
      </c>
      <c r="B27" s="22" t="s">
        <v>2129</v>
      </c>
      <c r="C27" s="35">
        <f>D26</f>
        <v>166.5</v>
      </c>
      <c r="D27" s="35">
        <f t="shared" ref="D27:G27" si="1">E26</f>
        <v>172.5</v>
      </c>
      <c r="E27" s="35">
        <f t="shared" si="1"/>
        <v>179.5</v>
      </c>
      <c r="F27" s="35">
        <f t="shared" si="1"/>
        <v>185.5</v>
      </c>
      <c r="G27" s="35">
        <f t="shared" si="1"/>
        <v>191.5</v>
      </c>
      <c r="H27" s="35">
        <v>207</v>
      </c>
    </row>
    <row r="28" spans="1:8">
      <c r="C28" s="40">
        <v>155</v>
      </c>
      <c r="D28" s="40">
        <v>167</v>
      </c>
      <c r="E28" s="40">
        <v>173</v>
      </c>
      <c r="F28" s="40">
        <v>180</v>
      </c>
      <c r="G28" s="40">
        <v>186</v>
      </c>
      <c r="H28" s="40">
        <v>192</v>
      </c>
    </row>
    <row r="29" spans="1:8">
      <c r="C29" s="40">
        <v>166</v>
      </c>
      <c r="D29" s="40">
        <v>172</v>
      </c>
      <c r="E29" s="40">
        <v>179</v>
      </c>
      <c r="F29" s="40">
        <v>185</v>
      </c>
      <c r="G29" s="40">
        <v>191</v>
      </c>
      <c r="H29" s="40">
        <v>207</v>
      </c>
    </row>
    <row r="30" spans="1:8">
      <c r="C30" s="40"/>
      <c r="D30" s="40"/>
      <c r="E30" s="40"/>
      <c r="F30" s="40"/>
      <c r="G30" s="40"/>
      <c r="H30" s="40"/>
    </row>
    <row r="31" spans="1:8">
      <c r="B31" s="27" t="s">
        <v>141</v>
      </c>
      <c r="C31" s="27" t="s">
        <v>2249</v>
      </c>
      <c r="D31" s="27" t="s">
        <v>334</v>
      </c>
      <c r="E31" s="27" t="s">
        <v>2250</v>
      </c>
    </row>
    <row r="32" spans="1:8">
      <c r="B32" s="27" t="s">
        <v>16</v>
      </c>
      <c r="C32" s="22">
        <v>170</v>
      </c>
      <c r="D32" s="22">
        <v>70</v>
      </c>
      <c r="E32" s="22">
        <v>380</v>
      </c>
    </row>
    <row r="33" spans="2:10">
      <c r="B33" s="27" t="s">
        <v>17</v>
      </c>
      <c r="C33" s="22">
        <v>170</v>
      </c>
      <c r="D33" s="22">
        <v>80</v>
      </c>
      <c r="E33" s="22">
        <v>400</v>
      </c>
    </row>
    <row r="34" spans="2:10">
      <c r="B34" s="27" t="s">
        <v>18</v>
      </c>
      <c r="C34" s="22">
        <v>170</v>
      </c>
      <c r="D34" s="22">
        <v>90</v>
      </c>
      <c r="E34" s="22">
        <v>400</v>
      </c>
    </row>
    <row r="35" spans="2:10">
      <c r="B35" s="27" t="s">
        <v>19</v>
      </c>
      <c r="C35" s="22">
        <v>172</v>
      </c>
      <c r="D35" s="22">
        <v>90</v>
      </c>
      <c r="E35" s="22">
        <v>420</v>
      </c>
    </row>
    <row r="36" spans="2:10">
      <c r="B36" s="27" t="s">
        <v>20</v>
      </c>
      <c r="C36" s="22">
        <v>172</v>
      </c>
      <c r="D36" s="22">
        <v>100</v>
      </c>
      <c r="E36" s="22">
        <v>420</v>
      </c>
    </row>
    <row r="37" spans="2:10">
      <c r="B37" s="27" t="s">
        <v>1289</v>
      </c>
      <c r="C37" s="22">
        <v>175</v>
      </c>
      <c r="D37" s="22">
        <v>110</v>
      </c>
      <c r="E37" s="22">
        <v>440</v>
      </c>
    </row>
    <row r="39" spans="2:10">
      <c r="B39" s="29" t="s">
        <v>2251</v>
      </c>
    </row>
    <row r="40" spans="2:10">
      <c r="B40" s="29"/>
    </row>
    <row r="41" spans="2:10">
      <c r="B41" s="27" t="s">
        <v>2252</v>
      </c>
      <c r="C41" s="27" t="s">
        <v>2253</v>
      </c>
      <c r="D41" s="27" t="s">
        <v>141</v>
      </c>
    </row>
    <row r="42" spans="2:10" ht="22">
      <c r="B42" s="22" t="s">
        <v>2254</v>
      </c>
      <c r="C42" s="22" t="s">
        <v>2255</v>
      </c>
      <c r="D42" s="22" t="s">
        <v>16</v>
      </c>
      <c r="E42" s="22">
        <f>ROUND(VALUE(LEFT(C42,4)*2.54),0)</f>
        <v>155</v>
      </c>
      <c r="F42" s="22">
        <f>ROUND(VALUE(MID(C42,7,4))*2.54,0)</f>
        <v>166</v>
      </c>
      <c r="G42" s="40">
        <v>155</v>
      </c>
      <c r="H42" s="40">
        <v>166</v>
      </c>
      <c r="J42" s="88" t="s">
        <v>16</v>
      </c>
    </row>
    <row r="43" spans="2:10" ht="22">
      <c r="B43" s="22" t="s">
        <v>2256</v>
      </c>
      <c r="C43" s="22" t="s">
        <v>2257</v>
      </c>
      <c r="D43" s="22" t="s">
        <v>17</v>
      </c>
      <c r="E43" s="22">
        <f t="shared" ref="E43:E47" si="2">ROUND(VALUE(LEFT(C43,4)*2.54),0)</f>
        <v>167</v>
      </c>
      <c r="F43" s="22">
        <f t="shared" ref="F43:F47" si="3">ROUND(VALUE(MID(C43,7,4))*2.54,0)</f>
        <v>172</v>
      </c>
      <c r="G43" s="40">
        <v>167</v>
      </c>
      <c r="H43" s="40">
        <v>172</v>
      </c>
      <c r="J43" s="88" t="s">
        <v>2254</v>
      </c>
    </row>
    <row r="44" spans="2:10" ht="22">
      <c r="B44" s="22" t="s">
        <v>2258</v>
      </c>
      <c r="C44" s="22" t="s">
        <v>2259</v>
      </c>
      <c r="D44" s="22" t="s">
        <v>18</v>
      </c>
      <c r="E44" s="22">
        <f t="shared" si="2"/>
        <v>173</v>
      </c>
      <c r="F44" s="22">
        <f t="shared" si="3"/>
        <v>179</v>
      </c>
      <c r="G44" s="40">
        <v>173</v>
      </c>
      <c r="H44" s="40">
        <v>179</v>
      </c>
      <c r="J44" s="88" t="s">
        <v>17</v>
      </c>
    </row>
    <row r="45" spans="2:10" ht="22">
      <c r="B45" s="22" t="s">
        <v>2260</v>
      </c>
      <c r="C45" s="22" t="s">
        <v>2261</v>
      </c>
      <c r="D45" s="22" t="s">
        <v>19</v>
      </c>
      <c r="E45" s="22">
        <f t="shared" si="2"/>
        <v>180</v>
      </c>
      <c r="F45" s="22">
        <f t="shared" si="3"/>
        <v>185</v>
      </c>
      <c r="G45" s="40">
        <v>180</v>
      </c>
      <c r="H45" s="40">
        <v>185</v>
      </c>
      <c r="J45" s="88" t="s">
        <v>2256</v>
      </c>
    </row>
    <row r="46" spans="2:10" ht="22">
      <c r="B46" s="22" t="s">
        <v>2262</v>
      </c>
      <c r="C46" s="22" t="s">
        <v>2263</v>
      </c>
      <c r="D46" s="22" t="s">
        <v>20</v>
      </c>
      <c r="E46" s="22">
        <f t="shared" si="2"/>
        <v>186</v>
      </c>
      <c r="F46" s="22">
        <f t="shared" si="3"/>
        <v>191</v>
      </c>
      <c r="G46" s="40">
        <v>186</v>
      </c>
      <c r="H46" s="40">
        <v>191</v>
      </c>
      <c r="J46" s="88" t="s">
        <v>18</v>
      </c>
    </row>
    <row r="47" spans="2:10" ht="22">
      <c r="B47" s="22" t="s">
        <v>2264</v>
      </c>
      <c r="C47" s="22" t="s">
        <v>2265</v>
      </c>
      <c r="D47" s="22" t="s">
        <v>1289</v>
      </c>
      <c r="E47" s="22">
        <f t="shared" si="2"/>
        <v>192</v>
      </c>
      <c r="F47" s="22">
        <f t="shared" si="3"/>
        <v>207</v>
      </c>
      <c r="G47" s="40">
        <v>192</v>
      </c>
      <c r="H47" s="40">
        <v>207</v>
      </c>
      <c r="J47" s="88" t="s">
        <v>2258</v>
      </c>
    </row>
    <row r="48" spans="2:10" ht="22">
      <c r="J48" s="88" t="s">
        <v>19</v>
      </c>
    </row>
    <row r="49" spans="10:10" ht="22">
      <c r="J49" s="88" t="s">
        <v>2260</v>
      </c>
    </row>
    <row r="50" spans="10:10" ht="22">
      <c r="J50" s="88" t="s">
        <v>20</v>
      </c>
    </row>
    <row r="51" spans="10:10" ht="22">
      <c r="J51" s="88" t="s">
        <v>2262</v>
      </c>
    </row>
    <row r="52" spans="10:10" ht="22">
      <c r="J52" s="88" t="s">
        <v>1289</v>
      </c>
    </row>
    <row r="53" spans="10:10" ht="22">
      <c r="J53" s="88" t="s">
        <v>2264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0459-FEB7-5D4F-8E1B-183817DBE08D}">
  <dimension ref="A1:H47"/>
  <sheetViews>
    <sheetView topLeftCell="A12" workbookViewId="0">
      <selection activeCell="D26" sqref="D26"/>
    </sheetView>
  </sheetViews>
  <sheetFormatPr baseColWidth="10" defaultRowHeight="20"/>
  <cols>
    <col min="1" max="1" width="29.33203125" style="22" bestFit="1" customWidth="1"/>
    <col min="2" max="2" width="28" style="22" bestFit="1" customWidth="1"/>
    <col min="3" max="16384" width="10.83203125" style="22"/>
  </cols>
  <sheetData>
    <row r="1" spans="1:8">
      <c r="A1" s="22" t="s">
        <v>72</v>
      </c>
      <c r="B1" s="27" t="s">
        <v>141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  <c r="H1" s="27" t="s">
        <v>1289</v>
      </c>
    </row>
    <row r="2" spans="1:8">
      <c r="A2" s="22" t="s">
        <v>60</v>
      </c>
      <c r="B2" s="27" t="s">
        <v>2232</v>
      </c>
      <c r="C2" s="22">
        <v>425</v>
      </c>
      <c r="D2" s="22">
        <v>458</v>
      </c>
      <c r="E2" s="22">
        <v>491</v>
      </c>
      <c r="F2" s="22">
        <v>524</v>
      </c>
      <c r="G2" s="22">
        <v>557</v>
      </c>
      <c r="H2" s="22">
        <v>590</v>
      </c>
    </row>
    <row r="3" spans="1:8">
      <c r="A3" s="22" t="s">
        <v>73</v>
      </c>
      <c r="B3" s="27" t="s">
        <v>2233</v>
      </c>
      <c r="C3" s="22">
        <v>526</v>
      </c>
      <c r="D3" s="22">
        <v>539</v>
      </c>
      <c r="E3" s="22">
        <v>558</v>
      </c>
      <c r="F3" s="22">
        <v>570</v>
      </c>
      <c r="G3" s="22">
        <v>590</v>
      </c>
      <c r="H3" s="22">
        <v>603</v>
      </c>
    </row>
    <row r="4" spans="1:8">
      <c r="A4" s="22" t="s">
        <v>64</v>
      </c>
      <c r="B4" s="27" t="s">
        <v>2234</v>
      </c>
      <c r="C4" s="22">
        <v>110</v>
      </c>
      <c r="D4" s="22">
        <v>131</v>
      </c>
      <c r="E4" s="22">
        <v>152</v>
      </c>
      <c r="F4" s="22">
        <v>178</v>
      </c>
      <c r="G4" s="22">
        <v>199</v>
      </c>
      <c r="H4" s="22">
        <v>220</v>
      </c>
    </row>
    <row r="5" spans="1:8">
      <c r="A5" s="22" t="s">
        <v>66</v>
      </c>
      <c r="B5" s="27" t="s">
        <v>2235</v>
      </c>
      <c r="C5" s="22">
        <v>430</v>
      </c>
      <c r="D5" s="22">
        <v>430</v>
      </c>
      <c r="E5" s="22">
        <v>430</v>
      </c>
      <c r="F5" s="22">
        <v>430</v>
      </c>
      <c r="G5" s="22">
        <v>430</v>
      </c>
      <c r="H5" s="22">
        <v>430</v>
      </c>
    </row>
    <row r="6" spans="1:8">
      <c r="A6" s="22" t="s">
        <v>2266</v>
      </c>
      <c r="B6" s="27" t="s">
        <v>2236</v>
      </c>
      <c r="C6" s="22">
        <v>263</v>
      </c>
      <c r="D6" s="22">
        <v>263</v>
      </c>
      <c r="E6" s="22">
        <v>263</v>
      </c>
      <c r="F6" s="22">
        <v>265</v>
      </c>
      <c r="G6" s="22">
        <v>265</v>
      </c>
      <c r="H6" s="22">
        <v>265</v>
      </c>
    </row>
    <row r="7" spans="1:8">
      <c r="A7" s="22" t="s">
        <v>2267</v>
      </c>
      <c r="B7" s="27" t="s">
        <v>2237</v>
      </c>
      <c r="C7" s="22">
        <v>278</v>
      </c>
      <c r="D7" s="22">
        <v>278</v>
      </c>
      <c r="E7" s="22">
        <v>278</v>
      </c>
      <c r="F7" s="22">
        <v>280</v>
      </c>
      <c r="G7" s="22">
        <v>280</v>
      </c>
      <c r="H7" s="22">
        <v>280</v>
      </c>
    </row>
    <row r="8" spans="1:8">
      <c r="A8" s="22" t="s">
        <v>65</v>
      </c>
      <c r="B8" s="27" t="s">
        <v>2238</v>
      </c>
      <c r="C8" s="22">
        <v>78</v>
      </c>
      <c r="D8" s="22">
        <v>78</v>
      </c>
      <c r="E8" s="22">
        <v>78</v>
      </c>
      <c r="F8" s="22">
        <v>76</v>
      </c>
      <c r="G8" s="22">
        <v>76</v>
      </c>
      <c r="H8" s="22">
        <v>76</v>
      </c>
    </row>
    <row r="9" spans="1:8">
      <c r="A9" s="22" t="s">
        <v>56</v>
      </c>
      <c r="B9" s="27" t="s">
        <v>2239</v>
      </c>
      <c r="C9" s="22">
        <v>1020</v>
      </c>
      <c r="D9" s="22">
        <v>1030</v>
      </c>
      <c r="E9" s="22">
        <v>1039</v>
      </c>
      <c r="F9" s="22">
        <v>1054</v>
      </c>
      <c r="G9" s="22">
        <v>1063</v>
      </c>
      <c r="H9" s="22">
        <v>1072</v>
      </c>
    </row>
    <row r="10" spans="1:8">
      <c r="A10" s="22" t="s">
        <v>62</v>
      </c>
      <c r="B10" s="27" t="s">
        <v>2240</v>
      </c>
      <c r="C10" s="22">
        <v>70</v>
      </c>
      <c r="D10" s="22">
        <v>70.5</v>
      </c>
      <c r="E10" s="22">
        <v>71</v>
      </c>
      <c r="F10" s="22">
        <v>71</v>
      </c>
      <c r="G10" s="22">
        <v>71.5</v>
      </c>
      <c r="H10" s="22">
        <v>72</v>
      </c>
    </row>
    <row r="11" spans="1:8">
      <c r="A11" s="22" t="s">
        <v>63</v>
      </c>
      <c r="B11" s="27" t="s">
        <v>2241</v>
      </c>
      <c r="C11" s="22">
        <v>74</v>
      </c>
      <c r="D11" s="22">
        <v>74</v>
      </c>
      <c r="E11" s="22">
        <v>73.5</v>
      </c>
      <c r="F11" s="22">
        <v>73.5</v>
      </c>
      <c r="G11" s="22">
        <v>73</v>
      </c>
      <c r="H11" s="22">
        <v>73</v>
      </c>
    </row>
    <row r="12" spans="1:8">
      <c r="A12" s="22" t="s">
        <v>2268</v>
      </c>
      <c r="B12" s="27" t="s">
        <v>2242</v>
      </c>
      <c r="C12" s="22">
        <v>704</v>
      </c>
      <c r="D12" s="22">
        <v>731</v>
      </c>
      <c r="E12" s="22">
        <v>759</v>
      </c>
      <c r="F12" s="22">
        <v>788</v>
      </c>
      <c r="G12" s="22">
        <v>815</v>
      </c>
      <c r="H12" s="22">
        <v>838</v>
      </c>
    </row>
    <row r="13" spans="1:8">
      <c r="A13" s="22" t="s">
        <v>57</v>
      </c>
      <c r="B13" s="27" t="s">
        <v>2243</v>
      </c>
      <c r="C13" s="22">
        <v>718</v>
      </c>
      <c r="D13" s="22">
        <v>746</v>
      </c>
      <c r="E13" s="22">
        <v>773</v>
      </c>
      <c r="F13" s="22">
        <v>803</v>
      </c>
      <c r="G13" s="22">
        <v>830</v>
      </c>
      <c r="H13" s="22">
        <v>853</v>
      </c>
    </row>
    <row r="14" spans="1:8">
      <c r="A14" s="22" t="s">
        <v>55</v>
      </c>
      <c r="B14" s="27" t="s">
        <v>2244</v>
      </c>
      <c r="C14" s="22">
        <v>375</v>
      </c>
      <c r="D14" s="22">
        <v>382</v>
      </c>
      <c r="E14" s="22">
        <v>389</v>
      </c>
      <c r="F14" s="22">
        <v>395</v>
      </c>
      <c r="G14" s="22">
        <v>402</v>
      </c>
      <c r="H14" s="22">
        <v>409</v>
      </c>
    </row>
    <row r="15" spans="1:8">
      <c r="A15" s="22" t="s">
        <v>54</v>
      </c>
      <c r="B15" s="27" t="s">
        <v>2245</v>
      </c>
      <c r="C15" s="22">
        <v>526</v>
      </c>
      <c r="D15" s="22">
        <v>548</v>
      </c>
      <c r="E15" s="22">
        <v>570</v>
      </c>
      <c r="F15" s="22">
        <v>592</v>
      </c>
      <c r="G15" s="22">
        <v>614</v>
      </c>
      <c r="H15" s="22">
        <v>636</v>
      </c>
    </row>
    <row r="16" spans="1:8">
      <c r="A16" s="22" t="s">
        <v>495</v>
      </c>
      <c r="B16" s="27" t="s">
        <v>2246</v>
      </c>
      <c r="C16" s="22">
        <v>390</v>
      </c>
    </row>
    <row r="17" spans="1:8">
      <c r="A17" s="22" t="s">
        <v>2269</v>
      </c>
      <c r="B17" s="27" t="s">
        <v>2247</v>
      </c>
      <c r="C17" s="22">
        <v>66</v>
      </c>
      <c r="D17" s="22">
        <v>62</v>
      </c>
      <c r="E17" s="22">
        <v>59</v>
      </c>
      <c r="F17" s="22">
        <v>59</v>
      </c>
      <c r="G17" s="22">
        <v>56</v>
      </c>
      <c r="H17" s="22">
        <v>53</v>
      </c>
    </row>
    <row r="18" spans="1:8">
      <c r="A18" s="22" t="s">
        <v>2270</v>
      </c>
      <c r="B18" s="27" t="s">
        <v>2248</v>
      </c>
      <c r="C18" s="22">
        <v>71</v>
      </c>
      <c r="D18" s="22">
        <v>68</v>
      </c>
      <c r="E18" s="22">
        <v>64</v>
      </c>
      <c r="F18" s="22">
        <v>64</v>
      </c>
      <c r="G18" s="22">
        <v>61</v>
      </c>
      <c r="H18" s="22">
        <v>58</v>
      </c>
    </row>
    <row r="19" spans="1:8">
      <c r="A19" s="22" t="s">
        <v>67</v>
      </c>
      <c r="B19" s="27" t="s">
        <v>1800</v>
      </c>
    </row>
    <row r="20" spans="1:8">
      <c r="A20" s="22" t="s">
        <v>69</v>
      </c>
      <c r="C20" s="22">
        <v>170</v>
      </c>
      <c r="D20" s="22">
        <v>170</v>
      </c>
      <c r="E20" s="22">
        <v>170</v>
      </c>
      <c r="F20" s="22">
        <v>172</v>
      </c>
      <c r="G20" s="22">
        <v>172</v>
      </c>
      <c r="H20" s="22">
        <v>175</v>
      </c>
    </row>
    <row r="21" spans="1:8">
      <c r="A21" s="22" t="s">
        <v>71</v>
      </c>
      <c r="C21" s="22">
        <v>70</v>
      </c>
      <c r="D21" s="22">
        <v>80</v>
      </c>
      <c r="E21" s="22">
        <v>90</v>
      </c>
      <c r="F21" s="22">
        <v>90</v>
      </c>
      <c r="G21" s="22">
        <v>100</v>
      </c>
      <c r="H21" s="22">
        <v>110</v>
      </c>
    </row>
    <row r="22" spans="1:8">
      <c r="A22" s="22" t="s">
        <v>70</v>
      </c>
      <c r="C22" s="22">
        <v>380</v>
      </c>
      <c r="D22" s="22">
        <v>400</v>
      </c>
      <c r="E22" s="22">
        <v>400</v>
      </c>
      <c r="F22" s="22">
        <v>420</v>
      </c>
      <c r="G22" s="22">
        <v>420</v>
      </c>
      <c r="H22" s="22">
        <v>440</v>
      </c>
    </row>
    <row r="23" spans="1:8">
      <c r="A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8">
      <c r="A24" s="22" t="s">
        <v>139</v>
      </c>
      <c r="C24" s="22">
        <v>40</v>
      </c>
      <c r="D24" s="22">
        <v>40</v>
      </c>
      <c r="E24" s="22">
        <v>40</v>
      </c>
      <c r="F24" s="22">
        <v>40</v>
      </c>
      <c r="G24" s="22">
        <v>40</v>
      </c>
      <c r="H24" s="22">
        <v>40</v>
      </c>
    </row>
    <row r="25" spans="1:8">
      <c r="A25" s="22" t="s">
        <v>140</v>
      </c>
      <c r="C25" s="22">
        <v>45</v>
      </c>
      <c r="D25" s="22">
        <v>45</v>
      </c>
      <c r="E25" s="22">
        <v>45</v>
      </c>
      <c r="F25" s="22">
        <v>45</v>
      </c>
      <c r="G25" s="22">
        <v>45</v>
      </c>
      <c r="H25" s="22">
        <v>45</v>
      </c>
    </row>
    <row r="26" spans="1:8">
      <c r="A26" s="22" t="s">
        <v>1752</v>
      </c>
      <c r="C26" s="35">
        <v>155</v>
      </c>
      <c r="D26" s="35">
        <f>AVERAGE(D28,C29)</f>
        <v>166.5</v>
      </c>
      <c r="E26" s="35">
        <f t="shared" ref="E26:H26" si="0">AVERAGE(E28,D29)</f>
        <v>172.5</v>
      </c>
      <c r="F26" s="35">
        <f t="shared" si="0"/>
        <v>179.5</v>
      </c>
      <c r="G26" s="35">
        <f t="shared" si="0"/>
        <v>185.5</v>
      </c>
      <c r="H26" s="35">
        <f t="shared" si="0"/>
        <v>191.5</v>
      </c>
    </row>
    <row r="27" spans="1:8">
      <c r="A27" s="22" t="s">
        <v>1753</v>
      </c>
      <c r="C27" s="35">
        <f>D26</f>
        <v>166.5</v>
      </c>
      <c r="D27" s="35">
        <f t="shared" ref="D27:G27" si="1">E26</f>
        <v>172.5</v>
      </c>
      <c r="E27" s="35">
        <f t="shared" si="1"/>
        <v>179.5</v>
      </c>
      <c r="F27" s="35">
        <f t="shared" si="1"/>
        <v>185.5</v>
      </c>
      <c r="G27" s="35">
        <f t="shared" si="1"/>
        <v>191.5</v>
      </c>
      <c r="H27" s="35">
        <v>207</v>
      </c>
    </row>
    <row r="28" spans="1:8">
      <c r="C28" s="40">
        <v>155</v>
      </c>
      <c r="D28" s="40">
        <v>167</v>
      </c>
      <c r="E28" s="40">
        <v>173</v>
      </c>
      <c r="F28" s="40">
        <v>180</v>
      </c>
      <c r="G28" s="40">
        <v>186</v>
      </c>
      <c r="H28" s="40">
        <v>192</v>
      </c>
    </row>
    <row r="29" spans="1:8">
      <c r="C29" s="40">
        <v>166</v>
      </c>
      <c r="D29" s="40">
        <v>172</v>
      </c>
      <c r="E29" s="40">
        <v>179</v>
      </c>
      <c r="F29" s="40">
        <v>185</v>
      </c>
      <c r="G29" s="40">
        <v>191</v>
      </c>
      <c r="H29" s="40">
        <v>207</v>
      </c>
    </row>
    <row r="30" spans="1:8">
      <c r="C30" s="40"/>
      <c r="D30" s="40"/>
      <c r="E30" s="40"/>
      <c r="F30" s="40"/>
      <c r="G30" s="40"/>
      <c r="H30" s="40"/>
    </row>
    <row r="31" spans="1:8">
      <c r="B31" s="27" t="s">
        <v>141</v>
      </c>
      <c r="C31" s="27" t="s">
        <v>2249</v>
      </c>
      <c r="D31" s="27" t="s">
        <v>334</v>
      </c>
      <c r="E31" s="27" t="s">
        <v>2250</v>
      </c>
    </row>
    <row r="32" spans="1:8">
      <c r="B32" s="27" t="s">
        <v>16</v>
      </c>
      <c r="C32" s="22">
        <v>170</v>
      </c>
      <c r="D32" s="22">
        <v>70</v>
      </c>
      <c r="E32" s="22">
        <v>380</v>
      </c>
    </row>
    <row r="33" spans="2:8">
      <c r="B33" s="27" t="s">
        <v>17</v>
      </c>
      <c r="C33" s="22">
        <v>170</v>
      </c>
      <c r="D33" s="22">
        <v>80</v>
      </c>
      <c r="E33" s="22">
        <v>400</v>
      </c>
    </row>
    <row r="34" spans="2:8">
      <c r="B34" s="27" t="s">
        <v>18</v>
      </c>
      <c r="C34" s="22">
        <v>170</v>
      </c>
      <c r="D34" s="22">
        <v>90</v>
      </c>
      <c r="E34" s="22">
        <v>400</v>
      </c>
    </row>
    <row r="35" spans="2:8">
      <c r="B35" s="27" t="s">
        <v>19</v>
      </c>
      <c r="C35" s="22">
        <v>172</v>
      </c>
      <c r="D35" s="22">
        <v>90</v>
      </c>
      <c r="E35" s="22">
        <v>420</v>
      </c>
    </row>
    <row r="36" spans="2:8">
      <c r="B36" s="27" t="s">
        <v>20</v>
      </c>
      <c r="C36" s="22">
        <v>172</v>
      </c>
      <c r="D36" s="22">
        <v>100</v>
      </c>
      <c r="E36" s="22">
        <v>420</v>
      </c>
    </row>
    <row r="37" spans="2:8">
      <c r="B37" s="27" t="s">
        <v>1289</v>
      </c>
      <c r="C37" s="22">
        <v>175</v>
      </c>
      <c r="D37" s="22">
        <v>110</v>
      </c>
      <c r="E37" s="22">
        <v>440</v>
      </c>
    </row>
    <row r="39" spans="2:8">
      <c r="B39" s="29" t="s">
        <v>2251</v>
      </c>
    </row>
    <row r="40" spans="2:8">
      <c r="B40" s="29"/>
    </row>
    <row r="41" spans="2:8">
      <c r="B41" s="27" t="s">
        <v>2252</v>
      </c>
      <c r="C41" s="27" t="s">
        <v>2253</v>
      </c>
      <c r="D41" s="27" t="s">
        <v>141</v>
      </c>
    </row>
    <row r="42" spans="2:8">
      <c r="B42" s="22" t="s">
        <v>2254</v>
      </c>
      <c r="C42" s="22" t="s">
        <v>2255</v>
      </c>
      <c r="D42" s="22" t="s">
        <v>16</v>
      </c>
      <c r="E42" s="22">
        <f>ROUND(VALUE(LEFT(C42,4)*2.54),0)</f>
        <v>155</v>
      </c>
      <c r="F42" s="22">
        <f>ROUND(VALUE(MID(C42,7,4))*2.54,0)</f>
        <v>166</v>
      </c>
      <c r="G42" s="40">
        <v>155</v>
      </c>
      <c r="H42" s="40">
        <v>166</v>
      </c>
    </row>
    <row r="43" spans="2:8">
      <c r="B43" s="22" t="s">
        <v>2256</v>
      </c>
      <c r="C43" s="22" t="s">
        <v>2257</v>
      </c>
      <c r="D43" s="22" t="s">
        <v>17</v>
      </c>
      <c r="E43" s="22">
        <f t="shared" ref="E43:E47" si="2">ROUND(VALUE(LEFT(C43,4)*2.54),0)</f>
        <v>167</v>
      </c>
      <c r="F43" s="22">
        <f t="shared" ref="F43:F47" si="3">ROUND(VALUE(MID(C43,7,4))*2.54,0)</f>
        <v>172</v>
      </c>
      <c r="G43" s="40">
        <v>167</v>
      </c>
      <c r="H43" s="40">
        <v>172</v>
      </c>
    </row>
    <row r="44" spans="2:8">
      <c r="B44" s="22" t="s">
        <v>2258</v>
      </c>
      <c r="C44" s="22" t="s">
        <v>2259</v>
      </c>
      <c r="D44" s="22" t="s">
        <v>18</v>
      </c>
      <c r="E44" s="22">
        <f t="shared" si="2"/>
        <v>173</v>
      </c>
      <c r="F44" s="22">
        <f t="shared" si="3"/>
        <v>179</v>
      </c>
      <c r="G44" s="40">
        <v>173</v>
      </c>
      <c r="H44" s="40">
        <v>179</v>
      </c>
    </row>
    <row r="45" spans="2:8">
      <c r="B45" s="22" t="s">
        <v>2260</v>
      </c>
      <c r="C45" s="22" t="s">
        <v>2261</v>
      </c>
      <c r="D45" s="22" t="s">
        <v>19</v>
      </c>
      <c r="E45" s="22">
        <f t="shared" si="2"/>
        <v>180</v>
      </c>
      <c r="F45" s="22">
        <f t="shared" si="3"/>
        <v>185</v>
      </c>
      <c r="G45" s="40">
        <v>180</v>
      </c>
      <c r="H45" s="40">
        <v>185</v>
      </c>
    </row>
    <row r="46" spans="2:8">
      <c r="B46" s="22" t="s">
        <v>2262</v>
      </c>
      <c r="C46" s="22" t="s">
        <v>2263</v>
      </c>
      <c r="D46" s="22" t="s">
        <v>20</v>
      </c>
      <c r="E46" s="22">
        <f t="shared" si="2"/>
        <v>186</v>
      </c>
      <c r="F46" s="22">
        <f t="shared" si="3"/>
        <v>191</v>
      </c>
      <c r="G46" s="40">
        <v>186</v>
      </c>
      <c r="H46" s="40">
        <v>191</v>
      </c>
    </row>
    <row r="47" spans="2:8">
      <c r="B47" s="22" t="s">
        <v>2264</v>
      </c>
      <c r="C47" s="22" t="s">
        <v>2265</v>
      </c>
      <c r="D47" s="22" t="s">
        <v>1289</v>
      </c>
      <c r="E47" s="22">
        <f t="shared" si="2"/>
        <v>192</v>
      </c>
      <c r="F47" s="22">
        <f t="shared" si="3"/>
        <v>207</v>
      </c>
      <c r="G47" s="40">
        <v>192</v>
      </c>
      <c r="H47" s="40">
        <v>207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34D8-031B-1341-BC15-E9053BE23005}">
  <dimension ref="A1:I48"/>
  <sheetViews>
    <sheetView topLeftCell="A13" workbookViewId="0">
      <selection activeCell="C25" sqref="C25:F25"/>
    </sheetView>
  </sheetViews>
  <sheetFormatPr baseColWidth="10" defaultRowHeight="20"/>
  <cols>
    <col min="1" max="1" width="29.33203125" style="22" bestFit="1" customWidth="1"/>
    <col min="2" max="2" width="42.33203125" style="22" customWidth="1"/>
    <col min="3" max="7" width="18.83203125" style="22" bestFit="1" customWidth="1"/>
    <col min="8" max="16384" width="10.83203125" style="22"/>
  </cols>
  <sheetData>
    <row r="1" spans="1:9">
      <c r="A1" s="22" t="s">
        <v>72</v>
      </c>
      <c r="B1" s="22" t="s">
        <v>141</v>
      </c>
      <c r="C1" s="61" t="s">
        <v>16</v>
      </c>
      <c r="D1" s="61" t="s">
        <v>17</v>
      </c>
      <c r="E1" s="61" t="s">
        <v>18</v>
      </c>
      <c r="F1" s="61" t="s">
        <v>19</v>
      </c>
      <c r="G1" s="61" t="s">
        <v>20</v>
      </c>
    </row>
    <row r="2" spans="1:9">
      <c r="A2" s="22" t="s">
        <v>73</v>
      </c>
      <c r="B2" s="62" t="s">
        <v>1574</v>
      </c>
      <c r="C2" s="22">
        <f>VALUE(LEFT(C31,3))</f>
        <v>547</v>
      </c>
      <c r="D2" s="22">
        <f>VALUE(LEFT(D31,3))</f>
        <v>565</v>
      </c>
      <c r="E2" s="22">
        <f t="shared" ref="E2:G2" si="0">VALUE(LEFT(E31,3))</f>
        <v>583</v>
      </c>
      <c r="F2" s="22">
        <f t="shared" si="0"/>
        <v>600</v>
      </c>
      <c r="G2" s="22">
        <f t="shared" si="0"/>
        <v>618</v>
      </c>
    </row>
    <row r="3" spans="1:9">
      <c r="A3" s="22" t="s">
        <v>62</v>
      </c>
      <c r="B3" s="62" t="s">
        <v>1578</v>
      </c>
      <c r="C3" s="22">
        <f>VALUE(LEFT(C32,2))</f>
        <v>68</v>
      </c>
      <c r="D3" s="22">
        <f>VALUE(LEFT(D32,2))</f>
        <v>68</v>
      </c>
      <c r="E3" s="22">
        <f t="shared" ref="E3:G3" si="1">VALUE(LEFT(E32,2))</f>
        <v>68</v>
      </c>
      <c r="F3" s="22">
        <f t="shared" si="1"/>
        <v>68</v>
      </c>
      <c r="G3" s="22">
        <f t="shared" si="1"/>
        <v>68</v>
      </c>
    </row>
    <row r="4" spans="1:9">
      <c r="A4" s="22" t="s">
        <v>1608</v>
      </c>
      <c r="B4" s="62" t="s">
        <v>1579</v>
      </c>
      <c r="C4" s="22">
        <f>VALUE(MID(C33,2,3))</f>
        <v>0.2</v>
      </c>
      <c r="D4" s="22">
        <f>VALUE(MID(D33,2,3))</f>
        <v>0.2</v>
      </c>
      <c r="E4" s="22">
        <f t="shared" ref="E4:G4" si="2">VALUE(MID(E33,2,3))</f>
        <v>0.2</v>
      </c>
      <c r="F4" s="22">
        <f t="shared" si="2"/>
        <v>0.2</v>
      </c>
      <c r="G4" s="22">
        <f t="shared" si="2"/>
        <v>0.2</v>
      </c>
      <c r="I4"/>
    </row>
    <row r="5" spans="1:9">
      <c r="A5" s="22" t="s">
        <v>64</v>
      </c>
      <c r="B5" s="62" t="s">
        <v>1581</v>
      </c>
      <c r="C5" s="22">
        <f>VALUE(LEFT(C34,2))</f>
        <v>90</v>
      </c>
      <c r="D5" s="22">
        <f>VALUE(LEFT(D34,3))</f>
        <v>100</v>
      </c>
      <c r="E5" s="22">
        <f t="shared" ref="E5:G5" si="3">VALUE(LEFT(E34,3))</f>
        <v>120</v>
      </c>
      <c r="F5" s="22">
        <f t="shared" si="3"/>
        <v>140</v>
      </c>
      <c r="G5" s="22">
        <f t="shared" si="3"/>
        <v>160</v>
      </c>
    </row>
    <row r="6" spans="1:9">
      <c r="A6" s="22" t="s">
        <v>63</v>
      </c>
      <c r="B6" s="62" t="s">
        <v>1583</v>
      </c>
      <c r="C6" s="22">
        <f>VALUE(LEFT(C35,2))</f>
        <v>75</v>
      </c>
      <c r="D6" s="22">
        <f>VALUE(LEFT(D35,2))</f>
        <v>75</v>
      </c>
      <c r="E6" s="22">
        <f t="shared" ref="E6:G6" si="4">VALUE(LEFT(E35,2))</f>
        <v>75</v>
      </c>
      <c r="F6" s="22">
        <f t="shared" si="4"/>
        <v>75</v>
      </c>
      <c r="G6" s="22">
        <f t="shared" si="4"/>
        <v>75</v>
      </c>
    </row>
    <row r="7" spans="1:9">
      <c r="A7" s="22" t="s">
        <v>60</v>
      </c>
      <c r="B7" s="62" t="s">
        <v>1584</v>
      </c>
      <c r="C7" s="22">
        <f>VALUE(LEFT(C36,3))</f>
        <v>360</v>
      </c>
      <c r="D7" s="22">
        <f>VALUE(LEFT(D36,3))</f>
        <v>400</v>
      </c>
      <c r="E7" s="22">
        <f t="shared" ref="E7:G7" si="5">VALUE(LEFT(E36,3))</f>
        <v>450</v>
      </c>
      <c r="F7" s="22">
        <f t="shared" si="5"/>
        <v>490</v>
      </c>
      <c r="G7" s="22">
        <f t="shared" si="5"/>
        <v>530</v>
      </c>
    </row>
    <row r="8" spans="1:9">
      <c r="A8" s="22" t="s">
        <v>65</v>
      </c>
      <c r="B8" s="62" t="s">
        <v>1585</v>
      </c>
      <c r="C8" s="22">
        <f>VALUE(LEFT(C37,2))</f>
        <v>68</v>
      </c>
      <c r="D8" s="22">
        <f>VALUE(LEFT(D37,2))</f>
        <v>68</v>
      </c>
      <c r="E8" s="22">
        <f t="shared" ref="E8:G8" si="6">VALUE(LEFT(E37,2))</f>
        <v>68</v>
      </c>
      <c r="F8" s="22">
        <f t="shared" si="6"/>
        <v>68</v>
      </c>
      <c r="G8" s="22">
        <f t="shared" si="6"/>
        <v>68</v>
      </c>
    </row>
    <row r="9" spans="1:9">
      <c r="A9" s="22" t="s">
        <v>917</v>
      </c>
      <c r="B9" s="62" t="s">
        <v>353</v>
      </c>
      <c r="C9" s="22">
        <f>VALUE(LEFT(C38,3))</f>
        <v>430</v>
      </c>
      <c r="D9" s="22">
        <f>VALUE(LEFT(D38,3))</f>
        <v>430</v>
      </c>
      <c r="E9" s="22">
        <f t="shared" ref="E9:G9" si="7">VALUE(LEFT(E38,3))</f>
        <v>430</v>
      </c>
      <c r="F9" s="22">
        <f t="shared" si="7"/>
        <v>430</v>
      </c>
      <c r="G9" s="22">
        <f t="shared" si="7"/>
        <v>430</v>
      </c>
    </row>
    <row r="10" spans="1:9">
      <c r="A10" s="22" t="s">
        <v>56</v>
      </c>
      <c r="B10" s="62" t="s">
        <v>9</v>
      </c>
      <c r="C10" s="22">
        <f>VALUE(LEFT(C39,4))</f>
        <v>1090</v>
      </c>
      <c r="D10" s="22">
        <f t="shared" ref="D10:G10" si="8">VALUE(LEFT(D39,4))</f>
        <v>1110</v>
      </c>
      <c r="E10" s="22">
        <f t="shared" si="8"/>
        <v>1130</v>
      </c>
      <c r="F10" s="22">
        <f t="shared" si="8"/>
        <v>1150</v>
      </c>
      <c r="G10" s="22">
        <f t="shared" si="8"/>
        <v>1170</v>
      </c>
    </row>
    <row r="11" spans="1:9">
      <c r="A11" s="22" t="s">
        <v>135</v>
      </c>
      <c r="B11" s="62" t="s">
        <v>133</v>
      </c>
      <c r="C11" s="22">
        <f>VALUE(LEFT(C40,2))</f>
        <v>88</v>
      </c>
      <c r="D11" s="22">
        <f>VALUE(LEFT(D40,2))</f>
        <v>88</v>
      </c>
      <c r="E11" s="22">
        <f t="shared" ref="E11:G11" si="9">VALUE(LEFT(E40,2))</f>
        <v>88</v>
      </c>
      <c r="F11" s="22">
        <f t="shared" si="9"/>
        <v>88</v>
      </c>
      <c r="G11" s="22">
        <f t="shared" si="9"/>
        <v>88</v>
      </c>
    </row>
    <row r="12" spans="1:9">
      <c r="A12" s="22" t="s">
        <v>67</v>
      </c>
      <c r="B12" s="62" t="s">
        <v>1594</v>
      </c>
      <c r="C12" s="22">
        <f>VALUE(LEFT(C41,2))</f>
        <v>51</v>
      </c>
      <c r="D12" s="22">
        <f>VALUE(LEFT(D41,2))</f>
        <v>51</v>
      </c>
      <c r="E12" s="22">
        <f t="shared" ref="E12:G12" si="10">VALUE(LEFT(E41,2))</f>
        <v>51</v>
      </c>
      <c r="F12" s="22">
        <f t="shared" si="10"/>
        <v>51</v>
      </c>
      <c r="G12" s="22">
        <f t="shared" si="10"/>
        <v>51</v>
      </c>
    </row>
    <row r="13" spans="1:9">
      <c r="A13" s="22" t="s">
        <v>495</v>
      </c>
      <c r="B13" s="62" t="s">
        <v>1595</v>
      </c>
      <c r="C13" s="22">
        <f t="shared" ref="C13:D16" si="11">VALUE(LEFT(C42,3))</f>
        <v>495</v>
      </c>
      <c r="D13" s="22">
        <f t="shared" si="11"/>
        <v>495</v>
      </c>
      <c r="E13" s="22">
        <f t="shared" ref="E13:G13" si="12">VALUE(LEFT(E42,3))</f>
        <v>495</v>
      </c>
      <c r="F13" s="22">
        <f t="shared" si="12"/>
        <v>495</v>
      </c>
      <c r="G13" s="22">
        <f t="shared" si="12"/>
        <v>495</v>
      </c>
    </row>
    <row r="14" spans="1:9">
      <c r="A14" s="22" t="s">
        <v>54</v>
      </c>
      <c r="B14" s="62" t="s">
        <v>0</v>
      </c>
      <c r="C14" s="22">
        <f t="shared" si="11"/>
        <v>595</v>
      </c>
      <c r="D14" s="22">
        <f t="shared" si="11"/>
        <v>605</v>
      </c>
      <c r="E14" s="22">
        <f t="shared" ref="E14:G14" si="13">VALUE(LEFT(E43,3))</f>
        <v>623</v>
      </c>
      <c r="F14" s="22">
        <f t="shared" si="13"/>
        <v>642</v>
      </c>
      <c r="G14" s="22">
        <f t="shared" si="13"/>
        <v>660</v>
      </c>
    </row>
    <row r="15" spans="1:9">
      <c r="A15" s="22" t="s">
        <v>55</v>
      </c>
      <c r="B15" s="62" t="s">
        <v>1</v>
      </c>
      <c r="C15" s="22">
        <f t="shared" si="11"/>
        <v>387</v>
      </c>
      <c r="D15" s="22">
        <f t="shared" si="11"/>
        <v>403</v>
      </c>
      <c r="E15" s="22">
        <f t="shared" ref="E15:G15" si="14">VALUE(LEFT(E44,3))</f>
        <v>416</v>
      </c>
      <c r="F15" s="22">
        <f t="shared" si="14"/>
        <v>428</v>
      </c>
      <c r="G15" s="22">
        <f t="shared" si="14"/>
        <v>441</v>
      </c>
    </row>
    <row r="16" spans="1:9">
      <c r="A16" s="22" t="s">
        <v>57</v>
      </c>
      <c r="B16" s="62" t="s">
        <v>14</v>
      </c>
      <c r="C16" s="22">
        <f t="shared" si="11"/>
        <v>754</v>
      </c>
      <c r="D16" s="22">
        <f t="shared" si="11"/>
        <v>777</v>
      </c>
      <c r="E16" s="22">
        <f t="shared" ref="E16:G16" si="15">VALUE(LEFT(E45,3))</f>
        <v>810</v>
      </c>
      <c r="F16" s="22">
        <f t="shared" si="15"/>
        <v>838</v>
      </c>
      <c r="G16" s="22">
        <f t="shared" si="15"/>
        <v>866</v>
      </c>
    </row>
    <row r="17" spans="1:7">
      <c r="A17" s="22" t="s">
        <v>66</v>
      </c>
      <c r="B17" s="62" t="s">
        <v>2512</v>
      </c>
      <c r="C17" s="22">
        <f>SQRT(C8^2+C9^2)</f>
        <v>435.34354250407802</v>
      </c>
      <c r="D17" s="22">
        <f t="shared" ref="D17:G17" si="16">SQRT(D8^2+D9^2)</f>
        <v>435.34354250407802</v>
      </c>
      <c r="E17" s="22">
        <f t="shared" si="16"/>
        <v>435.34354250407802</v>
      </c>
      <c r="F17" s="22">
        <f t="shared" si="16"/>
        <v>435.34354250407802</v>
      </c>
      <c r="G17" s="22">
        <f t="shared" si="16"/>
        <v>435.34354250407802</v>
      </c>
    </row>
    <row r="18" spans="1:7">
      <c r="A18" s="22" t="s">
        <v>69</v>
      </c>
      <c r="B18" s="22" t="s">
        <v>69</v>
      </c>
    </row>
    <row r="19" spans="1:7">
      <c r="A19" s="22" t="s">
        <v>70</v>
      </c>
      <c r="B19" s="22" t="s">
        <v>70</v>
      </c>
    </row>
    <row r="20" spans="1:7">
      <c r="A20" s="22" t="s">
        <v>71</v>
      </c>
      <c r="B20" s="22" t="s">
        <v>71</v>
      </c>
    </row>
    <row r="21" spans="1:7">
      <c r="A21" s="22" t="s">
        <v>68</v>
      </c>
      <c r="B21" s="22" t="s">
        <v>68</v>
      </c>
      <c r="C21" s="22">
        <v>29</v>
      </c>
      <c r="D21" s="22">
        <v>29</v>
      </c>
      <c r="E21" s="22">
        <v>29</v>
      </c>
      <c r="F21" s="22">
        <v>29</v>
      </c>
      <c r="G21" s="22">
        <v>29</v>
      </c>
    </row>
    <row r="22" spans="1:7">
      <c r="A22" s="22" t="s">
        <v>139</v>
      </c>
      <c r="B22" s="22" t="s">
        <v>139</v>
      </c>
      <c r="C22" s="22">
        <f>2.4 * 2.54* 10</f>
        <v>60.96</v>
      </c>
      <c r="D22" s="22">
        <f t="shared" ref="D22:G22" si="17">2.4 * 2.54* 10</f>
        <v>60.96</v>
      </c>
      <c r="E22" s="22">
        <f t="shared" si="17"/>
        <v>60.96</v>
      </c>
      <c r="F22" s="22">
        <f t="shared" si="17"/>
        <v>60.96</v>
      </c>
      <c r="G22" s="22">
        <f t="shared" si="17"/>
        <v>60.96</v>
      </c>
    </row>
    <row r="23" spans="1:7">
      <c r="A23" s="22" t="s">
        <v>140</v>
      </c>
      <c r="B23" s="22" t="s">
        <v>140</v>
      </c>
      <c r="C23" s="22">
        <f>2.54 * 2.6 * 10</f>
        <v>66.040000000000006</v>
      </c>
      <c r="D23" s="22">
        <f t="shared" ref="D23:G23" si="18">2.54 * 2.6 * 10</f>
        <v>66.040000000000006</v>
      </c>
      <c r="E23" s="22">
        <f t="shared" si="18"/>
        <v>66.040000000000006</v>
      </c>
      <c r="F23" s="22">
        <f t="shared" si="18"/>
        <v>66.040000000000006</v>
      </c>
      <c r="G23" s="22">
        <f t="shared" si="18"/>
        <v>66.040000000000006</v>
      </c>
    </row>
    <row r="24" spans="1:7">
      <c r="A24" s="22" t="s">
        <v>1752</v>
      </c>
      <c r="C24" s="22">
        <f>C26</f>
        <v>147.32</v>
      </c>
      <c r="D24" s="22">
        <f>AVERAGE(D26,C27)</f>
        <v>160.01999999999998</v>
      </c>
      <c r="E24" s="22">
        <f t="shared" ref="E24:G24" si="19">AVERAGE(E26,D27)</f>
        <v>168.91000000000003</v>
      </c>
      <c r="F24" s="22">
        <f t="shared" si="19"/>
        <v>179.07</v>
      </c>
      <c r="G24" s="22">
        <f t="shared" si="19"/>
        <v>189.23000000000002</v>
      </c>
    </row>
    <row r="25" spans="1:7">
      <c r="A25" s="22" t="s">
        <v>1753</v>
      </c>
      <c r="C25" s="22">
        <f>D24</f>
        <v>160.01999999999998</v>
      </c>
      <c r="D25" s="22">
        <f t="shared" ref="D25:F25" si="20">E24</f>
        <v>168.91000000000003</v>
      </c>
      <c r="E25" s="22">
        <f t="shared" si="20"/>
        <v>179.07</v>
      </c>
      <c r="F25" s="22">
        <f t="shared" si="20"/>
        <v>189.23000000000002</v>
      </c>
      <c r="G25" s="22">
        <f t="shared" ref="G25" si="21">G27</f>
        <v>198.12</v>
      </c>
    </row>
    <row r="26" spans="1:7">
      <c r="A26" s="22" t="s">
        <v>1752</v>
      </c>
      <c r="C26" s="22">
        <f>C47*2.54</f>
        <v>147.32</v>
      </c>
      <c r="D26" s="22">
        <f t="shared" ref="D26:G26" si="22">D47*2.54</f>
        <v>157.47999999999999</v>
      </c>
      <c r="E26" s="22">
        <f t="shared" si="22"/>
        <v>167.64000000000001</v>
      </c>
      <c r="F26" s="22">
        <f t="shared" si="22"/>
        <v>177.8</v>
      </c>
      <c r="G26" s="22">
        <f t="shared" si="22"/>
        <v>187.96</v>
      </c>
    </row>
    <row r="27" spans="1:7">
      <c r="A27" s="22" t="s">
        <v>1753</v>
      </c>
      <c r="C27" s="22">
        <f>C48*2.54</f>
        <v>162.56</v>
      </c>
      <c r="D27" s="22">
        <f t="shared" ref="D27:G27" si="23">D48*2.54</f>
        <v>170.18</v>
      </c>
      <c r="E27" s="22">
        <f t="shared" si="23"/>
        <v>180.34</v>
      </c>
      <c r="F27" s="22">
        <f t="shared" si="23"/>
        <v>190.5</v>
      </c>
      <c r="G27" s="22">
        <f t="shared" si="23"/>
        <v>198.12</v>
      </c>
    </row>
    <row r="29" spans="1:7">
      <c r="C29" s="61" t="s">
        <v>16</v>
      </c>
      <c r="D29" s="61" t="s">
        <v>17</v>
      </c>
      <c r="E29" s="61" t="s">
        <v>18</v>
      </c>
      <c r="F29" s="61" t="s">
        <v>19</v>
      </c>
      <c r="G29" s="61" t="s">
        <v>20</v>
      </c>
    </row>
    <row r="30" spans="1:7">
      <c r="B30" s="62" t="s">
        <v>1568</v>
      </c>
      <c r="C30" s="62" t="s">
        <v>1569</v>
      </c>
      <c r="D30" s="62" t="s">
        <v>1570</v>
      </c>
      <c r="E30" s="62" t="s">
        <v>1571</v>
      </c>
      <c r="F30" s="62" t="s">
        <v>1572</v>
      </c>
      <c r="G30" s="62" t="s">
        <v>1573</v>
      </c>
    </row>
    <row r="31" spans="1:7">
      <c r="B31" s="62" t="s">
        <v>1574</v>
      </c>
      <c r="C31" s="62" t="s">
        <v>1575</v>
      </c>
      <c r="D31" s="62" t="s">
        <v>1576</v>
      </c>
      <c r="E31" s="62" t="s">
        <v>1466</v>
      </c>
      <c r="F31" s="62" t="s">
        <v>630</v>
      </c>
      <c r="G31" s="62" t="s">
        <v>1577</v>
      </c>
    </row>
    <row r="32" spans="1:7">
      <c r="B32" s="62" t="s">
        <v>1578</v>
      </c>
      <c r="C32" s="62" t="s">
        <v>1184</v>
      </c>
      <c r="D32" s="62" t="s">
        <v>1184</v>
      </c>
      <c r="E32" s="62" t="s">
        <v>1184</v>
      </c>
      <c r="F32" s="62" t="s">
        <v>1184</v>
      </c>
      <c r="G32" s="62" t="s">
        <v>1184</v>
      </c>
    </row>
    <row r="33" spans="2:7">
      <c r="B33" s="62" t="s">
        <v>1579</v>
      </c>
      <c r="C33" s="62" t="s">
        <v>1580</v>
      </c>
      <c r="D33" s="62" t="s">
        <v>1580</v>
      </c>
      <c r="E33" s="62" t="s">
        <v>1580</v>
      </c>
      <c r="F33" s="62" t="s">
        <v>1580</v>
      </c>
      <c r="G33" s="62" t="s">
        <v>1580</v>
      </c>
    </row>
    <row r="34" spans="2:7">
      <c r="B34" s="62" t="s">
        <v>1581</v>
      </c>
      <c r="C34" s="62" t="s">
        <v>1292</v>
      </c>
      <c r="D34" s="62" t="s">
        <v>1251</v>
      </c>
      <c r="E34" s="62" t="s">
        <v>1582</v>
      </c>
      <c r="F34" s="62" t="s">
        <v>242</v>
      </c>
      <c r="G34" s="62" t="s">
        <v>856</v>
      </c>
    </row>
    <row r="35" spans="2:7">
      <c r="B35" s="62" t="s">
        <v>1583</v>
      </c>
      <c r="C35" s="62" t="s">
        <v>1181</v>
      </c>
      <c r="D35" s="62" t="s">
        <v>1181</v>
      </c>
      <c r="E35" s="62" t="s">
        <v>1181</v>
      </c>
      <c r="F35" s="62" t="s">
        <v>1181</v>
      </c>
      <c r="G35" s="62" t="s">
        <v>1181</v>
      </c>
    </row>
    <row r="36" spans="2:7">
      <c r="B36" s="62" t="s">
        <v>1584</v>
      </c>
      <c r="C36" s="62" t="s">
        <v>1170</v>
      </c>
      <c r="D36" s="62" t="s">
        <v>863</v>
      </c>
      <c r="E36" s="62" t="s">
        <v>249</v>
      </c>
      <c r="F36" s="62" t="s">
        <v>239</v>
      </c>
      <c r="G36" s="62" t="s">
        <v>638</v>
      </c>
    </row>
    <row r="37" spans="2:7">
      <c r="B37" s="62" t="s">
        <v>1585</v>
      </c>
      <c r="C37" s="62" t="s">
        <v>1586</v>
      </c>
      <c r="D37" s="62" t="s">
        <v>1586</v>
      </c>
      <c r="E37" s="62" t="s">
        <v>1586</v>
      </c>
      <c r="F37" s="62" t="s">
        <v>1586</v>
      </c>
      <c r="G37" s="62" t="s">
        <v>1586</v>
      </c>
    </row>
    <row r="38" spans="2:7">
      <c r="B38" s="62" t="s">
        <v>353</v>
      </c>
      <c r="C38" s="62" t="s">
        <v>1587</v>
      </c>
      <c r="D38" s="62" t="s">
        <v>1587</v>
      </c>
      <c r="E38" s="62" t="s">
        <v>1587</v>
      </c>
      <c r="F38" s="62" t="s">
        <v>1587</v>
      </c>
      <c r="G38" s="62" t="s">
        <v>1587</v>
      </c>
    </row>
    <row r="39" spans="2:7">
      <c r="B39" s="62" t="s">
        <v>9</v>
      </c>
      <c r="C39" s="62" t="s">
        <v>1588</v>
      </c>
      <c r="D39" s="62" t="s">
        <v>1589</v>
      </c>
      <c r="E39" s="62" t="s">
        <v>1590</v>
      </c>
      <c r="F39" s="62" t="s">
        <v>1591</v>
      </c>
      <c r="G39" s="62" t="s">
        <v>1592</v>
      </c>
    </row>
    <row r="40" spans="2:7">
      <c r="B40" s="62" t="s">
        <v>133</v>
      </c>
      <c r="C40" s="62" t="s">
        <v>1593</v>
      </c>
      <c r="D40" s="62" t="s">
        <v>1593</v>
      </c>
      <c r="E40" s="62" t="s">
        <v>1593</v>
      </c>
      <c r="F40" s="62" t="s">
        <v>1593</v>
      </c>
      <c r="G40" s="62" t="s">
        <v>1593</v>
      </c>
    </row>
    <row r="41" spans="2:7">
      <c r="B41" s="62" t="s">
        <v>1594</v>
      </c>
      <c r="C41" s="62" t="s">
        <v>1195</v>
      </c>
      <c r="D41" s="62" t="s">
        <v>1195</v>
      </c>
      <c r="E41" s="62" t="s">
        <v>1195</v>
      </c>
      <c r="F41" s="62" t="s">
        <v>1195</v>
      </c>
      <c r="G41" s="62" t="s">
        <v>1195</v>
      </c>
    </row>
    <row r="42" spans="2:7">
      <c r="B42" s="62" t="s">
        <v>1595</v>
      </c>
      <c r="C42" s="62" t="s">
        <v>1596</v>
      </c>
      <c r="D42" s="62" t="s">
        <v>1596</v>
      </c>
      <c r="E42" s="62" t="s">
        <v>1596</v>
      </c>
      <c r="F42" s="62" t="s">
        <v>1596</v>
      </c>
      <c r="G42" s="62" t="s">
        <v>1596</v>
      </c>
    </row>
    <row r="43" spans="2:7">
      <c r="B43" s="62" t="s">
        <v>0</v>
      </c>
      <c r="C43" s="62" t="s">
        <v>229</v>
      </c>
      <c r="D43" s="62" t="s">
        <v>1331</v>
      </c>
      <c r="E43" s="62" t="s">
        <v>1597</v>
      </c>
      <c r="F43" s="62" t="s">
        <v>1598</v>
      </c>
      <c r="G43" s="62" t="s">
        <v>1599</v>
      </c>
    </row>
    <row r="44" spans="2:7">
      <c r="B44" s="62" t="s">
        <v>1</v>
      </c>
      <c r="C44" s="62" t="s">
        <v>1600</v>
      </c>
      <c r="D44" s="62" t="s">
        <v>261</v>
      </c>
      <c r="E44" s="62" t="s">
        <v>1601</v>
      </c>
      <c r="F44" s="62" t="s">
        <v>1602</v>
      </c>
      <c r="G44" s="62" t="s">
        <v>1603</v>
      </c>
    </row>
    <row r="45" spans="2:7">
      <c r="B45" s="62" t="s">
        <v>14</v>
      </c>
      <c r="C45" s="62" t="s">
        <v>634</v>
      </c>
      <c r="D45" s="62" t="s">
        <v>1604</v>
      </c>
      <c r="E45" s="62" t="s">
        <v>1605</v>
      </c>
      <c r="F45" s="62" t="s">
        <v>1606</v>
      </c>
      <c r="G45" s="62" t="s">
        <v>1607</v>
      </c>
    </row>
    <row r="47" spans="2:7">
      <c r="C47" s="22">
        <v>58</v>
      </c>
      <c r="D47" s="22">
        <v>62</v>
      </c>
      <c r="E47" s="22">
        <v>66</v>
      </c>
      <c r="F47" s="22">
        <v>70</v>
      </c>
      <c r="G47" s="22">
        <v>74</v>
      </c>
    </row>
    <row r="48" spans="2:7">
      <c r="C48" s="22">
        <v>64</v>
      </c>
      <c r="D48" s="22">
        <v>67</v>
      </c>
      <c r="E48" s="22">
        <v>71</v>
      </c>
      <c r="F48" s="22">
        <v>75</v>
      </c>
      <c r="G48" s="22">
        <v>78</v>
      </c>
    </row>
  </sheetData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69B7-4DE7-9447-8CF7-98F8E0706EDC}">
  <dimension ref="A1:S73"/>
  <sheetViews>
    <sheetView workbookViewId="0">
      <selection activeCell="F25" sqref="A1:XFD1048576"/>
    </sheetView>
  </sheetViews>
  <sheetFormatPr baseColWidth="10" defaultRowHeight="20"/>
  <cols>
    <col min="1" max="1" width="29.33203125" style="22" customWidth="1"/>
    <col min="2" max="2" width="51.1640625" style="22" customWidth="1"/>
    <col min="3" max="3" width="20.1640625" style="22" bestFit="1" customWidth="1"/>
    <col min="4" max="6" width="18.83203125" style="22" bestFit="1" customWidth="1"/>
    <col min="7" max="8" width="10.83203125" style="22"/>
    <col min="9" max="9" width="40.1640625" style="22" customWidth="1"/>
    <col min="10" max="10" width="20.1640625" style="22" bestFit="1" customWidth="1"/>
    <col min="11" max="13" width="18.83203125" style="22" bestFit="1" customWidth="1"/>
    <col min="14" max="16384" width="10.83203125" style="22"/>
  </cols>
  <sheetData>
    <row r="1" spans="1:19">
      <c r="A1" s="22" t="s">
        <v>72</v>
      </c>
      <c r="B1" s="22" t="s">
        <v>1977</v>
      </c>
      <c r="C1" s="61" t="s">
        <v>17</v>
      </c>
      <c r="D1" s="61" t="s">
        <v>18</v>
      </c>
      <c r="E1" s="61" t="s">
        <v>19</v>
      </c>
      <c r="F1" s="61" t="s">
        <v>20</v>
      </c>
      <c r="J1" s="61" t="s">
        <v>17</v>
      </c>
      <c r="K1" s="61" t="s">
        <v>18</v>
      </c>
      <c r="L1" s="61" t="s">
        <v>19</v>
      </c>
      <c r="M1" s="61" t="s">
        <v>20</v>
      </c>
    </row>
    <row r="2" spans="1:19">
      <c r="A2" s="22" t="s">
        <v>73</v>
      </c>
      <c r="B2" s="62" t="s">
        <v>1574</v>
      </c>
      <c r="C2" s="62">
        <f>VALUE(LEFT(J4,3))</f>
        <v>546</v>
      </c>
      <c r="D2" s="62">
        <f>VALUE(LEFT(K4,3))</f>
        <v>560</v>
      </c>
      <c r="E2" s="62">
        <f>VALUE(LEFT(L4,3))</f>
        <v>583</v>
      </c>
      <c r="F2" s="62">
        <f>VALUE(LEFT(M4,3))</f>
        <v>605</v>
      </c>
      <c r="I2" s="62" t="s">
        <v>1568</v>
      </c>
      <c r="J2" s="62" t="s">
        <v>1570</v>
      </c>
      <c r="K2" s="62" t="s">
        <v>1957</v>
      </c>
      <c r="L2" s="62" t="s">
        <v>1572</v>
      </c>
      <c r="M2" s="62" t="s">
        <v>1573</v>
      </c>
      <c r="O2" s="71" t="s">
        <v>1568</v>
      </c>
      <c r="P2" s="71" t="s">
        <v>1570</v>
      </c>
      <c r="Q2" s="71" t="s">
        <v>2829</v>
      </c>
      <c r="R2" s="71" t="s">
        <v>2830</v>
      </c>
      <c r="S2" s="71" t="s">
        <v>2831</v>
      </c>
    </row>
    <row r="3" spans="1:19">
      <c r="A3" s="22" t="s">
        <v>2835</v>
      </c>
      <c r="B3" s="62" t="s">
        <v>1578</v>
      </c>
      <c r="C3" s="62">
        <f>VALUE(LEFT(J5,2))</f>
        <v>71</v>
      </c>
      <c r="D3" s="62">
        <f>VALUE(LEFT(K5,4))</f>
        <v>71.5</v>
      </c>
      <c r="E3" s="62">
        <f>VALUE(LEFT(L5,4))</f>
        <v>71.5</v>
      </c>
      <c r="F3" s="62">
        <f>VALUE(LEFT(M5,4))</f>
        <v>71.5</v>
      </c>
      <c r="I3" s="62" t="s">
        <v>1673</v>
      </c>
      <c r="J3" s="62" t="s">
        <v>1958</v>
      </c>
      <c r="K3" s="62" t="s">
        <v>1959</v>
      </c>
      <c r="L3" s="62" t="s">
        <v>1678</v>
      </c>
      <c r="M3" s="62" t="s">
        <v>1679</v>
      </c>
      <c r="O3" s="71" t="s">
        <v>1673</v>
      </c>
      <c r="P3" s="71" t="s">
        <v>1958</v>
      </c>
      <c r="Q3" s="71" t="s">
        <v>1959</v>
      </c>
      <c r="R3" s="71" t="s">
        <v>1678</v>
      </c>
      <c r="S3" s="71" t="s">
        <v>1679</v>
      </c>
    </row>
    <row r="4" spans="1:19">
      <c r="A4" s="22" t="s">
        <v>62</v>
      </c>
      <c r="B4" s="62"/>
      <c r="C4" s="62">
        <f>C3+C5</f>
        <v>71.25</v>
      </c>
      <c r="D4" s="62">
        <f t="shared" ref="D4:F4" si="0">D3+D5</f>
        <v>71.75</v>
      </c>
      <c r="E4" s="62">
        <f t="shared" si="0"/>
        <v>71.75</v>
      </c>
      <c r="F4" s="62">
        <f t="shared" si="0"/>
        <v>71.75</v>
      </c>
      <c r="G4" s="22" t="s">
        <v>2837</v>
      </c>
      <c r="I4" s="62" t="s">
        <v>1574</v>
      </c>
      <c r="J4" s="62" t="s">
        <v>1960</v>
      </c>
      <c r="K4" s="62" t="s">
        <v>855</v>
      </c>
      <c r="L4" s="62" t="s">
        <v>1466</v>
      </c>
      <c r="M4" s="62" t="s">
        <v>1331</v>
      </c>
      <c r="O4" s="71" t="s">
        <v>1574</v>
      </c>
      <c r="P4" s="71" t="s">
        <v>1960</v>
      </c>
      <c r="Q4" s="71" t="s">
        <v>855</v>
      </c>
      <c r="R4" s="71" t="s">
        <v>1466</v>
      </c>
      <c r="S4" s="71" t="s">
        <v>1331</v>
      </c>
    </row>
    <row r="5" spans="1:19">
      <c r="A5" s="22" t="s">
        <v>1979</v>
      </c>
      <c r="B5" s="62" t="s">
        <v>1579</v>
      </c>
      <c r="C5" s="62">
        <v>0.25</v>
      </c>
      <c r="D5" s="62">
        <v>0.25</v>
      </c>
      <c r="E5" s="62">
        <v>0.25</v>
      </c>
      <c r="F5" s="62">
        <v>0.25</v>
      </c>
      <c r="I5" s="62" t="s">
        <v>1578</v>
      </c>
      <c r="J5" s="62" t="s">
        <v>309</v>
      </c>
      <c r="K5" s="62" t="s">
        <v>790</v>
      </c>
      <c r="L5" s="62" t="s">
        <v>790</v>
      </c>
      <c r="M5" s="62" t="s">
        <v>790</v>
      </c>
      <c r="O5" s="71" t="s">
        <v>1578</v>
      </c>
      <c r="P5" s="71" t="s">
        <v>309</v>
      </c>
      <c r="Q5" s="71" t="s">
        <v>790</v>
      </c>
      <c r="R5" s="71" t="s">
        <v>790</v>
      </c>
      <c r="S5" s="71" t="s">
        <v>790</v>
      </c>
    </row>
    <row r="6" spans="1:19">
      <c r="A6" s="22" t="s">
        <v>64</v>
      </c>
      <c r="B6" s="62" t="s">
        <v>1581</v>
      </c>
      <c r="C6" s="62">
        <f>VALUE(LEFT(J7,2))</f>
        <v>94</v>
      </c>
      <c r="D6" s="62">
        <f>VALUE(LEFT(K7,3))</f>
        <v>107</v>
      </c>
      <c r="E6" s="62">
        <f>VALUE(LEFT(L7,3))</f>
        <v>149</v>
      </c>
      <c r="F6" s="62">
        <f>VALUE(LEFT(M7,3))</f>
        <v>191</v>
      </c>
      <c r="I6" s="62" t="s">
        <v>1579</v>
      </c>
      <c r="J6" s="62" t="s">
        <v>1580</v>
      </c>
      <c r="K6" s="62" t="s">
        <v>1580</v>
      </c>
      <c r="L6" s="62" t="s">
        <v>1580</v>
      </c>
      <c r="M6" s="62" t="s">
        <v>1580</v>
      </c>
      <c r="O6" s="71" t="s">
        <v>2832</v>
      </c>
      <c r="P6" s="71" t="s">
        <v>2833</v>
      </c>
      <c r="Q6" s="71" t="s">
        <v>2833</v>
      </c>
      <c r="R6" s="71" t="s">
        <v>2833</v>
      </c>
      <c r="S6" s="71" t="s">
        <v>2833</v>
      </c>
    </row>
    <row r="7" spans="1:19">
      <c r="A7" s="22" t="s">
        <v>2836</v>
      </c>
      <c r="B7" s="62" t="s">
        <v>1583</v>
      </c>
      <c r="C7" s="62">
        <f>VALUE(LEFT(J8,4))</f>
        <v>72.5</v>
      </c>
      <c r="D7" s="62">
        <f>VALUE(LEFT(K8,4))</f>
        <v>72.5</v>
      </c>
      <c r="E7" s="62">
        <f>VALUE(LEFT(L8,4))</f>
        <v>72.5</v>
      </c>
      <c r="F7" s="62">
        <f>VALUE(LEFT(M8,4))</f>
        <v>72.5</v>
      </c>
      <c r="I7" s="62" t="s">
        <v>1581</v>
      </c>
      <c r="J7" s="62" t="s">
        <v>1961</v>
      </c>
      <c r="K7" s="62" t="s">
        <v>1962</v>
      </c>
      <c r="L7" s="62" t="s">
        <v>1963</v>
      </c>
      <c r="M7" s="62" t="s">
        <v>1964</v>
      </c>
      <c r="O7" s="71" t="s">
        <v>1581</v>
      </c>
      <c r="P7" s="71" t="s">
        <v>1961</v>
      </c>
      <c r="Q7" s="71" t="s">
        <v>1962</v>
      </c>
      <c r="R7" s="71" t="s">
        <v>1963</v>
      </c>
      <c r="S7" s="71" t="s">
        <v>1964</v>
      </c>
    </row>
    <row r="8" spans="1:19">
      <c r="A8" s="22" t="s">
        <v>63</v>
      </c>
      <c r="B8" s="62"/>
      <c r="C8" s="62">
        <f>C7-C5</f>
        <v>72.25</v>
      </c>
      <c r="D8" s="62">
        <f t="shared" ref="D8:F8" si="1">D7-D5</f>
        <v>72.25</v>
      </c>
      <c r="E8" s="62">
        <f t="shared" si="1"/>
        <v>72.25</v>
      </c>
      <c r="F8" s="62">
        <f t="shared" si="1"/>
        <v>72.25</v>
      </c>
      <c r="G8" s="22" t="s">
        <v>2838</v>
      </c>
      <c r="I8" s="62" t="s">
        <v>1583</v>
      </c>
      <c r="J8" s="62" t="s">
        <v>293</v>
      </c>
      <c r="K8" s="62" t="s">
        <v>293</v>
      </c>
      <c r="L8" s="62" t="s">
        <v>293</v>
      </c>
      <c r="M8" s="62" t="s">
        <v>293</v>
      </c>
      <c r="O8" s="71" t="s">
        <v>1583</v>
      </c>
      <c r="P8" s="71" t="s">
        <v>293</v>
      </c>
      <c r="Q8" s="71" t="s">
        <v>293</v>
      </c>
      <c r="R8" s="71" t="s">
        <v>293</v>
      </c>
      <c r="S8" s="71" t="s">
        <v>293</v>
      </c>
    </row>
    <row r="9" spans="1:19">
      <c r="A9" s="22" t="s">
        <v>60</v>
      </c>
      <c r="B9" s="62" t="s">
        <v>1584</v>
      </c>
      <c r="C9" s="62">
        <f>VALUE(LEFT(J9,3))</f>
        <v>475</v>
      </c>
      <c r="D9" s="62">
        <f>VALUE(LEFT(K9,3))</f>
        <v>510</v>
      </c>
      <c r="E9" s="62">
        <f>VALUE(LEFT(L9,3))</f>
        <v>540</v>
      </c>
      <c r="F9" s="62">
        <f>VALUE(LEFT(M9,3))</f>
        <v>570</v>
      </c>
      <c r="I9" s="62" t="s">
        <v>1584</v>
      </c>
      <c r="J9" s="62" t="s">
        <v>1965</v>
      </c>
      <c r="K9" s="62" t="s">
        <v>1162</v>
      </c>
      <c r="L9" s="62" t="s">
        <v>849</v>
      </c>
      <c r="M9" s="62" t="s">
        <v>848</v>
      </c>
      <c r="O9" s="71" t="s">
        <v>1584</v>
      </c>
      <c r="P9" s="71" t="s">
        <v>1965</v>
      </c>
      <c r="Q9" s="71" t="s">
        <v>1162</v>
      </c>
      <c r="R9" s="71" t="s">
        <v>849</v>
      </c>
      <c r="S9" s="71" t="s">
        <v>848</v>
      </c>
    </row>
    <row r="10" spans="1:19">
      <c r="A10" s="22" t="s">
        <v>65</v>
      </c>
      <c r="B10" s="62" t="s">
        <v>1585</v>
      </c>
      <c r="C10" s="62">
        <v>72</v>
      </c>
      <c r="D10" s="62">
        <v>72</v>
      </c>
      <c r="E10" s="62">
        <v>72</v>
      </c>
      <c r="F10" s="62">
        <v>72</v>
      </c>
      <c r="G10" s="22" t="s">
        <v>2834</v>
      </c>
      <c r="I10" s="62" t="s">
        <v>1585</v>
      </c>
      <c r="J10" s="62" t="s">
        <v>1586</v>
      </c>
      <c r="K10" s="62" t="s">
        <v>1586</v>
      </c>
      <c r="L10" s="62" t="s">
        <v>1586</v>
      </c>
      <c r="M10" s="62" t="s">
        <v>1586</v>
      </c>
      <c r="O10" s="71" t="s">
        <v>1585</v>
      </c>
      <c r="P10" s="71" t="s">
        <v>1586</v>
      </c>
      <c r="Q10" s="71" t="s">
        <v>1586</v>
      </c>
      <c r="R10" s="71" t="s">
        <v>1586</v>
      </c>
      <c r="S10" s="71" t="s">
        <v>1586</v>
      </c>
    </row>
    <row r="11" spans="1:19">
      <c r="A11" s="22" t="s">
        <v>66</v>
      </c>
      <c r="B11" s="62" t="s">
        <v>353</v>
      </c>
      <c r="C11" s="62">
        <v>420</v>
      </c>
      <c r="D11" s="62">
        <v>420</v>
      </c>
      <c r="E11" s="62">
        <v>420</v>
      </c>
      <c r="F11" s="62">
        <v>420</v>
      </c>
      <c r="I11" s="62" t="s">
        <v>353</v>
      </c>
      <c r="J11" s="62" t="s">
        <v>1683</v>
      </c>
      <c r="K11" s="62" t="s">
        <v>1683</v>
      </c>
      <c r="L11" s="62" t="s">
        <v>1683</v>
      </c>
      <c r="M11" s="62" t="s">
        <v>1683</v>
      </c>
      <c r="O11" s="71" t="s">
        <v>353</v>
      </c>
      <c r="P11" s="71" t="s">
        <v>1683</v>
      </c>
      <c r="Q11" s="71" t="s">
        <v>1683</v>
      </c>
      <c r="R11" s="71" t="s">
        <v>1683</v>
      </c>
      <c r="S11" s="71" t="s">
        <v>1683</v>
      </c>
    </row>
    <row r="12" spans="1:19">
      <c r="A12" s="22" t="s">
        <v>56</v>
      </c>
      <c r="B12" s="62" t="s">
        <v>9</v>
      </c>
      <c r="C12" s="62">
        <f>VALUE(LEFT(J12,4))</f>
        <v>1008</v>
      </c>
      <c r="D12" s="62">
        <f t="shared" ref="D12:F12" si="2">VALUE(LEFT(K12,4))</f>
        <v>1015</v>
      </c>
      <c r="E12" s="62">
        <f t="shared" si="2"/>
        <v>1039</v>
      </c>
      <c r="F12" s="62">
        <f t="shared" si="2"/>
        <v>1062</v>
      </c>
      <c r="I12" s="62" t="s">
        <v>9</v>
      </c>
      <c r="J12" s="62" t="s">
        <v>1966</v>
      </c>
      <c r="K12" s="62" t="s">
        <v>1967</v>
      </c>
      <c r="L12" s="62" t="s">
        <v>1968</v>
      </c>
      <c r="M12" s="62" t="s">
        <v>1969</v>
      </c>
      <c r="O12" s="71" t="s">
        <v>9</v>
      </c>
      <c r="P12" s="71" t="s">
        <v>1966</v>
      </c>
      <c r="Q12" s="71" t="s">
        <v>1967</v>
      </c>
      <c r="R12" s="71" t="s">
        <v>1968</v>
      </c>
      <c r="S12" s="71" t="s">
        <v>1969</v>
      </c>
    </row>
    <row r="13" spans="1:19">
      <c r="A13" s="22" t="s">
        <v>135</v>
      </c>
      <c r="B13" s="62" t="s">
        <v>133</v>
      </c>
      <c r="C13" s="62">
        <f t="shared" ref="C13:F14" si="3">VALUE(LEFT(J13,2))</f>
        <v>71</v>
      </c>
      <c r="D13" s="62">
        <f t="shared" si="3"/>
        <v>68</v>
      </c>
      <c r="E13" s="62">
        <f t="shared" si="3"/>
        <v>68</v>
      </c>
      <c r="F13" s="62">
        <f t="shared" si="3"/>
        <v>68</v>
      </c>
      <c r="I13" s="62" t="s">
        <v>133</v>
      </c>
      <c r="J13" s="62" t="s">
        <v>1690</v>
      </c>
      <c r="K13" s="62" t="s">
        <v>827</v>
      </c>
      <c r="L13" s="62" t="s">
        <v>827</v>
      </c>
      <c r="M13" s="62" t="s">
        <v>827</v>
      </c>
      <c r="O13" s="71" t="s">
        <v>133</v>
      </c>
      <c r="P13" s="71" t="s">
        <v>1690</v>
      </c>
      <c r="Q13" s="71" t="s">
        <v>827</v>
      </c>
      <c r="R13" s="71" t="s">
        <v>827</v>
      </c>
      <c r="S13" s="71" t="s">
        <v>827</v>
      </c>
    </row>
    <row r="14" spans="1:19">
      <c r="A14" s="22" t="s">
        <v>67</v>
      </c>
      <c r="B14" s="62" t="s">
        <v>1594</v>
      </c>
      <c r="C14" s="62">
        <f t="shared" si="3"/>
        <v>47</v>
      </c>
      <c r="D14" s="62">
        <f t="shared" si="3"/>
        <v>47</v>
      </c>
      <c r="E14" s="62">
        <f t="shared" si="3"/>
        <v>47</v>
      </c>
      <c r="F14" s="62">
        <f t="shared" si="3"/>
        <v>47</v>
      </c>
      <c r="I14" s="62" t="s">
        <v>1594</v>
      </c>
      <c r="J14" s="62" t="s">
        <v>836</v>
      </c>
      <c r="K14" s="62" t="s">
        <v>836</v>
      </c>
      <c r="L14" s="62" t="s">
        <v>836</v>
      </c>
      <c r="M14" s="62" t="s">
        <v>836</v>
      </c>
      <c r="O14" s="71" t="s">
        <v>1594</v>
      </c>
      <c r="P14" s="71" t="s">
        <v>836</v>
      </c>
      <c r="Q14" s="71" t="s">
        <v>836</v>
      </c>
      <c r="R14" s="71" t="s">
        <v>836</v>
      </c>
      <c r="S14" s="71" t="s">
        <v>836</v>
      </c>
    </row>
    <row r="15" spans="1:19">
      <c r="A15" s="22" t="s">
        <v>495</v>
      </c>
      <c r="B15" s="62" t="s">
        <v>1595</v>
      </c>
      <c r="C15" s="62">
        <f t="shared" ref="C15:F18" si="4">VALUE(LEFT(J15,3))</f>
        <v>420</v>
      </c>
      <c r="D15" s="62">
        <f t="shared" si="4"/>
        <v>420</v>
      </c>
      <c r="E15" s="62">
        <f t="shared" si="4"/>
        <v>420</v>
      </c>
      <c r="F15" s="62">
        <f t="shared" si="4"/>
        <v>420</v>
      </c>
      <c r="I15" s="62" t="s">
        <v>1595</v>
      </c>
      <c r="J15" s="62" t="s">
        <v>610</v>
      </c>
      <c r="K15" s="62" t="s">
        <v>610</v>
      </c>
      <c r="L15" s="62" t="s">
        <v>610</v>
      </c>
      <c r="M15" s="62" t="s">
        <v>610</v>
      </c>
      <c r="O15" s="71" t="s">
        <v>1595</v>
      </c>
      <c r="P15" s="71" t="s">
        <v>610</v>
      </c>
      <c r="Q15" s="71" t="s">
        <v>610</v>
      </c>
      <c r="R15" s="71" t="s">
        <v>610</v>
      </c>
      <c r="S15" s="71" t="s">
        <v>610</v>
      </c>
    </row>
    <row r="16" spans="1:19">
      <c r="A16" s="22" t="s">
        <v>54</v>
      </c>
      <c r="B16" s="62" t="s">
        <v>0</v>
      </c>
      <c r="C16" s="62">
        <f t="shared" si="4"/>
        <v>541</v>
      </c>
      <c r="D16" s="62">
        <f t="shared" si="4"/>
        <v>555</v>
      </c>
      <c r="E16" s="62">
        <f t="shared" si="4"/>
        <v>595</v>
      </c>
      <c r="F16" s="62">
        <f t="shared" si="4"/>
        <v>635</v>
      </c>
      <c r="I16" s="62" t="s">
        <v>0</v>
      </c>
      <c r="J16" s="62" t="s">
        <v>1239</v>
      </c>
      <c r="K16" s="62" t="s">
        <v>227</v>
      </c>
      <c r="L16" s="62" t="s">
        <v>229</v>
      </c>
      <c r="M16" s="62" t="s">
        <v>1970</v>
      </c>
      <c r="O16" s="71" t="s">
        <v>0</v>
      </c>
      <c r="P16" s="71" t="s">
        <v>1239</v>
      </c>
      <c r="Q16" s="71" t="s">
        <v>227</v>
      </c>
      <c r="R16" s="71" t="s">
        <v>229</v>
      </c>
      <c r="S16" s="71" t="s">
        <v>1970</v>
      </c>
    </row>
    <row r="17" spans="1:19">
      <c r="A17" s="22" t="s">
        <v>55</v>
      </c>
      <c r="B17" s="62" t="s">
        <v>1</v>
      </c>
      <c r="C17" s="62">
        <f t="shared" si="4"/>
        <v>375</v>
      </c>
      <c r="D17" s="62">
        <f t="shared" si="4"/>
        <v>385</v>
      </c>
      <c r="E17" s="62">
        <f t="shared" si="4"/>
        <v>395</v>
      </c>
      <c r="F17" s="62">
        <f t="shared" si="4"/>
        <v>405</v>
      </c>
      <c r="I17" s="62" t="s">
        <v>1</v>
      </c>
      <c r="J17" s="62" t="s">
        <v>1254</v>
      </c>
      <c r="K17" s="62" t="s">
        <v>1971</v>
      </c>
      <c r="L17" s="62" t="s">
        <v>609</v>
      </c>
      <c r="M17" s="62" t="s">
        <v>1972</v>
      </c>
      <c r="O17" s="71" t="s">
        <v>1</v>
      </c>
      <c r="P17" s="71" t="s">
        <v>1254</v>
      </c>
      <c r="Q17" s="71" t="s">
        <v>1971</v>
      </c>
      <c r="R17" s="71" t="s">
        <v>609</v>
      </c>
      <c r="S17" s="71" t="s">
        <v>1972</v>
      </c>
    </row>
    <row r="18" spans="1:19">
      <c r="A18" s="22" t="s">
        <v>57</v>
      </c>
      <c r="B18" s="62" t="s">
        <v>14</v>
      </c>
      <c r="C18" s="62">
        <f t="shared" si="4"/>
        <v>737</v>
      </c>
      <c r="D18" s="62">
        <f t="shared" si="4"/>
        <v>765</v>
      </c>
      <c r="E18" s="62">
        <f t="shared" si="4"/>
        <v>798</v>
      </c>
      <c r="F18" s="62">
        <f t="shared" si="4"/>
        <v>831</v>
      </c>
      <c r="I18" s="62" t="s">
        <v>14</v>
      </c>
      <c r="J18" s="62" t="s">
        <v>1973</v>
      </c>
      <c r="K18" s="62" t="s">
        <v>1974</v>
      </c>
      <c r="L18" s="62" t="s">
        <v>1975</v>
      </c>
      <c r="M18" s="62" t="s">
        <v>1976</v>
      </c>
      <c r="O18" s="71" t="s">
        <v>14</v>
      </c>
      <c r="P18" s="71" t="s">
        <v>1973</v>
      </c>
      <c r="Q18" s="71" t="s">
        <v>1974</v>
      </c>
      <c r="R18" s="71" t="s">
        <v>1975</v>
      </c>
      <c r="S18" s="71" t="s">
        <v>1976</v>
      </c>
    </row>
    <row r="19" spans="1:19">
      <c r="A19" s="22" t="s">
        <v>69</v>
      </c>
      <c r="B19" s="22" t="s">
        <v>69</v>
      </c>
    </row>
    <row r="20" spans="1:19">
      <c r="A20" s="22" t="s">
        <v>70</v>
      </c>
      <c r="B20" s="22" t="s">
        <v>70</v>
      </c>
      <c r="C20" s="78"/>
      <c r="D20" s="78"/>
      <c r="E20" s="78"/>
      <c r="F20" s="78"/>
    </row>
    <row r="21" spans="1:19">
      <c r="A21" s="22" t="s">
        <v>71</v>
      </c>
      <c r="B21" s="22" t="s">
        <v>71</v>
      </c>
    </row>
    <row r="22" spans="1:1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 t="s">
        <v>1978</v>
      </c>
    </row>
    <row r="23" spans="1:19">
      <c r="A23" s="22" t="s">
        <v>139</v>
      </c>
      <c r="B23" s="22" t="s">
        <v>139</v>
      </c>
      <c r="C23" s="22">
        <v>40</v>
      </c>
      <c r="D23" s="22">
        <v>40</v>
      </c>
      <c r="E23" s="22">
        <v>40</v>
      </c>
      <c r="F23" s="22">
        <v>40</v>
      </c>
    </row>
    <row r="24" spans="1:19">
      <c r="A24" s="22" t="s">
        <v>140</v>
      </c>
      <c r="B24" s="22" t="s">
        <v>140</v>
      </c>
      <c r="C24" s="22">
        <v>54</v>
      </c>
      <c r="D24" s="22">
        <v>54</v>
      </c>
      <c r="E24" s="22">
        <v>54</v>
      </c>
      <c r="F24" s="22">
        <v>54</v>
      </c>
    </row>
    <row r="25" spans="1:19">
      <c r="A25" s="22" t="s">
        <v>1752</v>
      </c>
      <c r="B25" s="22" t="s">
        <v>1752</v>
      </c>
      <c r="C25" s="22">
        <f>(5+2/12)*12*2.54</f>
        <v>157.47999999999999</v>
      </c>
      <c r="D25" s="22">
        <f>AVERAGE(D27,C28)</f>
        <v>168.91000000000003</v>
      </c>
      <c r="E25" s="22">
        <f>AVERAGE(E27,D28)</f>
        <v>179.07</v>
      </c>
      <c r="F25" s="22">
        <f>AVERAGE(F27,E28)</f>
        <v>189.23000000000002</v>
      </c>
    </row>
    <row r="26" spans="1:19">
      <c r="A26" s="22" t="s">
        <v>1753</v>
      </c>
      <c r="B26" s="22" t="s">
        <v>1753</v>
      </c>
      <c r="C26" s="22">
        <f>D25</f>
        <v>168.91000000000003</v>
      </c>
      <c r="D26" s="22">
        <f t="shared" ref="D26:E26" si="5">E25</f>
        <v>179.07</v>
      </c>
      <c r="E26" s="22">
        <f t="shared" si="5"/>
        <v>189.23000000000002</v>
      </c>
      <c r="F26" s="22">
        <f>(6+6/12)*12*2.54</f>
        <v>198.12</v>
      </c>
    </row>
    <row r="27" spans="1:19">
      <c r="C27" s="22">
        <f>C29*2.54</f>
        <v>157.47999999999999</v>
      </c>
      <c r="D27" s="22">
        <f t="shared" ref="D27:F27" si="6">D29*2.54</f>
        <v>167.64000000000001</v>
      </c>
      <c r="E27" s="22">
        <f t="shared" si="6"/>
        <v>177.8</v>
      </c>
      <c r="F27" s="22">
        <f t="shared" si="6"/>
        <v>187.96</v>
      </c>
    </row>
    <row r="28" spans="1:19">
      <c r="C28" s="22">
        <f>C30*2.54</f>
        <v>170.18</v>
      </c>
      <c r="D28" s="22">
        <f t="shared" ref="D28:F28" si="7">D30*2.54</f>
        <v>180.34</v>
      </c>
      <c r="E28" s="22">
        <f t="shared" si="7"/>
        <v>190.5</v>
      </c>
      <c r="F28" s="22">
        <f t="shared" si="7"/>
        <v>198.12</v>
      </c>
    </row>
    <row r="29" spans="1:19">
      <c r="B29" s="22" t="s">
        <v>1752</v>
      </c>
      <c r="C29" s="62">
        <v>62</v>
      </c>
      <c r="D29" s="62">
        <v>66</v>
      </c>
      <c r="E29" s="62">
        <v>70</v>
      </c>
      <c r="F29" s="62">
        <v>74</v>
      </c>
    </row>
    <row r="30" spans="1:19">
      <c r="B30" s="22" t="s">
        <v>1753</v>
      </c>
      <c r="C30" s="62">
        <v>67</v>
      </c>
      <c r="D30" s="62">
        <v>71</v>
      </c>
      <c r="E30" s="62">
        <v>75</v>
      </c>
      <c r="F30" s="62">
        <v>78</v>
      </c>
    </row>
    <row r="31" spans="1:19">
      <c r="B31" s="62"/>
      <c r="C31" s="62"/>
      <c r="D31" s="62"/>
      <c r="E31" s="62"/>
      <c r="F31" s="62"/>
    </row>
    <row r="32" spans="1:19">
      <c r="B32" s="62"/>
      <c r="C32" s="62"/>
      <c r="D32" s="62"/>
      <c r="E32" s="62"/>
      <c r="F32" s="62"/>
    </row>
    <row r="33" spans="2:6">
      <c r="B33" s="62"/>
      <c r="C33" s="62"/>
      <c r="D33" s="62"/>
      <c r="E33" s="62"/>
      <c r="F33" s="62"/>
    </row>
    <row r="34" spans="2:6">
      <c r="B34" s="62"/>
      <c r="C34" s="62"/>
      <c r="D34" s="62"/>
      <c r="E34" s="62"/>
      <c r="F34" s="62"/>
    </row>
    <row r="35" spans="2:6">
      <c r="B35" s="62"/>
      <c r="C35" s="62"/>
      <c r="D35" s="62"/>
      <c r="E35" s="62"/>
      <c r="F35" s="62"/>
    </row>
    <row r="36" spans="2:6">
      <c r="B36" s="62"/>
      <c r="C36" s="62"/>
      <c r="D36" s="62"/>
      <c r="E36" s="62"/>
      <c r="F36" s="62"/>
    </row>
    <row r="37" spans="2:6">
      <c r="B37" s="62"/>
      <c r="C37" s="62"/>
      <c r="D37" s="62"/>
      <c r="E37" s="62"/>
      <c r="F37" s="62"/>
    </row>
    <row r="38" spans="2:6">
      <c r="B38" s="62"/>
      <c r="C38" s="62"/>
      <c r="D38" s="62"/>
      <c r="E38" s="62"/>
      <c r="F38" s="62"/>
    </row>
    <row r="39" spans="2:6">
      <c r="B39" s="62"/>
      <c r="C39" s="62"/>
      <c r="D39" s="62"/>
      <c r="E39" s="62"/>
      <c r="F39" s="62"/>
    </row>
    <row r="40" spans="2:6">
      <c r="B40" s="62"/>
      <c r="C40" s="62"/>
      <c r="D40" s="62"/>
      <c r="E40" s="62"/>
      <c r="F40" s="62"/>
    </row>
    <row r="41" spans="2:6">
      <c r="B41" s="62"/>
      <c r="C41" s="62"/>
      <c r="D41" s="62"/>
      <c r="E41" s="62"/>
      <c r="F41" s="62"/>
    </row>
    <row r="42" spans="2:6">
      <c r="B42" s="62"/>
      <c r="C42" s="62"/>
      <c r="D42" s="62"/>
      <c r="E42" s="62"/>
      <c r="F42" s="62"/>
    </row>
    <row r="43" spans="2:6">
      <c r="B43" s="62"/>
      <c r="C43" s="62"/>
      <c r="D43" s="62"/>
      <c r="E43" s="62"/>
      <c r="F43" s="62"/>
    </row>
    <row r="45" spans="2:6">
      <c r="C45" s="78"/>
      <c r="D45" s="78"/>
      <c r="E45" s="78"/>
      <c r="F45" s="78"/>
    </row>
    <row r="54" spans="2:6">
      <c r="C54" s="61"/>
      <c r="D54" s="61"/>
      <c r="E54" s="61"/>
      <c r="F54" s="61"/>
    </row>
    <row r="55" spans="2:6">
      <c r="B55" s="62"/>
      <c r="C55" s="62"/>
      <c r="D55" s="62"/>
      <c r="E55" s="62"/>
      <c r="F55" s="62"/>
    </row>
    <row r="56" spans="2:6">
      <c r="B56" s="62"/>
      <c r="C56" s="62"/>
      <c r="D56" s="62"/>
      <c r="E56" s="62"/>
      <c r="F56" s="62"/>
    </row>
    <row r="57" spans="2:6">
      <c r="B57" s="62"/>
      <c r="C57" s="62"/>
      <c r="D57" s="62"/>
      <c r="E57" s="62"/>
      <c r="F57" s="62"/>
    </row>
    <row r="58" spans="2:6">
      <c r="B58" s="62"/>
      <c r="C58" s="62"/>
      <c r="D58" s="62"/>
      <c r="E58" s="62"/>
      <c r="F58" s="62"/>
    </row>
    <row r="59" spans="2:6">
      <c r="B59" s="62"/>
      <c r="C59" s="62"/>
      <c r="D59" s="62"/>
      <c r="E59" s="62"/>
      <c r="F59" s="62"/>
    </row>
    <row r="60" spans="2:6">
      <c r="B60" s="62"/>
      <c r="C60" s="62"/>
      <c r="D60" s="62"/>
      <c r="E60" s="62"/>
      <c r="F60" s="62"/>
    </row>
    <row r="61" spans="2:6">
      <c r="B61" s="62"/>
      <c r="C61" s="62"/>
      <c r="D61" s="62"/>
      <c r="E61" s="62"/>
      <c r="F61" s="62"/>
    </row>
    <row r="62" spans="2:6">
      <c r="B62" s="62"/>
      <c r="C62" s="62"/>
      <c r="D62" s="62"/>
      <c r="E62" s="62"/>
      <c r="F62" s="62"/>
    </row>
    <row r="63" spans="2:6">
      <c r="B63" s="62"/>
      <c r="C63" s="62"/>
      <c r="D63" s="62"/>
      <c r="E63" s="62"/>
      <c r="F63" s="62"/>
    </row>
    <row r="64" spans="2:6">
      <c r="B64" s="62"/>
      <c r="C64" s="62"/>
      <c r="D64" s="62"/>
      <c r="E64" s="62"/>
      <c r="F64" s="62"/>
    </row>
    <row r="65" spans="2:7">
      <c r="B65" s="62"/>
      <c r="C65" s="62"/>
      <c r="D65" s="62"/>
      <c r="E65" s="62"/>
      <c r="F65" s="62"/>
    </row>
    <row r="66" spans="2:7">
      <c r="B66" s="62"/>
      <c r="C66" s="62"/>
      <c r="D66" s="62"/>
      <c r="E66" s="62"/>
      <c r="F66" s="62"/>
    </row>
    <row r="67" spans="2:7">
      <c r="B67" s="62"/>
      <c r="C67" s="62"/>
      <c r="D67" s="62"/>
      <c r="E67" s="62"/>
      <c r="F67" s="62"/>
    </row>
    <row r="68" spans="2:7">
      <c r="B68" s="62"/>
      <c r="C68" s="62"/>
      <c r="D68" s="62"/>
      <c r="E68" s="62"/>
      <c r="F68" s="62"/>
    </row>
    <row r="69" spans="2:7">
      <c r="B69" s="62"/>
      <c r="C69" s="62"/>
      <c r="D69" s="62"/>
      <c r="E69" s="62"/>
      <c r="F69" s="62"/>
    </row>
    <row r="71" spans="2:7">
      <c r="C71" s="78"/>
      <c r="D71" s="78"/>
      <c r="E71" s="78"/>
      <c r="F71" s="78"/>
    </row>
    <row r="73" spans="2:7">
      <c r="G73" s="22" t="s">
        <v>1978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CDE6-0020-AA45-BE67-C16E75D8A635}">
  <dimension ref="A1:S73"/>
  <sheetViews>
    <sheetView topLeftCell="A2" workbookViewId="0">
      <selection activeCell="F15" sqref="F15"/>
    </sheetView>
  </sheetViews>
  <sheetFormatPr baseColWidth="10" defaultRowHeight="20"/>
  <cols>
    <col min="1" max="1" width="29.33203125" style="22" customWidth="1"/>
    <col min="2" max="2" width="51.1640625" style="22" customWidth="1"/>
    <col min="3" max="3" width="20.1640625" style="22" bestFit="1" customWidth="1"/>
    <col min="4" max="6" width="18.83203125" style="22" bestFit="1" customWidth="1"/>
    <col min="7" max="8" width="10.83203125" style="22"/>
    <col min="9" max="9" width="40.1640625" style="22" customWidth="1"/>
    <col min="10" max="10" width="20.1640625" style="22" bestFit="1" customWidth="1"/>
    <col min="11" max="13" width="18.83203125" style="22" bestFit="1" customWidth="1"/>
    <col min="14" max="16384" width="10.83203125" style="22"/>
  </cols>
  <sheetData>
    <row r="1" spans="1:19">
      <c r="A1" s="22" t="s">
        <v>72</v>
      </c>
      <c r="B1" s="22" t="s">
        <v>1977</v>
      </c>
      <c r="C1" s="61" t="s">
        <v>17</v>
      </c>
      <c r="D1" s="61" t="s">
        <v>18</v>
      </c>
      <c r="E1" s="61" t="s">
        <v>19</v>
      </c>
      <c r="F1" s="61" t="s">
        <v>20</v>
      </c>
      <c r="J1" s="61" t="s">
        <v>17</v>
      </c>
      <c r="K1" s="61" t="s">
        <v>18</v>
      </c>
      <c r="L1" s="61" t="s">
        <v>19</v>
      </c>
      <c r="M1" s="61" t="s">
        <v>20</v>
      </c>
    </row>
    <row r="2" spans="1:19">
      <c r="A2" s="22" t="s">
        <v>73</v>
      </c>
      <c r="B2" s="62" t="s">
        <v>1574</v>
      </c>
      <c r="C2" s="62">
        <f>VALUE(LEFT(J4,3))</f>
        <v>546</v>
      </c>
      <c r="D2" s="62">
        <f>VALUE(LEFT(K4,3))</f>
        <v>560</v>
      </c>
      <c r="E2" s="62">
        <f>VALUE(LEFT(L4,3))</f>
        <v>583</v>
      </c>
      <c r="F2" s="62">
        <f>VALUE(LEFT(M4,3))</f>
        <v>605</v>
      </c>
      <c r="I2" s="62" t="s">
        <v>1568</v>
      </c>
      <c r="J2" s="62" t="s">
        <v>1570</v>
      </c>
      <c r="K2" s="62" t="s">
        <v>1957</v>
      </c>
      <c r="L2" s="62" t="s">
        <v>1572</v>
      </c>
      <c r="M2" s="62" t="s">
        <v>1573</v>
      </c>
      <c r="O2" s="71" t="s">
        <v>1568</v>
      </c>
      <c r="P2" s="71" t="s">
        <v>1570</v>
      </c>
      <c r="Q2" s="71" t="s">
        <v>2829</v>
      </c>
      <c r="R2" s="71" t="s">
        <v>2830</v>
      </c>
      <c r="S2" s="71" t="s">
        <v>2831</v>
      </c>
    </row>
    <row r="3" spans="1:19">
      <c r="A3" s="22" t="s">
        <v>2835</v>
      </c>
      <c r="B3" s="62" t="s">
        <v>1578</v>
      </c>
      <c r="C3" s="62">
        <f>VALUE(LEFT(J5,2))</f>
        <v>71</v>
      </c>
      <c r="D3" s="62">
        <f>VALUE(LEFT(K5,4))</f>
        <v>71.5</v>
      </c>
      <c r="E3" s="62">
        <f>VALUE(LEFT(L5,4))</f>
        <v>71.5</v>
      </c>
      <c r="F3" s="62">
        <f>VALUE(LEFT(M5,4))</f>
        <v>71.5</v>
      </c>
      <c r="I3" s="62" t="s">
        <v>1673</v>
      </c>
      <c r="J3" s="62" t="s">
        <v>1958</v>
      </c>
      <c r="K3" s="62" t="s">
        <v>1959</v>
      </c>
      <c r="L3" s="62" t="s">
        <v>1678</v>
      </c>
      <c r="M3" s="62" t="s">
        <v>1679</v>
      </c>
      <c r="O3" s="71" t="s">
        <v>1673</v>
      </c>
      <c r="P3" s="71" t="s">
        <v>1958</v>
      </c>
      <c r="Q3" s="71" t="s">
        <v>1959</v>
      </c>
      <c r="R3" s="71" t="s">
        <v>1678</v>
      </c>
      <c r="S3" s="71" t="s">
        <v>1679</v>
      </c>
    </row>
    <row r="4" spans="1:19">
      <c r="A4" s="22" t="s">
        <v>62</v>
      </c>
      <c r="B4" s="62"/>
      <c r="C4" s="62">
        <f>C3-C5</f>
        <v>70.75</v>
      </c>
      <c r="D4" s="62">
        <f t="shared" ref="D4:F4" si="0">D3-D5</f>
        <v>71.25</v>
      </c>
      <c r="E4" s="62">
        <f t="shared" si="0"/>
        <v>71.25</v>
      </c>
      <c r="F4" s="62">
        <f t="shared" si="0"/>
        <v>71.25</v>
      </c>
      <c r="G4" s="22" t="s">
        <v>2839</v>
      </c>
      <c r="I4" s="62" t="s">
        <v>1574</v>
      </c>
      <c r="J4" s="62" t="s">
        <v>1960</v>
      </c>
      <c r="K4" s="62" t="s">
        <v>855</v>
      </c>
      <c r="L4" s="62" t="s">
        <v>1466</v>
      </c>
      <c r="M4" s="62" t="s">
        <v>1331</v>
      </c>
      <c r="O4" s="71" t="s">
        <v>1574</v>
      </c>
      <c r="P4" s="71" t="s">
        <v>1960</v>
      </c>
      <c r="Q4" s="71" t="s">
        <v>855</v>
      </c>
      <c r="R4" s="71" t="s">
        <v>1466</v>
      </c>
      <c r="S4" s="71" t="s">
        <v>1331</v>
      </c>
    </row>
    <row r="5" spans="1:19">
      <c r="A5" s="22" t="s">
        <v>1979</v>
      </c>
      <c r="B5" s="62" t="s">
        <v>1579</v>
      </c>
      <c r="C5" s="62">
        <v>0.25</v>
      </c>
      <c r="D5" s="62">
        <v>0.25</v>
      </c>
      <c r="E5" s="62">
        <v>0.25</v>
      </c>
      <c r="F5" s="62">
        <v>0.25</v>
      </c>
      <c r="I5" s="62" t="s">
        <v>1578</v>
      </c>
      <c r="J5" s="62" t="s">
        <v>309</v>
      </c>
      <c r="K5" s="62" t="s">
        <v>790</v>
      </c>
      <c r="L5" s="62" t="s">
        <v>790</v>
      </c>
      <c r="M5" s="62" t="s">
        <v>790</v>
      </c>
      <c r="O5" s="71" t="s">
        <v>1578</v>
      </c>
      <c r="P5" s="71" t="s">
        <v>309</v>
      </c>
      <c r="Q5" s="71" t="s">
        <v>790</v>
      </c>
      <c r="R5" s="71" t="s">
        <v>790</v>
      </c>
      <c r="S5" s="71" t="s">
        <v>790</v>
      </c>
    </row>
    <row r="6" spans="1:19">
      <c r="A6" s="22" t="s">
        <v>64</v>
      </c>
      <c r="B6" s="62" t="s">
        <v>1581</v>
      </c>
      <c r="C6" s="62">
        <f>VALUE(LEFT(J7,2))</f>
        <v>94</v>
      </c>
      <c r="D6" s="62">
        <f>VALUE(LEFT(K7,3))</f>
        <v>107</v>
      </c>
      <c r="E6" s="62">
        <f>VALUE(LEFT(L7,3))</f>
        <v>149</v>
      </c>
      <c r="F6" s="62">
        <f>VALUE(LEFT(M7,3))</f>
        <v>191</v>
      </c>
      <c r="I6" s="62" t="s">
        <v>1579</v>
      </c>
      <c r="J6" s="62" t="s">
        <v>1580</v>
      </c>
      <c r="K6" s="62" t="s">
        <v>1580</v>
      </c>
      <c r="L6" s="62" t="s">
        <v>1580</v>
      </c>
      <c r="M6" s="62" t="s">
        <v>1580</v>
      </c>
      <c r="O6" s="71" t="s">
        <v>2832</v>
      </c>
      <c r="P6" s="71" t="s">
        <v>2833</v>
      </c>
      <c r="Q6" s="71" t="s">
        <v>2833</v>
      </c>
      <c r="R6" s="71" t="s">
        <v>2833</v>
      </c>
      <c r="S6" s="71" t="s">
        <v>2833</v>
      </c>
    </row>
    <row r="7" spans="1:19">
      <c r="A7" s="22" t="s">
        <v>2836</v>
      </c>
      <c r="B7" s="62" t="s">
        <v>1583</v>
      </c>
      <c r="C7" s="62">
        <f>VALUE(LEFT(J8,4))</f>
        <v>72.5</v>
      </c>
      <c r="D7" s="62">
        <f>VALUE(LEFT(K8,4))</f>
        <v>72.5</v>
      </c>
      <c r="E7" s="62">
        <f>VALUE(LEFT(L8,4))</f>
        <v>72.5</v>
      </c>
      <c r="F7" s="62">
        <f>VALUE(LEFT(M8,4))</f>
        <v>72.5</v>
      </c>
      <c r="I7" s="62" t="s">
        <v>1581</v>
      </c>
      <c r="J7" s="62" t="s">
        <v>1961</v>
      </c>
      <c r="K7" s="62" t="s">
        <v>1962</v>
      </c>
      <c r="L7" s="62" t="s">
        <v>1963</v>
      </c>
      <c r="M7" s="62" t="s">
        <v>1964</v>
      </c>
      <c r="O7" s="71" t="s">
        <v>1581</v>
      </c>
      <c r="P7" s="71" t="s">
        <v>1961</v>
      </c>
      <c r="Q7" s="71" t="s">
        <v>1962</v>
      </c>
      <c r="R7" s="71" t="s">
        <v>1963</v>
      </c>
      <c r="S7" s="71" t="s">
        <v>1964</v>
      </c>
    </row>
    <row r="8" spans="1:19">
      <c r="A8" s="22" t="s">
        <v>63</v>
      </c>
      <c r="B8" s="62"/>
      <c r="C8" s="62">
        <f>C7+C5</f>
        <v>72.75</v>
      </c>
      <c r="D8" s="62">
        <f t="shared" ref="D8:F8" si="1">D7+D5</f>
        <v>72.75</v>
      </c>
      <c r="E8" s="62">
        <f t="shared" si="1"/>
        <v>72.75</v>
      </c>
      <c r="F8" s="62">
        <f t="shared" si="1"/>
        <v>72.75</v>
      </c>
      <c r="G8" s="22" t="s">
        <v>2840</v>
      </c>
      <c r="I8" s="62" t="s">
        <v>1583</v>
      </c>
      <c r="J8" s="62" t="s">
        <v>293</v>
      </c>
      <c r="K8" s="62" t="s">
        <v>293</v>
      </c>
      <c r="L8" s="62" t="s">
        <v>293</v>
      </c>
      <c r="M8" s="62" t="s">
        <v>293</v>
      </c>
      <c r="O8" s="71" t="s">
        <v>1583</v>
      </c>
      <c r="P8" s="71" t="s">
        <v>293</v>
      </c>
      <c r="Q8" s="71" t="s">
        <v>293</v>
      </c>
      <c r="R8" s="71" t="s">
        <v>293</v>
      </c>
      <c r="S8" s="71" t="s">
        <v>293</v>
      </c>
    </row>
    <row r="9" spans="1:19">
      <c r="A9" s="22" t="s">
        <v>60</v>
      </c>
      <c r="B9" s="62" t="s">
        <v>1584</v>
      </c>
      <c r="C9" s="62">
        <f>VALUE(LEFT(J9,3))</f>
        <v>475</v>
      </c>
      <c r="D9" s="62">
        <f>VALUE(LEFT(K9,3))</f>
        <v>510</v>
      </c>
      <c r="E9" s="62">
        <f>VALUE(LEFT(L9,3))</f>
        <v>540</v>
      </c>
      <c r="F9" s="62">
        <f>VALUE(LEFT(M9,3))</f>
        <v>570</v>
      </c>
      <c r="I9" s="62" t="s">
        <v>1584</v>
      </c>
      <c r="J9" s="62" t="s">
        <v>1965</v>
      </c>
      <c r="K9" s="62" t="s">
        <v>1162</v>
      </c>
      <c r="L9" s="62" t="s">
        <v>849</v>
      </c>
      <c r="M9" s="62" t="s">
        <v>848</v>
      </c>
      <c r="O9" s="71" t="s">
        <v>1584</v>
      </c>
      <c r="P9" s="71" t="s">
        <v>1965</v>
      </c>
      <c r="Q9" s="71" t="s">
        <v>1162</v>
      </c>
      <c r="R9" s="71" t="s">
        <v>849</v>
      </c>
      <c r="S9" s="71" t="s">
        <v>848</v>
      </c>
    </row>
    <row r="10" spans="1:19">
      <c r="A10" s="22" t="s">
        <v>65</v>
      </c>
      <c r="B10" s="62" t="s">
        <v>1585</v>
      </c>
      <c r="C10" s="62">
        <v>68</v>
      </c>
      <c r="D10" s="62">
        <v>68</v>
      </c>
      <c r="E10" s="62">
        <v>68</v>
      </c>
      <c r="F10" s="62">
        <v>68</v>
      </c>
      <c r="G10" s="22" t="s">
        <v>2841</v>
      </c>
      <c r="I10" s="62" t="s">
        <v>1585</v>
      </c>
      <c r="J10" s="62" t="s">
        <v>1586</v>
      </c>
      <c r="K10" s="62" t="s">
        <v>1586</v>
      </c>
      <c r="L10" s="62" t="s">
        <v>1586</v>
      </c>
      <c r="M10" s="62" t="s">
        <v>1586</v>
      </c>
      <c r="O10" s="71" t="s">
        <v>1585</v>
      </c>
      <c r="P10" s="71" t="s">
        <v>1586</v>
      </c>
      <c r="Q10" s="71" t="s">
        <v>1586</v>
      </c>
      <c r="R10" s="71" t="s">
        <v>1586</v>
      </c>
      <c r="S10" s="71" t="s">
        <v>1586</v>
      </c>
    </row>
    <row r="11" spans="1:19">
      <c r="A11" s="22" t="s">
        <v>66</v>
      </c>
      <c r="B11" s="62" t="s">
        <v>353</v>
      </c>
      <c r="C11" s="62">
        <v>420</v>
      </c>
      <c r="D11" s="62">
        <v>420</v>
      </c>
      <c r="E11" s="62">
        <v>420</v>
      </c>
      <c r="F11" s="62">
        <v>420</v>
      </c>
      <c r="I11" s="62" t="s">
        <v>353</v>
      </c>
      <c r="J11" s="62" t="s">
        <v>1683</v>
      </c>
      <c r="K11" s="62" t="s">
        <v>1683</v>
      </c>
      <c r="L11" s="62" t="s">
        <v>1683</v>
      </c>
      <c r="M11" s="62" t="s">
        <v>1683</v>
      </c>
      <c r="O11" s="71" t="s">
        <v>353</v>
      </c>
      <c r="P11" s="71" t="s">
        <v>1683</v>
      </c>
      <c r="Q11" s="71" t="s">
        <v>1683</v>
      </c>
      <c r="R11" s="71" t="s">
        <v>1683</v>
      </c>
      <c r="S11" s="71" t="s">
        <v>1683</v>
      </c>
    </row>
    <row r="12" spans="1:19">
      <c r="A12" s="22" t="s">
        <v>56</v>
      </c>
      <c r="B12" s="62" t="s">
        <v>9</v>
      </c>
      <c r="C12" s="62">
        <f>VALUE(LEFT(J12,4))</f>
        <v>1008</v>
      </c>
      <c r="D12" s="62">
        <f t="shared" ref="D12:F12" si="2">VALUE(LEFT(K12,4))</f>
        <v>1015</v>
      </c>
      <c r="E12" s="62">
        <f t="shared" si="2"/>
        <v>1039</v>
      </c>
      <c r="F12" s="62">
        <f t="shared" si="2"/>
        <v>1062</v>
      </c>
      <c r="I12" s="62" t="s">
        <v>9</v>
      </c>
      <c r="J12" s="62" t="s">
        <v>1966</v>
      </c>
      <c r="K12" s="62" t="s">
        <v>1967</v>
      </c>
      <c r="L12" s="62" t="s">
        <v>1968</v>
      </c>
      <c r="M12" s="62" t="s">
        <v>1969</v>
      </c>
      <c r="O12" s="71" t="s">
        <v>9</v>
      </c>
      <c r="P12" s="71" t="s">
        <v>1966</v>
      </c>
      <c r="Q12" s="71" t="s">
        <v>1967</v>
      </c>
      <c r="R12" s="71" t="s">
        <v>1968</v>
      </c>
      <c r="S12" s="71" t="s">
        <v>1969</v>
      </c>
    </row>
    <row r="13" spans="1:19">
      <c r="A13" s="22" t="s">
        <v>135</v>
      </c>
      <c r="B13" s="62" t="s">
        <v>133</v>
      </c>
      <c r="C13" s="62">
        <f t="shared" ref="C13:F14" si="3">VALUE(LEFT(J13,2))</f>
        <v>71</v>
      </c>
      <c r="D13" s="62">
        <f t="shared" si="3"/>
        <v>68</v>
      </c>
      <c r="E13" s="62">
        <f t="shared" si="3"/>
        <v>68</v>
      </c>
      <c r="F13" s="62">
        <f t="shared" si="3"/>
        <v>68</v>
      </c>
      <c r="I13" s="62" t="s">
        <v>133</v>
      </c>
      <c r="J13" s="62" t="s">
        <v>1690</v>
      </c>
      <c r="K13" s="62" t="s">
        <v>827</v>
      </c>
      <c r="L13" s="62" t="s">
        <v>827</v>
      </c>
      <c r="M13" s="62" t="s">
        <v>827</v>
      </c>
      <c r="O13" s="71" t="s">
        <v>133</v>
      </c>
      <c r="P13" s="71" t="s">
        <v>1690</v>
      </c>
      <c r="Q13" s="71" t="s">
        <v>827</v>
      </c>
      <c r="R13" s="71" t="s">
        <v>827</v>
      </c>
      <c r="S13" s="71" t="s">
        <v>827</v>
      </c>
    </row>
    <row r="14" spans="1:19">
      <c r="A14" s="22" t="s">
        <v>67</v>
      </c>
      <c r="B14" s="62" t="s">
        <v>1594</v>
      </c>
      <c r="C14" s="62">
        <f t="shared" si="3"/>
        <v>47</v>
      </c>
      <c r="D14" s="62">
        <f t="shared" si="3"/>
        <v>47</v>
      </c>
      <c r="E14" s="62">
        <f t="shared" si="3"/>
        <v>47</v>
      </c>
      <c r="F14" s="62">
        <f t="shared" si="3"/>
        <v>47</v>
      </c>
      <c r="I14" s="62" t="s">
        <v>1594</v>
      </c>
      <c r="J14" s="62" t="s">
        <v>836</v>
      </c>
      <c r="K14" s="62" t="s">
        <v>836</v>
      </c>
      <c r="L14" s="62" t="s">
        <v>836</v>
      </c>
      <c r="M14" s="62" t="s">
        <v>836</v>
      </c>
      <c r="O14" s="71" t="s">
        <v>1594</v>
      </c>
      <c r="P14" s="71" t="s">
        <v>836</v>
      </c>
      <c r="Q14" s="71" t="s">
        <v>836</v>
      </c>
      <c r="R14" s="71" t="s">
        <v>836</v>
      </c>
      <c r="S14" s="71" t="s">
        <v>836</v>
      </c>
    </row>
    <row r="15" spans="1:19">
      <c r="A15" s="22" t="s">
        <v>495</v>
      </c>
      <c r="B15" s="62" t="s">
        <v>1595</v>
      </c>
      <c r="C15" s="62">
        <f t="shared" ref="C15:F18" si="4">VALUE(LEFT(J15,3))</f>
        <v>420</v>
      </c>
      <c r="D15" s="62">
        <f t="shared" si="4"/>
        <v>420</v>
      </c>
      <c r="E15" s="62">
        <f t="shared" si="4"/>
        <v>420</v>
      </c>
      <c r="F15" s="62">
        <f t="shared" si="4"/>
        <v>420</v>
      </c>
      <c r="I15" s="62" t="s">
        <v>1595</v>
      </c>
      <c r="J15" s="62" t="s">
        <v>610</v>
      </c>
      <c r="K15" s="62" t="s">
        <v>610</v>
      </c>
      <c r="L15" s="62" t="s">
        <v>610</v>
      </c>
      <c r="M15" s="62" t="s">
        <v>610</v>
      </c>
      <c r="O15" s="71" t="s">
        <v>1595</v>
      </c>
      <c r="P15" s="71" t="s">
        <v>610</v>
      </c>
      <c r="Q15" s="71" t="s">
        <v>610</v>
      </c>
      <c r="R15" s="71" t="s">
        <v>610</v>
      </c>
      <c r="S15" s="71" t="s">
        <v>610</v>
      </c>
    </row>
    <row r="16" spans="1:19">
      <c r="A16" s="22" t="s">
        <v>54</v>
      </c>
      <c r="B16" s="62" t="s">
        <v>0</v>
      </c>
      <c r="C16" s="62">
        <f t="shared" si="4"/>
        <v>541</v>
      </c>
      <c r="D16" s="62">
        <f t="shared" si="4"/>
        <v>555</v>
      </c>
      <c r="E16" s="62">
        <f t="shared" si="4"/>
        <v>595</v>
      </c>
      <c r="F16" s="62">
        <f t="shared" si="4"/>
        <v>635</v>
      </c>
      <c r="I16" s="62" t="s">
        <v>0</v>
      </c>
      <c r="J16" s="62" t="s">
        <v>1239</v>
      </c>
      <c r="K16" s="62" t="s">
        <v>227</v>
      </c>
      <c r="L16" s="62" t="s">
        <v>229</v>
      </c>
      <c r="M16" s="62" t="s">
        <v>1970</v>
      </c>
      <c r="O16" s="71" t="s">
        <v>0</v>
      </c>
      <c r="P16" s="71" t="s">
        <v>1239</v>
      </c>
      <c r="Q16" s="71" t="s">
        <v>227</v>
      </c>
      <c r="R16" s="71" t="s">
        <v>229</v>
      </c>
      <c r="S16" s="71" t="s">
        <v>1970</v>
      </c>
    </row>
    <row r="17" spans="1:19">
      <c r="A17" s="22" t="s">
        <v>55</v>
      </c>
      <c r="B17" s="62" t="s">
        <v>1</v>
      </c>
      <c r="C17" s="62">
        <f t="shared" si="4"/>
        <v>375</v>
      </c>
      <c r="D17" s="62">
        <f t="shared" si="4"/>
        <v>385</v>
      </c>
      <c r="E17" s="62">
        <f t="shared" si="4"/>
        <v>395</v>
      </c>
      <c r="F17" s="62">
        <f t="shared" si="4"/>
        <v>405</v>
      </c>
      <c r="I17" s="62" t="s">
        <v>1</v>
      </c>
      <c r="J17" s="62" t="s">
        <v>1254</v>
      </c>
      <c r="K17" s="62" t="s">
        <v>1971</v>
      </c>
      <c r="L17" s="62" t="s">
        <v>609</v>
      </c>
      <c r="M17" s="62" t="s">
        <v>1972</v>
      </c>
      <c r="O17" s="71" t="s">
        <v>1</v>
      </c>
      <c r="P17" s="71" t="s">
        <v>1254</v>
      </c>
      <c r="Q17" s="71" t="s">
        <v>1971</v>
      </c>
      <c r="R17" s="71" t="s">
        <v>609</v>
      </c>
      <c r="S17" s="71" t="s">
        <v>1972</v>
      </c>
    </row>
    <row r="18" spans="1:19">
      <c r="A18" s="22" t="s">
        <v>57</v>
      </c>
      <c r="B18" s="62" t="s">
        <v>14</v>
      </c>
      <c r="C18" s="62">
        <f t="shared" si="4"/>
        <v>737</v>
      </c>
      <c r="D18" s="62">
        <f t="shared" si="4"/>
        <v>765</v>
      </c>
      <c r="E18" s="62">
        <f t="shared" si="4"/>
        <v>798</v>
      </c>
      <c r="F18" s="62">
        <f t="shared" si="4"/>
        <v>831</v>
      </c>
      <c r="I18" s="62" t="s">
        <v>14</v>
      </c>
      <c r="J18" s="62" t="s">
        <v>1973</v>
      </c>
      <c r="K18" s="62" t="s">
        <v>1974</v>
      </c>
      <c r="L18" s="62" t="s">
        <v>1975</v>
      </c>
      <c r="M18" s="62" t="s">
        <v>1976</v>
      </c>
      <c r="O18" s="71" t="s">
        <v>14</v>
      </c>
      <c r="P18" s="71" t="s">
        <v>1973</v>
      </c>
      <c r="Q18" s="71" t="s">
        <v>1974</v>
      </c>
      <c r="R18" s="71" t="s">
        <v>1975</v>
      </c>
      <c r="S18" s="71" t="s">
        <v>1976</v>
      </c>
    </row>
    <row r="19" spans="1:19">
      <c r="A19" s="22" t="s">
        <v>69</v>
      </c>
      <c r="B19" s="22" t="s">
        <v>69</v>
      </c>
    </row>
    <row r="20" spans="1:19">
      <c r="A20" s="22" t="s">
        <v>70</v>
      </c>
      <c r="B20" s="22" t="s">
        <v>70</v>
      </c>
      <c r="C20" s="78"/>
      <c r="D20" s="78"/>
      <c r="E20" s="78"/>
      <c r="F20" s="78"/>
    </row>
    <row r="21" spans="1:19">
      <c r="A21" s="22" t="s">
        <v>71</v>
      </c>
      <c r="B21" s="22" t="s">
        <v>71</v>
      </c>
    </row>
    <row r="22" spans="1:19">
      <c r="A22" s="22" t="s">
        <v>68</v>
      </c>
      <c r="B22" s="22" t="s">
        <v>68</v>
      </c>
      <c r="C22" s="22">
        <v>700</v>
      </c>
      <c r="D22" s="22">
        <v>700</v>
      </c>
      <c r="E22" s="22">
        <v>700</v>
      </c>
      <c r="F22" s="22">
        <v>700</v>
      </c>
      <c r="G22" s="22" t="s">
        <v>1978</v>
      </c>
    </row>
    <row r="23" spans="1:19">
      <c r="A23" s="22" t="s">
        <v>139</v>
      </c>
      <c r="B23" s="22" t="s">
        <v>139</v>
      </c>
      <c r="C23" s="22">
        <v>40</v>
      </c>
      <c r="D23" s="22">
        <v>40</v>
      </c>
      <c r="E23" s="22">
        <v>40</v>
      </c>
      <c r="F23" s="22">
        <v>40</v>
      </c>
    </row>
    <row r="24" spans="1:19">
      <c r="A24" s="22" t="s">
        <v>140</v>
      </c>
      <c r="B24" s="22" t="s">
        <v>140</v>
      </c>
      <c r="C24" s="22">
        <v>54</v>
      </c>
      <c r="D24" s="22">
        <v>54</v>
      </c>
      <c r="E24" s="22">
        <v>54</v>
      </c>
      <c r="F24" s="22">
        <v>54</v>
      </c>
    </row>
    <row r="25" spans="1:19">
      <c r="A25" s="22" t="s">
        <v>1752</v>
      </c>
      <c r="B25" s="22" t="s">
        <v>1752</v>
      </c>
      <c r="C25" s="22">
        <f>(5+2/12)*12*2.54</f>
        <v>157.47999999999999</v>
      </c>
      <c r="D25" s="22">
        <f>AVERAGE(D27,C28)</f>
        <v>168.91000000000003</v>
      </c>
      <c r="E25" s="22">
        <f>AVERAGE(E27,D28)</f>
        <v>179.07</v>
      </c>
      <c r="F25" s="22">
        <f>AVERAGE(F27,E28)</f>
        <v>189.23000000000002</v>
      </c>
    </row>
    <row r="26" spans="1:19">
      <c r="A26" s="22" t="s">
        <v>1753</v>
      </c>
      <c r="B26" s="22" t="s">
        <v>1753</v>
      </c>
      <c r="C26" s="22">
        <f>D25</f>
        <v>168.91000000000003</v>
      </c>
      <c r="D26" s="22">
        <f t="shared" ref="D26:E26" si="5">E25</f>
        <v>179.07</v>
      </c>
      <c r="E26" s="22">
        <f t="shared" si="5"/>
        <v>189.23000000000002</v>
      </c>
      <c r="F26" s="22">
        <f>(6+6/12)*12*2.54</f>
        <v>198.12</v>
      </c>
    </row>
    <row r="27" spans="1:19">
      <c r="C27" s="22">
        <f>C29*2.54</f>
        <v>157.47999999999999</v>
      </c>
      <c r="D27" s="22">
        <f t="shared" ref="D27:F28" si="6">D29*2.54</f>
        <v>167.64000000000001</v>
      </c>
      <c r="E27" s="22">
        <f t="shared" si="6"/>
        <v>177.8</v>
      </c>
      <c r="F27" s="22">
        <f t="shared" si="6"/>
        <v>187.96</v>
      </c>
    </row>
    <row r="28" spans="1:19">
      <c r="C28" s="22">
        <f>C30*2.54</f>
        <v>170.18</v>
      </c>
      <c r="D28" s="22">
        <f t="shared" si="6"/>
        <v>180.34</v>
      </c>
      <c r="E28" s="22">
        <f t="shared" si="6"/>
        <v>190.5</v>
      </c>
      <c r="F28" s="22">
        <f t="shared" si="6"/>
        <v>198.12</v>
      </c>
    </row>
    <row r="29" spans="1:19">
      <c r="B29" s="22" t="s">
        <v>1752</v>
      </c>
      <c r="C29" s="62">
        <v>62</v>
      </c>
      <c r="D29" s="62">
        <v>66</v>
      </c>
      <c r="E29" s="62">
        <v>70</v>
      </c>
      <c r="F29" s="62">
        <v>74</v>
      </c>
    </row>
    <row r="30" spans="1:19">
      <c r="B30" s="22" t="s">
        <v>1753</v>
      </c>
      <c r="C30" s="62">
        <v>67</v>
      </c>
      <c r="D30" s="62">
        <v>71</v>
      </c>
      <c r="E30" s="62">
        <v>75</v>
      </c>
      <c r="F30" s="62">
        <v>78</v>
      </c>
    </row>
    <row r="31" spans="1:19">
      <c r="B31" s="62"/>
      <c r="C31" s="62"/>
      <c r="D31" s="62"/>
      <c r="E31" s="62"/>
      <c r="F31" s="62"/>
    </row>
    <row r="32" spans="1:19">
      <c r="B32" s="62"/>
      <c r="C32" s="62"/>
      <c r="D32" s="62"/>
      <c r="E32" s="62"/>
      <c r="F32" s="62"/>
    </row>
    <row r="33" spans="2:6">
      <c r="B33" s="62"/>
      <c r="C33" s="62"/>
      <c r="D33" s="62"/>
      <c r="E33" s="62"/>
      <c r="F33" s="62"/>
    </row>
    <row r="34" spans="2:6">
      <c r="B34" s="62"/>
      <c r="C34" s="62"/>
      <c r="D34" s="62"/>
      <c r="E34" s="62"/>
      <c r="F34" s="62"/>
    </row>
    <row r="35" spans="2:6">
      <c r="B35" s="62"/>
      <c r="C35" s="62"/>
      <c r="D35" s="62"/>
      <c r="E35" s="62"/>
      <c r="F35" s="62"/>
    </row>
    <row r="36" spans="2:6">
      <c r="B36" s="62"/>
      <c r="C36" s="62"/>
      <c r="D36" s="62"/>
      <c r="E36" s="62"/>
      <c r="F36" s="62"/>
    </row>
    <row r="37" spans="2:6">
      <c r="B37" s="62"/>
      <c r="C37" s="62"/>
      <c r="D37" s="62"/>
      <c r="E37" s="62"/>
      <c r="F37" s="62"/>
    </row>
    <row r="38" spans="2:6">
      <c r="B38" s="62"/>
      <c r="C38" s="62"/>
      <c r="D38" s="62"/>
      <c r="E38" s="62"/>
      <c r="F38" s="62"/>
    </row>
    <row r="39" spans="2:6">
      <c r="B39" s="62"/>
      <c r="C39" s="62"/>
      <c r="D39" s="62"/>
      <c r="E39" s="62"/>
      <c r="F39" s="62"/>
    </row>
    <row r="40" spans="2:6">
      <c r="B40" s="62"/>
      <c r="C40" s="62"/>
      <c r="D40" s="62"/>
      <c r="E40" s="62"/>
      <c r="F40" s="62"/>
    </row>
    <row r="41" spans="2:6">
      <c r="B41" s="62"/>
      <c r="C41" s="62"/>
      <c r="D41" s="62"/>
      <c r="E41" s="62"/>
      <c r="F41" s="62"/>
    </row>
    <row r="42" spans="2:6">
      <c r="B42" s="62"/>
      <c r="C42" s="62"/>
      <c r="D42" s="62"/>
      <c r="E42" s="62"/>
      <c r="F42" s="62"/>
    </row>
    <row r="43" spans="2:6">
      <c r="B43" s="62"/>
      <c r="C43" s="62"/>
      <c r="D43" s="62"/>
      <c r="E43" s="62"/>
      <c r="F43" s="62"/>
    </row>
    <row r="45" spans="2:6">
      <c r="C45" s="78"/>
      <c r="D45" s="78"/>
      <c r="E45" s="78"/>
      <c r="F45" s="78"/>
    </row>
    <row r="54" spans="2:6">
      <c r="C54" s="61"/>
      <c r="D54" s="61"/>
      <c r="E54" s="61"/>
      <c r="F54" s="61"/>
    </row>
    <row r="55" spans="2:6">
      <c r="B55" s="62"/>
      <c r="C55" s="62"/>
      <c r="D55" s="62"/>
      <c r="E55" s="62"/>
      <c r="F55" s="62"/>
    </row>
    <row r="56" spans="2:6">
      <c r="B56" s="62"/>
      <c r="C56" s="62"/>
      <c r="D56" s="62"/>
      <c r="E56" s="62"/>
      <c r="F56" s="62"/>
    </row>
    <row r="57" spans="2:6">
      <c r="B57" s="62"/>
      <c r="C57" s="62"/>
      <c r="D57" s="62"/>
      <c r="E57" s="62"/>
      <c r="F57" s="62"/>
    </row>
    <row r="58" spans="2:6">
      <c r="B58" s="62"/>
      <c r="C58" s="62"/>
      <c r="D58" s="62"/>
      <c r="E58" s="62"/>
      <c r="F58" s="62"/>
    </row>
    <row r="59" spans="2:6">
      <c r="B59" s="62"/>
      <c r="C59" s="62"/>
      <c r="D59" s="62"/>
      <c r="E59" s="62"/>
      <c r="F59" s="62"/>
    </row>
    <row r="60" spans="2:6">
      <c r="B60" s="62"/>
      <c r="C60" s="62"/>
      <c r="D60" s="62"/>
      <c r="E60" s="62"/>
      <c r="F60" s="62"/>
    </row>
    <row r="61" spans="2:6">
      <c r="B61" s="62"/>
      <c r="C61" s="62"/>
      <c r="D61" s="62"/>
      <c r="E61" s="62"/>
      <c r="F61" s="62"/>
    </row>
    <row r="62" spans="2:6">
      <c r="B62" s="62"/>
      <c r="C62" s="62"/>
      <c r="D62" s="62"/>
      <c r="E62" s="62"/>
      <c r="F62" s="62"/>
    </row>
    <row r="63" spans="2:6">
      <c r="B63" s="62"/>
      <c r="C63" s="62"/>
      <c r="D63" s="62"/>
      <c r="E63" s="62"/>
      <c r="F63" s="62"/>
    </row>
    <row r="64" spans="2:6">
      <c r="B64" s="62"/>
      <c r="C64" s="62"/>
      <c r="D64" s="62"/>
      <c r="E64" s="62"/>
      <c r="F64" s="62"/>
    </row>
    <row r="65" spans="2:7">
      <c r="B65" s="62"/>
      <c r="C65" s="62"/>
      <c r="D65" s="62"/>
      <c r="E65" s="62"/>
      <c r="F65" s="62"/>
    </row>
    <row r="66" spans="2:7">
      <c r="B66" s="62"/>
      <c r="C66" s="62"/>
      <c r="D66" s="62"/>
      <c r="E66" s="62"/>
      <c r="F66" s="62"/>
    </row>
    <row r="67" spans="2:7">
      <c r="B67" s="62"/>
      <c r="C67" s="62"/>
      <c r="D67" s="62"/>
      <c r="E67" s="62"/>
      <c r="F67" s="62"/>
    </row>
    <row r="68" spans="2:7">
      <c r="B68" s="62"/>
      <c r="C68" s="62"/>
      <c r="D68" s="62"/>
      <c r="E68" s="62"/>
      <c r="F68" s="62"/>
    </row>
    <row r="69" spans="2:7">
      <c r="B69" s="62"/>
      <c r="C69" s="62"/>
      <c r="D69" s="62"/>
      <c r="E69" s="62"/>
      <c r="F69" s="62"/>
    </row>
    <row r="71" spans="2:7">
      <c r="C71" s="78"/>
      <c r="D71" s="78"/>
      <c r="E71" s="78"/>
      <c r="F71" s="78"/>
    </row>
    <row r="73" spans="2:7">
      <c r="G73" s="22" t="s">
        <v>1978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0591-544A-4345-9DE0-7DBE2BDF7586}">
  <dimension ref="A1:I45"/>
  <sheetViews>
    <sheetView workbookViewId="0">
      <selection activeCell="C23" sqref="C23"/>
    </sheetView>
  </sheetViews>
  <sheetFormatPr baseColWidth="10" defaultRowHeight="20"/>
  <cols>
    <col min="1" max="1" width="32.5" style="22" bestFit="1" customWidth="1"/>
    <col min="2" max="2" width="42.832031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601</v>
      </c>
      <c r="D1" s="22" t="s">
        <v>413</v>
      </c>
      <c r="E1" s="22" t="s">
        <v>23</v>
      </c>
      <c r="F1" s="64" t="s">
        <v>414</v>
      </c>
      <c r="G1" s="22" t="s">
        <v>415</v>
      </c>
      <c r="H1" s="22" t="s">
        <v>1666</v>
      </c>
    </row>
    <row r="2" spans="1:8">
      <c r="A2" s="22" t="s">
        <v>73</v>
      </c>
      <c r="B2" s="22" t="s">
        <v>1574</v>
      </c>
      <c r="C2" s="22">
        <f>VALUE(LEFT(C31,3))</f>
        <v>510</v>
      </c>
      <c r="D2" s="22">
        <f t="shared" ref="D2:H2" si="0">VALUE(LEFT(D31,3))</f>
        <v>530</v>
      </c>
      <c r="E2" s="22">
        <f t="shared" si="0"/>
        <v>545</v>
      </c>
      <c r="F2" s="64">
        <f t="shared" si="0"/>
        <v>565</v>
      </c>
      <c r="G2" s="22">
        <f t="shared" si="0"/>
        <v>580</v>
      </c>
      <c r="H2" s="22">
        <f t="shared" si="0"/>
        <v>600</v>
      </c>
    </row>
    <row r="3" spans="1:8">
      <c r="A3" s="22" t="s">
        <v>62</v>
      </c>
      <c r="B3" s="22" t="s">
        <v>1578</v>
      </c>
      <c r="C3" s="22">
        <f>VALUE(LEFT(C32,2))</f>
        <v>70</v>
      </c>
      <c r="D3" s="22">
        <f>VALUE(LEFT(D32,4))</f>
        <v>70.5</v>
      </c>
      <c r="E3" s="22">
        <f t="shared" ref="E3:H3" si="1">VALUE(LEFT(E32,2))</f>
        <v>71</v>
      </c>
      <c r="F3" s="64">
        <f>VALUE(LEFT(F32,4))</f>
        <v>71.5</v>
      </c>
      <c r="G3" s="22">
        <f t="shared" si="1"/>
        <v>72</v>
      </c>
      <c r="H3" s="22">
        <f t="shared" si="1"/>
        <v>72</v>
      </c>
    </row>
    <row r="4" spans="1:8">
      <c r="A4" s="22" t="s">
        <v>1702</v>
      </c>
      <c r="B4" s="22" t="s">
        <v>1579</v>
      </c>
      <c r="C4" s="22">
        <v>0.2</v>
      </c>
      <c r="D4" s="22">
        <v>1.2</v>
      </c>
      <c r="E4" s="22">
        <v>2.2000000000000002</v>
      </c>
      <c r="F4" s="64">
        <v>3.2</v>
      </c>
      <c r="G4" s="22">
        <v>4.2</v>
      </c>
      <c r="H4" s="22">
        <v>5.2</v>
      </c>
    </row>
    <row r="5" spans="1:8">
      <c r="A5" s="22" t="s">
        <v>64</v>
      </c>
      <c r="B5" s="22" t="s">
        <v>1581</v>
      </c>
      <c r="C5" s="22">
        <f>VALUE(LEFT(C34,2))</f>
        <v>87</v>
      </c>
      <c r="D5" s="22">
        <f t="shared" ref="D5" si="2">VALUE(LEFT(D34,2))</f>
        <v>95</v>
      </c>
      <c r="E5" s="22">
        <f>VALUE(LEFT(E34,3))</f>
        <v>115</v>
      </c>
      <c r="F5" s="64">
        <f t="shared" ref="F5:H5" si="3">VALUE(LEFT(F34,3))</f>
        <v>140</v>
      </c>
      <c r="G5" s="22">
        <f t="shared" si="3"/>
        <v>165</v>
      </c>
      <c r="H5" s="22">
        <f t="shared" si="3"/>
        <v>185</v>
      </c>
    </row>
    <row r="6" spans="1:8">
      <c r="A6" s="22" t="s">
        <v>63</v>
      </c>
      <c r="B6" s="22" t="s">
        <v>1583</v>
      </c>
      <c r="C6" s="22">
        <f>VALUE(LEFT(C35,2))</f>
        <v>75</v>
      </c>
      <c r="D6" s="22">
        <f>VALUE(LEFT(D35,4))</f>
        <v>74.5</v>
      </c>
      <c r="E6" s="22">
        <f t="shared" ref="E6:H6" si="4">VALUE(LEFT(E35,2))</f>
        <v>74</v>
      </c>
      <c r="F6" s="64">
        <f t="shared" si="4"/>
        <v>73</v>
      </c>
      <c r="G6" s="22">
        <f>VALUE(LEFT(G35,4))</f>
        <v>72.5</v>
      </c>
      <c r="H6" s="22">
        <f t="shared" si="4"/>
        <v>72</v>
      </c>
    </row>
    <row r="7" spans="1:8">
      <c r="A7" s="22" t="s">
        <v>60</v>
      </c>
      <c r="B7" s="22" t="s">
        <v>1584</v>
      </c>
      <c r="C7" s="22">
        <f t="shared" ref="C7:H16" si="5">VALUE(LEFT(C36,3))</f>
        <v>470</v>
      </c>
      <c r="D7" s="22">
        <f t="shared" si="5"/>
        <v>505</v>
      </c>
      <c r="E7" s="22">
        <f t="shared" si="5"/>
        <v>530</v>
      </c>
      <c r="F7" s="64">
        <f t="shared" si="5"/>
        <v>550</v>
      </c>
      <c r="G7" s="22">
        <f t="shared" si="5"/>
        <v>570</v>
      </c>
      <c r="H7" s="22">
        <f t="shared" si="5"/>
        <v>590</v>
      </c>
    </row>
    <row r="8" spans="1:8">
      <c r="A8" s="22" t="s">
        <v>65</v>
      </c>
      <c r="B8" s="22" t="s">
        <v>1585</v>
      </c>
      <c r="C8" s="22">
        <f>VALUE(LEFT(C37,2))</f>
        <v>68</v>
      </c>
      <c r="D8" s="22">
        <f t="shared" ref="D8:H8" si="6">VALUE(LEFT(D37,2))</f>
        <v>68</v>
      </c>
      <c r="E8" s="22">
        <f t="shared" si="6"/>
        <v>68</v>
      </c>
      <c r="F8" s="64">
        <f t="shared" si="6"/>
        <v>68</v>
      </c>
      <c r="G8" s="22">
        <f t="shared" si="6"/>
        <v>68</v>
      </c>
      <c r="H8" s="22">
        <f t="shared" si="6"/>
        <v>68</v>
      </c>
    </row>
    <row r="9" spans="1:8">
      <c r="A9" s="22" t="s">
        <v>66</v>
      </c>
      <c r="B9" s="22" t="s">
        <v>353</v>
      </c>
      <c r="C9" s="22">
        <f>VALUE(MID(C38,5,3))</f>
        <v>440</v>
      </c>
      <c r="D9" s="22">
        <f t="shared" ref="D9:H9" si="7">VALUE(MID(D38,5,3))</f>
        <v>440</v>
      </c>
      <c r="E9" s="22">
        <f t="shared" si="7"/>
        <v>440</v>
      </c>
      <c r="F9" s="22">
        <f t="shared" si="7"/>
        <v>440</v>
      </c>
      <c r="G9" s="22">
        <f t="shared" si="7"/>
        <v>440</v>
      </c>
      <c r="H9" s="22">
        <f t="shared" si="7"/>
        <v>440</v>
      </c>
    </row>
    <row r="10" spans="1:8">
      <c r="A10" s="22" t="s">
        <v>56</v>
      </c>
      <c r="B10" s="22" t="s">
        <v>9</v>
      </c>
      <c r="C10" s="22">
        <f>VALUE(MID(C39,8,4))</f>
        <v>1030</v>
      </c>
      <c r="D10" s="22">
        <f>VALUE(MID(D39,6,4))</f>
        <v>1037</v>
      </c>
      <c r="E10" s="22">
        <f t="shared" ref="E10:H10" si="8">VALUE(MID(E39,6,4))</f>
        <v>1043</v>
      </c>
      <c r="F10" s="22">
        <f t="shared" si="8"/>
        <v>1048</v>
      </c>
      <c r="G10" s="22">
        <f t="shared" si="8"/>
        <v>1052</v>
      </c>
      <c r="H10" s="22">
        <f t="shared" si="8"/>
        <v>1066</v>
      </c>
    </row>
    <row r="11" spans="1:8">
      <c r="A11" s="22" t="s">
        <v>135</v>
      </c>
      <c r="B11" s="22" t="s">
        <v>133</v>
      </c>
      <c r="C11" s="22">
        <f>VALUE(LEFT(C40,2))</f>
        <v>72</v>
      </c>
      <c r="D11" s="22">
        <f t="shared" ref="D11:H11" si="9">VALUE(LEFT(D40,2))</f>
        <v>71</v>
      </c>
      <c r="E11" s="22">
        <f t="shared" si="9"/>
        <v>70</v>
      </c>
      <c r="F11" s="64">
        <f t="shared" si="9"/>
        <v>67</v>
      </c>
      <c r="G11" s="22">
        <f t="shared" si="9"/>
        <v>65</v>
      </c>
      <c r="H11" s="22">
        <f t="shared" si="9"/>
        <v>65</v>
      </c>
    </row>
    <row r="12" spans="1:8">
      <c r="A12" s="22" t="s">
        <v>67</v>
      </c>
      <c r="B12" s="22" t="s">
        <v>1594</v>
      </c>
      <c r="C12" s="22">
        <f>VALUE(LEFT(C41,2))</f>
        <v>47</v>
      </c>
      <c r="D12" s="22">
        <f t="shared" ref="D12:H12" si="10">VALUE(LEFT(D41,2))</f>
        <v>47</v>
      </c>
      <c r="E12" s="22">
        <f t="shared" si="10"/>
        <v>47</v>
      </c>
      <c r="F12" s="64">
        <f t="shared" si="10"/>
        <v>47</v>
      </c>
      <c r="G12" s="22">
        <f t="shared" si="10"/>
        <v>47</v>
      </c>
      <c r="H12" s="22">
        <f t="shared" si="10"/>
        <v>47</v>
      </c>
    </row>
    <row r="13" spans="1:8">
      <c r="A13" s="22" t="s">
        <v>495</v>
      </c>
      <c r="B13" s="22" t="s">
        <v>1595</v>
      </c>
      <c r="C13" s="22">
        <f t="shared" si="5"/>
        <v>420</v>
      </c>
      <c r="D13" s="22">
        <f t="shared" si="5"/>
        <v>420</v>
      </c>
      <c r="E13" s="22">
        <f t="shared" si="5"/>
        <v>420</v>
      </c>
      <c r="F13" s="64">
        <f t="shared" si="5"/>
        <v>420</v>
      </c>
      <c r="G13" s="22">
        <f t="shared" si="5"/>
        <v>420</v>
      </c>
      <c r="H13" s="22">
        <f t="shared" si="5"/>
        <v>420</v>
      </c>
    </row>
    <row r="14" spans="1:8">
      <c r="A14" s="22" t="s">
        <v>54</v>
      </c>
      <c r="B14" s="22" t="s">
        <v>0</v>
      </c>
      <c r="C14" s="22">
        <f t="shared" si="5"/>
        <v>540</v>
      </c>
      <c r="D14" s="22">
        <f t="shared" si="5"/>
        <v>549</v>
      </c>
      <c r="E14" s="22">
        <f t="shared" si="5"/>
        <v>570</v>
      </c>
      <c r="F14" s="64">
        <f t="shared" si="5"/>
        <v>596</v>
      </c>
      <c r="G14" s="22">
        <f t="shared" si="5"/>
        <v>622</v>
      </c>
      <c r="H14" s="22">
        <f t="shared" si="5"/>
        <v>641</v>
      </c>
    </row>
    <row r="15" spans="1:8">
      <c r="A15" s="22" t="s">
        <v>55</v>
      </c>
      <c r="B15" s="22" t="s">
        <v>1</v>
      </c>
      <c r="C15" s="22">
        <f t="shared" si="5"/>
        <v>370</v>
      </c>
      <c r="D15" s="22">
        <f t="shared" si="5"/>
        <v>378</v>
      </c>
      <c r="E15" s="22">
        <f t="shared" si="5"/>
        <v>381</v>
      </c>
      <c r="F15" s="64">
        <f t="shared" si="5"/>
        <v>383</v>
      </c>
      <c r="G15" s="22">
        <f t="shared" si="5"/>
        <v>384</v>
      </c>
      <c r="H15" s="22">
        <f t="shared" si="5"/>
        <v>392</v>
      </c>
    </row>
    <row r="16" spans="1:8">
      <c r="A16" s="22" t="s">
        <v>57</v>
      </c>
      <c r="B16" s="22" t="s">
        <v>14</v>
      </c>
      <c r="C16" s="22">
        <f t="shared" si="5"/>
        <v>735</v>
      </c>
      <c r="D16" s="22">
        <f t="shared" si="5"/>
        <v>760</v>
      </c>
      <c r="E16" s="22">
        <f t="shared" si="5"/>
        <v>780</v>
      </c>
      <c r="F16" s="64">
        <f t="shared" si="5"/>
        <v>800</v>
      </c>
      <c r="G16" s="22">
        <f t="shared" si="5"/>
        <v>820</v>
      </c>
      <c r="H16" s="22">
        <f t="shared" si="5"/>
        <v>840</v>
      </c>
    </row>
    <row r="17" spans="1:9">
      <c r="A17" s="22" t="s">
        <v>69</v>
      </c>
      <c r="B17" s="22" t="s">
        <v>69</v>
      </c>
    </row>
    <row r="18" spans="1:9">
      <c r="A18" s="22" t="s">
        <v>70</v>
      </c>
      <c r="B18" s="22" t="s">
        <v>70</v>
      </c>
    </row>
    <row r="19" spans="1:9">
      <c r="A19" s="22" t="s">
        <v>71</v>
      </c>
      <c r="B19" s="22" t="s">
        <v>71</v>
      </c>
    </row>
    <row r="20" spans="1:9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22">
        <v>700</v>
      </c>
    </row>
    <row r="21" spans="1:9">
      <c r="A21" s="22" t="s">
        <v>139</v>
      </c>
      <c r="B21" s="22" t="s">
        <v>139</v>
      </c>
      <c r="C21" s="22">
        <v>38</v>
      </c>
      <c r="D21" s="22">
        <v>38</v>
      </c>
      <c r="E21" s="22">
        <v>38</v>
      </c>
      <c r="F21" s="22">
        <v>38</v>
      </c>
      <c r="G21" s="22">
        <v>38</v>
      </c>
      <c r="H21" s="22">
        <v>38</v>
      </c>
    </row>
    <row r="22" spans="1:9">
      <c r="A22" s="22" t="s">
        <v>140</v>
      </c>
      <c r="B22" s="22" t="s">
        <v>140</v>
      </c>
      <c r="C22" s="22">
        <v>51</v>
      </c>
      <c r="D22" s="22">
        <v>51</v>
      </c>
      <c r="E22" s="22">
        <v>51</v>
      </c>
      <c r="F22" s="22">
        <v>51</v>
      </c>
      <c r="G22" s="22">
        <v>51</v>
      </c>
      <c r="H22" s="22">
        <v>51</v>
      </c>
      <c r="I22" s="22" t="s">
        <v>1703</v>
      </c>
    </row>
    <row r="23" spans="1:9">
      <c r="A23" s="22" t="s">
        <v>1752</v>
      </c>
      <c r="C23" s="22">
        <f>C25*2.54</f>
        <v>152.4</v>
      </c>
      <c r="D23" s="22">
        <f t="shared" ref="D23:H23" si="11">D25*2.54</f>
        <v>154.94</v>
      </c>
      <c r="E23" s="22">
        <f t="shared" si="11"/>
        <v>160.02000000000001</v>
      </c>
      <c r="F23" s="22">
        <f t="shared" si="11"/>
        <v>170.18</v>
      </c>
      <c r="G23" s="22">
        <f t="shared" si="11"/>
        <v>180.34</v>
      </c>
      <c r="H23" s="22">
        <f t="shared" si="11"/>
        <v>185.42000000000002</v>
      </c>
    </row>
    <row r="24" spans="1:9">
      <c r="A24" s="22" t="s">
        <v>1753</v>
      </c>
      <c r="C24" s="22">
        <f>C26*2.54</f>
        <v>157.47999999999999</v>
      </c>
      <c r="D24" s="22">
        <f t="shared" ref="D24:H24" si="12">D26*2.54</f>
        <v>162.56</v>
      </c>
      <c r="E24" s="22">
        <f t="shared" si="12"/>
        <v>172.72</v>
      </c>
      <c r="F24" s="22">
        <f t="shared" si="12"/>
        <v>182.88</v>
      </c>
      <c r="G24" s="22">
        <f t="shared" si="12"/>
        <v>187.96</v>
      </c>
      <c r="H24" s="22">
        <f t="shared" si="12"/>
        <v>195.58</v>
      </c>
    </row>
    <row r="25" spans="1:9">
      <c r="C25" s="22">
        <v>60</v>
      </c>
      <c r="D25" s="22">
        <v>61</v>
      </c>
      <c r="E25" s="22">
        <v>63</v>
      </c>
      <c r="F25" s="22">
        <v>67</v>
      </c>
      <c r="G25" s="22">
        <v>71</v>
      </c>
      <c r="H25" s="22">
        <v>73</v>
      </c>
    </row>
    <row r="26" spans="1:9">
      <c r="C26" s="22">
        <v>62</v>
      </c>
      <c r="D26" s="22">
        <v>64</v>
      </c>
      <c r="E26" s="22">
        <v>68</v>
      </c>
      <c r="F26" s="22">
        <v>72</v>
      </c>
      <c r="G26" s="22">
        <v>74</v>
      </c>
      <c r="H26" s="22">
        <v>77</v>
      </c>
    </row>
    <row r="28" spans="1:9">
      <c r="B28" s="22" t="s">
        <v>141</v>
      </c>
      <c r="C28" s="22" t="s">
        <v>601</v>
      </c>
      <c r="D28" s="22" t="s">
        <v>413</v>
      </c>
      <c r="E28" s="22" t="s">
        <v>23</v>
      </c>
      <c r="F28" s="22" t="s">
        <v>414</v>
      </c>
      <c r="G28" s="22" t="s">
        <v>415</v>
      </c>
      <c r="H28" s="22" t="s">
        <v>1666</v>
      </c>
    </row>
    <row r="29" spans="1:9">
      <c r="B29" s="22" t="s">
        <v>1568</v>
      </c>
      <c r="C29" s="22" t="s">
        <v>1667</v>
      </c>
      <c r="D29" s="22" t="s">
        <v>1668</v>
      </c>
      <c r="E29" s="22" t="s">
        <v>1669</v>
      </c>
      <c r="F29" s="22" t="s">
        <v>1670</v>
      </c>
      <c r="G29" s="22" t="s">
        <v>1671</v>
      </c>
      <c r="H29" s="22" t="s">
        <v>1672</v>
      </c>
    </row>
    <row r="30" spans="1:9">
      <c r="B30" s="22" t="s">
        <v>1673</v>
      </c>
      <c r="C30" s="22" t="s">
        <v>1674</v>
      </c>
      <c r="D30" s="22" t="s">
        <v>1675</v>
      </c>
      <c r="E30" s="22" t="s">
        <v>1676</v>
      </c>
      <c r="F30" s="22" t="s">
        <v>1677</v>
      </c>
      <c r="G30" s="22" t="s">
        <v>1678</v>
      </c>
      <c r="H30" s="22" t="s">
        <v>1679</v>
      </c>
    </row>
    <row r="31" spans="1:9">
      <c r="B31" s="22" t="s">
        <v>1574</v>
      </c>
      <c r="C31" s="22" t="s">
        <v>1162</v>
      </c>
      <c r="D31" s="22" t="s">
        <v>638</v>
      </c>
      <c r="E31" s="22" t="s">
        <v>240</v>
      </c>
      <c r="F31" s="22" t="s">
        <v>1576</v>
      </c>
      <c r="G31" s="22" t="s">
        <v>606</v>
      </c>
      <c r="H31" s="22" t="s">
        <v>630</v>
      </c>
    </row>
    <row r="32" spans="1:9">
      <c r="B32" s="22" t="s">
        <v>1578</v>
      </c>
      <c r="C32" s="22" t="s">
        <v>579</v>
      </c>
      <c r="D32" s="22" t="s">
        <v>843</v>
      </c>
      <c r="E32" s="22" t="s">
        <v>309</v>
      </c>
      <c r="F32" s="22" t="s">
        <v>790</v>
      </c>
      <c r="G32" s="22" t="s">
        <v>791</v>
      </c>
      <c r="H32" s="22" t="s">
        <v>791</v>
      </c>
    </row>
    <row r="33" spans="2:8">
      <c r="B33" s="22" t="s">
        <v>1579</v>
      </c>
      <c r="C33" s="22" t="s">
        <v>1580</v>
      </c>
      <c r="D33" s="22" t="s">
        <v>1580</v>
      </c>
      <c r="E33" s="22" t="s">
        <v>1580</v>
      </c>
      <c r="F33" s="22" t="s">
        <v>1580</v>
      </c>
      <c r="G33" s="22" t="s">
        <v>1580</v>
      </c>
      <c r="H33" s="22" t="s">
        <v>1580</v>
      </c>
    </row>
    <row r="34" spans="2:8">
      <c r="B34" s="22" t="s">
        <v>1581</v>
      </c>
      <c r="C34" s="22" t="s">
        <v>1680</v>
      </c>
      <c r="D34" s="22" t="s">
        <v>1681</v>
      </c>
      <c r="E34" s="22" t="s">
        <v>241</v>
      </c>
      <c r="F34" s="22" t="s">
        <v>242</v>
      </c>
      <c r="G34" s="22" t="s">
        <v>1290</v>
      </c>
      <c r="H34" s="22" t="s">
        <v>1191</v>
      </c>
    </row>
    <row r="35" spans="2:8">
      <c r="B35" s="22" t="s">
        <v>1583</v>
      </c>
      <c r="C35" s="22" t="s">
        <v>1181</v>
      </c>
      <c r="D35" s="22" t="s">
        <v>799</v>
      </c>
      <c r="E35" s="22" t="s">
        <v>32</v>
      </c>
      <c r="F35" s="22" t="s">
        <v>800</v>
      </c>
      <c r="G35" s="22" t="s">
        <v>293</v>
      </c>
      <c r="H35" s="22" t="s">
        <v>791</v>
      </c>
    </row>
    <row r="36" spans="2:8">
      <c r="B36" s="22" t="s">
        <v>1584</v>
      </c>
      <c r="C36" s="22" t="s">
        <v>636</v>
      </c>
      <c r="D36" s="22" t="s">
        <v>1682</v>
      </c>
      <c r="E36" s="22" t="s">
        <v>638</v>
      </c>
      <c r="F36" s="22" t="s">
        <v>1167</v>
      </c>
      <c r="G36" s="22" t="s">
        <v>848</v>
      </c>
      <c r="H36" s="22" t="s">
        <v>834</v>
      </c>
    </row>
    <row r="37" spans="2:8">
      <c r="B37" s="22" t="s">
        <v>1585</v>
      </c>
      <c r="C37" s="22" t="s">
        <v>1586</v>
      </c>
      <c r="D37" s="22" t="s">
        <v>1586</v>
      </c>
      <c r="E37" s="22" t="s">
        <v>1586</v>
      </c>
      <c r="F37" s="22" t="s">
        <v>1586</v>
      </c>
      <c r="G37" s="22" t="s">
        <v>1586</v>
      </c>
      <c r="H37" s="22" t="s">
        <v>1586</v>
      </c>
    </row>
    <row r="38" spans="2:8">
      <c r="B38" s="22" t="s">
        <v>353</v>
      </c>
      <c r="C38" s="22" t="s">
        <v>1683</v>
      </c>
      <c r="D38" s="22" t="s">
        <v>1683</v>
      </c>
      <c r="E38" s="22" t="s">
        <v>1683</v>
      </c>
      <c r="F38" s="22" t="s">
        <v>1683</v>
      </c>
      <c r="G38" s="22" t="s">
        <v>1683</v>
      </c>
      <c r="H38" s="22" t="s">
        <v>1683</v>
      </c>
    </row>
    <row r="39" spans="2:8">
      <c r="B39" s="22" t="s">
        <v>9</v>
      </c>
      <c r="C39" s="22" t="s">
        <v>1684</v>
      </c>
      <c r="D39" s="22" t="s">
        <v>1685</v>
      </c>
      <c r="E39" s="22" t="s">
        <v>1686</v>
      </c>
      <c r="F39" s="22" t="s">
        <v>1687</v>
      </c>
      <c r="G39" s="22" t="s">
        <v>1688</v>
      </c>
      <c r="H39" s="22" t="s">
        <v>1689</v>
      </c>
    </row>
    <row r="40" spans="2:8">
      <c r="B40" s="22" t="s">
        <v>133</v>
      </c>
      <c r="C40" s="22" t="s">
        <v>846</v>
      </c>
      <c r="D40" s="22" t="s">
        <v>1690</v>
      </c>
      <c r="E40" s="22" t="s">
        <v>1204</v>
      </c>
      <c r="F40" s="22" t="s">
        <v>1691</v>
      </c>
      <c r="G40" s="22" t="s">
        <v>1692</v>
      </c>
      <c r="H40" s="22" t="s">
        <v>1692</v>
      </c>
    </row>
    <row r="41" spans="2:8">
      <c r="B41" s="22" t="s">
        <v>1594</v>
      </c>
      <c r="C41" s="22" t="s">
        <v>836</v>
      </c>
      <c r="D41" s="22" t="s">
        <v>836</v>
      </c>
      <c r="E41" s="22" t="s">
        <v>836</v>
      </c>
      <c r="F41" s="22" t="s">
        <v>836</v>
      </c>
      <c r="G41" s="22" t="s">
        <v>836</v>
      </c>
      <c r="H41" s="22" t="s">
        <v>836</v>
      </c>
    </row>
    <row r="42" spans="2:8">
      <c r="B42" s="22" t="s">
        <v>1595</v>
      </c>
      <c r="C42" s="22" t="s">
        <v>610</v>
      </c>
      <c r="D42" s="22" t="s">
        <v>610</v>
      </c>
      <c r="E42" s="22" t="s">
        <v>610</v>
      </c>
      <c r="F42" s="22" t="s">
        <v>610</v>
      </c>
      <c r="G42" s="22" t="s">
        <v>610</v>
      </c>
      <c r="H42" s="22" t="s">
        <v>610</v>
      </c>
    </row>
    <row r="43" spans="2:8">
      <c r="B43" s="22" t="s">
        <v>0</v>
      </c>
      <c r="C43" s="22" t="s">
        <v>849</v>
      </c>
      <c r="D43" s="22" t="s">
        <v>1693</v>
      </c>
      <c r="E43" s="22" t="s">
        <v>848</v>
      </c>
      <c r="F43" s="22" t="s">
        <v>1694</v>
      </c>
      <c r="G43" s="22" t="s">
        <v>1179</v>
      </c>
      <c r="H43" s="22" t="s">
        <v>1695</v>
      </c>
    </row>
    <row r="44" spans="2:8">
      <c r="B44" s="22" t="s">
        <v>1</v>
      </c>
      <c r="C44" s="22" t="s">
        <v>1696</v>
      </c>
      <c r="D44" s="22" t="s">
        <v>1697</v>
      </c>
      <c r="E44" s="22" t="s">
        <v>1698</v>
      </c>
      <c r="F44" s="22" t="s">
        <v>1305</v>
      </c>
      <c r="G44" s="22" t="s">
        <v>1172</v>
      </c>
      <c r="H44" s="22" t="s">
        <v>1306</v>
      </c>
    </row>
    <row r="45" spans="2:8">
      <c r="B45" s="22" t="s">
        <v>14</v>
      </c>
      <c r="C45" s="22" t="s">
        <v>1478</v>
      </c>
      <c r="D45" s="22" t="s">
        <v>1497</v>
      </c>
      <c r="E45" s="22" t="s">
        <v>1502</v>
      </c>
      <c r="F45" s="22" t="s">
        <v>1699</v>
      </c>
      <c r="G45" s="22" t="s">
        <v>1700</v>
      </c>
      <c r="H45" s="22" t="s">
        <v>1701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3940-F6F9-5840-8501-9B5177D00D57}">
  <dimension ref="A1:E46"/>
  <sheetViews>
    <sheetView workbookViewId="0">
      <selection activeCell="A6" sqref="A6:A27"/>
    </sheetView>
  </sheetViews>
  <sheetFormatPr baseColWidth="10" defaultRowHeight="20"/>
  <cols>
    <col min="1" max="1" width="29.33203125" style="22" bestFit="1" customWidth="1"/>
    <col min="2" max="2" width="29" style="22" bestFit="1" customWidth="1"/>
    <col min="3" max="16384" width="10.83203125" style="22"/>
  </cols>
  <sheetData>
    <row r="1" spans="1:5">
      <c r="A1" s="22" t="s">
        <v>2412</v>
      </c>
      <c r="B1" s="22" t="s">
        <v>2689</v>
      </c>
    </row>
    <row r="2" spans="1:5">
      <c r="A2" s="22" t="s">
        <v>2423</v>
      </c>
      <c r="B2" s="22">
        <v>2023</v>
      </c>
    </row>
    <row r="3" spans="1:5">
      <c r="A3" s="22" t="s">
        <v>2424</v>
      </c>
      <c r="B3" s="114">
        <v>45137</v>
      </c>
    </row>
    <row r="4" spans="1:5">
      <c r="A4" s="22" t="s">
        <v>2414</v>
      </c>
      <c r="B4" s="22" t="s">
        <v>2690</v>
      </c>
    </row>
    <row r="5" spans="1:5">
      <c r="A5" s="22" t="s">
        <v>2415</v>
      </c>
      <c r="B5" s="22" t="s">
        <v>2552</v>
      </c>
    </row>
    <row r="6" spans="1:5">
      <c r="A6" s="22" t="s">
        <v>72</v>
      </c>
      <c r="B6" s="22" t="s">
        <v>138</v>
      </c>
      <c r="C6" s="22" t="str">
        <f>C31</f>
        <v>SMALL</v>
      </c>
      <c r="D6" s="22" t="str">
        <f t="shared" ref="D6:E6" si="0">D31</f>
        <v>MEDIUM</v>
      </c>
      <c r="E6" s="22" t="str">
        <f t="shared" si="0"/>
        <v>LARGE</v>
      </c>
    </row>
    <row r="7" spans="1:5">
      <c r="A7" s="22" t="s">
        <v>57</v>
      </c>
      <c r="B7" s="22" t="str">
        <f>B33</f>
        <v>STANDOVER HEIGHT</v>
      </c>
      <c r="C7" s="22">
        <f>VALUE(LEFT(C33,3))</f>
        <v>745</v>
      </c>
      <c r="D7" s="22">
        <f t="shared" ref="D7:E7" si="1">VALUE(LEFT(D33,3))</f>
        <v>770</v>
      </c>
      <c r="E7" s="22">
        <f t="shared" si="1"/>
        <v>790</v>
      </c>
    </row>
    <row r="8" spans="1:5">
      <c r="A8" s="22" t="s">
        <v>62</v>
      </c>
      <c r="B8" s="22" t="str">
        <f t="shared" ref="B8:B20" si="2">B34</f>
        <v>HEAD TUBE ANGLE</v>
      </c>
      <c r="C8" s="22">
        <f>VALUE(LEFT(C34,2))</f>
        <v>70</v>
      </c>
      <c r="D8" s="22">
        <f t="shared" ref="D8:E8" si="3">VALUE(LEFT(D34,2))</f>
        <v>70</v>
      </c>
      <c r="E8" s="22">
        <f t="shared" si="3"/>
        <v>70</v>
      </c>
    </row>
    <row r="9" spans="1:5">
      <c r="A9" s="22" t="s">
        <v>63</v>
      </c>
      <c r="B9" s="22" t="str">
        <f t="shared" si="2"/>
        <v>SEAT TUBE ANGLE</v>
      </c>
      <c r="C9" s="22">
        <f>VALUE(LEFT(C35,2))</f>
        <v>74</v>
      </c>
      <c r="D9" s="22">
        <f t="shared" ref="D9:E9" si="4">VALUE(LEFT(D35,2))</f>
        <v>74</v>
      </c>
      <c r="E9" s="22">
        <f t="shared" si="4"/>
        <v>74</v>
      </c>
    </row>
    <row r="10" spans="1:5">
      <c r="A10" s="22" t="s">
        <v>54</v>
      </c>
      <c r="B10" s="22" t="str">
        <f t="shared" si="2"/>
        <v>STACK</v>
      </c>
      <c r="C10" s="22">
        <f t="shared" ref="C10:C15" si="5">VALUE(LEFT(C36,3))</f>
        <v>573</v>
      </c>
      <c r="D10" s="22">
        <f t="shared" ref="D10:E10" si="6">VALUE(LEFT(D36,3))</f>
        <v>591</v>
      </c>
      <c r="E10" s="22">
        <f t="shared" si="6"/>
        <v>611</v>
      </c>
    </row>
    <row r="11" spans="1:5">
      <c r="A11" s="22" t="s">
        <v>55</v>
      </c>
      <c r="B11" s="22" t="str">
        <f t="shared" si="2"/>
        <v>REACH</v>
      </c>
      <c r="C11" s="22">
        <f t="shared" si="5"/>
        <v>382</v>
      </c>
      <c r="D11" s="22">
        <f t="shared" ref="D11:E11" si="7">VALUE(LEFT(D37,3))</f>
        <v>393</v>
      </c>
      <c r="E11" s="22">
        <f t="shared" si="7"/>
        <v>400</v>
      </c>
    </row>
    <row r="12" spans="1:5">
      <c r="A12" s="22" t="s">
        <v>64</v>
      </c>
      <c r="B12" s="22" t="str">
        <f t="shared" si="2"/>
        <v>HEAD TUBE LENGTH</v>
      </c>
      <c r="C12" s="22">
        <f t="shared" si="5"/>
        <v>145</v>
      </c>
      <c r="D12" s="22">
        <f t="shared" ref="D12:E12" si="8">VALUE(LEFT(D38,3))</f>
        <v>165</v>
      </c>
      <c r="E12" s="22">
        <f t="shared" si="8"/>
        <v>185</v>
      </c>
    </row>
    <row r="13" spans="1:5">
      <c r="A13" s="22" t="s">
        <v>60</v>
      </c>
      <c r="B13" s="22" t="str">
        <f t="shared" si="2"/>
        <v>SEAT TUBE LENGTH</v>
      </c>
      <c r="C13" s="22">
        <f t="shared" si="5"/>
        <v>450</v>
      </c>
      <c r="D13" s="22">
        <f t="shared" ref="D13:E13" si="9">VALUE(LEFT(D39,3))</f>
        <v>480</v>
      </c>
      <c r="E13" s="22">
        <f t="shared" si="9"/>
        <v>510</v>
      </c>
    </row>
    <row r="14" spans="1:5">
      <c r="A14" s="22" t="s">
        <v>73</v>
      </c>
      <c r="B14" s="22" t="str">
        <f t="shared" si="2"/>
        <v>HORIZONTAL TOP TUBE LENGTH</v>
      </c>
      <c r="C14" s="22">
        <f t="shared" si="5"/>
        <v>546</v>
      </c>
      <c r="D14" s="22">
        <f t="shared" ref="D14:E14" si="10">VALUE(LEFT(D40,3))</f>
        <v>562</v>
      </c>
      <c r="E14" s="22">
        <f t="shared" si="10"/>
        <v>575</v>
      </c>
    </row>
    <row r="15" spans="1:5">
      <c r="A15" s="22" t="s">
        <v>66</v>
      </c>
      <c r="B15" s="22" t="str">
        <f t="shared" si="2"/>
        <v>CHAINSTAY LENGTH</v>
      </c>
      <c r="C15" s="22">
        <f t="shared" si="5"/>
        <v>430</v>
      </c>
      <c r="D15" s="22">
        <f t="shared" ref="D15:E15" si="11">VALUE(LEFT(D41,3))</f>
        <v>430</v>
      </c>
      <c r="E15" s="22">
        <f t="shared" si="11"/>
        <v>430</v>
      </c>
    </row>
    <row r="16" spans="1:5">
      <c r="A16" s="22" t="s">
        <v>65</v>
      </c>
      <c r="B16" s="22" t="str">
        <f t="shared" si="2"/>
        <v>BB DROP</v>
      </c>
      <c r="C16" s="22">
        <f>VALUE(LEFT(C42,2))</f>
        <v>75</v>
      </c>
      <c r="D16" s="22">
        <f t="shared" ref="D16:E16" si="12">VALUE(LEFT(D42,2))</f>
        <v>75</v>
      </c>
      <c r="E16" s="22">
        <f t="shared" si="12"/>
        <v>75</v>
      </c>
    </row>
    <row r="17" spans="1:5">
      <c r="A17" s="22" t="s">
        <v>67</v>
      </c>
      <c r="B17" s="22" t="str">
        <f t="shared" si="2"/>
        <v>FORK RAKE/OFFSET</v>
      </c>
      <c r="C17" s="22">
        <f>VALUE(LEFT(C43,2))</f>
        <v>55</v>
      </c>
      <c r="D17" s="22">
        <f t="shared" ref="D17:E17" si="13">VALUE(LEFT(D43,2))</f>
        <v>55</v>
      </c>
      <c r="E17" s="22">
        <f t="shared" si="13"/>
        <v>55</v>
      </c>
    </row>
    <row r="18" spans="1:5">
      <c r="A18" s="22" t="s">
        <v>56</v>
      </c>
      <c r="B18" s="22" t="str">
        <f>B44</f>
        <v>WHEELBASE</v>
      </c>
      <c r="C18" s="22">
        <f>VALUE(LEFT(C44,4))</f>
        <v>1040</v>
      </c>
      <c r="D18" s="22">
        <f t="shared" ref="D18:E18" si="14">VALUE(LEFT(D44,4))</f>
        <v>1057</v>
      </c>
      <c r="E18" s="22">
        <f t="shared" si="14"/>
        <v>1072</v>
      </c>
    </row>
    <row r="19" spans="1:5">
      <c r="A19" s="22" t="s">
        <v>135</v>
      </c>
      <c r="B19" s="22" t="str">
        <f t="shared" si="2"/>
        <v>TRAIL</v>
      </c>
      <c r="C19" s="22">
        <f>VALUE(LEFT(C45,2))</f>
        <v>71</v>
      </c>
      <c r="D19" s="22">
        <f t="shared" ref="D19:E19" si="15">VALUE(LEFT(D45,2))</f>
        <v>71</v>
      </c>
      <c r="E19" s="22">
        <f t="shared" si="15"/>
        <v>71</v>
      </c>
    </row>
    <row r="20" spans="1:5">
      <c r="A20" s="22" t="s">
        <v>71</v>
      </c>
      <c r="B20" s="22" t="str">
        <f t="shared" si="2"/>
        <v>STEM LENGTH</v>
      </c>
      <c r="C20" s="22">
        <f>VALUE(LEFT(C46,2))</f>
        <v>70</v>
      </c>
      <c r="D20" s="22">
        <f t="shared" ref="D20:E20" si="16">VALUE(LEFT(D46,2))</f>
        <v>80</v>
      </c>
      <c r="E20" s="22">
        <f t="shared" si="16"/>
        <v>90</v>
      </c>
    </row>
    <row r="21" spans="1:5">
      <c r="A21" s="22" t="s">
        <v>69</v>
      </c>
      <c r="B21" s="22" t="s">
        <v>69</v>
      </c>
    </row>
    <row r="22" spans="1:5">
      <c r="A22" s="22" t="s">
        <v>70</v>
      </c>
      <c r="B22" s="22" t="s">
        <v>70</v>
      </c>
    </row>
    <row r="23" spans="1:5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</row>
    <row r="24" spans="1:5">
      <c r="A24" s="22" t="s">
        <v>139</v>
      </c>
      <c r="B24" s="22" t="s">
        <v>139</v>
      </c>
      <c r="C24" s="22">
        <v>42</v>
      </c>
      <c r="D24" s="22">
        <v>42</v>
      </c>
      <c r="E24" s="22">
        <v>42</v>
      </c>
    </row>
    <row r="25" spans="1:5">
      <c r="A25" s="22" t="s">
        <v>140</v>
      </c>
      <c r="B25" s="22" t="s">
        <v>140</v>
      </c>
      <c r="C25" s="22">
        <v>48</v>
      </c>
      <c r="D25" s="22">
        <v>48</v>
      </c>
      <c r="E25" s="22">
        <v>48</v>
      </c>
    </row>
    <row r="26" spans="1:5">
      <c r="A26" s="22" t="s">
        <v>1752</v>
      </c>
      <c r="B26" s="22" t="s">
        <v>1752</v>
      </c>
      <c r="C26" s="132">
        <f>C28*2.54</f>
        <v>162.56</v>
      </c>
      <c r="D26" s="132">
        <f t="shared" ref="D26:E27" si="17">D28*2.54</f>
        <v>170.18</v>
      </c>
      <c r="E26" s="132">
        <f t="shared" si="17"/>
        <v>177.8</v>
      </c>
    </row>
    <row r="27" spans="1:5">
      <c r="A27" s="22" t="s">
        <v>1753</v>
      </c>
      <c r="B27" s="22" t="s">
        <v>1753</v>
      </c>
      <c r="C27" s="132">
        <f>C29*2.54</f>
        <v>170.18</v>
      </c>
      <c r="D27" s="132">
        <f t="shared" si="17"/>
        <v>177.8</v>
      </c>
      <c r="E27" s="132">
        <f t="shared" si="17"/>
        <v>187.96</v>
      </c>
    </row>
    <row r="28" spans="1:5">
      <c r="B28"/>
      <c r="C28" s="132">
        <v>64</v>
      </c>
      <c r="D28" s="132">
        <v>67</v>
      </c>
      <c r="E28" s="22">
        <v>70</v>
      </c>
    </row>
    <row r="29" spans="1:5">
      <c r="B29"/>
      <c r="C29" s="132">
        <v>67</v>
      </c>
      <c r="D29" s="132">
        <v>70</v>
      </c>
      <c r="E29" s="22">
        <v>74</v>
      </c>
    </row>
    <row r="31" spans="1:5">
      <c r="B31" s="131"/>
      <c r="C31" s="131" t="s">
        <v>1020</v>
      </c>
      <c r="D31" s="131" t="s">
        <v>1021</v>
      </c>
      <c r="E31" s="131" t="s">
        <v>1022</v>
      </c>
    </row>
    <row r="32" spans="1:5">
      <c r="B32" s="132" t="s">
        <v>2674</v>
      </c>
      <c r="C32" s="132" t="s">
        <v>2675</v>
      </c>
      <c r="D32" s="132" t="s">
        <v>2676</v>
      </c>
      <c r="E32" s="132" t="s">
        <v>2677</v>
      </c>
    </row>
    <row r="33" spans="2:5">
      <c r="B33" s="132" t="s">
        <v>1825</v>
      </c>
      <c r="C33" s="132" t="s">
        <v>2678</v>
      </c>
      <c r="D33" s="132" t="s">
        <v>2679</v>
      </c>
      <c r="E33" s="132" t="s">
        <v>2680</v>
      </c>
    </row>
    <row r="34" spans="2:5">
      <c r="B34" s="132" t="s">
        <v>34</v>
      </c>
      <c r="C34" s="132" t="s">
        <v>579</v>
      </c>
      <c r="D34" s="132" t="s">
        <v>579</v>
      </c>
      <c r="E34" s="132" t="s">
        <v>579</v>
      </c>
    </row>
    <row r="35" spans="2:5">
      <c r="B35" s="132" t="s">
        <v>31</v>
      </c>
      <c r="C35" s="132" t="s">
        <v>32</v>
      </c>
      <c r="D35" s="132" t="s">
        <v>32</v>
      </c>
      <c r="E35" s="132" t="s">
        <v>32</v>
      </c>
    </row>
    <row r="36" spans="2:5">
      <c r="B36" s="132" t="s">
        <v>39</v>
      </c>
      <c r="C36" s="132" t="s">
        <v>1330</v>
      </c>
      <c r="D36" s="132" t="s">
        <v>2681</v>
      </c>
      <c r="E36" s="132" t="s">
        <v>2682</v>
      </c>
    </row>
    <row r="37" spans="2:5">
      <c r="B37" s="132" t="s">
        <v>40</v>
      </c>
      <c r="C37" s="132" t="s">
        <v>259</v>
      </c>
      <c r="D37" s="132" t="s">
        <v>2177</v>
      </c>
      <c r="E37" s="132" t="s">
        <v>863</v>
      </c>
    </row>
    <row r="38" spans="2:5">
      <c r="B38" s="132" t="s">
        <v>29</v>
      </c>
      <c r="C38" s="132" t="s">
        <v>1469</v>
      </c>
      <c r="D38" s="132" t="s">
        <v>1290</v>
      </c>
      <c r="E38" s="132" t="s">
        <v>1191</v>
      </c>
    </row>
    <row r="39" spans="2:5">
      <c r="B39" s="132" t="s">
        <v>409</v>
      </c>
      <c r="C39" s="132" t="s">
        <v>249</v>
      </c>
      <c r="D39" s="132" t="s">
        <v>1267</v>
      </c>
      <c r="E39" s="132" t="s">
        <v>1162</v>
      </c>
    </row>
    <row r="40" spans="2:5">
      <c r="B40" s="132" t="s">
        <v>2683</v>
      </c>
      <c r="C40" s="132" t="s">
        <v>1960</v>
      </c>
      <c r="D40" s="132" t="s">
        <v>2684</v>
      </c>
      <c r="E40" s="132" t="s">
        <v>228</v>
      </c>
    </row>
    <row r="41" spans="2:5">
      <c r="B41" s="132" t="s">
        <v>35</v>
      </c>
      <c r="C41" s="132" t="s">
        <v>237</v>
      </c>
      <c r="D41" s="132" t="s">
        <v>237</v>
      </c>
      <c r="E41" s="132" t="s">
        <v>237</v>
      </c>
    </row>
    <row r="42" spans="2:5">
      <c r="B42" s="132" t="s">
        <v>184</v>
      </c>
      <c r="C42" s="132" t="s">
        <v>2685</v>
      </c>
      <c r="D42" s="132" t="s">
        <v>2685</v>
      </c>
      <c r="E42" s="132" t="s">
        <v>2685</v>
      </c>
    </row>
    <row r="43" spans="2:5">
      <c r="B43" s="132" t="s">
        <v>2686</v>
      </c>
      <c r="C43" s="132" t="s">
        <v>248</v>
      </c>
      <c r="D43" s="132" t="s">
        <v>248</v>
      </c>
      <c r="E43" s="132" t="s">
        <v>248</v>
      </c>
    </row>
    <row r="44" spans="2:5">
      <c r="B44" s="132" t="s">
        <v>36</v>
      </c>
      <c r="C44" s="132" t="s">
        <v>2687</v>
      </c>
      <c r="D44" s="132" t="s">
        <v>625</v>
      </c>
      <c r="E44" s="132" t="s">
        <v>2688</v>
      </c>
    </row>
    <row r="45" spans="2:5">
      <c r="B45" s="132" t="s">
        <v>189</v>
      </c>
      <c r="C45" s="132" t="s">
        <v>1690</v>
      </c>
      <c r="D45" s="132" t="s">
        <v>1690</v>
      </c>
      <c r="E45" s="132" t="s">
        <v>1690</v>
      </c>
    </row>
    <row r="46" spans="2:5">
      <c r="B46" s="132" t="s">
        <v>1531</v>
      </c>
      <c r="C46" s="132" t="s">
        <v>1204</v>
      </c>
      <c r="D46" s="132" t="s">
        <v>1028</v>
      </c>
      <c r="E46" s="132" t="s">
        <v>1292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0329-4E08-5E45-AF4B-9D57ECF3BE89}">
  <dimension ref="A1:G46"/>
  <sheetViews>
    <sheetView topLeftCell="A27" workbookViewId="0">
      <selection sqref="A1:B5"/>
    </sheetView>
  </sheetViews>
  <sheetFormatPr baseColWidth="10" defaultRowHeight="20"/>
  <cols>
    <col min="1" max="1" width="29.33203125" style="22" customWidth="1"/>
    <col min="2" max="2" width="29" style="22" bestFit="1" customWidth="1"/>
    <col min="3" max="16384" width="10.83203125" style="22"/>
  </cols>
  <sheetData>
    <row r="1" spans="1:5">
      <c r="A1" s="22" t="s">
        <v>2412</v>
      </c>
      <c r="B1" s="22" t="s">
        <v>2706</v>
      </c>
    </row>
    <row r="2" spans="1:5">
      <c r="A2" s="22" t="s">
        <v>2423</v>
      </c>
      <c r="B2" s="22">
        <v>2023</v>
      </c>
    </row>
    <row r="3" spans="1:5">
      <c r="A3" s="22" t="s">
        <v>2424</v>
      </c>
      <c r="B3" s="114">
        <v>45137</v>
      </c>
    </row>
    <row r="4" spans="1:5">
      <c r="A4" s="22" t="s">
        <v>2414</v>
      </c>
      <c r="B4" s="22" t="s">
        <v>2704</v>
      </c>
    </row>
    <row r="5" spans="1:5">
      <c r="A5" s="22" t="s">
        <v>2415</v>
      </c>
      <c r="B5" s="22" t="s">
        <v>76</v>
      </c>
    </row>
    <row r="6" spans="1:5">
      <c r="A6" s="22" t="s">
        <v>72</v>
      </c>
      <c r="B6" s="22" t="s">
        <v>138</v>
      </c>
      <c r="C6" s="22" t="str">
        <f>C31</f>
        <v>SMALL</v>
      </c>
      <c r="D6" s="22" t="str">
        <f t="shared" ref="D6:E6" si="0">D31</f>
        <v>MEDIUM</v>
      </c>
      <c r="E6" s="22" t="str">
        <f t="shared" si="0"/>
        <v>LARGE</v>
      </c>
    </row>
    <row r="7" spans="1:5">
      <c r="A7" s="22" t="s">
        <v>57</v>
      </c>
      <c r="B7" s="22" t="str">
        <f>B33</f>
        <v>STANDOVER HEIGHT</v>
      </c>
      <c r="C7" s="22">
        <f>VALUE(LEFT(C33,3))</f>
        <v>750</v>
      </c>
      <c r="D7" s="22">
        <f t="shared" ref="D7:E7" si="1">VALUE(LEFT(D33,3))</f>
        <v>810</v>
      </c>
      <c r="E7" s="22">
        <f t="shared" si="1"/>
        <v>860</v>
      </c>
    </row>
    <row r="8" spans="1:5">
      <c r="A8" s="22" t="s">
        <v>62</v>
      </c>
      <c r="B8" s="22" t="str">
        <f t="shared" ref="B8:B20" si="2">B34</f>
        <v>HEAD TUBE ANGLE</v>
      </c>
      <c r="C8" s="22">
        <f>VALUE(LEFT(C34,2))</f>
        <v>69</v>
      </c>
      <c r="D8" s="22">
        <f>VALUE(LEFT(D34,4))</f>
        <v>69.7</v>
      </c>
      <c r="E8" s="22">
        <f>VALUE(LEFT(E34,4))</f>
        <v>69.7</v>
      </c>
    </row>
    <row r="9" spans="1:5">
      <c r="A9" s="22" t="s">
        <v>63</v>
      </c>
      <c r="B9" s="22" t="str">
        <f t="shared" si="2"/>
        <v>SEAT TUBE ANGLE</v>
      </c>
      <c r="C9" s="22">
        <f>VALUE(LEFT(C35,2))</f>
        <v>74</v>
      </c>
      <c r="D9" s="22">
        <f>VALUE(LEFT(D35,4))</f>
        <v>73.5</v>
      </c>
      <c r="E9" s="22">
        <f>VALUE(LEFT(E35,2))</f>
        <v>73</v>
      </c>
    </row>
    <row r="10" spans="1:5">
      <c r="A10" s="22" t="s">
        <v>54</v>
      </c>
      <c r="B10" s="22" t="str">
        <f t="shared" si="2"/>
        <v>STACK</v>
      </c>
      <c r="C10" s="22">
        <f t="shared" ref="C10:E11" si="3">VALUE(LEFT(C36,3))</f>
        <v>602</v>
      </c>
      <c r="D10" s="22">
        <f t="shared" si="3"/>
        <v>630</v>
      </c>
      <c r="E10" s="22">
        <f t="shared" si="3"/>
        <v>658</v>
      </c>
    </row>
    <row r="11" spans="1:5">
      <c r="A11" s="22" t="s">
        <v>55</v>
      </c>
      <c r="B11" s="22" t="str">
        <f t="shared" si="2"/>
        <v>REACH</v>
      </c>
      <c r="C11" s="22">
        <f t="shared" si="3"/>
        <v>373</v>
      </c>
      <c r="D11" s="22">
        <f t="shared" si="3"/>
        <v>377</v>
      </c>
      <c r="E11" s="22">
        <f t="shared" si="3"/>
        <v>390</v>
      </c>
    </row>
    <row r="12" spans="1:5">
      <c r="A12" s="22" t="s">
        <v>64</v>
      </c>
      <c r="B12" s="22" t="str">
        <f t="shared" si="2"/>
        <v>HEAD TUBE LENGTH</v>
      </c>
      <c r="C12" s="22">
        <f>VALUE(LEFT(C38,2))</f>
        <v>92</v>
      </c>
      <c r="D12" s="22">
        <f t="shared" ref="D12:E15" si="4">VALUE(LEFT(D38,3))</f>
        <v>120</v>
      </c>
      <c r="E12" s="22">
        <f t="shared" si="4"/>
        <v>150</v>
      </c>
    </row>
    <row r="13" spans="1:5">
      <c r="A13" s="22" t="s">
        <v>60</v>
      </c>
      <c r="B13" s="22" t="str">
        <f t="shared" si="2"/>
        <v>SEAT TUBE LENGTH</v>
      </c>
      <c r="C13" s="22">
        <f>VALUE(LEFT(C39,3))</f>
        <v>415</v>
      </c>
      <c r="D13" s="22">
        <f t="shared" si="4"/>
        <v>470</v>
      </c>
      <c r="E13" s="22">
        <f t="shared" si="4"/>
        <v>515</v>
      </c>
    </row>
    <row r="14" spans="1:5">
      <c r="A14" s="22" t="s">
        <v>73</v>
      </c>
      <c r="B14" s="22" t="str">
        <f t="shared" si="2"/>
        <v>HORIZONTAL TOP TUBE LENGTH</v>
      </c>
      <c r="C14" s="22">
        <f>VALUE(LEFT(C40,3))</f>
        <v>546</v>
      </c>
      <c r="D14" s="22">
        <f t="shared" si="4"/>
        <v>560</v>
      </c>
      <c r="E14" s="22">
        <f t="shared" si="4"/>
        <v>591</v>
      </c>
    </row>
    <row r="15" spans="1:5">
      <c r="A15" s="22" t="s">
        <v>66</v>
      </c>
      <c r="B15" s="22" t="str">
        <f t="shared" si="2"/>
        <v>CHAINSTAY LENGTH</v>
      </c>
      <c r="C15" s="22">
        <f>VALUE(LEFT(C41,3))</f>
        <v>450</v>
      </c>
      <c r="D15" s="22">
        <f t="shared" si="4"/>
        <v>450</v>
      </c>
      <c r="E15" s="22">
        <f t="shared" si="4"/>
        <v>450</v>
      </c>
    </row>
    <row r="16" spans="1:5">
      <c r="A16" s="22" t="s">
        <v>65</v>
      </c>
      <c r="B16" s="22" t="str">
        <f t="shared" si="2"/>
        <v>BB DROP</v>
      </c>
      <c r="C16" s="22">
        <f>VALUE(LEFT(C42,2))</f>
        <v>70</v>
      </c>
      <c r="D16" s="22">
        <f t="shared" ref="D16:E17" si="5">VALUE(LEFT(D42,2))</f>
        <v>70</v>
      </c>
      <c r="E16" s="22">
        <f t="shared" si="5"/>
        <v>70</v>
      </c>
    </row>
    <row r="17" spans="1:7">
      <c r="A17" s="22" t="s">
        <v>67</v>
      </c>
      <c r="B17" s="22" t="str">
        <f t="shared" si="2"/>
        <v>FORK RAKE/OFFSET</v>
      </c>
      <c r="C17" s="22">
        <f>VALUE(LEFT(C43,2))</f>
        <v>40</v>
      </c>
      <c r="D17" s="22">
        <f t="shared" si="5"/>
        <v>40</v>
      </c>
      <c r="E17" s="22">
        <f t="shared" si="5"/>
        <v>40</v>
      </c>
    </row>
    <row r="18" spans="1:7">
      <c r="A18" s="22" t="s">
        <v>56</v>
      </c>
      <c r="B18" s="22" t="str">
        <f>B44</f>
        <v>WHEELBASE</v>
      </c>
      <c r="C18" s="22">
        <f>VALUE(LEFT(C44,4))</f>
        <v>1052</v>
      </c>
      <c r="D18" s="22">
        <f t="shared" ref="D18:E18" si="6">VALUE(LEFT(D44,4))</f>
        <v>1072</v>
      </c>
      <c r="E18" s="22">
        <f t="shared" si="6"/>
        <v>1095</v>
      </c>
    </row>
    <row r="19" spans="1:7">
      <c r="A19" s="22" t="s">
        <v>135</v>
      </c>
      <c r="B19" s="22" t="str">
        <f t="shared" si="2"/>
        <v>TRAIL</v>
      </c>
      <c r="C19" s="22">
        <f>VALUE(LEFT(C45,3))</f>
        <v>100</v>
      </c>
      <c r="D19" s="22">
        <f t="shared" ref="D19:E20" si="7">VALUE(LEFT(D45,2))</f>
        <v>95</v>
      </c>
      <c r="E19" s="22">
        <f t="shared" si="7"/>
        <v>95</v>
      </c>
    </row>
    <row r="20" spans="1:7">
      <c r="A20" s="22" t="s">
        <v>71</v>
      </c>
      <c r="B20" s="22" t="str">
        <f t="shared" si="2"/>
        <v>STEM LENGTH</v>
      </c>
      <c r="C20" s="22">
        <f>VALUE(LEFT(C46,2))</f>
        <v>60</v>
      </c>
      <c r="D20" s="22">
        <f t="shared" si="7"/>
        <v>60</v>
      </c>
      <c r="E20" s="22">
        <f t="shared" si="7"/>
        <v>60</v>
      </c>
    </row>
    <row r="21" spans="1:7">
      <c r="A21" s="22" t="s">
        <v>69</v>
      </c>
      <c r="B21" s="22" t="s">
        <v>69</v>
      </c>
    </row>
    <row r="22" spans="1:7">
      <c r="A22" s="22" t="s">
        <v>70</v>
      </c>
      <c r="B22" s="22" t="s">
        <v>70</v>
      </c>
    </row>
    <row r="23" spans="1:7">
      <c r="A23" s="22" t="s">
        <v>68</v>
      </c>
      <c r="B23" s="22" t="s">
        <v>68</v>
      </c>
      <c r="C23" s="22">
        <v>29</v>
      </c>
      <c r="D23" s="22">
        <v>29</v>
      </c>
      <c r="E23" s="22">
        <v>29</v>
      </c>
    </row>
    <row r="24" spans="1:7">
      <c r="A24" s="22" t="s">
        <v>139</v>
      </c>
      <c r="B24" s="22" t="s">
        <v>139</v>
      </c>
      <c r="C24" s="22">
        <f>2.25*2.54*10</f>
        <v>57.15</v>
      </c>
      <c r="D24" s="22">
        <f t="shared" ref="D24:E24" si="8">2.25*2.54*10</f>
        <v>57.15</v>
      </c>
      <c r="E24" s="22">
        <f t="shared" si="8"/>
        <v>57.15</v>
      </c>
    </row>
    <row r="25" spans="1:7">
      <c r="A25" s="22" t="s">
        <v>140</v>
      </c>
      <c r="B25" s="22" t="s">
        <v>140</v>
      </c>
      <c r="C25" s="22">
        <f>2.6*2.54*10</f>
        <v>66.040000000000006</v>
      </c>
      <c r="D25" s="22">
        <f t="shared" ref="D25:E25" si="9">2.6*2.54*10</f>
        <v>66.040000000000006</v>
      </c>
      <c r="E25" s="22">
        <f t="shared" si="9"/>
        <v>66.040000000000006</v>
      </c>
    </row>
    <row r="26" spans="1:7">
      <c r="A26" s="22" t="s">
        <v>1752</v>
      </c>
      <c r="B26" s="22" t="s">
        <v>1752</v>
      </c>
      <c r="C26" s="132">
        <f>C28*2.54</f>
        <v>162.56</v>
      </c>
      <c r="D26" s="132">
        <f t="shared" ref="D26:E26" si="10">D28*2.54</f>
        <v>172.72</v>
      </c>
      <c r="E26" s="132">
        <f t="shared" si="10"/>
        <v>180.34</v>
      </c>
    </row>
    <row r="27" spans="1:7">
      <c r="A27" s="22" t="s">
        <v>1753</v>
      </c>
      <c r="B27" s="22" t="s">
        <v>1753</v>
      </c>
      <c r="C27" s="132">
        <f>C29*2.54</f>
        <v>172.72</v>
      </c>
      <c r="D27" s="132">
        <f t="shared" ref="D27:E27" si="11">D29*2.54</f>
        <v>180.34</v>
      </c>
      <c r="E27" s="132">
        <f t="shared" si="11"/>
        <v>190.5</v>
      </c>
    </row>
    <row r="28" spans="1:7">
      <c r="B28"/>
      <c r="C28" s="132">
        <v>64</v>
      </c>
      <c r="D28" s="132">
        <v>68</v>
      </c>
      <c r="E28" s="22">
        <v>71</v>
      </c>
    </row>
    <row r="29" spans="1:7">
      <c r="B29"/>
      <c r="C29" s="132">
        <v>68</v>
      </c>
      <c r="D29" s="132">
        <v>71</v>
      </c>
      <c r="E29" s="22">
        <v>75</v>
      </c>
    </row>
    <row r="30" spans="1:7">
      <c r="B30"/>
      <c r="C30" s="132"/>
      <c r="D30" s="132"/>
      <c r="E30"/>
      <c r="G30" s="22" t="s">
        <v>2705</v>
      </c>
    </row>
    <row r="31" spans="1:7">
      <c r="B31" s="132" t="s">
        <v>1020</v>
      </c>
      <c r="C31" s="132" t="s">
        <v>1020</v>
      </c>
      <c r="D31" s="132" t="s">
        <v>1021</v>
      </c>
      <c r="E31" s="132" t="s">
        <v>1022</v>
      </c>
    </row>
    <row r="32" spans="1:7">
      <c r="B32" s="132" t="s">
        <v>2674</v>
      </c>
      <c r="C32" s="132" t="s">
        <v>2691</v>
      </c>
      <c r="D32" s="132" t="s">
        <v>2692</v>
      </c>
      <c r="E32" s="132" t="s">
        <v>2693</v>
      </c>
    </row>
    <row r="33" spans="2:5">
      <c r="B33" s="132" t="s">
        <v>1825</v>
      </c>
      <c r="C33" s="132" t="s">
        <v>263</v>
      </c>
      <c r="D33" s="132" t="s">
        <v>1605</v>
      </c>
      <c r="E33" s="132" t="s">
        <v>2694</v>
      </c>
    </row>
    <row r="34" spans="2:5">
      <c r="B34" s="132" t="s">
        <v>34</v>
      </c>
      <c r="C34" s="132" t="s">
        <v>1186</v>
      </c>
      <c r="D34" s="132" t="s">
        <v>2695</v>
      </c>
      <c r="E34" s="132" t="s">
        <v>2695</v>
      </c>
    </row>
    <row r="35" spans="2:5">
      <c r="B35" s="132" t="s">
        <v>31</v>
      </c>
      <c r="C35" s="132" t="s">
        <v>32</v>
      </c>
      <c r="D35" s="132" t="s">
        <v>33</v>
      </c>
      <c r="E35" s="132" t="s">
        <v>800</v>
      </c>
    </row>
    <row r="36" spans="2:5">
      <c r="B36" s="132" t="s">
        <v>39</v>
      </c>
      <c r="C36" s="132" t="s">
        <v>2066</v>
      </c>
      <c r="D36" s="132" t="s">
        <v>254</v>
      </c>
      <c r="E36" s="132" t="s">
        <v>2696</v>
      </c>
    </row>
    <row r="37" spans="2:5">
      <c r="B37" s="132" t="s">
        <v>40</v>
      </c>
      <c r="C37" s="132" t="s">
        <v>2697</v>
      </c>
      <c r="D37" s="132" t="s">
        <v>2698</v>
      </c>
      <c r="E37" s="132" t="s">
        <v>620</v>
      </c>
    </row>
    <row r="38" spans="2:5">
      <c r="B38" s="132" t="s">
        <v>29</v>
      </c>
      <c r="C38" s="132" t="s">
        <v>2699</v>
      </c>
      <c r="D38" s="132" t="s">
        <v>1030</v>
      </c>
      <c r="E38" s="132" t="s">
        <v>850</v>
      </c>
    </row>
    <row r="39" spans="2:5">
      <c r="B39" s="132" t="s">
        <v>409</v>
      </c>
      <c r="C39" s="132" t="s">
        <v>1193</v>
      </c>
      <c r="D39" s="132" t="s">
        <v>636</v>
      </c>
      <c r="E39" s="132" t="s">
        <v>2700</v>
      </c>
    </row>
    <row r="40" spans="2:5">
      <c r="B40" s="132" t="s">
        <v>2683</v>
      </c>
      <c r="C40" s="132" t="s">
        <v>1960</v>
      </c>
      <c r="D40" s="132" t="s">
        <v>855</v>
      </c>
      <c r="E40" s="132" t="s">
        <v>2681</v>
      </c>
    </row>
    <row r="41" spans="2:5">
      <c r="B41" s="132" t="s">
        <v>35</v>
      </c>
      <c r="C41" s="132" t="s">
        <v>2701</v>
      </c>
      <c r="D41" s="132" t="s">
        <v>2701</v>
      </c>
      <c r="E41" s="132" t="s">
        <v>2701</v>
      </c>
    </row>
    <row r="42" spans="2:5">
      <c r="B42" s="132" t="s">
        <v>184</v>
      </c>
      <c r="C42" s="132" t="s">
        <v>1204</v>
      </c>
      <c r="D42" s="132" t="s">
        <v>1204</v>
      </c>
      <c r="E42" s="132" t="s">
        <v>1204</v>
      </c>
    </row>
    <row r="43" spans="2:5">
      <c r="B43" s="132" t="s">
        <v>2686</v>
      </c>
      <c r="C43" s="132" t="s">
        <v>1503</v>
      </c>
      <c r="D43" s="132" t="s">
        <v>1503</v>
      </c>
      <c r="E43" s="132" t="s">
        <v>1503</v>
      </c>
    </row>
    <row r="44" spans="2:5">
      <c r="B44" s="132" t="s">
        <v>36</v>
      </c>
      <c r="C44" s="132" t="s">
        <v>2702</v>
      </c>
      <c r="D44" s="132" t="s">
        <v>2688</v>
      </c>
      <c r="E44" s="132" t="s">
        <v>2703</v>
      </c>
    </row>
    <row r="45" spans="2:5">
      <c r="B45" s="132" t="s">
        <v>189</v>
      </c>
      <c r="C45" s="132" t="s">
        <v>1251</v>
      </c>
      <c r="D45" s="132" t="s">
        <v>1681</v>
      </c>
      <c r="E45" s="132" t="s">
        <v>1681</v>
      </c>
    </row>
    <row r="46" spans="2:5">
      <c r="B46" s="132" t="s">
        <v>1531</v>
      </c>
      <c r="C46" s="132" t="s">
        <v>1291</v>
      </c>
      <c r="D46" s="132" t="s">
        <v>1291</v>
      </c>
      <c r="E46" s="132" t="s">
        <v>1291</v>
      </c>
    </row>
  </sheetData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0D91-B5B0-F646-8157-17A9C7BD3CF3}">
  <dimension ref="A1:N20"/>
  <sheetViews>
    <sheetView workbookViewId="0">
      <selection activeCell="E39" sqref="E39"/>
    </sheetView>
  </sheetViews>
  <sheetFormatPr baseColWidth="10" defaultRowHeight="20"/>
  <cols>
    <col min="1" max="2" width="29.33203125" style="22" bestFit="1" customWidth="1"/>
    <col min="3" max="3" width="29" style="22" bestFit="1" customWidth="1"/>
    <col min="4" max="16384" width="10.83203125" style="22"/>
  </cols>
  <sheetData>
    <row r="1" spans="1:6">
      <c r="A1" s="22" t="s">
        <v>72</v>
      </c>
      <c r="B1" s="22" t="s">
        <v>72</v>
      </c>
      <c r="C1" s="22" t="s">
        <v>138</v>
      </c>
      <c r="D1" s="22" t="s">
        <v>1632</v>
      </c>
      <c r="E1" s="22" t="s">
        <v>1633</v>
      </c>
      <c r="F1" s="22" t="s">
        <v>1634</v>
      </c>
    </row>
    <row r="2" spans="1:6">
      <c r="A2" s="22" t="s">
        <v>54</v>
      </c>
      <c r="B2" s="22" t="s">
        <v>62</v>
      </c>
      <c r="C2" s="22" t="s">
        <v>1635</v>
      </c>
      <c r="D2" s="22">
        <v>69.7</v>
      </c>
      <c r="E2" s="22">
        <v>69.7</v>
      </c>
      <c r="F2" s="22">
        <v>69.7</v>
      </c>
    </row>
    <row r="3" spans="1:6">
      <c r="A3" s="22" t="s">
        <v>55</v>
      </c>
      <c r="B3" s="22" t="s">
        <v>63</v>
      </c>
      <c r="C3" s="22" t="s">
        <v>1636</v>
      </c>
      <c r="D3" s="22">
        <v>74</v>
      </c>
      <c r="E3" s="22">
        <v>73.5</v>
      </c>
      <c r="F3" s="22">
        <v>73</v>
      </c>
    </row>
    <row r="4" spans="1:6">
      <c r="A4" s="22" t="s">
        <v>60</v>
      </c>
      <c r="B4" s="22" t="s">
        <v>54</v>
      </c>
      <c r="C4" s="22" t="s">
        <v>54</v>
      </c>
      <c r="D4" s="22">
        <v>605</v>
      </c>
      <c r="E4" s="22">
        <v>630</v>
      </c>
      <c r="F4" s="22">
        <v>658</v>
      </c>
    </row>
    <row r="5" spans="1:6">
      <c r="A5" s="22" t="s">
        <v>73</v>
      </c>
      <c r="B5" s="22" t="s">
        <v>55</v>
      </c>
      <c r="C5" s="22" t="s">
        <v>55</v>
      </c>
      <c r="D5" s="22">
        <v>370</v>
      </c>
      <c r="E5" s="22">
        <v>376</v>
      </c>
      <c r="F5" s="22">
        <v>390</v>
      </c>
    </row>
    <row r="6" spans="1:6">
      <c r="A6" s="22" t="s">
        <v>62</v>
      </c>
      <c r="B6" s="22" t="s">
        <v>64</v>
      </c>
      <c r="C6" s="22" t="s">
        <v>1226</v>
      </c>
      <c r="D6" s="22">
        <v>92</v>
      </c>
      <c r="E6" s="22">
        <v>120</v>
      </c>
      <c r="F6" s="22">
        <v>150</v>
      </c>
    </row>
    <row r="7" spans="1:6">
      <c r="A7" s="22" t="s">
        <v>63</v>
      </c>
      <c r="B7" s="22" t="s">
        <v>60</v>
      </c>
      <c r="C7" s="22" t="s">
        <v>1637</v>
      </c>
      <c r="D7" s="22">
        <v>415</v>
      </c>
      <c r="E7" s="22">
        <v>470</v>
      </c>
      <c r="F7" s="22">
        <v>515</v>
      </c>
    </row>
    <row r="8" spans="1:6">
      <c r="A8" s="22" t="s">
        <v>64</v>
      </c>
      <c r="B8" s="22" t="s">
        <v>73</v>
      </c>
      <c r="C8" s="22" t="s">
        <v>1638</v>
      </c>
      <c r="D8" s="22">
        <v>544</v>
      </c>
      <c r="E8" s="22">
        <v>563</v>
      </c>
      <c r="F8" s="22">
        <v>591</v>
      </c>
    </row>
    <row r="9" spans="1:6">
      <c r="A9" s="22" t="s">
        <v>65</v>
      </c>
      <c r="B9" s="22" t="s">
        <v>66</v>
      </c>
      <c r="C9" s="22" t="s">
        <v>1639</v>
      </c>
      <c r="D9" s="22">
        <v>450</v>
      </c>
      <c r="E9" s="22">
        <v>450</v>
      </c>
      <c r="F9" s="22">
        <v>450</v>
      </c>
    </row>
    <row r="10" spans="1:6">
      <c r="A10" s="22" t="s">
        <v>66</v>
      </c>
      <c r="B10" s="22" t="s">
        <v>65</v>
      </c>
      <c r="C10" s="22" t="s">
        <v>1640</v>
      </c>
      <c r="D10" s="22">
        <v>70</v>
      </c>
      <c r="E10" s="22">
        <v>70</v>
      </c>
      <c r="F10" s="22">
        <v>70</v>
      </c>
    </row>
    <row r="11" spans="1:6">
      <c r="A11" s="22" t="s">
        <v>56</v>
      </c>
      <c r="B11" s="22" t="s">
        <v>135</v>
      </c>
      <c r="C11" s="22" t="s">
        <v>135</v>
      </c>
      <c r="D11" s="22">
        <v>91</v>
      </c>
      <c r="E11" s="22">
        <v>91</v>
      </c>
      <c r="F11" s="22">
        <v>91</v>
      </c>
    </row>
    <row r="12" spans="1:6">
      <c r="A12" s="22" t="s">
        <v>67</v>
      </c>
      <c r="B12" s="22" t="s">
        <v>56</v>
      </c>
      <c r="C12" s="22" t="s">
        <v>56</v>
      </c>
      <c r="D12" s="22">
        <v>1061</v>
      </c>
      <c r="E12" s="22">
        <v>1082</v>
      </c>
      <c r="F12" s="22">
        <v>1100</v>
      </c>
    </row>
    <row r="13" spans="1:6">
      <c r="A13" s="22" t="s">
        <v>57</v>
      </c>
      <c r="B13" s="22" t="s">
        <v>71</v>
      </c>
      <c r="C13" s="22" t="s">
        <v>1641</v>
      </c>
      <c r="D13" s="22">
        <v>60</v>
      </c>
      <c r="E13" s="22">
        <v>60</v>
      </c>
      <c r="F13" s="22">
        <v>60</v>
      </c>
    </row>
    <row r="14" spans="1:6">
      <c r="A14" s="22" t="s">
        <v>69</v>
      </c>
      <c r="B14" s="22" t="s">
        <v>67</v>
      </c>
      <c r="C14" s="22" t="s">
        <v>67</v>
      </c>
    </row>
    <row r="15" spans="1:6">
      <c r="A15" s="22" t="s">
        <v>70</v>
      </c>
      <c r="B15" s="22" t="s">
        <v>57</v>
      </c>
      <c r="C15" s="22" t="s">
        <v>57</v>
      </c>
    </row>
    <row r="16" spans="1:6">
      <c r="A16" s="22" t="s">
        <v>71</v>
      </c>
      <c r="B16" s="22" t="s">
        <v>69</v>
      </c>
      <c r="C16" s="22" t="s">
        <v>69</v>
      </c>
    </row>
    <row r="17" spans="1:14">
      <c r="A17" s="22" t="s">
        <v>68</v>
      </c>
      <c r="B17" s="22" t="s">
        <v>70</v>
      </c>
      <c r="C17" s="22" t="s">
        <v>70</v>
      </c>
    </row>
    <row r="18" spans="1:14">
      <c r="A18" s="22" t="s">
        <v>139</v>
      </c>
      <c r="B18" s="22" t="s">
        <v>68</v>
      </c>
      <c r="C18" s="22" t="s">
        <v>68</v>
      </c>
      <c r="D18" s="22">
        <v>29</v>
      </c>
      <c r="E18" s="22">
        <v>29</v>
      </c>
      <c r="F18" s="22">
        <v>29</v>
      </c>
    </row>
    <row r="19" spans="1:14">
      <c r="A19" s="22" t="s">
        <v>140</v>
      </c>
      <c r="B19" s="22" t="s">
        <v>139</v>
      </c>
      <c r="C19" s="22" t="s">
        <v>139</v>
      </c>
      <c r="D19" s="22">
        <f>2.25*25.4</f>
        <v>57.15</v>
      </c>
      <c r="E19" s="22">
        <f t="shared" ref="E19:F19" si="0">2.25*25.4</f>
        <v>57.15</v>
      </c>
      <c r="F19" s="22">
        <f t="shared" si="0"/>
        <v>57.15</v>
      </c>
    </row>
    <row r="20" spans="1:14">
      <c r="B20" s="22" t="s">
        <v>140</v>
      </c>
      <c r="C20" s="22" t="s">
        <v>140</v>
      </c>
      <c r="N20" s="22" t="s">
        <v>1631</v>
      </c>
    </row>
  </sheetData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DAB8-5ABB-8E43-95AC-A4D0BB416C2C}">
  <dimension ref="A1:M42"/>
  <sheetViews>
    <sheetView workbookViewId="0">
      <selection activeCell="I23" sqref="I23"/>
    </sheetView>
  </sheetViews>
  <sheetFormatPr baseColWidth="10" defaultRowHeight="20"/>
  <cols>
    <col min="1" max="1" width="31.83203125" style="22" bestFit="1" customWidth="1"/>
    <col min="2" max="2" width="19.33203125" style="22" bestFit="1" customWidth="1"/>
    <col min="3" max="3" width="11.33203125" style="22" bestFit="1" customWidth="1"/>
    <col min="4" max="16384" width="10.83203125" style="22"/>
  </cols>
  <sheetData>
    <row r="1" spans="1:9">
      <c r="A1" s="22" t="s">
        <v>72</v>
      </c>
      <c r="B1" s="22" t="s">
        <v>141</v>
      </c>
      <c r="C1" s="22">
        <f>C4/10</f>
        <v>52</v>
      </c>
      <c r="D1" s="22">
        <f t="shared" ref="D1:G1" si="0">D4/10</f>
        <v>53.5</v>
      </c>
      <c r="E1" s="22">
        <f t="shared" si="0"/>
        <v>54.7</v>
      </c>
      <c r="F1" s="22">
        <f t="shared" si="0"/>
        <v>56</v>
      </c>
      <c r="G1" s="22">
        <f t="shared" si="0"/>
        <v>57.7</v>
      </c>
      <c r="H1" s="22">
        <f>H4/10</f>
        <v>59.7</v>
      </c>
    </row>
    <row r="2" spans="1:9">
      <c r="A2" s="22" t="s">
        <v>890</v>
      </c>
      <c r="B2" s="22" t="str" cm="1">
        <f t="array" ref="B2:H13">TRANSPOSE(B25:M31)</f>
        <v>CE</v>
      </c>
      <c r="C2" s="22">
        <v>410</v>
      </c>
      <c r="D2" s="22">
        <v>445</v>
      </c>
      <c r="E2" s="22">
        <v>475</v>
      </c>
      <c r="F2" s="22">
        <v>500</v>
      </c>
      <c r="G2" s="22">
        <v>520</v>
      </c>
      <c r="H2" s="22">
        <v>550</v>
      </c>
    </row>
    <row r="3" spans="1:9">
      <c r="A3" s="22" t="s">
        <v>60</v>
      </c>
      <c r="B3" s="22" t="str">
        <v>CC</v>
      </c>
      <c r="C3" s="22">
        <v>470</v>
      </c>
      <c r="D3" s="22">
        <v>500</v>
      </c>
      <c r="E3" s="22">
        <v>530</v>
      </c>
      <c r="F3" s="22">
        <v>550</v>
      </c>
      <c r="G3" s="22">
        <v>575</v>
      </c>
      <c r="H3" s="22">
        <v>600</v>
      </c>
    </row>
    <row r="4" spans="1:9">
      <c r="A4" s="22" t="s">
        <v>73</v>
      </c>
      <c r="B4" s="22" t="str">
        <v>L</v>
      </c>
      <c r="C4" s="22">
        <v>520</v>
      </c>
      <c r="D4" s="22">
        <v>535</v>
      </c>
      <c r="E4" s="22">
        <v>547</v>
      </c>
      <c r="F4" s="22">
        <v>560</v>
      </c>
      <c r="G4" s="22">
        <v>577</v>
      </c>
      <c r="H4" s="22">
        <v>597</v>
      </c>
    </row>
    <row r="5" spans="1:9">
      <c r="A5" s="22" t="s">
        <v>63</v>
      </c>
      <c r="B5" s="22" t="str">
        <v>A [°]</v>
      </c>
      <c r="C5" s="22">
        <v>74.5</v>
      </c>
      <c r="D5" s="22">
        <v>74</v>
      </c>
      <c r="E5" s="22">
        <v>73.75</v>
      </c>
      <c r="F5" s="22">
        <v>73.5</v>
      </c>
      <c r="G5" s="22">
        <v>73</v>
      </c>
      <c r="H5" s="22">
        <v>72.5</v>
      </c>
    </row>
    <row r="6" spans="1:9">
      <c r="A6" s="22" t="s">
        <v>62</v>
      </c>
      <c r="B6" s="22" t="str">
        <v>B [°]</v>
      </c>
      <c r="C6" s="22">
        <v>70.25</v>
      </c>
      <c r="D6" s="22">
        <v>70.5</v>
      </c>
      <c r="E6" s="22">
        <v>70.75</v>
      </c>
      <c r="F6" s="22">
        <v>71.75</v>
      </c>
      <c r="G6" s="22">
        <v>72</v>
      </c>
      <c r="H6" s="22">
        <v>72.25</v>
      </c>
    </row>
    <row r="7" spans="1:9">
      <c r="A7" s="22" t="s">
        <v>66</v>
      </c>
      <c r="B7" s="22" t="str">
        <v>P</v>
      </c>
      <c r="C7" s="22">
        <v>422</v>
      </c>
      <c r="D7" s="22">
        <v>422</v>
      </c>
      <c r="E7" s="22">
        <v>422</v>
      </c>
      <c r="F7" s="22">
        <v>425</v>
      </c>
      <c r="G7" s="22">
        <v>425</v>
      </c>
      <c r="H7" s="22">
        <v>425</v>
      </c>
    </row>
    <row r="8" spans="1:9">
      <c r="A8" s="22" t="s">
        <v>64</v>
      </c>
      <c r="B8" s="22" t="str">
        <v>T</v>
      </c>
      <c r="C8" s="22">
        <v>120</v>
      </c>
      <c r="D8" s="22">
        <v>135</v>
      </c>
      <c r="E8" s="22">
        <v>155</v>
      </c>
      <c r="F8" s="22">
        <v>165</v>
      </c>
      <c r="G8" s="22">
        <v>180</v>
      </c>
      <c r="H8" s="22">
        <v>200</v>
      </c>
    </row>
    <row r="9" spans="1:9">
      <c r="A9" s="22" t="s">
        <v>65</v>
      </c>
      <c r="B9" s="22" t="str">
        <v>D</v>
      </c>
      <c r="C9" s="22">
        <v>72</v>
      </c>
      <c r="D9" s="22">
        <v>72</v>
      </c>
      <c r="E9" s="22">
        <v>67</v>
      </c>
      <c r="F9" s="22">
        <v>67</v>
      </c>
      <c r="G9" s="22">
        <v>67</v>
      </c>
      <c r="H9" s="22">
        <v>67</v>
      </c>
    </row>
    <row r="10" spans="1:9">
      <c r="A10" s="22" t="s">
        <v>67</v>
      </c>
      <c r="B10" s="22" t="str">
        <v>R</v>
      </c>
      <c r="C10" s="22">
        <v>55</v>
      </c>
      <c r="D10" s="22">
        <v>55</v>
      </c>
      <c r="E10" s="22">
        <v>55</v>
      </c>
      <c r="F10" s="22">
        <v>50</v>
      </c>
      <c r="G10" s="22">
        <v>50</v>
      </c>
      <c r="H10" s="22">
        <v>50</v>
      </c>
    </row>
    <row r="11" spans="1:9">
      <c r="A11" s="22" t="s">
        <v>163</v>
      </c>
      <c r="B11" s="22" t="str">
        <v>G</v>
      </c>
      <c r="C11" s="22">
        <v>395</v>
      </c>
      <c r="D11" s="22">
        <v>395</v>
      </c>
      <c r="E11" s="22">
        <v>395</v>
      </c>
      <c r="F11" s="22">
        <v>395</v>
      </c>
      <c r="G11" s="22">
        <v>395</v>
      </c>
      <c r="H11" s="22">
        <v>395</v>
      </c>
    </row>
    <row r="12" spans="1:9">
      <c r="A12" s="22" t="s">
        <v>55</v>
      </c>
      <c r="B12" s="22" t="str">
        <v>REACH</v>
      </c>
      <c r="C12" s="22">
        <v>360.1</v>
      </c>
      <c r="D12" s="22">
        <v>367.8</v>
      </c>
      <c r="E12" s="22">
        <v>374.4</v>
      </c>
      <c r="F12" s="22">
        <v>382</v>
      </c>
      <c r="G12" s="22">
        <v>389.7</v>
      </c>
      <c r="H12" s="22">
        <v>398.5</v>
      </c>
    </row>
    <row r="13" spans="1:9">
      <c r="A13" s="22" t="s">
        <v>54</v>
      </c>
      <c r="B13" s="22" t="str">
        <v>STACK</v>
      </c>
      <c r="C13" s="22">
        <v>548.4</v>
      </c>
      <c r="D13" s="22">
        <v>563.5</v>
      </c>
      <c r="E13" s="22">
        <v>578.4</v>
      </c>
      <c r="F13" s="22">
        <v>593.5</v>
      </c>
      <c r="G13" s="22">
        <v>608.79999999999995</v>
      </c>
      <c r="H13" s="22">
        <v>628.79999999999995</v>
      </c>
    </row>
    <row r="14" spans="1:9">
      <c r="A14" s="22" t="s">
        <v>56</v>
      </c>
      <c r="B14" s="22" t="s">
        <v>56</v>
      </c>
      <c r="C14" s="22">
        <f>C40+C41</f>
        <v>1001.7042483366497</v>
      </c>
      <c r="D14" s="22">
        <f t="shared" ref="D14:H14" si="1">D40+D41</f>
        <v>1012.3753751298043</v>
      </c>
      <c r="E14" s="22">
        <f t="shared" si="1"/>
        <v>1024.3020839009155</v>
      </c>
      <c r="F14" s="22">
        <f t="shared" si="1"/>
        <v>1024.5422845487399</v>
      </c>
      <c r="G14" s="22">
        <f t="shared" si="1"/>
        <v>1034.6231941880988</v>
      </c>
      <c r="H14" s="22">
        <f t="shared" si="1"/>
        <v>1047.1996445115767</v>
      </c>
      <c r="I14" s="22" t="s">
        <v>901</v>
      </c>
    </row>
    <row r="15" spans="1:9">
      <c r="A15" s="22" t="s">
        <v>57</v>
      </c>
      <c r="B15" s="22" t="s">
        <v>57</v>
      </c>
    </row>
    <row r="16" spans="1:9">
      <c r="A16" s="22" t="s">
        <v>69</v>
      </c>
      <c r="B16" s="22" t="s">
        <v>69</v>
      </c>
    </row>
    <row r="17" spans="1:13">
      <c r="A17" s="22" t="s">
        <v>70</v>
      </c>
      <c r="B17" s="22" t="s">
        <v>70</v>
      </c>
    </row>
    <row r="18" spans="1:13">
      <c r="A18" s="22" t="s">
        <v>71</v>
      </c>
      <c r="B18" s="22" t="s">
        <v>71</v>
      </c>
    </row>
    <row r="19" spans="1:13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13">
      <c r="A20" s="22" t="s">
        <v>139</v>
      </c>
      <c r="B20" s="22" t="s">
        <v>139</v>
      </c>
      <c r="C20" s="22">
        <v>38</v>
      </c>
      <c r="D20" s="22">
        <v>38</v>
      </c>
      <c r="E20" s="22">
        <v>38</v>
      </c>
      <c r="F20" s="22">
        <v>38</v>
      </c>
      <c r="G20" s="22">
        <v>38</v>
      </c>
      <c r="H20" s="22">
        <v>38</v>
      </c>
    </row>
    <row r="21" spans="1:13">
      <c r="A21" s="22" t="s">
        <v>140</v>
      </c>
      <c r="B21" s="22" t="s">
        <v>140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  <c r="H21" s="22">
        <v>50</v>
      </c>
    </row>
    <row r="22" spans="1:13">
      <c r="A22" s="22" t="s">
        <v>1752</v>
      </c>
      <c r="I22" s="22" t="s">
        <v>2624</v>
      </c>
    </row>
    <row r="23" spans="1:13">
      <c r="A23" s="22" t="s">
        <v>1753</v>
      </c>
    </row>
    <row r="25" spans="1:13">
      <c r="B25" s="31" t="s">
        <v>883</v>
      </c>
      <c r="C25" s="31" t="s">
        <v>884</v>
      </c>
      <c r="D25" s="31" t="s">
        <v>19</v>
      </c>
      <c r="E25" s="31" t="s">
        <v>885</v>
      </c>
      <c r="F25" s="31" t="s">
        <v>886</v>
      </c>
      <c r="G25" s="31" t="s">
        <v>887</v>
      </c>
      <c r="H25" s="31" t="s">
        <v>590</v>
      </c>
      <c r="I25" s="31" t="s">
        <v>888</v>
      </c>
      <c r="J25" s="31" t="s">
        <v>594</v>
      </c>
      <c r="K25" s="31" t="s">
        <v>889</v>
      </c>
      <c r="L25" s="31" t="s">
        <v>40</v>
      </c>
      <c r="M25" s="31" t="s">
        <v>39</v>
      </c>
    </row>
    <row r="26" spans="1:13">
      <c r="B26" s="32">
        <v>410</v>
      </c>
      <c r="C26" s="31">
        <v>470</v>
      </c>
      <c r="D26" s="32">
        <v>520</v>
      </c>
      <c r="E26" s="32">
        <v>74.5</v>
      </c>
      <c r="F26" s="32">
        <v>70.25</v>
      </c>
      <c r="G26" s="32">
        <v>422</v>
      </c>
      <c r="H26" s="32">
        <v>120</v>
      </c>
      <c r="I26" s="32">
        <v>72</v>
      </c>
      <c r="J26" s="32">
        <v>55</v>
      </c>
      <c r="K26" s="32">
        <v>395</v>
      </c>
      <c r="L26" s="32">
        <v>360.1</v>
      </c>
      <c r="M26" s="32">
        <v>548.4</v>
      </c>
    </row>
    <row r="27" spans="1:13">
      <c r="B27" s="32">
        <v>445</v>
      </c>
      <c r="C27" s="31">
        <v>500</v>
      </c>
      <c r="D27" s="32">
        <v>535</v>
      </c>
      <c r="E27" s="32">
        <v>74</v>
      </c>
      <c r="F27" s="32">
        <v>70.5</v>
      </c>
      <c r="G27" s="32">
        <v>422</v>
      </c>
      <c r="H27" s="32">
        <v>135</v>
      </c>
      <c r="I27" s="32">
        <v>72</v>
      </c>
      <c r="J27" s="32">
        <v>55</v>
      </c>
      <c r="K27" s="32">
        <v>395</v>
      </c>
      <c r="L27" s="32">
        <v>367.8</v>
      </c>
      <c r="M27" s="32">
        <v>563.5</v>
      </c>
    </row>
    <row r="28" spans="1:13">
      <c r="B28" s="32">
        <v>475</v>
      </c>
      <c r="C28" s="31">
        <v>530</v>
      </c>
      <c r="D28" s="32">
        <v>547</v>
      </c>
      <c r="E28" s="32">
        <v>73.75</v>
      </c>
      <c r="F28" s="32">
        <v>70.75</v>
      </c>
      <c r="G28" s="32">
        <v>422</v>
      </c>
      <c r="H28" s="32">
        <v>155</v>
      </c>
      <c r="I28" s="32">
        <v>67</v>
      </c>
      <c r="J28" s="32">
        <v>55</v>
      </c>
      <c r="K28" s="32">
        <v>395</v>
      </c>
      <c r="L28" s="32">
        <v>374.4</v>
      </c>
      <c r="M28" s="32">
        <v>578.4</v>
      </c>
    </row>
    <row r="29" spans="1:13">
      <c r="B29" s="32">
        <v>500</v>
      </c>
      <c r="C29" s="31">
        <v>550</v>
      </c>
      <c r="D29" s="32">
        <v>560</v>
      </c>
      <c r="E29" s="32">
        <v>73.5</v>
      </c>
      <c r="F29" s="32">
        <v>71.75</v>
      </c>
      <c r="G29" s="32">
        <v>425</v>
      </c>
      <c r="H29" s="32">
        <v>165</v>
      </c>
      <c r="I29" s="32">
        <v>67</v>
      </c>
      <c r="J29" s="32">
        <v>50</v>
      </c>
      <c r="K29" s="32">
        <v>395</v>
      </c>
      <c r="L29" s="32">
        <v>382</v>
      </c>
      <c r="M29" s="32">
        <v>593.5</v>
      </c>
    </row>
    <row r="30" spans="1:13">
      <c r="B30" s="32">
        <v>520</v>
      </c>
      <c r="C30" s="31">
        <v>575</v>
      </c>
      <c r="D30" s="32">
        <v>577</v>
      </c>
      <c r="E30" s="32">
        <v>73</v>
      </c>
      <c r="F30" s="32">
        <v>72</v>
      </c>
      <c r="G30" s="32">
        <v>425</v>
      </c>
      <c r="H30" s="32">
        <v>180</v>
      </c>
      <c r="I30" s="32">
        <v>67</v>
      </c>
      <c r="J30" s="32">
        <v>50</v>
      </c>
      <c r="K30" s="32">
        <v>395</v>
      </c>
      <c r="L30" s="32">
        <v>389.7</v>
      </c>
      <c r="M30" s="32">
        <v>608.79999999999995</v>
      </c>
    </row>
    <row r="31" spans="1:13">
      <c r="B31" s="32">
        <v>550</v>
      </c>
      <c r="C31" s="31">
        <v>600</v>
      </c>
      <c r="D31" s="32">
        <v>597</v>
      </c>
      <c r="E31" s="32">
        <v>72.5</v>
      </c>
      <c r="F31" s="32">
        <v>72.25</v>
      </c>
      <c r="G31" s="32">
        <v>425</v>
      </c>
      <c r="H31" s="32">
        <v>200</v>
      </c>
      <c r="I31" s="32">
        <v>67</v>
      </c>
      <c r="J31" s="32">
        <v>50</v>
      </c>
      <c r="K31" s="32">
        <v>395</v>
      </c>
      <c r="L31" s="32">
        <v>398.5</v>
      </c>
      <c r="M31" s="32">
        <v>628.79999999999995</v>
      </c>
    </row>
    <row r="33" spans="1:9">
      <c r="A33" s="22" t="s">
        <v>897</v>
      </c>
    </row>
    <row r="34" spans="1:9">
      <c r="A34" s="22" t="s">
        <v>892</v>
      </c>
      <c r="C34" s="22">
        <f>C8*SIN(C5*PI()/180)</f>
        <v>115.63565438503475</v>
      </c>
      <c r="D34" s="22">
        <f t="shared" ref="D34:I34" si="2">D8*SIN(D5*PI()/180)</f>
        <v>129.77032895167304</v>
      </c>
      <c r="E34" s="22">
        <f t="shared" si="2"/>
        <v>148.80772742981895</v>
      </c>
      <c r="F34" s="22">
        <f t="shared" si="2"/>
        <v>158.20525625325186</v>
      </c>
      <c r="G34" s="22">
        <f t="shared" si="2"/>
        <v>172.13485607334638</v>
      </c>
      <c r="H34" s="22">
        <f t="shared" si="2"/>
        <v>190.74339014964539</v>
      </c>
      <c r="I34" s="22">
        <f t="shared" si="2"/>
        <v>0</v>
      </c>
    </row>
    <row r="35" spans="1:9">
      <c r="A35" s="22" t="s">
        <v>891</v>
      </c>
    </row>
    <row r="36" spans="1:9">
      <c r="A36" s="22" t="s">
        <v>893</v>
      </c>
      <c r="C36" s="22">
        <f>C8*COS(C6*PI()/180)</f>
        <v>40.550006160399256</v>
      </c>
      <c r="D36" s="22">
        <f t="shared" ref="D36:I36" si="3">D8*COS(D6*PI()/180)</f>
        <v>45.063925996559099</v>
      </c>
      <c r="E36" s="22">
        <f t="shared" si="3"/>
        <v>51.102050015732033</v>
      </c>
      <c r="F36" s="22">
        <f t="shared" si="3"/>
        <v>51.672028069818673</v>
      </c>
      <c r="G36" s="22">
        <f t="shared" si="3"/>
        <v>55.623058987490538</v>
      </c>
      <c r="H36" s="22">
        <f t="shared" si="3"/>
        <v>60.972859805602177</v>
      </c>
      <c r="I36" s="22">
        <f t="shared" si="3"/>
        <v>0</v>
      </c>
    </row>
    <row r="37" spans="1:9">
      <c r="A37" s="22" t="s">
        <v>894</v>
      </c>
    </row>
    <row r="38" spans="1:9">
      <c r="A38" s="22" t="s">
        <v>895</v>
      </c>
      <c r="C38" s="22">
        <f>C11*COS(C6*PI()/180)</f>
        <v>133.47710361131422</v>
      </c>
      <c r="D38" s="22">
        <f t="shared" ref="D38:I38" si="4">D11*COS(D6*PI()/180)</f>
        <v>131.8537093973396</v>
      </c>
      <c r="E38" s="22">
        <f t="shared" si="4"/>
        <v>130.22780487880098</v>
      </c>
      <c r="F38" s="22">
        <f t="shared" si="4"/>
        <v>123.69970356108107</v>
      </c>
      <c r="G38" s="22">
        <f t="shared" si="4"/>
        <v>122.06171277810424</v>
      </c>
      <c r="H38" s="22">
        <f t="shared" si="4"/>
        <v>120.4213981160643</v>
      </c>
      <c r="I38" s="22">
        <f t="shared" si="4"/>
        <v>0</v>
      </c>
    </row>
    <row r="39" spans="1:9">
      <c r="A39" s="22" t="s">
        <v>896</v>
      </c>
      <c r="C39" s="22">
        <f>C10*COS((90-C6)*PI()/180)</f>
        <v>51.764680839100386</v>
      </c>
      <c r="D39" s="22">
        <f t="shared" ref="D39:I39" si="5">D10*COS((90-D6)*PI()/180)</f>
        <v>51.845282010069816</v>
      </c>
      <c r="E39" s="22">
        <f t="shared" si="5"/>
        <v>51.924896121603133</v>
      </c>
      <c r="F39" s="22">
        <f t="shared" si="5"/>
        <v>47.48495631009385</v>
      </c>
      <c r="G39" s="22">
        <f t="shared" si="5"/>
        <v>47.552825814757675</v>
      </c>
      <c r="H39" s="22">
        <f t="shared" si="5"/>
        <v>47.619789982163915</v>
      </c>
      <c r="I39" s="22">
        <f t="shared" si="5"/>
        <v>0</v>
      </c>
    </row>
    <row r="40" spans="1:9">
      <c r="A40" s="22" t="s">
        <v>898</v>
      </c>
      <c r="C40" s="22">
        <f>C12+C36+C38+C39</f>
        <v>585.89179061081393</v>
      </c>
      <c r="D40" s="22">
        <f t="shared" ref="D40:I40" si="6">D12+D36+D38+D39</f>
        <v>596.56291740396853</v>
      </c>
      <c r="E40" s="22">
        <f t="shared" si="6"/>
        <v>607.65475101613617</v>
      </c>
      <c r="F40" s="22">
        <f t="shared" si="6"/>
        <v>604.85668794099354</v>
      </c>
      <c r="G40" s="22">
        <f t="shared" si="6"/>
        <v>614.93759758035242</v>
      </c>
      <c r="H40" s="22">
        <f t="shared" si="6"/>
        <v>627.51404790383037</v>
      </c>
      <c r="I40" s="22">
        <f t="shared" si="6"/>
        <v>0</v>
      </c>
    </row>
    <row r="41" spans="1:9">
      <c r="A41" s="22" t="s">
        <v>899</v>
      </c>
      <c r="C41" s="22">
        <f>SQRT(C7^2 - C9^2)</f>
        <v>415.81245772583583</v>
      </c>
      <c r="D41" s="22">
        <f t="shared" ref="D41:I41" si="7">SQRT(D7^2 - D9^2)</f>
        <v>415.81245772583583</v>
      </c>
      <c r="E41" s="22">
        <f t="shared" si="7"/>
        <v>416.64733288477919</v>
      </c>
      <c r="F41" s="22">
        <f t="shared" si="7"/>
        <v>419.68559660774633</v>
      </c>
      <c r="G41" s="22">
        <f t="shared" si="7"/>
        <v>419.68559660774633</v>
      </c>
      <c r="H41" s="22">
        <f t="shared" si="7"/>
        <v>419.68559660774633</v>
      </c>
      <c r="I41" s="22">
        <f t="shared" si="7"/>
        <v>0</v>
      </c>
    </row>
    <row r="42" spans="1:9">
      <c r="A42" s="22" t="s">
        <v>900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462D-551D-8C4A-B12A-85888BEC6AE1}">
  <dimension ref="A1:I37"/>
  <sheetViews>
    <sheetView workbookViewId="0">
      <selection activeCell="A24" sqref="A24:XFD24"/>
    </sheetView>
  </sheetViews>
  <sheetFormatPr baseColWidth="10" defaultRowHeight="20"/>
  <cols>
    <col min="1" max="1" width="29.33203125" style="22" bestFit="1" customWidth="1"/>
    <col min="2" max="2" width="27.5" style="22" bestFit="1" customWidth="1"/>
    <col min="3" max="3" width="16" style="22" bestFit="1" customWidth="1"/>
    <col min="4" max="4" width="18.6640625" style="22" bestFit="1" customWidth="1"/>
    <col min="5" max="5" width="12.33203125" style="22" bestFit="1" customWidth="1"/>
    <col min="6" max="6" width="15.33203125" style="22" bestFit="1" customWidth="1"/>
    <col min="7" max="7" width="12.6640625" style="22" bestFit="1" customWidth="1"/>
    <col min="8" max="8" width="19" style="22" bestFit="1" customWidth="1"/>
    <col min="9" max="16384" width="10.83203125" style="22"/>
  </cols>
  <sheetData>
    <row r="1" spans="1:8">
      <c r="A1" s="29" t="s">
        <v>72</v>
      </c>
      <c r="B1" s="22" t="s">
        <v>141</v>
      </c>
      <c r="C1" s="22" t="str">
        <f>C24</f>
        <v>2X Small (49)</v>
      </c>
      <c r="D1" s="22" t="str">
        <f t="shared" ref="D1:H1" si="0">D24</f>
        <v>Extra Small (51)</v>
      </c>
      <c r="E1" s="22" t="str">
        <f t="shared" si="0"/>
        <v>Small (53)</v>
      </c>
      <c r="F1" s="22" t="str">
        <f t="shared" si="0"/>
        <v>Medium (55)</v>
      </c>
      <c r="G1" s="22" t="str">
        <f t="shared" si="0"/>
        <v>Large (57)</v>
      </c>
      <c r="H1" s="22" t="str">
        <f t="shared" si="0"/>
        <v>Extra Large (59)</v>
      </c>
    </row>
    <row r="2" spans="1:8">
      <c r="A2" s="29" t="s">
        <v>60</v>
      </c>
      <c r="B2" s="22" t="s">
        <v>1159</v>
      </c>
      <c r="C2" s="22">
        <f>VALUE(LEFT(C25,3))</f>
        <v>425</v>
      </c>
      <c r="D2" s="22">
        <f t="shared" ref="D2:H2" si="1">VALUE(LEFT(D25,3))</f>
        <v>445</v>
      </c>
      <c r="E2" s="22">
        <f t="shared" si="1"/>
        <v>470</v>
      </c>
      <c r="F2" s="22">
        <f t="shared" si="1"/>
        <v>490</v>
      </c>
      <c r="G2" s="22">
        <f t="shared" si="1"/>
        <v>510</v>
      </c>
      <c r="H2" s="22">
        <f t="shared" si="1"/>
        <v>530</v>
      </c>
    </row>
    <row r="3" spans="1:8">
      <c r="A3" s="29" t="s">
        <v>73</v>
      </c>
      <c r="B3" s="22" t="s">
        <v>1163</v>
      </c>
      <c r="C3" s="22">
        <f t="shared" ref="C3:H14" si="2">VALUE(LEFT(C26,3))</f>
        <v>504</v>
      </c>
      <c r="D3" s="22">
        <f t="shared" si="2"/>
        <v>517</v>
      </c>
      <c r="E3" s="22">
        <f t="shared" si="2"/>
        <v>529</v>
      </c>
      <c r="F3" s="22">
        <f t="shared" si="2"/>
        <v>550</v>
      </c>
      <c r="G3" s="22">
        <f t="shared" si="2"/>
        <v>570</v>
      </c>
      <c r="H3" s="22">
        <f t="shared" si="2"/>
        <v>590</v>
      </c>
    </row>
    <row r="4" spans="1:8">
      <c r="A4" s="29" t="s">
        <v>55</v>
      </c>
      <c r="B4" s="22" t="s">
        <v>1168</v>
      </c>
      <c r="C4" s="22">
        <f t="shared" si="2"/>
        <v>355</v>
      </c>
      <c r="D4" s="22">
        <f t="shared" si="2"/>
        <v>360</v>
      </c>
      <c r="E4" s="22">
        <f t="shared" si="2"/>
        <v>368</v>
      </c>
      <c r="F4" s="22">
        <f t="shared" si="2"/>
        <v>376</v>
      </c>
      <c r="G4" s="22">
        <f t="shared" si="2"/>
        <v>384</v>
      </c>
      <c r="H4" s="22">
        <f t="shared" si="2"/>
        <v>400</v>
      </c>
    </row>
    <row r="5" spans="1:8">
      <c r="A5" s="29" t="s">
        <v>54</v>
      </c>
      <c r="B5" s="22" t="s">
        <v>1173</v>
      </c>
      <c r="C5" s="22">
        <f t="shared" si="2"/>
        <v>557</v>
      </c>
      <c r="D5" s="22">
        <f t="shared" si="2"/>
        <v>567</v>
      </c>
      <c r="E5" s="22">
        <f t="shared" si="2"/>
        <v>571</v>
      </c>
      <c r="F5" s="22">
        <f t="shared" si="2"/>
        <v>587</v>
      </c>
      <c r="G5" s="22">
        <f t="shared" si="2"/>
        <v>608</v>
      </c>
      <c r="H5" s="22">
        <f t="shared" si="2"/>
        <v>622</v>
      </c>
    </row>
    <row r="6" spans="1:8">
      <c r="A6" s="29" t="s">
        <v>63</v>
      </c>
      <c r="B6" s="22" t="s">
        <v>1180</v>
      </c>
      <c r="C6" s="22">
        <f>VALUE(LEFT(C29,2))</f>
        <v>75</v>
      </c>
      <c r="D6" s="22">
        <f t="shared" ref="D6:H6" si="3">VALUE(LEFT(D29,2))</f>
        <v>74</v>
      </c>
      <c r="E6" s="22">
        <f t="shared" si="3"/>
        <v>74</v>
      </c>
      <c r="F6" s="22">
        <f t="shared" si="3"/>
        <v>73</v>
      </c>
      <c r="G6" s="22">
        <f t="shared" si="3"/>
        <v>73</v>
      </c>
      <c r="H6" s="22">
        <f t="shared" si="3"/>
        <v>73</v>
      </c>
    </row>
    <row r="7" spans="1:8">
      <c r="A7" s="29" t="s">
        <v>62</v>
      </c>
      <c r="B7" s="22" t="s">
        <v>1183</v>
      </c>
      <c r="C7" s="22">
        <f>VALUE(LEFT(C30,2))</f>
        <v>68</v>
      </c>
      <c r="D7" s="22">
        <f t="shared" ref="D7:H7" si="4">VALUE(LEFT(D30,2))</f>
        <v>68</v>
      </c>
      <c r="E7" s="22">
        <f t="shared" si="4"/>
        <v>68</v>
      </c>
      <c r="F7" s="22">
        <f t="shared" si="4"/>
        <v>69</v>
      </c>
      <c r="G7" s="22">
        <f t="shared" si="4"/>
        <v>69</v>
      </c>
      <c r="H7" s="22">
        <f t="shared" si="4"/>
        <v>69</v>
      </c>
    </row>
    <row r="8" spans="1:8">
      <c r="A8" s="29" t="s">
        <v>66</v>
      </c>
      <c r="B8" s="22" t="s">
        <v>1187</v>
      </c>
      <c r="C8" s="22">
        <f t="shared" si="2"/>
        <v>445</v>
      </c>
      <c r="D8" s="22">
        <f t="shared" si="2"/>
        <v>445</v>
      </c>
      <c r="E8" s="22">
        <f t="shared" si="2"/>
        <v>445</v>
      </c>
      <c r="F8" s="22">
        <f t="shared" si="2"/>
        <v>445</v>
      </c>
      <c r="G8" s="22">
        <f t="shared" si="2"/>
        <v>445</v>
      </c>
      <c r="H8" s="22">
        <f t="shared" si="2"/>
        <v>445</v>
      </c>
    </row>
    <row r="9" spans="1:8">
      <c r="A9" s="29" t="s">
        <v>64</v>
      </c>
      <c r="B9" s="22" t="s">
        <v>1188</v>
      </c>
      <c r="C9" s="22">
        <f t="shared" si="2"/>
        <v>120</v>
      </c>
      <c r="D9" s="22">
        <f t="shared" si="2"/>
        <v>130</v>
      </c>
      <c r="E9" s="22">
        <f t="shared" si="2"/>
        <v>135</v>
      </c>
      <c r="F9" s="22">
        <f t="shared" si="2"/>
        <v>150</v>
      </c>
      <c r="G9" s="22">
        <f t="shared" si="2"/>
        <v>170</v>
      </c>
      <c r="H9" s="22">
        <f t="shared" si="2"/>
        <v>185</v>
      </c>
    </row>
    <row r="10" spans="1:8">
      <c r="A10" s="22" t="s">
        <v>1232</v>
      </c>
      <c r="B10" s="22" t="s">
        <v>1192</v>
      </c>
      <c r="C10" s="22">
        <f t="shared" si="2"/>
        <v>415</v>
      </c>
      <c r="D10" s="22">
        <f t="shared" si="2"/>
        <v>415</v>
      </c>
      <c r="E10" s="22">
        <f t="shared" si="2"/>
        <v>415</v>
      </c>
      <c r="F10" s="22">
        <f t="shared" si="2"/>
        <v>415</v>
      </c>
      <c r="G10" s="22">
        <f t="shared" si="2"/>
        <v>415</v>
      </c>
      <c r="H10" s="22">
        <f t="shared" si="2"/>
        <v>415</v>
      </c>
    </row>
    <row r="11" spans="1:8">
      <c r="A11" s="29" t="s">
        <v>67</v>
      </c>
      <c r="B11" s="22" t="s">
        <v>1194</v>
      </c>
      <c r="C11" s="22">
        <f>VALUE(LEFT(C34,2))</f>
        <v>51</v>
      </c>
      <c r="D11" s="22">
        <f t="shared" ref="D11:H11" si="5">VALUE(LEFT(D34,2))</f>
        <v>51</v>
      </c>
      <c r="E11" s="22">
        <f t="shared" si="5"/>
        <v>51</v>
      </c>
      <c r="F11" s="22">
        <f t="shared" si="5"/>
        <v>51</v>
      </c>
      <c r="G11" s="22">
        <f t="shared" si="5"/>
        <v>51</v>
      </c>
      <c r="H11" s="22">
        <f t="shared" si="5"/>
        <v>51</v>
      </c>
    </row>
    <row r="12" spans="1:8">
      <c r="A12" s="29" t="s">
        <v>56</v>
      </c>
      <c r="B12" s="22" t="s">
        <v>1196</v>
      </c>
      <c r="C12" s="22">
        <f>VALUE(LEFT(C35,4))</f>
        <v>1046</v>
      </c>
      <c r="D12" s="22">
        <f t="shared" ref="D12:H12" si="6">VALUE(LEFT(D35,4))</f>
        <v>1049</v>
      </c>
      <c r="E12" s="22">
        <f t="shared" si="6"/>
        <v>1060</v>
      </c>
      <c r="F12" s="22">
        <f t="shared" si="6"/>
        <v>1068</v>
      </c>
      <c r="G12" s="22">
        <f t="shared" si="6"/>
        <v>1079</v>
      </c>
      <c r="H12" s="22">
        <f t="shared" si="6"/>
        <v>1100</v>
      </c>
    </row>
    <row r="13" spans="1:8">
      <c r="A13" s="29" t="s">
        <v>65</v>
      </c>
      <c r="B13" s="22" t="s">
        <v>1203</v>
      </c>
      <c r="C13" s="22">
        <f>VALUE(LEFT(C36,2))</f>
        <v>70</v>
      </c>
      <c r="D13" s="22">
        <f t="shared" ref="D13:H13" si="7">VALUE(LEFT(D36,2))</f>
        <v>70</v>
      </c>
      <c r="E13" s="22">
        <f t="shared" si="7"/>
        <v>70</v>
      </c>
      <c r="F13" s="22">
        <f t="shared" si="7"/>
        <v>70</v>
      </c>
      <c r="G13" s="22">
        <f t="shared" si="7"/>
        <v>70</v>
      </c>
      <c r="H13" s="22">
        <f t="shared" si="7"/>
        <v>70</v>
      </c>
    </row>
    <row r="14" spans="1:8">
      <c r="A14" s="29" t="s">
        <v>57</v>
      </c>
      <c r="B14" s="22" t="s">
        <v>1205</v>
      </c>
      <c r="C14" s="22">
        <f t="shared" si="2"/>
        <v>728</v>
      </c>
      <c r="D14" s="22">
        <f t="shared" si="2"/>
        <v>741</v>
      </c>
      <c r="E14" s="22">
        <f t="shared" si="2"/>
        <v>759</v>
      </c>
      <c r="F14" s="22">
        <f t="shared" si="2"/>
        <v>781</v>
      </c>
      <c r="G14" s="22">
        <f t="shared" si="2"/>
        <v>801</v>
      </c>
      <c r="H14" s="22">
        <f t="shared" si="2"/>
        <v>818</v>
      </c>
    </row>
    <row r="15" spans="1:8">
      <c r="A15" s="29" t="s">
        <v>69</v>
      </c>
      <c r="B15" s="29" t="s">
        <v>69</v>
      </c>
    </row>
    <row r="16" spans="1:8">
      <c r="A16" s="29" t="s">
        <v>70</v>
      </c>
      <c r="B16" s="29" t="s">
        <v>70</v>
      </c>
    </row>
    <row r="17" spans="1:9">
      <c r="A17" s="29" t="s">
        <v>71</v>
      </c>
      <c r="B17" s="29" t="s">
        <v>71</v>
      </c>
    </row>
    <row r="18" spans="1:9">
      <c r="A18" s="29" t="s">
        <v>68</v>
      </c>
      <c r="B18" s="29" t="s">
        <v>68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  <c r="H18" s="22">
        <v>705</v>
      </c>
    </row>
    <row r="19" spans="1:9">
      <c r="A19" s="29" t="s">
        <v>139</v>
      </c>
      <c r="B19" s="29" t="s">
        <v>139</v>
      </c>
      <c r="C19" s="22">
        <f>2.1*25.4</f>
        <v>53.339999999999996</v>
      </c>
      <c r="D19" s="22">
        <f t="shared" ref="D19:H19" si="8">2.1*25.4</f>
        <v>53.339999999999996</v>
      </c>
      <c r="E19" s="22">
        <f t="shared" si="8"/>
        <v>53.339999999999996</v>
      </c>
      <c r="F19" s="22">
        <f t="shared" si="8"/>
        <v>53.339999999999996</v>
      </c>
      <c r="G19" s="22">
        <f t="shared" si="8"/>
        <v>53.339999999999996</v>
      </c>
      <c r="H19" s="22">
        <f t="shared" si="8"/>
        <v>53.339999999999996</v>
      </c>
    </row>
    <row r="20" spans="1:9">
      <c r="A20" s="29" t="s">
        <v>140</v>
      </c>
      <c r="B20" s="29" t="s">
        <v>140</v>
      </c>
      <c r="C20" s="22">
        <f>2.2*25.4</f>
        <v>55.88</v>
      </c>
      <c r="D20" s="22">
        <f t="shared" ref="D20:H20" si="9">2.2*25.4</f>
        <v>55.88</v>
      </c>
      <c r="E20" s="22">
        <f t="shared" si="9"/>
        <v>55.88</v>
      </c>
      <c r="F20" s="22">
        <f t="shared" si="9"/>
        <v>55.88</v>
      </c>
      <c r="G20" s="22">
        <f t="shared" si="9"/>
        <v>55.88</v>
      </c>
      <c r="H20" s="22">
        <f t="shared" si="9"/>
        <v>55.88</v>
      </c>
    </row>
    <row r="21" spans="1:9">
      <c r="A21" s="29" t="s">
        <v>1752</v>
      </c>
      <c r="B21" s="29"/>
      <c r="I21" s="22" t="s">
        <v>2623</v>
      </c>
    </row>
    <row r="22" spans="1:9">
      <c r="A22" s="29" t="s">
        <v>1753</v>
      </c>
      <c r="B22" s="29"/>
    </row>
    <row r="24" spans="1:9">
      <c r="B24" s="22" t="s">
        <v>1152</v>
      </c>
      <c r="C24" s="22" t="s">
        <v>1153</v>
      </c>
      <c r="D24" s="22" t="s">
        <v>1154</v>
      </c>
      <c r="E24" s="22" t="s">
        <v>1155</v>
      </c>
      <c r="F24" s="22" t="s">
        <v>1156</v>
      </c>
      <c r="G24" s="22" t="s">
        <v>1157</v>
      </c>
      <c r="H24" s="22" t="s">
        <v>1158</v>
      </c>
    </row>
    <row r="25" spans="1:9">
      <c r="B25" s="22" t="s">
        <v>1159</v>
      </c>
      <c r="C25" s="22" t="s">
        <v>1160</v>
      </c>
      <c r="D25" s="22" t="s">
        <v>1161</v>
      </c>
      <c r="E25" s="22" t="s">
        <v>636</v>
      </c>
      <c r="F25" s="22" t="s">
        <v>239</v>
      </c>
      <c r="G25" s="22" t="s">
        <v>1162</v>
      </c>
      <c r="H25" s="22" t="s">
        <v>638</v>
      </c>
    </row>
    <row r="26" spans="1:9">
      <c r="B26" s="22" t="s">
        <v>1163</v>
      </c>
      <c r="C26" s="22" t="s">
        <v>1164</v>
      </c>
      <c r="D26" s="22" t="s">
        <v>1165</v>
      </c>
      <c r="E26" s="22" t="s">
        <v>1166</v>
      </c>
      <c r="F26" s="22" t="s">
        <v>1167</v>
      </c>
      <c r="G26" s="22" t="s">
        <v>848</v>
      </c>
      <c r="H26" s="22" t="s">
        <v>834</v>
      </c>
    </row>
    <row r="27" spans="1:9">
      <c r="B27" s="22" t="s">
        <v>1168</v>
      </c>
      <c r="C27" s="22" t="s">
        <v>1169</v>
      </c>
      <c r="D27" s="22" t="s">
        <v>1170</v>
      </c>
      <c r="E27" s="22" t="s">
        <v>847</v>
      </c>
      <c r="F27" s="22" t="s">
        <v>1171</v>
      </c>
      <c r="G27" s="22" t="s">
        <v>1172</v>
      </c>
      <c r="H27" s="22" t="s">
        <v>863</v>
      </c>
    </row>
    <row r="28" spans="1:9">
      <c r="B28" s="22" t="s">
        <v>1173</v>
      </c>
      <c r="C28" s="22" t="s">
        <v>1174</v>
      </c>
      <c r="D28" s="22" t="s">
        <v>1175</v>
      </c>
      <c r="E28" s="22" t="s">
        <v>1176</v>
      </c>
      <c r="F28" s="22" t="s">
        <v>1177</v>
      </c>
      <c r="G28" s="22" t="s">
        <v>1178</v>
      </c>
      <c r="H28" s="22" t="s">
        <v>1179</v>
      </c>
    </row>
    <row r="29" spans="1:9">
      <c r="B29" s="22" t="s">
        <v>1180</v>
      </c>
      <c r="C29" s="22" t="s">
        <v>1181</v>
      </c>
      <c r="D29" s="22" t="s">
        <v>799</v>
      </c>
      <c r="E29" s="22" t="s">
        <v>1182</v>
      </c>
      <c r="F29" s="22" t="s">
        <v>33</v>
      </c>
      <c r="G29" s="22" t="s">
        <v>800</v>
      </c>
      <c r="H29" s="22" t="s">
        <v>800</v>
      </c>
    </row>
    <row r="30" spans="1:9">
      <c r="B30" s="22" t="s">
        <v>1183</v>
      </c>
      <c r="C30" s="22" t="s">
        <v>1184</v>
      </c>
      <c r="D30" s="22" t="s">
        <v>1185</v>
      </c>
      <c r="E30" s="22" t="s">
        <v>1185</v>
      </c>
      <c r="F30" s="22" t="s">
        <v>1186</v>
      </c>
      <c r="G30" s="22" t="s">
        <v>172</v>
      </c>
      <c r="H30" s="22" t="s">
        <v>172</v>
      </c>
    </row>
    <row r="31" spans="1:9">
      <c r="B31" s="22" t="s">
        <v>1187</v>
      </c>
      <c r="C31" s="22" t="s">
        <v>1161</v>
      </c>
      <c r="D31" s="22" t="s">
        <v>1161</v>
      </c>
      <c r="E31" s="22" t="s">
        <v>1161</v>
      </c>
      <c r="F31" s="22" t="s">
        <v>1161</v>
      </c>
      <c r="G31" s="22" t="s">
        <v>1161</v>
      </c>
      <c r="H31" s="22" t="s">
        <v>1161</v>
      </c>
    </row>
    <row r="32" spans="1:9">
      <c r="B32" s="22" t="s">
        <v>1188</v>
      </c>
      <c r="C32" s="22" t="s">
        <v>1030</v>
      </c>
      <c r="D32" s="22" t="s">
        <v>830</v>
      </c>
      <c r="E32" s="22" t="s">
        <v>1189</v>
      </c>
      <c r="F32" s="22" t="s">
        <v>850</v>
      </c>
      <c r="G32" s="22" t="s">
        <v>1190</v>
      </c>
      <c r="H32" s="22" t="s">
        <v>1191</v>
      </c>
    </row>
    <row r="33" spans="2:8">
      <c r="B33" s="22" t="s">
        <v>1192</v>
      </c>
      <c r="C33" s="22" t="s">
        <v>1193</v>
      </c>
      <c r="D33" s="22" t="s">
        <v>1193</v>
      </c>
      <c r="E33" s="22" t="s">
        <v>1193</v>
      </c>
      <c r="F33" s="22" t="s">
        <v>1193</v>
      </c>
      <c r="G33" s="22" t="s">
        <v>1193</v>
      </c>
      <c r="H33" s="22" t="s">
        <v>1193</v>
      </c>
    </row>
    <row r="34" spans="2:8">
      <c r="B34" s="22" t="s">
        <v>1194</v>
      </c>
      <c r="C34" s="22" t="s">
        <v>1195</v>
      </c>
      <c r="D34" s="22" t="s">
        <v>1195</v>
      </c>
      <c r="E34" s="22" t="s">
        <v>1195</v>
      </c>
      <c r="F34" s="22" t="s">
        <v>1195</v>
      </c>
      <c r="G34" s="22" t="s">
        <v>1195</v>
      </c>
      <c r="H34" s="22" t="s">
        <v>1195</v>
      </c>
    </row>
    <row r="35" spans="2:8">
      <c r="B35" s="22" t="s">
        <v>1196</v>
      </c>
      <c r="C35" s="22" t="s">
        <v>1197</v>
      </c>
      <c r="D35" s="22" t="s">
        <v>1198</v>
      </c>
      <c r="E35" s="22" t="s">
        <v>1199</v>
      </c>
      <c r="F35" s="22" t="s">
        <v>1200</v>
      </c>
      <c r="G35" s="22" t="s">
        <v>1201</v>
      </c>
      <c r="H35" s="22" t="s">
        <v>1202</v>
      </c>
    </row>
    <row r="36" spans="2:8">
      <c r="B36" s="22" t="s">
        <v>1203</v>
      </c>
      <c r="C36" s="22" t="s">
        <v>1204</v>
      </c>
      <c r="D36" s="22" t="s">
        <v>1204</v>
      </c>
      <c r="E36" s="22" t="s">
        <v>1204</v>
      </c>
      <c r="F36" s="22" t="s">
        <v>1204</v>
      </c>
      <c r="G36" s="22" t="s">
        <v>1204</v>
      </c>
      <c r="H36" s="22" t="s">
        <v>1204</v>
      </c>
    </row>
    <row r="37" spans="2:8">
      <c r="B37" s="22" t="s">
        <v>1205</v>
      </c>
      <c r="C37" s="22" t="s">
        <v>1206</v>
      </c>
      <c r="D37" s="22" t="s">
        <v>1207</v>
      </c>
      <c r="E37" s="22" t="s">
        <v>1208</v>
      </c>
      <c r="F37" s="22" t="s">
        <v>1209</v>
      </c>
      <c r="G37" s="22" t="s">
        <v>1210</v>
      </c>
      <c r="H37" s="22" t="s">
        <v>1211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8099-094B-1A4F-BD54-BCEDBB1459B3}">
  <dimension ref="A1:G26"/>
  <sheetViews>
    <sheetView workbookViewId="0">
      <selection activeCell="B23" sqref="B23:B24"/>
    </sheetView>
  </sheetViews>
  <sheetFormatPr baseColWidth="10" defaultRowHeight="20"/>
  <cols>
    <col min="1" max="1" width="29.33203125" style="22" bestFit="1" customWidth="1"/>
    <col min="2" max="2" width="25.1640625" style="22" bestFit="1" customWidth="1"/>
    <col min="3" max="16384" width="10.83203125" style="22"/>
  </cols>
  <sheetData>
    <row r="1" spans="1:7">
      <c r="A1" s="22" t="s">
        <v>72</v>
      </c>
      <c r="B1" s="22" t="s">
        <v>15</v>
      </c>
      <c r="C1" s="22" t="s">
        <v>220</v>
      </c>
      <c r="D1" s="22" t="s">
        <v>221</v>
      </c>
      <c r="E1" s="22" t="s">
        <v>223</v>
      </c>
      <c r="F1" s="22" t="s">
        <v>1272</v>
      </c>
      <c r="G1" s="22" t="s">
        <v>1273</v>
      </c>
    </row>
    <row r="2" spans="1:7">
      <c r="A2" s="22" t="s">
        <v>73</v>
      </c>
      <c r="B2" s="22" t="s">
        <v>1270</v>
      </c>
      <c r="C2" s="22">
        <v>540</v>
      </c>
      <c r="D2" s="22">
        <v>557</v>
      </c>
      <c r="E2" s="22">
        <v>570</v>
      </c>
      <c r="F2" s="22">
        <v>583</v>
      </c>
      <c r="G2" s="22">
        <v>600</v>
      </c>
    </row>
    <row r="3" spans="1:7">
      <c r="A3" s="22" t="s">
        <v>60</v>
      </c>
      <c r="B3" s="22" t="s">
        <v>173</v>
      </c>
      <c r="C3" s="22">
        <v>450</v>
      </c>
      <c r="D3" s="22">
        <v>490</v>
      </c>
      <c r="E3" s="22">
        <v>520</v>
      </c>
      <c r="F3" s="22">
        <v>550</v>
      </c>
      <c r="G3" s="22">
        <v>580</v>
      </c>
    </row>
    <row r="4" spans="1:7">
      <c r="A4" s="22" t="s">
        <v>63</v>
      </c>
      <c r="B4" s="22" t="s">
        <v>4</v>
      </c>
      <c r="C4" s="22">
        <v>75</v>
      </c>
      <c r="D4" s="22">
        <v>75</v>
      </c>
      <c r="E4" s="22">
        <v>75</v>
      </c>
      <c r="F4" s="22">
        <v>75</v>
      </c>
      <c r="G4" s="22">
        <v>75</v>
      </c>
    </row>
    <row r="5" spans="1:7">
      <c r="A5" s="22" t="s">
        <v>66</v>
      </c>
      <c r="B5" s="22" t="s">
        <v>7</v>
      </c>
      <c r="C5" s="22">
        <v>420</v>
      </c>
      <c r="D5" s="22">
        <v>420</v>
      </c>
      <c r="E5" s="22">
        <v>420</v>
      </c>
      <c r="F5" s="22">
        <v>420</v>
      </c>
      <c r="G5" s="22">
        <v>420</v>
      </c>
    </row>
    <row r="6" spans="1:7">
      <c r="A6" s="22" t="s">
        <v>65</v>
      </c>
      <c r="B6" s="22" t="s">
        <v>6</v>
      </c>
      <c r="C6" s="22">
        <v>70</v>
      </c>
      <c r="D6" s="22">
        <v>70</v>
      </c>
      <c r="E6" s="22">
        <v>70</v>
      </c>
      <c r="F6" s="22">
        <v>70</v>
      </c>
      <c r="G6" s="22">
        <v>70</v>
      </c>
    </row>
    <row r="7" spans="1:7">
      <c r="A7" s="22" t="s">
        <v>137</v>
      </c>
      <c r="B7" s="22" t="s">
        <v>1271</v>
      </c>
      <c r="C7" s="22">
        <v>285</v>
      </c>
      <c r="D7" s="22">
        <v>285</v>
      </c>
      <c r="E7" s="22">
        <v>285</v>
      </c>
      <c r="F7" s="22">
        <v>285</v>
      </c>
      <c r="G7" s="22">
        <v>285</v>
      </c>
    </row>
    <row r="8" spans="1:7">
      <c r="A8" s="22" t="s">
        <v>62</v>
      </c>
      <c r="B8" s="22" t="s">
        <v>3</v>
      </c>
      <c r="C8" s="22">
        <v>71.5</v>
      </c>
      <c r="D8" s="22">
        <v>71.5</v>
      </c>
      <c r="E8" s="22">
        <v>71.5</v>
      </c>
      <c r="F8" s="22">
        <v>71.5</v>
      </c>
      <c r="G8" s="22">
        <v>71.5</v>
      </c>
    </row>
    <row r="9" spans="1:7">
      <c r="A9" s="22" t="s">
        <v>56</v>
      </c>
      <c r="B9" s="22" t="s">
        <v>9</v>
      </c>
      <c r="C9" s="22">
        <v>1016</v>
      </c>
      <c r="D9" s="22">
        <v>1034</v>
      </c>
      <c r="E9" s="22">
        <v>1049</v>
      </c>
      <c r="F9" s="22">
        <v>1064</v>
      </c>
      <c r="G9" s="22">
        <v>1082</v>
      </c>
    </row>
    <row r="10" spans="1:7">
      <c r="A10" s="22" t="s">
        <v>64</v>
      </c>
      <c r="B10" s="22" t="s">
        <v>5</v>
      </c>
      <c r="C10" s="22">
        <v>110</v>
      </c>
      <c r="D10" s="22">
        <v>136</v>
      </c>
      <c r="E10" s="22">
        <v>157</v>
      </c>
      <c r="F10" s="22">
        <v>178</v>
      </c>
      <c r="G10" s="22">
        <v>205</v>
      </c>
    </row>
    <row r="11" spans="1:7">
      <c r="A11" s="22" t="s">
        <v>1232</v>
      </c>
      <c r="B11" s="22" t="s">
        <v>490</v>
      </c>
      <c r="C11" s="22">
        <v>395</v>
      </c>
      <c r="D11" s="22">
        <v>395</v>
      </c>
      <c r="E11" s="22">
        <v>395</v>
      </c>
      <c r="F11" s="22">
        <v>395</v>
      </c>
      <c r="G11" s="22">
        <v>395</v>
      </c>
    </row>
    <row r="12" spans="1:7">
      <c r="A12" s="22" t="s">
        <v>67</v>
      </c>
      <c r="B12" s="22" t="s">
        <v>247</v>
      </c>
      <c r="C12" s="22">
        <v>47</v>
      </c>
      <c r="D12" s="22">
        <v>47</v>
      </c>
      <c r="E12" s="22">
        <v>47</v>
      </c>
      <c r="F12" s="22">
        <v>47</v>
      </c>
      <c r="G12" s="22">
        <v>47</v>
      </c>
    </row>
    <row r="13" spans="1:7">
      <c r="A13" s="22" t="s">
        <v>135</v>
      </c>
      <c r="B13" s="22" t="s">
        <v>133</v>
      </c>
      <c r="C13" s="22">
        <v>69</v>
      </c>
      <c r="D13" s="22">
        <v>69</v>
      </c>
      <c r="E13" s="22">
        <v>69</v>
      </c>
      <c r="F13" s="22">
        <v>69</v>
      </c>
      <c r="G13" s="22">
        <v>69</v>
      </c>
    </row>
    <row r="14" spans="1:7">
      <c r="A14" s="22" t="s">
        <v>54</v>
      </c>
      <c r="B14" s="22" t="s">
        <v>0</v>
      </c>
      <c r="C14" s="22">
        <v>535</v>
      </c>
      <c r="D14" s="22">
        <v>560</v>
      </c>
      <c r="E14" s="22">
        <v>580</v>
      </c>
      <c r="F14" s="22">
        <v>600</v>
      </c>
      <c r="G14" s="22">
        <v>625</v>
      </c>
    </row>
    <row r="15" spans="1:7">
      <c r="A15" s="22" t="s">
        <v>55</v>
      </c>
      <c r="B15" s="22" t="s">
        <v>1</v>
      </c>
      <c r="C15" s="22">
        <v>397</v>
      </c>
      <c r="D15" s="22">
        <v>407</v>
      </c>
      <c r="E15" s="22">
        <v>415</v>
      </c>
      <c r="F15" s="22">
        <v>423</v>
      </c>
      <c r="G15" s="22">
        <v>433</v>
      </c>
    </row>
    <row r="16" spans="1:7">
      <c r="A16" s="22" t="s">
        <v>57</v>
      </c>
      <c r="B16" s="22" t="s">
        <v>14</v>
      </c>
      <c r="C16" s="22">
        <v>709</v>
      </c>
      <c r="D16" s="22">
        <v>747</v>
      </c>
      <c r="E16" s="22">
        <v>775</v>
      </c>
      <c r="F16" s="22">
        <v>803</v>
      </c>
      <c r="G16" s="22">
        <v>831</v>
      </c>
    </row>
    <row r="17" spans="1:7">
      <c r="A17" s="22" t="s">
        <v>69</v>
      </c>
      <c r="B17" s="22" t="s">
        <v>69</v>
      </c>
    </row>
    <row r="18" spans="1:7">
      <c r="A18" s="22" t="s">
        <v>70</v>
      </c>
      <c r="B18" s="22" t="s">
        <v>70</v>
      </c>
    </row>
    <row r="19" spans="1:7">
      <c r="A19" s="22" t="s">
        <v>71</v>
      </c>
      <c r="B19" s="22" t="s">
        <v>71</v>
      </c>
      <c r="C19" s="22">
        <v>80</v>
      </c>
      <c r="D19" s="22">
        <v>80</v>
      </c>
      <c r="E19" s="22">
        <v>90</v>
      </c>
      <c r="F19" s="22">
        <v>90</v>
      </c>
      <c r="G19" s="22">
        <v>90</v>
      </c>
    </row>
    <row r="20" spans="1:7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</row>
    <row r="21" spans="1:7">
      <c r="A21" s="22" t="s">
        <v>139</v>
      </c>
      <c r="B21" s="22" t="s">
        <v>139</v>
      </c>
      <c r="C21" s="22">
        <v>40</v>
      </c>
      <c r="D21" s="22">
        <v>40</v>
      </c>
      <c r="E21" s="22">
        <v>40</v>
      </c>
      <c r="F21" s="22">
        <v>40</v>
      </c>
      <c r="G21" s="22">
        <v>40</v>
      </c>
    </row>
    <row r="22" spans="1:7">
      <c r="A22" s="22" t="s">
        <v>140</v>
      </c>
      <c r="B22" s="22" t="s">
        <v>140</v>
      </c>
      <c r="C22" s="22">
        <v>50</v>
      </c>
      <c r="D22" s="22">
        <v>50</v>
      </c>
      <c r="E22" s="22">
        <v>50</v>
      </c>
      <c r="F22" s="22">
        <v>50</v>
      </c>
      <c r="G22" s="22">
        <v>50</v>
      </c>
    </row>
    <row r="23" spans="1:7">
      <c r="A23" s="22" t="s">
        <v>1752</v>
      </c>
      <c r="B23" s="22" t="s">
        <v>1752</v>
      </c>
      <c r="C23" s="22">
        <f>C25</f>
        <v>61</v>
      </c>
      <c r="D23" s="22">
        <f>C24</f>
        <v>166.37</v>
      </c>
      <c r="E23" s="22">
        <f t="shared" ref="E23:G23" si="0">D24</f>
        <v>176.53</v>
      </c>
      <c r="F23" s="22">
        <f t="shared" si="0"/>
        <v>184.15</v>
      </c>
      <c r="G23" s="22">
        <f t="shared" si="0"/>
        <v>191.77</v>
      </c>
    </row>
    <row r="24" spans="1:7">
      <c r="A24" s="22" t="s">
        <v>1753</v>
      </c>
      <c r="B24" s="22" t="s">
        <v>1753</v>
      </c>
      <c r="C24" s="22">
        <f>AVERAGE(C26,D25)*2.54</f>
        <v>166.37</v>
      </c>
      <c r="D24" s="22">
        <f t="shared" ref="D24:G24" si="1">AVERAGE(D26,E25)*2.54</f>
        <v>176.53</v>
      </c>
      <c r="E24" s="22">
        <f t="shared" si="1"/>
        <v>184.15</v>
      </c>
      <c r="F24" s="22">
        <f t="shared" si="1"/>
        <v>191.77</v>
      </c>
      <c r="G24" s="22">
        <f t="shared" si="1"/>
        <v>203.2</v>
      </c>
    </row>
    <row r="25" spans="1:7">
      <c r="C25" s="22">
        <v>61</v>
      </c>
      <c r="D25" s="22">
        <v>65</v>
      </c>
      <c r="E25" s="22">
        <v>69</v>
      </c>
      <c r="F25" s="22">
        <v>72</v>
      </c>
      <c r="G25" s="22">
        <v>75</v>
      </c>
    </row>
    <row r="26" spans="1:7">
      <c r="C26" s="22">
        <v>66</v>
      </c>
      <c r="D26" s="22">
        <v>70</v>
      </c>
      <c r="E26" s="22">
        <v>73</v>
      </c>
      <c r="F26" s="22">
        <v>76</v>
      </c>
      <c r="G26" s="22">
        <v>80</v>
      </c>
    </row>
  </sheetData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E774-CF71-FB4A-9748-C04E5F6D7006}">
  <dimension ref="A1:H27"/>
  <sheetViews>
    <sheetView workbookViewId="0">
      <selection activeCell="I24" sqref="I24"/>
    </sheetView>
  </sheetViews>
  <sheetFormatPr baseColWidth="10" defaultRowHeight="19"/>
  <cols>
    <col min="1" max="1" width="26.83203125" style="2" bestFit="1" customWidth="1"/>
    <col min="2" max="2" width="26.1640625" style="2" bestFit="1" customWidth="1"/>
    <col min="3" max="7" width="16.6640625" style="2" customWidth="1"/>
    <col min="8" max="16384" width="10.83203125" style="2"/>
  </cols>
  <sheetData>
    <row r="1" spans="1:8">
      <c r="A1" s="2" t="s">
        <v>72</v>
      </c>
      <c r="B1" s="127" t="s">
        <v>167</v>
      </c>
      <c r="C1" s="128" t="s">
        <v>16</v>
      </c>
      <c r="D1" s="128" t="s">
        <v>17</v>
      </c>
      <c r="E1" s="128" t="s">
        <v>18</v>
      </c>
      <c r="F1" s="128" t="s">
        <v>19</v>
      </c>
      <c r="G1" s="128" t="s">
        <v>20</v>
      </c>
    </row>
    <row r="2" spans="1:8">
      <c r="A2" s="2" t="s">
        <v>63</v>
      </c>
      <c r="B2" s="127" t="s">
        <v>306</v>
      </c>
      <c r="C2" s="128">
        <v>74.5</v>
      </c>
      <c r="D2" s="128">
        <v>74</v>
      </c>
      <c r="E2" s="128">
        <v>73.5</v>
      </c>
      <c r="F2" s="128">
        <v>73</v>
      </c>
      <c r="G2" s="128">
        <v>72.5</v>
      </c>
    </row>
    <row r="3" spans="1:8">
      <c r="A3" s="2" t="s">
        <v>73</v>
      </c>
      <c r="B3" s="127" t="s">
        <v>307</v>
      </c>
      <c r="C3" s="128">
        <v>520</v>
      </c>
      <c r="D3" s="128">
        <v>540</v>
      </c>
      <c r="E3" s="128">
        <v>555</v>
      </c>
      <c r="F3" s="128">
        <v>570</v>
      </c>
      <c r="G3" s="128">
        <v>590</v>
      </c>
    </row>
    <row r="4" spans="1:8">
      <c r="A4" s="2" t="s">
        <v>62</v>
      </c>
      <c r="B4" s="127" t="s">
        <v>308</v>
      </c>
      <c r="C4" s="128">
        <v>70.5</v>
      </c>
      <c r="D4" s="128">
        <v>71</v>
      </c>
      <c r="E4" s="128">
        <v>71.5</v>
      </c>
      <c r="F4" s="128">
        <v>72</v>
      </c>
      <c r="G4" s="128">
        <v>72</v>
      </c>
    </row>
    <row r="5" spans="1:8">
      <c r="A5" s="2" t="s">
        <v>67</v>
      </c>
      <c r="B5" s="127" t="s">
        <v>310</v>
      </c>
      <c r="C5" s="128">
        <v>50</v>
      </c>
      <c r="D5" s="128">
        <v>50</v>
      </c>
      <c r="E5" s="128">
        <v>50</v>
      </c>
      <c r="F5" s="128">
        <v>50</v>
      </c>
      <c r="G5" s="128">
        <v>50</v>
      </c>
    </row>
    <row r="6" spans="1:8">
      <c r="A6" s="2" t="s">
        <v>64</v>
      </c>
      <c r="B6" s="127" t="s">
        <v>311</v>
      </c>
      <c r="C6" s="128">
        <v>130</v>
      </c>
      <c r="D6" s="128">
        <v>140</v>
      </c>
      <c r="E6" s="128">
        <v>155</v>
      </c>
      <c r="F6" s="128">
        <v>180</v>
      </c>
      <c r="G6" s="128">
        <v>200</v>
      </c>
    </row>
    <row r="7" spans="1:8">
      <c r="A7" s="2" t="s">
        <v>65</v>
      </c>
      <c r="B7" s="127" t="s">
        <v>312</v>
      </c>
      <c r="C7" s="128">
        <v>69</v>
      </c>
      <c r="D7" s="128">
        <v>69</v>
      </c>
      <c r="E7" s="128">
        <v>69</v>
      </c>
      <c r="F7" s="128">
        <v>69</v>
      </c>
      <c r="G7" s="128">
        <v>69</v>
      </c>
    </row>
    <row r="8" spans="1:8">
      <c r="A8" s="2" t="s">
        <v>60</v>
      </c>
      <c r="B8" s="127" t="s">
        <v>313</v>
      </c>
      <c r="C8" s="128">
        <v>460</v>
      </c>
      <c r="D8" s="128">
        <v>480</v>
      </c>
      <c r="E8" s="128">
        <v>500</v>
      </c>
      <c r="F8" s="128">
        <v>520</v>
      </c>
      <c r="G8" s="128">
        <v>540</v>
      </c>
    </row>
    <row r="9" spans="1:8">
      <c r="A9" s="2" t="s">
        <v>66</v>
      </c>
      <c r="B9" s="127" t="s">
        <v>314</v>
      </c>
      <c r="C9" s="128">
        <v>435</v>
      </c>
      <c r="D9" s="128">
        <v>435</v>
      </c>
      <c r="E9" s="128">
        <v>435</v>
      </c>
      <c r="F9" s="128">
        <v>435</v>
      </c>
      <c r="G9" s="128">
        <v>435</v>
      </c>
    </row>
    <row r="10" spans="1:8">
      <c r="A10" s="2" t="s">
        <v>134</v>
      </c>
      <c r="B10" s="127" t="s">
        <v>315</v>
      </c>
      <c r="C10" s="128">
        <v>593</v>
      </c>
      <c r="D10" s="128">
        <v>599</v>
      </c>
      <c r="E10" s="128">
        <v>600.70000000000005</v>
      </c>
      <c r="F10" s="128">
        <v>615.5</v>
      </c>
      <c r="G10" s="128">
        <v>616</v>
      </c>
    </row>
    <row r="11" spans="1:8">
      <c r="A11" s="2" t="s">
        <v>55</v>
      </c>
      <c r="B11" s="127" t="s">
        <v>316</v>
      </c>
      <c r="C11" s="128">
        <v>371</v>
      </c>
      <c r="D11" s="128">
        <v>375</v>
      </c>
      <c r="E11" s="128">
        <v>379</v>
      </c>
      <c r="F11" s="128">
        <v>389</v>
      </c>
      <c r="G11" s="128">
        <v>396</v>
      </c>
    </row>
    <row r="12" spans="1:8">
      <c r="A12" s="2" t="s">
        <v>54</v>
      </c>
      <c r="B12" s="127" t="s">
        <v>317</v>
      </c>
      <c r="C12" s="128">
        <v>537</v>
      </c>
      <c r="D12" s="128">
        <v>548.5</v>
      </c>
      <c r="E12" s="128">
        <v>561</v>
      </c>
      <c r="F12" s="128">
        <v>592</v>
      </c>
      <c r="G12" s="128">
        <v>610.70000000000005</v>
      </c>
    </row>
    <row r="13" spans="1:8">
      <c r="A13" s="2" t="s">
        <v>56</v>
      </c>
      <c r="B13" s="127" t="s">
        <v>318</v>
      </c>
      <c r="C13" s="128">
        <v>1019</v>
      </c>
      <c r="D13" s="128">
        <v>1025</v>
      </c>
      <c r="E13" s="128">
        <v>1025</v>
      </c>
      <c r="F13" s="128">
        <v>1041</v>
      </c>
      <c r="G13" s="128">
        <v>1054</v>
      </c>
    </row>
    <row r="14" spans="1:8">
      <c r="A14" s="2" t="s">
        <v>57</v>
      </c>
      <c r="B14" s="2" t="s">
        <v>57</v>
      </c>
      <c r="H14" s="2" t="s">
        <v>268</v>
      </c>
    </row>
    <row r="15" spans="1:8">
      <c r="A15" s="2" t="s">
        <v>69</v>
      </c>
      <c r="B15" s="2" t="s">
        <v>69</v>
      </c>
      <c r="C15" s="128">
        <v>170</v>
      </c>
      <c r="D15" s="128">
        <v>170</v>
      </c>
      <c r="E15" s="128">
        <v>172.5</v>
      </c>
      <c r="F15" s="128">
        <v>172.5</v>
      </c>
      <c r="G15" s="128">
        <v>175</v>
      </c>
    </row>
    <row r="16" spans="1:8">
      <c r="A16" s="2" t="s">
        <v>70</v>
      </c>
      <c r="B16" s="2" t="s">
        <v>70</v>
      </c>
      <c r="C16" s="128">
        <v>420</v>
      </c>
      <c r="D16" s="128">
        <v>420</v>
      </c>
      <c r="E16" s="128">
        <v>420</v>
      </c>
      <c r="F16" s="128">
        <v>420</v>
      </c>
      <c r="G16" s="128">
        <v>420</v>
      </c>
    </row>
    <row r="17" spans="1:8">
      <c r="A17" s="2" t="s">
        <v>71</v>
      </c>
      <c r="B17" s="2" t="s">
        <v>71</v>
      </c>
      <c r="C17" s="128">
        <v>80</v>
      </c>
      <c r="D17" s="128">
        <v>80</v>
      </c>
      <c r="E17" s="128">
        <v>90</v>
      </c>
      <c r="F17" s="128">
        <v>100</v>
      </c>
      <c r="G17" s="128">
        <v>110</v>
      </c>
    </row>
    <row r="18" spans="1:8">
      <c r="A18" s="2" t="s">
        <v>68</v>
      </c>
      <c r="B18" s="2" t="s">
        <v>68</v>
      </c>
      <c r="C18" s="128">
        <v>700</v>
      </c>
      <c r="D18" s="128">
        <v>700</v>
      </c>
      <c r="E18" s="128">
        <v>700</v>
      </c>
      <c r="F18" s="128">
        <v>700</v>
      </c>
      <c r="G18" s="128">
        <v>700</v>
      </c>
    </row>
    <row r="19" spans="1:8">
      <c r="A19" s="2" t="s">
        <v>139</v>
      </c>
      <c r="B19" s="2" t="s">
        <v>139</v>
      </c>
      <c r="C19" s="128">
        <v>45</v>
      </c>
      <c r="D19" s="128">
        <v>45</v>
      </c>
      <c r="E19" s="128">
        <v>45</v>
      </c>
      <c r="F19" s="128">
        <v>45</v>
      </c>
      <c r="G19" s="128">
        <v>45</v>
      </c>
    </row>
    <row r="20" spans="1:8">
      <c r="A20" s="2" t="s">
        <v>140</v>
      </c>
      <c r="B20" s="2" t="s">
        <v>140</v>
      </c>
      <c r="C20" s="128">
        <v>50</v>
      </c>
      <c r="D20" s="128">
        <v>50</v>
      </c>
      <c r="E20" s="128">
        <v>50</v>
      </c>
      <c r="F20" s="128">
        <v>50</v>
      </c>
      <c r="G20" s="128">
        <v>50</v>
      </c>
      <c r="H20" s="2" t="s">
        <v>268</v>
      </c>
    </row>
    <row r="21" spans="1:8">
      <c r="A21" s="2" t="s">
        <v>1752</v>
      </c>
      <c r="C21" s="2">
        <f>VALUE(LEFT(C26,3))</f>
        <v>162</v>
      </c>
      <c r="D21" s="2">
        <f t="shared" ref="D21:G21" si="0">VALUE(LEFT(D26,3))</f>
        <v>170</v>
      </c>
      <c r="E21" s="2">
        <f t="shared" si="0"/>
        <v>175</v>
      </c>
      <c r="F21" s="2">
        <f t="shared" si="0"/>
        <v>180</v>
      </c>
      <c r="G21" s="2">
        <f t="shared" si="0"/>
        <v>185</v>
      </c>
    </row>
    <row r="22" spans="1:8">
      <c r="A22" s="2" t="s">
        <v>1753</v>
      </c>
      <c r="C22" s="2">
        <f>VALUE(MID(C26,7,3))</f>
        <v>170</v>
      </c>
      <c r="D22" s="2">
        <f t="shared" ref="D22:G22" si="1">VALUE(MID(D26,7,3))</f>
        <v>175</v>
      </c>
      <c r="E22" s="2">
        <f t="shared" si="1"/>
        <v>180</v>
      </c>
      <c r="F22" s="2">
        <f t="shared" si="1"/>
        <v>185</v>
      </c>
      <c r="G22" s="2">
        <f t="shared" si="1"/>
        <v>194</v>
      </c>
    </row>
    <row r="25" spans="1:8">
      <c r="A25" s="2" t="s">
        <v>319</v>
      </c>
      <c r="B25" s="127" t="s">
        <v>294</v>
      </c>
      <c r="C25" s="128" t="s">
        <v>295</v>
      </c>
      <c r="D25" s="128" t="s">
        <v>297</v>
      </c>
      <c r="E25" s="128" t="s">
        <v>299</v>
      </c>
      <c r="F25" s="128" t="s">
        <v>301</v>
      </c>
      <c r="G25" s="128" t="s">
        <v>303</v>
      </c>
    </row>
    <row r="26" spans="1:8">
      <c r="A26" s="2" t="s">
        <v>320</v>
      </c>
      <c r="B26" s="127" t="s">
        <v>294</v>
      </c>
      <c r="C26" s="128" t="s">
        <v>296</v>
      </c>
      <c r="D26" s="128" t="s">
        <v>298</v>
      </c>
      <c r="E26" s="128" t="s">
        <v>300</v>
      </c>
      <c r="F26" s="128" t="s">
        <v>302</v>
      </c>
      <c r="G26" s="128" t="s">
        <v>304</v>
      </c>
    </row>
    <row r="27" spans="1:8">
      <c r="A27" s="2" t="s">
        <v>321</v>
      </c>
      <c r="B27" s="127" t="s">
        <v>45</v>
      </c>
      <c r="C27" s="128" t="s">
        <v>305</v>
      </c>
      <c r="D27" s="128" t="s">
        <v>305</v>
      </c>
      <c r="E27" s="128" t="s">
        <v>305</v>
      </c>
      <c r="F27" s="128" t="s">
        <v>305</v>
      </c>
      <c r="G27" s="128" t="s">
        <v>305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869F-1F85-2849-B6B9-68661B21C152}">
  <dimension ref="A1:H66"/>
  <sheetViews>
    <sheetView workbookViewId="0">
      <selection activeCell="B23" sqref="B23"/>
    </sheetView>
  </sheetViews>
  <sheetFormatPr baseColWidth="10" defaultRowHeight="20"/>
  <cols>
    <col min="1" max="1" width="24" style="22" bestFit="1" customWidth="1"/>
    <col min="2" max="2" width="19.33203125" style="22" bestFit="1" customWidth="1"/>
    <col min="3" max="16384" width="10.83203125" style="22"/>
  </cols>
  <sheetData>
    <row r="1" spans="1:8">
      <c r="A1" s="22" t="s">
        <v>72</v>
      </c>
      <c r="B1" s="22" t="s">
        <v>15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</row>
    <row r="2" spans="1:8">
      <c r="A2" s="22" t="s">
        <v>1279</v>
      </c>
      <c r="B2" s="22" t="s">
        <v>1274</v>
      </c>
      <c r="C2" s="22">
        <v>760</v>
      </c>
      <c r="D2" s="22">
        <v>785</v>
      </c>
      <c r="E2" s="22">
        <v>810</v>
      </c>
      <c r="F2" s="22">
        <v>835</v>
      </c>
      <c r="G2" s="22">
        <v>860</v>
      </c>
    </row>
    <row r="3" spans="1:8">
      <c r="A3" s="22" t="s">
        <v>60</v>
      </c>
      <c r="B3" s="22" t="s">
        <v>1275</v>
      </c>
      <c r="C3" s="22">
        <v>470</v>
      </c>
      <c r="D3" s="22">
        <v>495</v>
      </c>
      <c r="E3" s="22">
        <v>520</v>
      </c>
      <c r="F3" s="22">
        <v>545</v>
      </c>
      <c r="G3" s="22">
        <v>570</v>
      </c>
    </row>
    <row r="4" spans="1:8">
      <c r="A4" s="22" t="s">
        <v>73</v>
      </c>
      <c r="B4" s="22" t="s">
        <v>27</v>
      </c>
      <c r="C4" s="22">
        <v>530</v>
      </c>
      <c r="D4" s="22">
        <v>550</v>
      </c>
      <c r="E4" s="22">
        <v>570</v>
      </c>
      <c r="F4" s="22">
        <v>592</v>
      </c>
      <c r="G4" s="22">
        <v>615</v>
      </c>
    </row>
    <row r="5" spans="1:8">
      <c r="A5" s="22" t="s">
        <v>64</v>
      </c>
      <c r="B5" s="22" t="s">
        <v>888</v>
      </c>
      <c r="C5" s="22">
        <v>115</v>
      </c>
      <c r="D5" s="22">
        <v>140</v>
      </c>
      <c r="E5" s="22">
        <v>165</v>
      </c>
      <c r="F5" s="22">
        <v>192</v>
      </c>
      <c r="G5" s="22">
        <v>215</v>
      </c>
    </row>
    <row r="6" spans="1:8">
      <c r="A6" s="22" t="s">
        <v>63</v>
      </c>
      <c r="B6" s="22" t="s">
        <v>30</v>
      </c>
      <c r="C6" s="22">
        <v>74.5</v>
      </c>
      <c r="D6" s="22">
        <v>74</v>
      </c>
      <c r="E6" s="22">
        <v>74</v>
      </c>
      <c r="F6" s="22">
        <v>74</v>
      </c>
      <c r="G6" s="22">
        <v>73.5</v>
      </c>
    </row>
    <row r="7" spans="1:8">
      <c r="A7" s="22" t="s">
        <v>62</v>
      </c>
      <c r="B7" s="22" t="s">
        <v>578</v>
      </c>
      <c r="C7" s="22">
        <v>70.8</v>
      </c>
      <c r="D7" s="22">
        <v>70.8</v>
      </c>
      <c r="E7" s="22">
        <v>70.5</v>
      </c>
      <c r="F7" s="22">
        <v>70.5</v>
      </c>
      <c r="G7" s="22">
        <v>70.5</v>
      </c>
    </row>
    <row r="8" spans="1:8">
      <c r="A8" s="22" t="s">
        <v>66</v>
      </c>
      <c r="B8" s="22" t="s">
        <v>889</v>
      </c>
      <c r="C8" s="22">
        <v>435</v>
      </c>
      <c r="D8" s="22">
        <v>435</v>
      </c>
      <c r="E8" s="22">
        <v>435</v>
      </c>
      <c r="F8" s="22">
        <v>435</v>
      </c>
      <c r="G8" s="22">
        <v>435</v>
      </c>
    </row>
    <row r="9" spans="1:8">
      <c r="A9" s="22" t="s">
        <v>65</v>
      </c>
      <c r="B9" s="22" t="s">
        <v>1276</v>
      </c>
      <c r="C9" s="22">
        <v>75</v>
      </c>
      <c r="D9" s="22">
        <v>75</v>
      </c>
      <c r="E9" s="22">
        <v>75</v>
      </c>
      <c r="F9" s="22">
        <v>75</v>
      </c>
      <c r="G9" s="22">
        <v>75</v>
      </c>
    </row>
    <row r="10" spans="1:8">
      <c r="A10" s="22" t="s">
        <v>56</v>
      </c>
      <c r="B10" s="22" t="s">
        <v>1277</v>
      </c>
      <c r="C10" s="22">
        <v>1024</v>
      </c>
      <c r="D10" s="22">
        <v>1041</v>
      </c>
      <c r="E10" s="22">
        <v>1065</v>
      </c>
      <c r="F10" s="22">
        <v>1088</v>
      </c>
      <c r="G10" s="22">
        <v>1107</v>
      </c>
    </row>
    <row r="11" spans="1:8">
      <c r="A11" s="22" t="s">
        <v>57</v>
      </c>
      <c r="B11" s="22" t="s">
        <v>1278</v>
      </c>
      <c r="C11" s="22">
        <v>791</v>
      </c>
      <c r="D11" s="22">
        <v>814</v>
      </c>
      <c r="E11" s="22">
        <v>836</v>
      </c>
      <c r="F11" s="22">
        <v>862</v>
      </c>
      <c r="G11" s="22">
        <v>884</v>
      </c>
    </row>
    <row r="12" spans="1:8">
      <c r="A12" s="22" t="s">
        <v>54</v>
      </c>
      <c r="B12" s="22" t="s">
        <v>17</v>
      </c>
      <c r="C12" s="22">
        <v>546</v>
      </c>
      <c r="D12" s="22">
        <v>569</v>
      </c>
      <c r="E12" s="22">
        <v>591</v>
      </c>
      <c r="F12" s="22">
        <v>617</v>
      </c>
      <c r="G12" s="22">
        <v>639</v>
      </c>
    </row>
    <row r="13" spans="1:8">
      <c r="A13" s="22" t="s">
        <v>55</v>
      </c>
      <c r="B13" s="22" t="s">
        <v>594</v>
      </c>
      <c r="C13" s="22">
        <v>379</v>
      </c>
      <c r="D13" s="22">
        <v>387</v>
      </c>
      <c r="E13" s="22">
        <v>401</v>
      </c>
      <c r="F13" s="22">
        <v>415</v>
      </c>
      <c r="G13" s="22">
        <v>426</v>
      </c>
    </row>
    <row r="14" spans="1:8">
      <c r="A14" s="22" t="s">
        <v>67</v>
      </c>
      <c r="B14" s="22" t="s">
        <v>67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  <c r="H14" s="22" t="s">
        <v>1280</v>
      </c>
    </row>
    <row r="15" spans="1:8">
      <c r="A15" s="22" t="s">
        <v>69</v>
      </c>
      <c r="B15" s="22" t="s">
        <v>69</v>
      </c>
      <c r="C15" s="22">
        <v>172</v>
      </c>
      <c r="D15" s="22">
        <v>172</v>
      </c>
      <c r="E15" s="22">
        <v>172</v>
      </c>
      <c r="F15" s="22">
        <v>172</v>
      </c>
      <c r="G15" s="22">
        <v>172</v>
      </c>
    </row>
    <row r="16" spans="1:8">
      <c r="A16" s="22" t="s">
        <v>70</v>
      </c>
      <c r="B16" s="22" t="s">
        <v>70</v>
      </c>
      <c r="C16" s="22">
        <v>440</v>
      </c>
      <c r="D16" s="22">
        <v>440</v>
      </c>
      <c r="E16" s="22">
        <v>440</v>
      </c>
      <c r="F16" s="22">
        <v>440</v>
      </c>
      <c r="G16" s="22">
        <v>440</v>
      </c>
    </row>
    <row r="17" spans="1:7">
      <c r="A17" s="22" t="s">
        <v>71</v>
      </c>
      <c r="B17" s="22" t="s">
        <v>71</v>
      </c>
      <c r="C17" s="22">
        <v>90</v>
      </c>
      <c r="D17" s="22">
        <v>90</v>
      </c>
      <c r="E17" s="22">
        <v>90</v>
      </c>
      <c r="F17" s="22">
        <v>90</v>
      </c>
      <c r="G17" s="22">
        <v>90</v>
      </c>
    </row>
    <row r="18" spans="1:7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7">
      <c r="A19" s="22" t="s">
        <v>139</v>
      </c>
      <c r="B19" s="22" t="s">
        <v>139</v>
      </c>
      <c r="C19" s="22">
        <v>44</v>
      </c>
      <c r="D19" s="22">
        <v>44</v>
      </c>
      <c r="E19" s="22">
        <v>44</v>
      </c>
      <c r="F19" s="22">
        <v>44</v>
      </c>
      <c r="G19" s="22">
        <v>44</v>
      </c>
    </row>
    <row r="20" spans="1:7">
      <c r="A20" s="22" t="s">
        <v>140</v>
      </c>
      <c r="B20" s="22" t="s">
        <v>140</v>
      </c>
      <c r="C20" s="22">
        <v>53</v>
      </c>
      <c r="D20" s="22">
        <v>53</v>
      </c>
      <c r="E20" s="22">
        <v>53</v>
      </c>
      <c r="F20" s="22">
        <v>53</v>
      </c>
      <c r="G20" s="22">
        <v>53</v>
      </c>
    </row>
    <row r="21" spans="1:7">
      <c r="A21" s="22" t="s">
        <v>1752</v>
      </c>
      <c r="B21" s="22" t="s">
        <v>1752</v>
      </c>
      <c r="C21" s="22">
        <v>165</v>
      </c>
      <c r="D21" s="22">
        <v>172</v>
      </c>
      <c r="E21" s="22">
        <v>176</v>
      </c>
      <c r="F21" s="22">
        <v>185</v>
      </c>
      <c r="G21" s="22">
        <v>193</v>
      </c>
    </row>
    <row r="22" spans="1:7">
      <c r="A22" s="22" t="s">
        <v>1753</v>
      </c>
      <c r="B22" s="22" t="s">
        <v>1753</v>
      </c>
      <c r="C22" s="22">
        <v>172</v>
      </c>
      <c r="D22" s="22">
        <v>176</v>
      </c>
      <c r="E22" s="22">
        <v>185</v>
      </c>
      <c r="F22" s="22">
        <v>193</v>
      </c>
      <c r="G22" s="22">
        <v>196</v>
      </c>
    </row>
    <row r="25" spans="1:7">
      <c r="B25" s="130" t="s">
        <v>2671</v>
      </c>
      <c r="C25" s="130" t="s">
        <v>2672</v>
      </c>
    </row>
    <row r="26" spans="1:7">
      <c r="B26" s="22">
        <v>156</v>
      </c>
      <c r="C26" s="22">
        <f>B26-(176-82)</f>
        <v>62</v>
      </c>
    </row>
    <row r="27" spans="1:7">
      <c r="B27" s="22">
        <v>157</v>
      </c>
      <c r="C27" s="22">
        <f t="shared" ref="C27:C34" si="0">B27-(176-82)</f>
        <v>63</v>
      </c>
    </row>
    <row r="28" spans="1:7">
      <c r="B28" s="22">
        <v>158</v>
      </c>
      <c r="C28" s="22">
        <f t="shared" si="0"/>
        <v>64</v>
      </c>
    </row>
    <row r="29" spans="1:7">
      <c r="B29" s="22">
        <v>159</v>
      </c>
      <c r="C29" s="22">
        <f t="shared" si="0"/>
        <v>65</v>
      </c>
    </row>
    <row r="30" spans="1:7">
      <c r="B30" s="22">
        <v>160</v>
      </c>
      <c r="C30" s="22">
        <f t="shared" si="0"/>
        <v>66</v>
      </c>
    </row>
    <row r="31" spans="1:7">
      <c r="B31" s="22">
        <v>161</v>
      </c>
      <c r="C31" s="22">
        <f t="shared" si="0"/>
        <v>67</v>
      </c>
    </row>
    <row r="32" spans="1:7">
      <c r="B32" s="22">
        <v>162</v>
      </c>
      <c r="C32" s="22">
        <f t="shared" si="0"/>
        <v>68</v>
      </c>
    </row>
    <row r="33" spans="1:4">
      <c r="B33" s="22">
        <v>163</v>
      </c>
      <c r="C33" s="22">
        <f t="shared" si="0"/>
        <v>69</v>
      </c>
    </row>
    <row r="34" spans="1:4">
      <c r="B34" s="22">
        <v>164</v>
      </c>
      <c r="C34" s="22">
        <f t="shared" si="0"/>
        <v>70</v>
      </c>
    </row>
    <row r="35" spans="1:4">
      <c r="A35" s="22">
        <f>B35/2.54</f>
        <v>64.960629921259837</v>
      </c>
      <c r="B35" s="22">
        <v>165</v>
      </c>
      <c r="C35" s="22">
        <f>72+(1-(196-B35)/(196-165))*(90-72)</f>
        <v>72</v>
      </c>
      <c r="D35" s="22" t="s">
        <v>2673</v>
      </c>
    </row>
    <row r="36" spans="1:4">
      <c r="B36" s="22">
        <v>166</v>
      </c>
      <c r="C36" s="22">
        <f t="shared" ref="C36:C66" si="1">72+(1-(196-B36)/(196-165))*(90-72)</f>
        <v>72.58064516129032</v>
      </c>
      <c r="D36" s="22" t="s">
        <v>16</v>
      </c>
    </row>
    <row r="37" spans="1:4">
      <c r="B37" s="22">
        <v>167</v>
      </c>
      <c r="C37" s="22">
        <f t="shared" si="1"/>
        <v>73.161290322580641</v>
      </c>
      <c r="D37" s="22" t="s">
        <v>16</v>
      </c>
    </row>
    <row r="38" spans="1:4">
      <c r="B38" s="22">
        <v>168</v>
      </c>
      <c r="C38" s="22">
        <f t="shared" si="1"/>
        <v>73.741935483870975</v>
      </c>
      <c r="D38" s="22" t="s">
        <v>16</v>
      </c>
    </row>
    <row r="39" spans="1:4">
      <c r="B39" s="22">
        <v>169</v>
      </c>
      <c r="C39" s="22">
        <f t="shared" si="1"/>
        <v>74.322580645161295</v>
      </c>
      <c r="D39" s="22" t="s">
        <v>16</v>
      </c>
    </row>
    <row r="40" spans="1:4">
      <c r="B40" s="22">
        <v>170</v>
      </c>
      <c r="C40" s="22">
        <f t="shared" si="1"/>
        <v>74.903225806451616</v>
      </c>
      <c r="D40" s="22" t="s">
        <v>16</v>
      </c>
    </row>
    <row r="41" spans="1:4">
      <c r="B41" s="22">
        <v>171</v>
      </c>
      <c r="C41" s="22">
        <f t="shared" si="1"/>
        <v>75.483870967741936</v>
      </c>
    </row>
    <row r="42" spans="1:4">
      <c r="B42" s="22">
        <v>172</v>
      </c>
      <c r="C42" s="22">
        <f t="shared" si="1"/>
        <v>76.064516129032256</v>
      </c>
      <c r="D42" s="22" t="s">
        <v>16</v>
      </c>
    </row>
    <row r="43" spans="1:4">
      <c r="B43" s="22">
        <v>173</v>
      </c>
      <c r="C43" s="22">
        <f t="shared" si="1"/>
        <v>76.645161290322577</v>
      </c>
      <c r="D43" s="22" t="s">
        <v>17</v>
      </c>
    </row>
    <row r="44" spans="1:4">
      <c r="B44" s="22">
        <v>174</v>
      </c>
      <c r="C44" s="22">
        <f t="shared" si="1"/>
        <v>77.225806451612897</v>
      </c>
    </row>
    <row r="45" spans="1:4">
      <c r="B45" s="22">
        <v>175</v>
      </c>
      <c r="C45" s="22">
        <f t="shared" si="1"/>
        <v>77.806451612903231</v>
      </c>
      <c r="D45" s="22" t="s">
        <v>17</v>
      </c>
    </row>
    <row r="46" spans="1:4">
      <c r="B46" s="22">
        <v>176</v>
      </c>
      <c r="C46" s="22">
        <f t="shared" si="1"/>
        <v>78.387096774193552</v>
      </c>
      <c r="D46" s="22" t="s">
        <v>18</v>
      </c>
    </row>
    <row r="47" spans="1:4">
      <c r="B47" s="22">
        <v>177</v>
      </c>
      <c r="C47" s="22">
        <f t="shared" si="1"/>
        <v>78.967741935483872</v>
      </c>
    </row>
    <row r="48" spans="1:4">
      <c r="B48" s="22">
        <v>178</v>
      </c>
      <c r="C48" s="22">
        <f t="shared" si="1"/>
        <v>79.548387096774192</v>
      </c>
    </row>
    <row r="49" spans="2:4">
      <c r="B49" s="22">
        <v>179</v>
      </c>
      <c r="C49" s="22">
        <f t="shared" si="1"/>
        <v>80.129032258064512</v>
      </c>
      <c r="D49" s="22" t="s">
        <v>18</v>
      </c>
    </row>
    <row r="50" spans="2:4">
      <c r="B50" s="22">
        <v>180</v>
      </c>
      <c r="C50" s="22">
        <f t="shared" si="1"/>
        <v>80.709677419354847</v>
      </c>
      <c r="D50" s="22" t="s">
        <v>18</v>
      </c>
    </row>
    <row r="51" spans="2:4">
      <c r="B51" s="22">
        <v>181</v>
      </c>
      <c r="C51" s="22">
        <f t="shared" si="1"/>
        <v>81.290322580645153</v>
      </c>
    </row>
    <row r="52" spans="2:4">
      <c r="B52" s="22">
        <v>182</v>
      </c>
      <c r="C52" s="22">
        <f t="shared" si="1"/>
        <v>81.870967741935488</v>
      </c>
    </row>
    <row r="53" spans="2:4">
      <c r="B53" s="22">
        <v>183</v>
      </c>
      <c r="C53" s="22">
        <f t="shared" si="1"/>
        <v>82.451612903225808</v>
      </c>
    </row>
    <row r="54" spans="2:4">
      <c r="B54" s="22">
        <v>184</v>
      </c>
      <c r="C54" s="22">
        <f t="shared" si="1"/>
        <v>83.032258064516128</v>
      </c>
      <c r="D54" s="22" t="s">
        <v>18</v>
      </c>
    </row>
    <row r="55" spans="2:4">
      <c r="B55" s="22">
        <v>185</v>
      </c>
      <c r="C55" s="22">
        <f t="shared" si="1"/>
        <v>83.612903225806448</v>
      </c>
      <c r="D55" s="22" t="s">
        <v>18</v>
      </c>
    </row>
    <row r="56" spans="2:4">
      <c r="B56" s="22">
        <v>186</v>
      </c>
      <c r="C56" s="22">
        <f t="shared" si="1"/>
        <v>84.193548387096769</v>
      </c>
      <c r="D56" s="22" t="s">
        <v>19</v>
      </c>
    </row>
    <row r="57" spans="2:4">
      <c r="B57" s="22">
        <v>187</v>
      </c>
      <c r="C57" s="22">
        <f t="shared" si="1"/>
        <v>84.774193548387103</v>
      </c>
    </row>
    <row r="58" spans="2:4">
      <c r="B58" s="22">
        <v>188</v>
      </c>
      <c r="C58" s="22">
        <f t="shared" si="1"/>
        <v>85.354838709677423</v>
      </c>
      <c r="D58" s="22" t="s">
        <v>19</v>
      </c>
    </row>
    <row r="59" spans="2:4">
      <c r="B59" s="22">
        <v>189</v>
      </c>
      <c r="C59" s="22">
        <f t="shared" si="1"/>
        <v>85.935483870967744</v>
      </c>
      <c r="D59" s="22" t="s">
        <v>19</v>
      </c>
    </row>
    <row r="60" spans="2:4">
      <c r="B60" s="22">
        <v>190</v>
      </c>
      <c r="C60" s="22">
        <f t="shared" si="1"/>
        <v>86.516129032258064</v>
      </c>
      <c r="D60" s="22" t="s">
        <v>19</v>
      </c>
    </row>
    <row r="61" spans="2:4">
      <c r="B61" s="22">
        <v>191</v>
      </c>
      <c r="C61" s="22">
        <f t="shared" si="1"/>
        <v>87.096774193548384</v>
      </c>
      <c r="D61" s="22" t="s">
        <v>19</v>
      </c>
    </row>
    <row r="62" spans="2:4">
      <c r="B62" s="22">
        <v>192</v>
      </c>
      <c r="C62" s="22">
        <f t="shared" si="1"/>
        <v>87.677419354838705</v>
      </c>
    </row>
    <row r="63" spans="2:4">
      <c r="B63" s="22">
        <v>193</v>
      </c>
      <c r="C63" s="22">
        <f t="shared" si="1"/>
        <v>88.258064516129025</v>
      </c>
      <c r="D63" s="22" t="s">
        <v>19</v>
      </c>
    </row>
    <row r="64" spans="2:4">
      <c r="B64" s="22">
        <v>194</v>
      </c>
      <c r="C64" s="22">
        <f t="shared" si="1"/>
        <v>88.838709677419359</v>
      </c>
      <c r="D64" s="22" t="s">
        <v>20</v>
      </c>
    </row>
    <row r="65" spans="2:4">
      <c r="B65" s="22">
        <v>195</v>
      </c>
      <c r="C65" s="22">
        <f t="shared" si="1"/>
        <v>89.41935483870968</v>
      </c>
    </row>
    <row r="66" spans="2:4">
      <c r="B66" s="22">
        <v>196</v>
      </c>
      <c r="C66" s="22">
        <f t="shared" si="1"/>
        <v>90</v>
      </c>
      <c r="D66" s="22" t="s">
        <v>20</v>
      </c>
    </row>
  </sheetData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4928-6596-2941-8F5C-4D83C3C11344}">
  <dimension ref="A1:G70"/>
  <sheetViews>
    <sheetView topLeftCell="A5" workbookViewId="0">
      <selection activeCell="K23" sqref="K23"/>
    </sheetView>
  </sheetViews>
  <sheetFormatPr baseColWidth="10" defaultRowHeight="20"/>
  <cols>
    <col min="1" max="1" width="26.83203125" style="22" bestFit="1" customWidth="1"/>
    <col min="2" max="2" width="20.1640625" style="22" bestFit="1" customWidth="1"/>
    <col min="3" max="7" width="10.83203125" style="22" customWidth="1"/>
    <col min="8" max="16384" width="10.83203125" style="22"/>
  </cols>
  <sheetData>
    <row r="1" spans="1:7" ht="23" customHeight="1">
      <c r="A1" s="22" t="s">
        <v>72</v>
      </c>
      <c r="B1" s="27" t="s">
        <v>373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</row>
    <row r="2" spans="1:7" ht="23" customHeight="1">
      <c r="A2" s="22" t="s">
        <v>73</v>
      </c>
      <c r="B2" s="22" t="s">
        <v>374</v>
      </c>
      <c r="C2" s="22">
        <v>525.9</v>
      </c>
      <c r="D2" s="22">
        <v>540.6</v>
      </c>
      <c r="E2" s="22">
        <v>556.5</v>
      </c>
      <c r="F2" s="22">
        <v>569.79999999999995</v>
      </c>
      <c r="G2" s="22">
        <v>580.6</v>
      </c>
    </row>
    <row r="3" spans="1:7" ht="23" customHeight="1">
      <c r="A3" s="22" t="s">
        <v>400</v>
      </c>
      <c r="B3" s="22" t="s">
        <v>375</v>
      </c>
      <c r="C3" s="22">
        <v>509.8</v>
      </c>
      <c r="D3" s="22">
        <v>523.70000000000005</v>
      </c>
      <c r="E3" s="22">
        <v>538.5</v>
      </c>
      <c r="F3" s="22">
        <v>551.9</v>
      </c>
      <c r="G3" s="22">
        <v>563.4</v>
      </c>
    </row>
    <row r="4" spans="1:7" ht="23" customHeight="1">
      <c r="A4" s="22" t="s">
        <v>60</v>
      </c>
      <c r="B4" s="22" t="s">
        <v>376</v>
      </c>
      <c r="C4" s="22">
        <v>440</v>
      </c>
      <c r="D4" s="22">
        <v>465</v>
      </c>
      <c r="E4" s="22">
        <v>490</v>
      </c>
      <c r="F4" s="22">
        <v>515</v>
      </c>
      <c r="G4" s="22">
        <v>540</v>
      </c>
    </row>
    <row r="5" spans="1:7" ht="23" customHeight="1">
      <c r="A5" s="22" t="s">
        <v>63</v>
      </c>
      <c r="B5" s="22" t="s">
        <v>377</v>
      </c>
      <c r="C5" s="22">
        <v>74</v>
      </c>
      <c r="D5" s="22">
        <v>73.5</v>
      </c>
      <c r="E5" s="22">
        <v>73</v>
      </c>
      <c r="F5" s="22">
        <v>73</v>
      </c>
      <c r="G5" s="22">
        <v>73</v>
      </c>
    </row>
    <row r="6" spans="1:7" ht="23" customHeight="1">
      <c r="A6" s="22" t="s">
        <v>64</v>
      </c>
      <c r="B6" s="22" t="s">
        <v>378</v>
      </c>
      <c r="C6" s="22">
        <v>115</v>
      </c>
      <c r="D6" s="22">
        <v>130</v>
      </c>
      <c r="E6" s="22">
        <v>150</v>
      </c>
      <c r="F6" s="22">
        <v>170</v>
      </c>
      <c r="G6" s="22">
        <v>190</v>
      </c>
    </row>
    <row r="7" spans="1:7" ht="23" customHeight="1">
      <c r="A7" s="22" t="s">
        <v>62</v>
      </c>
      <c r="B7" s="22" t="s">
        <v>379</v>
      </c>
      <c r="C7" s="22">
        <v>69.5</v>
      </c>
      <c r="D7" s="22">
        <v>70</v>
      </c>
      <c r="E7" s="22">
        <v>70.5</v>
      </c>
      <c r="F7" s="22">
        <v>71</v>
      </c>
      <c r="G7" s="22">
        <v>71</v>
      </c>
    </row>
    <row r="8" spans="1:7" ht="23" customHeight="1">
      <c r="A8" s="22" t="s">
        <v>65</v>
      </c>
      <c r="B8" s="22" t="s">
        <v>380</v>
      </c>
      <c r="C8" s="22">
        <v>70</v>
      </c>
      <c r="D8" s="22">
        <v>70</v>
      </c>
      <c r="E8" s="22">
        <v>68</v>
      </c>
      <c r="F8" s="22">
        <v>68</v>
      </c>
      <c r="G8" s="22">
        <v>68</v>
      </c>
    </row>
    <row r="9" spans="1:7" ht="23" customHeight="1">
      <c r="A9" s="22" t="s">
        <v>66</v>
      </c>
      <c r="B9" s="22" t="s">
        <v>381</v>
      </c>
      <c r="C9" s="22">
        <v>453</v>
      </c>
      <c r="D9" s="22">
        <v>453</v>
      </c>
      <c r="E9" s="22">
        <v>453</v>
      </c>
      <c r="F9" s="22">
        <v>453</v>
      </c>
      <c r="G9" s="22">
        <v>453</v>
      </c>
    </row>
    <row r="10" spans="1:7" ht="23" customHeight="1">
      <c r="A10" s="22" t="s">
        <v>56</v>
      </c>
      <c r="B10" s="22" t="s">
        <v>382</v>
      </c>
      <c r="C10" s="22">
        <v>1046.5</v>
      </c>
      <c r="D10" s="22">
        <v>1052.5999999999999</v>
      </c>
      <c r="E10" s="22">
        <v>1060.4000000000001</v>
      </c>
      <c r="F10" s="22">
        <v>1069.5999999999999</v>
      </c>
      <c r="G10" s="22">
        <v>1081.0999999999999</v>
      </c>
    </row>
    <row r="11" spans="1:7" ht="23" customHeight="1">
      <c r="A11" s="22" t="s">
        <v>57</v>
      </c>
      <c r="B11" s="22" t="s">
        <v>383</v>
      </c>
      <c r="C11" s="22">
        <v>753.5</v>
      </c>
      <c r="D11" s="22">
        <v>772.8</v>
      </c>
      <c r="E11" s="22">
        <v>795.5</v>
      </c>
      <c r="F11" s="22">
        <v>817.8</v>
      </c>
      <c r="G11" s="22">
        <v>839.1</v>
      </c>
    </row>
    <row r="12" spans="1:7" ht="23" customHeight="1">
      <c r="A12" s="22" t="s">
        <v>54</v>
      </c>
      <c r="B12" s="22" t="s">
        <v>384</v>
      </c>
      <c r="C12" s="22">
        <v>531.70000000000005</v>
      </c>
      <c r="D12" s="22">
        <v>547.70000000000005</v>
      </c>
      <c r="E12" s="22">
        <v>566.5</v>
      </c>
      <c r="F12" s="22">
        <v>587.4</v>
      </c>
      <c r="G12" s="22">
        <v>606.29999999999995</v>
      </c>
    </row>
    <row r="13" spans="1:7" ht="23" customHeight="1">
      <c r="A13" s="22" t="s">
        <v>55</v>
      </c>
      <c r="B13" s="22" t="s">
        <v>385</v>
      </c>
      <c r="C13" s="22">
        <v>373</v>
      </c>
      <c r="D13" s="22">
        <v>378</v>
      </c>
      <c r="E13" s="22">
        <v>383</v>
      </c>
      <c r="F13" s="22">
        <v>390</v>
      </c>
      <c r="G13" s="22">
        <v>395</v>
      </c>
    </row>
    <row r="14" spans="1:7" ht="23" customHeight="1">
      <c r="A14" s="22" t="s">
        <v>67</v>
      </c>
      <c r="B14" s="22" t="s">
        <v>386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</row>
    <row r="15" spans="1:7" ht="23" customHeight="1">
      <c r="A15" s="22" t="s">
        <v>399</v>
      </c>
      <c r="B15" s="22" t="s">
        <v>387</v>
      </c>
      <c r="C15" s="22">
        <v>390</v>
      </c>
      <c r="D15" s="22">
        <v>390</v>
      </c>
      <c r="E15" s="22">
        <v>390</v>
      </c>
      <c r="F15" s="22">
        <v>390</v>
      </c>
      <c r="G15" s="22">
        <v>390</v>
      </c>
    </row>
    <row r="16" spans="1:7" ht="23" customHeight="1">
      <c r="A16" s="22" t="s">
        <v>136</v>
      </c>
      <c r="B16" s="22" t="s">
        <v>388</v>
      </c>
      <c r="C16" s="22">
        <v>393</v>
      </c>
      <c r="D16" s="22">
        <v>393</v>
      </c>
      <c r="E16" s="22">
        <v>393</v>
      </c>
      <c r="F16" s="22">
        <v>393</v>
      </c>
      <c r="G16" s="22">
        <v>393</v>
      </c>
    </row>
    <row r="17" spans="1:7" ht="23" customHeight="1">
      <c r="A17" s="22" t="s">
        <v>69</v>
      </c>
      <c r="B17" s="22" t="s">
        <v>69</v>
      </c>
    </row>
    <row r="18" spans="1:7" ht="23" customHeight="1">
      <c r="A18" s="22" t="s">
        <v>70</v>
      </c>
      <c r="B18" s="22" t="s">
        <v>70</v>
      </c>
    </row>
    <row r="19" spans="1:7" ht="23" customHeight="1">
      <c r="A19" s="22" t="s">
        <v>71</v>
      </c>
      <c r="B19" s="22" t="s">
        <v>71</v>
      </c>
    </row>
    <row r="20" spans="1:7" ht="23" customHeight="1">
      <c r="A20" s="22" t="s">
        <v>68</v>
      </c>
      <c r="B20" s="22" t="s">
        <v>68</v>
      </c>
      <c r="C20" s="22">
        <v>650</v>
      </c>
      <c r="D20" s="22">
        <v>650</v>
      </c>
      <c r="E20" s="22">
        <v>650</v>
      </c>
      <c r="F20" s="22">
        <v>650</v>
      </c>
      <c r="G20" s="22">
        <v>650</v>
      </c>
    </row>
    <row r="21" spans="1:7" ht="23" customHeight="1">
      <c r="A21" s="22" t="s">
        <v>139</v>
      </c>
      <c r="B21" s="22" t="s">
        <v>139</v>
      </c>
      <c r="C21" s="22">
        <f>2.1*2.54*10</f>
        <v>53.34</v>
      </c>
      <c r="D21" s="22">
        <f t="shared" ref="D21:G21" si="0">2.1*2.54*10</f>
        <v>53.34</v>
      </c>
      <c r="E21" s="22">
        <f t="shared" si="0"/>
        <v>53.34</v>
      </c>
      <c r="F21" s="22">
        <f t="shared" si="0"/>
        <v>53.34</v>
      </c>
      <c r="G21" s="22">
        <f t="shared" si="0"/>
        <v>53.34</v>
      </c>
    </row>
    <row r="22" spans="1:7" ht="23" customHeight="1">
      <c r="A22" s="22" t="s">
        <v>140</v>
      </c>
      <c r="B22" s="22" t="s">
        <v>140</v>
      </c>
    </row>
    <row r="23" spans="1:7" ht="23" customHeight="1">
      <c r="A23" s="22" t="s">
        <v>1752</v>
      </c>
      <c r="B23" s="22" t="s">
        <v>1752</v>
      </c>
      <c r="C23" s="22">
        <f>C25*2.54</f>
        <v>154.94</v>
      </c>
      <c r="D23" s="22">
        <f>C24</f>
        <v>161.29</v>
      </c>
      <c r="E23" s="22">
        <f>D24</f>
        <v>171.45</v>
      </c>
      <c r="F23" s="22">
        <f t="shared" ref="F23:G23" si="1">E24</f>
        <v>177.8</v>
      </c>
      <c r="G23" s="22">
        <f t="shared" si="1"/>
        <v>185.42000000000002</v>
      </c>
    </row>
    <row r="24" spans="1:7" ht="23" customHeight="1">
      <c r="A24" s="22" t="s">
        <v>1753</v>
      </c>
      <c r="B24" s="22" t="s">
        <v>1753</v>
      </c>
      <c r="C24" s="22">
        <f>AVERAGE(C26,D25)*2.54</f>
        <v>161.29</v>
      </c>
      <c r="D24" s="22">
        <f t="shared" ref="D24:G24" si="2">AVERAGE(D26,E25)*2.54</f>
        <v>171.45</v>
      </c>
      <c r="E24" s="22">
        <f t="shared" si="2"/>
        <v>177.8</v>
      </c>
      <c r="F24" s="22">
        <f t="shared" si="2"/>
        <v>185.42000000000002</v>
      </c>
      <c r="G24" s="22">
        <f t="shared" si="2"/>
        <v>190.5</v>
      </c>
    </row>
    <row r="25" spans="1:7">
      <c r="C25" s="22">
        <v>61</v>
      </c>
      <c r="D25" s="22">
        <v>63</v>
      </c>
      <c r="E25" s="22">
        <v>67</v>
      </c>
      <c r="F25" s="22">
        <v>70</v>
      </c>
      <c r="G25" s="22">
        <v>73</v>
      </c>
    </row>
    <row r="26" spans="1:7">
      <c r="C26" s="22">
        <v>64</v>
      </c>
      <c r="D26" s="22">
        <v>68</v>
      </c>
      <c r="E26" s="22">
        <v>70</v>
      </c>
      <c r="F26" s="22">
        <v>73</v>
      </c>
      <c r="G26" s="22">
        <v>75</v>
      </c>
    </row>
    <row r="27" spans="1:7">
      <c r="B27" s="126" t="s">
        <v>2621</v>
      </c>
    </row>
    <row r="28" spans="1:7">
      <c r="B28" s="22" t="s">
        <v>2622</v>
      </c>
      <c r="D28" s="121" t="s">
        <v>389</v>
      </c>
    </row>
    <row r="30" spans="1:7">
      <c r="D30" s="121" t="s">
        <v>390</v>
      </c>
    </row>
    <row r="41" spans="4:4">
      <c r="D41" s="121"/>
    </row>
    <row r="53" spans="4:4">
      <c r="D53" s="121" t="s">
        <v>398</v>
      </c>
    </row>
    <row r="64" spans="4:4">
      <c r="D64" s="121" t="s">
        <v>391</v>
      </c>
    </row>
    <row r="66" spans="4:4">
      <c r="D66" s="121" t="s">
        <v>392</v>
      </c>
    </row>
    <row r="68" spans="4:4">
      <c r="D68" s="121" t="s">
        <v>393</v>
      </c>
    </row>
    <row r="70" spans="4:4">
      <c r="D70" s="121" t="s">
        <v>394</v>
      </c>
    </row>
  </sheetData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70DC-DAFD-0D4C-9A5F-3A418AA052E0}">
  <dimension ref="A1:O51"/>
  <sheetViews>
    <sheetView workbookViewId="0">
      <selection activeCell="B31" sqref="B31"/>
    </sheetView>
  </sheetViews>
  <sheetFormatPr baseColWidth="10" defaultRowHeight="20"/>
  <cols>
    <col min="1" max="1" width="29" style="22" customWidth="1"/>
    <col min="2" max="2" width="54.83203125" style="22" customWidth="1"/>
    <col min="3" max="8" width="10.83203125" style="22"/>
    <col min="9" max="9" width="36.5" style="22" customWidth="1"/>
    <col min="10" max="16384" width="10.83203125" style="22"/>
  </cols>
  <sheetData>
    <row r="1" spans="1:15">
      <c r="A1" s="22" t="s">
        <v>2412</v>
      </c>
      <c r="B1" s="22" t="s">
        <v>2810</v>
      </c>
    </row>
    <row r="2" spans="1:15">
      <c r="A2" s="22" t="s">
        <v>2423</v>
      </c>
      <c r="B2" s="22">
        <v>2024</v>
      </c>
    </row>
    <row r="3" spans="1:15">
      <c r="A3" s="22" t="s">
        <v>2424</v>
      </c>
      <c r="B3" s="114">
        <v>45451</v>
      </c>
    </row>
    <row r="4" spans="1:15">
      <c r="A4" s="22" t="s">
        <v>2414</v>
      </c>
      <c r="B4" s="144" t="s">
        <v>2807</v>
      </c>
    </row>
    <row r="5" spans="1:15">
      <c r="A5" s="22" t="s">
        <v>2415</v>
      </c>
      <c r="B5" s="22" t="s">
        <v>2474</v>
      </c>
    </row>
    <row r="6" spans="1:15">
      <c r="A6" s="22" t="s">
        <v>72</v>
      </c>
      <c r="B6" s="22" t="str">
        <f t="shared" ref="B6:H21" si="0">I6</f>
        <v>Size</v>
      </c>
      <c r="C6" s="22" t="str">
        <f t="shared" si="0"/>
        <v>49 cm</v>
      </c>
      <c r="D6" s="22" t="str">
        <f t="shared" si="0"/>
        <v>52 cm</v>
      </c>
      <c r="E6" s="22" t="str">
        <f t="shared" si="0"/>
        <v>54 cm</v>
      </c>
      <c r="F6" s="22" t="str">
        <f t="shared" si="0"/>
        <v>56 cm</v>
      </c>
      <c r="G6" s="22" t="str">
        <f t="shared" si="0"/>
        <v>58 cm</v>
      </c>
      <c r="H6" s="22" t="str">
        <f t="shared" si="0"/>
        <v>61 cm</v>
      </c>
      <c r="I6" s="142" t="s">
        <v>141</v>
      </c>
      <c r="J6" s="142" t="s">
        <v>285</v>
      </c>
      <c r="K6" s="142" t="s">
        <v>287</v>
      </c>
      <c r="L6" s="142" t="s">
        <v>288</v>
      </c>
      <c r="M6" s="142" t="s">
        <v>289</v>
      </c>
      <c r="N6" s="142" t="s">
        <v>290</v>
      </c>
      <c r="O6" s="142" t="s">
        <v>291</v>
      </c>
    </row>
    <row r="7" spans="1:15" ht="22">
      <c r="A7" s="22" t="s">
        <v>2811</v>
      </c>
      <c r="B7" s="22" t="str">
        <f t="shared" si="0"/>
        <v>Virtual Seat Tube (C-T)</v>
      </c>
      <c r="C7" s="22">
        <f t="shared" si="0"/>
        <v>490</v>
      </c>
      <c r="D7" s="22">
        <f t="shared" si="0"/>
        <v>520</v>
      </c>
      <c r="E7" s="22">
        <f t="shared" si="0"/>
        <v>540</v>
      </c>
      <c r="F7" s="22">
        <f t="shared" si="0"/>
        <v>560</v>
      </c>
      <c r="G7" s="22">
        <f t="shared" si="0"/>
        <v>580</v>
      </c>
      <c r="H7" s="22">
        <f t="shared" si="0"/>
        <v>610</v>
      </c>
      <c r="I7" s="143" t="s">
        <v>2800</v>
      </c>
      <c r="J7" s="143">
        <v>490</v>
      </c>
      <c r="K7" s="143">
        <v>520</v>
      </c>
      <c r="L7" s="143">
        <v>540</v>
      </c>
      <c r="M7" s="143">
        <v>560</v>
      </c>
      <c r="N7" s="143">
        <v>580</v>
      </c>
      <c r="O7" s="143">
        <v>610</v>
      </c>
    </row>
    <row r="8" spans="1:15" ht="22">
      <c r="A8" s="22" t="s">
        <v>60</v>
      </c>
      <c r="B8" s="22" t="str">
        <f t="shared" si="0"/>
        <v>Seat Tube (C-T)</v>
      </c>
      <c r="C8" s="22">
        <f t="shared" si="0"/>
        <v>445</v>
      </c>
      <c r="D8" s="22">
        <f t="shared" si="0"/>
        <v>488</v>
      </c>
      <c r="E8" s="22">
        <f t="shared" si="0"/>
        <v>508</v>
      </c>
      <c r="F8" s="22">
        <f t="shared" si="0"/>
        <v>528</v>
      </c>
      <c r="G8" s="22">
        <f t="shared" si="0"/>
        <v>548</v>
      </c>
      <c r="H8" s="22">
        <f t="shared" si="0"/>
        <v>578</v>
      </c>
      <c r="I8" s="143" t="s">
        <v>2801</v>
      </c>
      <c r="J8" s="143">
        <v>445</v>
      </c>
      <c r="K8" s="143">
        <v>488</v>
      </c>
      <c r="L8" s="143">
        <v>508</v>
      </c>
      <c r="M8" s="143">
        <v>528</v>
      </c>
      <c r="N8" s="143">
        <v>548</v>
      </c>
      <c r="O8" s="143">
        <v>578</v>
      </c>
    </row>
    <row r="9" spans="1:15" ht="22">
      <c r="A9" s="22" t="s">
        <v>73</v>
      </c>
      <c r="B9" s="22" t="str">
        <f t="shared" si="0"/>
        <v>Top Tube (effective)</v>
      </c>
      <c r="C9" s="22">
        <f>VALUE(LEFT(J9,3))</f>
        <v>520</v>
      </c>
      <c r="D9" s="22">
        <f t="shared" ref="D9:H9" si="1">VALUE(LEFT(K9,3))</f>
        <v>535</v>
      </c>
      <c r="E9" s="22">
        <f t="shared" si="1"/>
        <v>545</v>
      </c>
      <c r="F9" s="22">
        <f t="shared" si="1"/>
        <v>560</v>
      </c>
      <c r="G9" s="22">
        <f t="shared" si="1"/>
        <v>580</v>
      </c>
      <c r="H9" s="22">
        <f t="shared" si="1"/>
        <v>605</v>
      </c>
      <c r="I9" s="143" t="s">
        <v>2802</v>
      </c>
      <c r="J9" s="143">
        <v>520</v>
      </c>
      <c r="K9" s="143">
        <v>535</v>
      </c>
      <c r="L9" s="143">
        <v>545</v>
      </c>
      <c r="M9" s="143">
        <v>560</v>
      </c>
      <c r="N9" s="143">
        <v>580</v>
      </c>
      <c r="O9" s="143">
        <v>605</v>
      </c>
    </row>
    <row r="10" spans="1:15" ht="22">
      <c r="A10" s="22" t="s">
        <v>66</v>
      </c>
      <c r="B10" s="22" t="str">
        <f t="shared" si="0"/>
        <v>Chain Stay (actual)</v>
      </c>
      <c r="C10" s="22">
        <f t="shared" si="0"/>
        <v>425</v>
      </c>
      <c r="D10" s="22">
        <f t="shared" si="0"/>
        <v>425</v>
      </c>
      <c r="E10" s="22">
        <f t="shared" si="0"/>
        <v>425</v>
      </c>
      <c r="F10" s="22">
        <f t="shared" si="0"/>
        <v>425</v>
      </c>
      <c r="G10" s="22">
        <f t="shared" si="0"/>
        <v>425</v>
      </c>
      <c r="H10" s="22">
        <f t="shared" si="0"/>
        <v>425</v>
      </c>
      <c r="I10" s="143" t="s">
        <v>2803</v>
      </c>
      <c r="J10" s="143">
        <v>425</v>
      </c>
      <c r="K10" s="143">
        <v>425</v>
      </c>
      <c r="L10" s="143">
        <v>425</v>
      </c>
      <c r="M10" s="143">
        <v>425</v>
      </c>
      <c r="N10" s="143">
        <v>425</v>
      </c>
      <c r="O10" s="143">
        <v>425</v>
      </c>
    </row>
    <row r="11" spans="1:15" ht="22">
      <c r="A11" s="22" t="s">
        <v>63</v>
      </c>
      <c r="B11" s="22" t="str">
        <f t="shared" si="0"/>
        <v>Seat Tube Angle</v>
      </c>
      <c r="C11" s="22">
        <f t="shared" si="0"/>
        <v>74.5</v>
      </c>
      <c r="D11" s="22">
        <f t="shared" si="0"/>
        <v>74</v>
      </c>
      <c r="E11" s="22">
        <f t="shared" si="0"/>
        <v>74</v>
      </c>
      <c r="F11" s="22">
        <f t="shared" si="0"/>
        <v>73.5</v>
      </c>
      <c r="G11" s="22">
        <f t="shared" si="0"/>
        <v>73</v>
      </c>
      <c r="H11" s="22">
        <f t="shared" si="0"/>
        <v>73</v>
      </c>
      <c r="I11" s="143" t="s">
        <v>4</v>
      </c>
      <c r="J11" s="143">
        <v>74.5</v>
      </c>
      <c r="K11" s="143">
        <v>74</v>
      </c>
      <c r="L11" s="143">
        <v>74</v>
      </c>
      <c r="M11" s="143">
        <v>73.5</v>
      </c>
      <c r="N11" s="143">
        <v>73</v>
      </c>
      <c r="O11" s="143">
        <v>73</v>
      </c>
    </row>
    <row r="12" spans="1:15" ht="22">
      <c r="A12" s="22" t="s">
        <v>65</v>
      </c>
      <c r="B12" s="22" t="str">
        <f t="shared" si="0"/>
        <v>Bottom Bracket Drop</v>
      </c>
      <c r="C12" s="22">
        <f t="shared" si="0"/>
        <v>65</v>
      </c>
      <c r="D12" s="22">
        <f t="shared" si="0"/>
        <v>65</v>
      </c>
      <c r="E12" s="22">
        <f t="shared" si="0"/>
        <v>65</v>
      </c>
      <c r="F12" s="22">
        <f t="shared" si="0"/>
        <v>65</v>
      </c>
      <c r="G12" s="22">
        <f t="shared" si="0"/>
        <v>65</v>
      </c>
      <c r="H12" s="22">
        <f t="shared" si="0"/>
        <v>65</v>
      </c>
      <c r="I12" s="143" t="s">
        <v>6</v>
      </c>
      <c r="J12" s="143">
        <v>65</v>
      </c>
      <c r="K12" s="143">
        <v>65</v>
      </c>
      <c r="L12" s="143">
        <v>65</v>
      </c>
      <c r="M12" s="143">
        <v>65</v>
      </c>
      <c r="N12" s="143">
        <v>65</v>
      </c>
      <c r="O12" s="143">
        <v>65</v>
      </c>
    </row>
    <row r="13" spans="1:15" ht="22">
      <c r="A13" s="22" t="s">
        <v>64</v>
      </c>
      <c r="B13" s="22" t="str">
        <f t="shared" si="0"/>
        <v>Head Tube Length</v>
      </c>
      <c r="C13" s="22">
        <f t="shared" si="0"/>
        <v>90</v>
      </c>
      <c r="D13" s="22">
        <f t="shared" si="0"/>
        <v>107</v>
      </c>
      <c r="E13" s="22">
        <f t="shared" si="0"/>
        <v>132</v>
      </c>
      <c r="F13" s="22">
        <f t="shared" si="0"/>
        <v>147</v>
      </c>
      <c r="G13" s="22">
        <f t="shared" si="0"/>
        <v>162</v>
      </c>
      <c r="H13" s="22">
        <f t="shared" si="0"/>
        <v>197</v>
      </c>
      <c r="I13" s="143" t="s">
        <v>5</v>
      </c>
      <c r="J13" s="143">
        <v>90</v>
      </c>
      <c r="K13" s="143">
        <v>107</v>
      </c>
      <c r="L13" s="143">
        <v>132</v>
      </c>
      <c r="M13" s="143">
        <v>147</v>
      </c>
      <c r="N13" s="143">
        <v>162</v>
      </c>
      <c r="O13" s="143">
        <v>197</v>
      </c>
    </row>
    <row r="14" spans="1:15" ht="22">
      <c r="A14" s="22" t="s">
        <v>62</v>
      </c>
      <c r="B14" s="22" t="str">
        <f t="shared" si="0"/>
        <v>Head Tube Angle</v>
      </c>
      <c r="C14" s="22">
        <f t="shared" si="0"/>
        <v>69.5</v>
      </c>
      <c r="D14" s="22">
        <f t="shared" si="0"/>
        <v>70</v>
      </c>
      <c r="E14" s="22">
        <f t="shared" si="0"/>
        <v>70</v>
      </c>
      <c r="F14" s="22">
        <f t="shared" si="0"/>
        <v>71</v>
      </c>
      <c r="G14" s="22">
        <f t="shared" si="0"/>
        <v>72</v>
      </c>
      <c r="H14" s="22">
        <f t="shared" si="0"/>
        <v>72</v>
      </c>
      <c r="I14" s="143" t="s">
        <v>3</v>
      </c>
      <c r="J14" s="143">
        <v>69.5</v>
      </c>
      <c r="K14" s="143">
        <v>70</v>
      </c>
      <c r="L14" s="143">
        <v>70</v>
      </c>
      <c r="M14" s="143">
        <v>71</v>
      </c>
      <c r="N14" s="143">
        <v>72</v>
      </c>
      <c r="O14" s="143">
        <v>72</v>
      </c>
    </row>
    <row r="15" spans="1:15" ht="22">
      <c r="A15" s="22" t="s">
        <v>55</v>
      </c>
      <c r="B15" s="22" t="str">
        <f t="shared" si="0"/>
        <v>Reach</v>
      </c>
      <c r="C15" s="22">
        <f t="shared" si="0"/>
        <v>377</v>
      </c>
      <c r="D15" s="22">
        <f t="shared" si="0"/>
        <v>382</v>
      </c>
      <c r="E15" s="22">
        <f t="shared" si="0"/>
        <v>386</v>
      </c>
      <c r="F15" s="22">
        <f t="shared" si="0"/>
        <v>390</v>
      </c>
      <c r="G15" s="22">
        <f t="shared" si="0"/>
        <v>399</v>
      </c>
      <c r="H15" s="22">
        <f t="shared" si="0"/>
        <v>414</v>
      </c>
      <c r="I15" s="143" t="s">
        <v>1</v>
      </c>
      <c r="J15" s="143">
        <v>377</v>
      </c>
      <c r="K15" s="143">
        <v>382</v>
      </c>
      <c r="L15" s="143">
        <v>386</v>
      </c>
      <c r="M15" s="143">
        <v>390</v>
      </c>
      <c r="N15" s="143">
        <v>399</v>
      </c>
      <c r="O15" s="143">
        <v>414</v>
      </c>
    </row>
    <row r="16" spans="1:15" ht="22">
      <c r="A16" s="22" t="s">
        <v>54</v>
      </c>
      <c r="B16" s="22" t="str">
        <f t="shared" si="0"/>
        <v>Stack</v>
      </c>
      <c r="C16" s="22">
        <f t="shared" si="0"/>
        <v>514</v>
      </c>
      <c r="D16" s="22">
        <f t="shared" si="0"/>
        <v>532</v>
      </c>
      <c r="E16" s="22">
        <f t="shared" si="0"/>
        <v>556</v>
      </c>
      <c r="F16" s="22">
        <f t="shared" si="0"/>
        <v>574</v>
      </c>
      <c r="G16" s="22">
        <f t="shared" si="0"/>
        <v>592</v>
      </c>
      <c r="H16" s="22">
        <f t="shared" si="0"/>
        <v>625</v>
      </c>
      <c r="I16" s="143" t="s">
        <v>0</v>
      </c>
      <c r="J16" s="143">
        <v>514</v>
      </c>
      <c r="K16" s="143">
        <v>532</v>
      </c>
      <c r="L16" s="143">
        <v>556</v>
      </c>
      <c r="M16" s="143">
        <v>574</v>
      </c>
      <c r="N16" s="143">
        <v>592</v>
      </c>
      <c r="O16" s="143">
        <v>625</v>
      </c>
    </row>
    <row r="17" spans="1:15" ht="22">
      <c r="A17" s="22" t="s">
        <v>495</v>
      </c>
      <c r="B17" s="22" t="str">
        <f t="shared" si="0"/>
        <v>Fork Length</v>
      </c>
      <c r="C17" s="22">
        <f t="shared" si="0"/>
        <v>396</v>
      </c>
      <c r="D17" s="22">
        <f t="shared" si="0"/>
        <v>396</v>
      </c>
      <c r="E17" s="22">
        <f t="shared" si="0"/>
        <v>396</v>
      </c>
      <c r="F17" s="22">
        <f t="shared" si="0"/>
        <v>396</v>
      </c>
      <c r="G17" s="22">
        <f t="shared" si="0"/>
        <v>396</v>
      </c>
      <c r="H17" s="22">
        <f t="shared" si="0"/>
        <v>396</v>
      </c>
      <c r="I17" s="143" t="s">
        <v>178</v>
      </c>
      <c r="J17" s="143">
        <v>396</v>
      </c>
      <c r="K17" s="143">
        <v>396</v>
      </c>
      <c r="L17" s="143">
        <v>396</v>
      </c>
      <c r="M17" s="143">
        <v>396</v>
      </c>
      <c r="N17" s="143">
        <v>396</v>
      </c>
      <c r="O17" s="143">
        <v>396</v>
      </c>
    </row>
    <row r="18" spans="1:15" ht="22">
      <c r="A18" s="22" t="s">
        <v>67</v>
      </c>
      <c r="B18" s="22" t="str">
        <f t="shared" si="0"/>
        <v>Fork Rake</v>
      </c>
      <c r="C18" s="22">
        <f t="shared" si="0"/>
        <v>45</v>
      </c>
      <c r="D18" s="22">
        <f t="shared" si="0"/>
        <v>45</v>
      </c>
      <c r="E18" s="22">
        <f t="shared" si="0"/>
        <v>45</v>
      </c>
      <c r="F18" s="22">
        <f t="shared" si="0"/>
        <v>45</v>
      </c>
      <c r="G18" s="22">
        <f t="shared" si="0"/>
        <v>45</v>
      </c>
      <c r="H18" s="22">
        <f t="shared" si="0"/>
        <v>45</v>
      </c>
      <c r="I18" s="143" t="s">
        <v>179</v>
      </c>
      <c r="J18" s="143">
        <v>45</v>
      </c>
      <c r="K18" s="143">
        <v>45</v>
      </c>
      <c r="L18" s="143">
        <v>45</v>
      </c>
      <c r="M18" s="143">
        <v>45</v>
      </c>
      <c r="N18" s="143">
        <v>45</v>
      </c>
      <c r="O18" s="143">
        <v>45</v>
      </c>
    </row>
    <row r="19" spans="1:15" ht="22">
      <c r="A19" s="22" t="s">
        <v>134</v>
      </c>
      <c r="B19" s="22" t="str">
        <f t="shared" si="0"/>
        <v>Front Center</v>
      </c>
      <c r="C19" s="22">
        <f>VALUE(LEFT(J19,4))</f>
        <v>597</v>
      </c>
      <c r="D19" s="22">
        <f t="shared" ref="D19:H19" si="2">VALUE(LEFT(K19,4))</f>
        <v>604</v>
      </c>
      <c r="E19" s="22">
        <f t="shared" si="2"/>
        <v>616</v>
      </c>
      <c r="F19" s="22">
        <f t="shared" si="2"/>
        <v>616</v>
      </c>
      <c r="G19" s="22">
        <f t="shared" si="2"/>
        <v>621</v>
      </c>
      <c r="H19" s="22">
        <f t="shared" si="2"/>
        <v>645</v>
      </c>
      <c r="I19" s="143" t="s">
        <v>478</v>
      </c>
      <c r="J19" s="143">
        <v>597</v>
      </c>
      <c r="K19" s="143">
        <v>604</v>
      </c>
      <c r="L19" s="143">
        <v>616</v>
      </c>
      <c r="M19" s="143">
        <v>616</v>
      </c>
      <c r="N19" s="143">
        <v>621</v>
      </c>
      <c r="O19" s="143">
        <v>645</v>
      </c>
    </row>
    <row r="20" spans="1:15" ht="22">
      <c r="A20" s="22" t="s">
        <v>56</v>
      </c>
      <c r="B20" s="22" t="str">
        <f t="shared" si="0"/>
        <v>Wheelbase</v>
      </c>
      <c r="C20" s="22">
        <f t="shared" si="0"/>
        <v>1013</v>
      </c>
      <c r="D20" s="22">
        <f t="shared" si="0"/>
        <v>1020</v>
      </c>
      <c r="E20" s="22">
        <f t="shared" si="0"/>
        <v>1032</v>
      </c>
      <c r="F20" s="22">
        <f t="shared" si="0"/>
        <v>1033</v>
      </c>
      <c r="G20" s="22">
        <f t="shared" si="0"/>
        <v>1038</v>
      </c>
      <c r="H20" s="22">
        <f t="shared" si="0"/>
        <v>1063</v>
      </c>
      <c r="I20" s="143" t="s">
        <v>9</v>
      </c>
      <c r="J20" s="143">
        <v>1013</v>
      </c>
      <c r="K20" s="143">
        <v>1020</v>
      </c>
      <c r="L20" s="143">
        <v>1032</v>
      </c>
      <c r="M20" s="143">
        <v>1033</v>
      </c>
      <c r="N20" s="143">
        <v>1038</v>
      </c>
      <c r="O20" s="143">
        <v>1063</v>
      </c>
    </row>
    <row r="21" spans="1:15" ht="22">
      <c r="A21" s="22" t="s">
        <v>57</v>
      </c>
      <c r="B21" s="22" t="str">
        <f t="shared" si="0"/>
        <v>Stand over height, at center of top tube,</v>
      </c>
      <c r="C21" s="22">
        <f t="shared" si="0"/>
        <v>747</v>
      </c>
      <c r="D21" s="22">
        <f t="shared" si="0"/>
        <v>765</v>
      </c>
      <c r="E21" s="22">
        <f t="shared" si="0"/>
        <v>790</v>
      </c>
      <c r="F21" s="22">
        <f t="shared" si="0"/>
        <v>803</v>
      </c>
      <c r="G21" s="22">
        <f t="shared" si="0"/>
        <v>827</v>
      </c>
      <c r="H21" s="22">
        <f t="shared" si="0"/>
        <v>849</v>
      </c>
      <c r="I21" s="143" t="s">
        <v>2804</v>
      </c>
      <c r="J21" s="149">
        <v>747</v>
      </c>
      <c r="K21" s="149">
        <v>765</v>
      </c>
      <c r="L21" s="149">
        <v>790</v>
      </c>
      <c r="M21" s="149">
        <v>803</v>
      </c>
      <c r="N21" s="149">
        <v>827</v>
      </c>
      <c r="O21" s="149">
        <v>849</v>
      </c>
    </row>
    <row r="22" spans="1:15" ht="22">
      <c r="A22" s="22" t="s">
        <v>2613</v>
      </c>
      <c r="C22" s="22">
        <f>J23</f>
        <v>737</v>
      </c>
      <c r="D22" s="22">
        <f t="shared" ref="D22:H22" si="3">K23</f>
        <v>755</v>
      </c>
      <c r="E22" s="22">
        <f t="shared" si="3"/>
        <v>780</v>
      </c>
      <c r="F22" s="22">
        <f t="shared" si="3"/>
        <v>793</v>
      </c>
      <c r="G22" s="22">
        <f t="shared" si="3"/>
        <v>817</v>
      </c>
      <c r="H22" s="22">
        <f t="shared" si="3"/>
        <v>839</v>
      </c>
      <c r="I22" s="143" t="s">
        <v>2805</v>
      </c>
      <c r="J22" s="149"/>
      <c r="K22" s="149"/>
      <c r="L22" s="149"/>
      <c r="M22" s="149"/>
      <c r="N22" s="149"/>
      <c r="O22" s="149"/>
    </row>
    <row r="23" spans="1:15" ht="22">
      <c r="A23" s="22" t="s">
        <v>69</v>
      </c>
      <c r="B23" s="22" t="s">
        <v>69</v>
      </c>
      <c r="I23" s="143" t="s">
        <v>2804</v>
      </c>
      <c r="J23" s="149">
        <v>737</v>
      </c>
      <c r="K23" s="149">
        <v>755</v>
      </c>
      <c r="L23" s="149">
        <v>780</v>
      </c>
      <c r="M23" s="149">
        <v>793</v>
      </c>
      <c r="N23" s="149">
        <v>817</v>
      </c>
      <c r="O23" s="149">
        <v>839</v>
      </c>
    </row>
    <row r="24" spans="1:15" ht="22">
      <c r="A24" s="22" t="s">
        <v>70</v>
      </c>
      <c r="B24" s="22" t="s">
        <v>70</v>
      </c>
      <c r="I24" s="143" t="s">
        <v>2806</v>
      </c>
      <c r="J24" s="149"/>
      <c r="K24" s="149"/>
      <c r="L24" s="149"/>
      <c r="M24" s="149"/>
      <c r="N24" s="149"/>
      <c r="O24" s="149"/>
    </row>
    <row r="25" spans="1:15">
      <c r="A25" s="22" t="s">
        <v>71</v>
      </c>
      <c r="B25" s="22" t="s">
        <v>71</v>
      </c>
    </row>
    <row r="26" spans="1:15">
      <c r="A26" s="22" t="s">
        <v>68</v>
      </c>
      <c r="B26" s="22" t="s">
        <v>68</v>
      </c>
      <c r="C26" s="22">
        <v>700</v>
      </c>
      <c r="D26" s="22">
        <v>700</v>
      </c>
      <c r="E26" s="22">
        <v>700</v>
      </c>
      <c r="F26" s="22">
        <v>700</v>
      </c>
      <c r="G26" s="22">
        <v>700</v>
      </c>
      <c r="H26" s="22">
        <v>700</v>
      </c>
    </row>
    <row r="27" spans="1:15">
      <c r="A27" s="22" t="s">
        <v>139</v>
      </c>
      <c r="B27" s="22" t="s">
        <v>139</v>
      </c>
      <c r="C27" s="22">
        <v>38</v>
      </c>
      <c r="D27" s="22">
        <v>38</v>
      </c>
      <c r="E27" s="22">
        <v>38</v>
      </c>
      <c r="F27" s="22">
        <v>38</v>
      </c>
      <c r="G27" s="22">
        <v>38</v>
      </c>
      <c r="H27" s="22">
        <v>38</v>
      </c>
    </row>
    <row r="28" spans="1:15" ht="22">
      <c r="A28" s="22" t="s">
        <v>140</v>
      </c>
      <c r="B28" s="22" t="s">
        <v>140</v>
      </c>
      <c r="C28" s="22">
        <v>53</v>
      </c>
      <c r="D28" s="22">
        <v>53</v>
      </c>
      <c r="E28" s="22">
        <v>53</v>
      </c>
      <c r="F28" s="22">
        <v>53</v>
      </c>
      <c r="G28" s="22">
        <v>53</v>
      </c>
      <c r="H28" s="22">
        <v>53</v>
      </c>
      <c r="I28" s="123" t="s">
        <v>1920</v>
      </c>
      <c r="J28" s="123" t="s">
        <v>2614</v>
      </c>
    </row>
    <row r="29" spans="1:15" ht="22">
      <c r="A29" s="22" t="s">
        <v>1752</v>
      </c>
      <c r="B29" s="22" t="s">
        <v>1752</v>
      </c>
      <c r="C29" s="22">
        <f t="shared" ref="C29:H30" si="4">C31*2.54</f>
        <v>157.47999999999999</v>
      </c>
      <c r="D29" s="22">
        <f t="shared" si="4"/>
        <v>162.56</v>
      </c>
      <c r="E29" s="22">
        <f t="shared" si="4"/>
        <v>167.64000000000001</v>
      </c>
      <c r="F29" s="22">
        <f t="shared" si="4"/>
        <v>175.26</v>
      </c>
      <c r="G29" s="22">
        <f t="shared" si="4"/>
        <v>182.88</v>
      </c>
      <c r="H29" s="22">
        <f t="shared" si="4"/>
        <v>187.96</v>
      </c>
      <c r="I29" s="124" t="s">
        <v>285</v>
      </c>
      <c r="J29" s="124" t="s">
        <v>2808</v>
      </c>
    </row>
    <row r="30" spans="1:15" ht="22">
      <c r="A30" s="22" t="s">
        <v>1753</v>
      </c>
      <c r="B30" s="22" t="s">
        <v>1753</v>
      </c>
      <c r="C30" s="22">
        <f t="shared" si="4"/>
        <v>162.56</v>
      </c>
      <c r="D30" s="22">
        <f t="shared" si="4"/>
        <v>167.64000000000001</v>
      </c>
      <c r="E30" s="22">
        <f t="shared" si="4"/>
        <v>175.26</v>
      </c>
      <c r="F30" s="22">
        <f t="shared" si="4"/>
        <v>182.88</v>
      </c>
      <c r="G30" s="22">
        <f t="shared" si="4"/>
        <v>187.96</v>
      </c>
      <c r="H30" s="22">
        <f t="shared" si="4"/>
        <v>193.04</v>
      </c>
      <c r="I30" s="124" t="s">
        <v>287</v>
      </c>
      <c r="J30" s="124" t="s">
        <v>2615</v>
      </c>
    </row>
    <row r="31" spans="1:15" ht="22">
      <c r="C31" s="22">
        <v>62</v>
      </c>
      <c r="D31" s="22">
        <v>64</v>
      </c>
      <c r="E31" s="22">
        <v>66</v>
      </c>
      <c r="F31" s="22">
        <v>69</v>
      </c>
      <c r="G31" s="22">
        <v>72</v>
      </c>
      <c r="H31" s="22">
        <v>74</v>
      </c>
      <c r="I31" s="124" t="s">
        <v>288</v>
      </c>
      <c r="J31" s="124" t="s">
        <v>2616</v>
      </c>
    </row>
    <row r="32" spans="1:15" ht="22">
      <c r="C32" s="22">
        <v>64</v>
      </c>
      <c r="D32" s="22">
        <v>66</v>
      </c>
      <c r="E32" s="22">
        <v>69</v>
      </c>
      <c r="F32" s="22">
        <v>72</v>
      </c>
      <c r="G32" s="22">
        <v>74</v>
      </c>
      <c r="H32" s="22">
        <v>76</v>
      </c>
      <c r="I32" s="124" t="s">
        <v>289</v>
      </c>
      <c r="J32" s="124" t="s">
        <v>2617</v>
      </c>
      <c r="K32" s="27"/>
      <c r="L32" s="27"/>
      <c r="M32" s="27"/>
      <c r="N32" s="27"/>
    </row>
    <row r="33" spans="1:14" ht="22">
      <c r="B33" s="27"/>
      <c r="C33" s="27"/>
      <c r="D33" s="27"/>
      <c r="E33" s="27"/>
      <c r="F33" s="27"/>
      <c r="G33" s="27"/>
      <c r="H33" s="27"/>
      <c r="I33" s="124" t="s">
        <v>290</v>
      </c>
      <c r="J33" s="124" t="s">
        <v>2618</v>
      </c>
      <c r="K33" s="29"/>
      <c r="L33" s="29"/>
      <c r="M33" s="29"/>
      <c r="N33" s="29"/>
    </row>
    <row r="34" spans="1:14" ht="22">
      <c r="B34" s="29"/>
      <c r="C34" s="29"/>
      <c r="D34" s="29"/>
      <c r="E34" s="29"/>
      <c r="F34" s="29"/>
      <c r="G34" s="29"/>
      <c r="H34" s="29"/>
      <c r="I34" s="124" t="s">
        <v>291</v>
      </c>
      <c r="J34" s="124" t="s">
        <v>2809</v>
      </c>
      <c r="K34" s="29"/>
      <c r="L34" s="29"/>
      <c r="M34" s="29"/>
      <c r="N34" s="29"/>
    </row>
    <row r="35" spans="1:14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>
      <c r="B37" s="29"/>
      <c r="C37" s="29"/>
      <c r="D37" s="29"/>
      <c r="E37" s="29"/>
      <c r="F37" s="29"/>
      <c r="G37" s="29"/>
      <c r="H37" s="29"/>
    </row>
    <row r="38" spans="1:14">
      <c r="I38" s="27"/>
      <c r="J38" s="27"/>
      <c r="K38" s="27"/>
      <c r="L38" s="27"/>
      <c r="M38" s="27"/>
      <c r="N38" s="27"/>
    </row>
    <row r="39" spans="1:14" ht="51" customHeight="1">
      <c r="B39" s="27"/>
      <c r="C39" s="27"/>
      <c r="D39" s="27"/>
      <c r="E39" s="27"/>
      <c r="F39" s="27"/>
      <c r="G39" s="27"/>
      <c r="H39" s="27"/>
    </row>
    <row r="40" spans="1:14">
      <c r="A40" s="27"/>
    </row>
    <row r="41" spans="1:14">
      <c r="A41" s="29"/>
    </row>
    <row r="42" spans="1:14">
      <c r="A42" s="29"/>
    </row>
    <row r="43" spans="1:14">
      <c r="A43" s="29"/>
    </row>
    <row r="44" spans="1:14">
      <c r="A44" s="29"/>
      <c r="B44" s="29"/>
      <c r="C44" s="29"/>
      <c r="D44" s="29"/>
    </row>
    <row r="45" spans="1:14">
      <c r="A45" s="29"/>
      <c r="B45" s="29"/>
      <c r="C45" s="29"/>
      <c r="D45" s="29"/>
    </row>
    <row r="46" spans="1:14">
      <c r="A46" s="29"/>
      <c r="B46" s="29"/>
      <c r="C46" s="29"/>
      <c r="D46" s="29"/>
    </row>
    <row r="47" spans="1:14">
      <c r="A47" s="29"/>
      <c r="B47" s="29"/>
      <c r="C47" s="29"/>
      <c r="D47" s="29"/>
    </row>
    <row r="48" spans="1:14">
      <c r="A48" s="29"/>
      <c r="B48" s="29"/>
      <c r="C48" s="29"/>
      <c r="D48" s="29"/>
    </row>
    <row r="49" spans="1:4">
      <c r="A49" s="29"/>
      <c r="B49" s="29"/>
      <c r="C49" s="29"/>
      <c r="D49" s="29"/>
    </row>
    <row r="50" spans="1:4">
      <c r="A50" s="29"/>
      <c r="B50" s="29"/>
      <c r="C50" s="29"/>
      <c r="D50" s="29"/>
    </row>
    <row r="51" spans="1:4">
      <c r="A51" s="29"/>
      <c r="B51" s="29"/>
      <c r="C51" s="29"/>
      <c r="D51" s="29"/>
    </row>
  </sheetData>
  <mergeCells count="12">
    <mergeCell ref="O23:O24"/>
    <mergeCell ref="J21:J22"/>
    <mergeCell ref="K21:K22"/>
    <mergeCell ref="L21:L22"/>
    <mergeCell ref="M21:M22"/>
    <mergeCell ref="N21:N22"/>
    <mergeCell ref="O21:O22"/>
    <mergeCell ref="J23:J24"/>
    <mergeCell ref="K23:K24"/>
    <mergeCell ref="L23:L24"/>
    <mergeCell ref="M23:M24"/>
    <mergeCell ref="N23:N24"/>
  </mergeCells>
  <hyperlinks>
    <hyperlink ref="B4" r:id="rId1" xr:uid="{30C484AD-1AB2-7947-9920-284FF771630C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09D8-32B5-4645-934D-8747770227BC}">
  <dimension ref="A1:N50"/>
  <sheetViews>
    <sheetView workbookViewId="0">
      <selection sqref="A1:B5"/>
    </sheetView>
  </sheetViews>
  <sheetFormatPr baseColWidth="10" defaultRowHeight="20"/>
  <cols>
    <col min="1" max="1" width="29" style="22" customWidth="1"/>
    <col min="2" max="2" width="54.83203125" style="22" customWidth="1"/>
    <col min="3" max="8" width="10.83203125" style="22"/>
    <col min="9" max="9" width="36.5" style="22" customWidth="1"/>
    <col min="10" max="16384" width="10.83203125" style="22"/>
  </cols>
  <sheetData>
    <row r="1" spans="1:14">
      <c r="A1" s="22" t="s">
        <v>2412</v>
      </c>
      <c r="B1" s="22" t="s">
        <v>2620</v>
      </c>
    </row>
    <row r="2" spans="1:14">
      <c r="A2" s="22" t="s">
        <v>2423</v>
      </c>
      <c r="B2" s="22">
        <v>2023</v>
      </c>
    </row>
    <row r="3" spans="1:14">
      <c r="A3" s="22" t="s">
        <v>2424</v>
      </c>
      <c r="B3" s="114">
        <v>45136</v>
      </c>
    </row>
    <row r="4" spans="1:14">
      <c r="A4" s="22" t="s">
        <v>2414</v>
      </c>
      <c r="B4" s="22" t="s">
        <v>2612</v>
      </c>
    </row>
    <row r="5" spans="1:14">
      <c r="A5" s="22" t="s">
        <v>2415</v>
      </c>
      <c r="B5" s="22" t="s">
        <v>2552</v>
      </c>
    </row>
    <row r="6" spans="1:14" ht="22">
      <c r="A6" s="22" t="s">
        <v>72</v>
      </c>
      <c r="B6" s="22" t="str">
        <f t="shared" ref="B6:G6" si="0">I6</f>
        <v>Frame size</v>
      </c>
      <c r="C6" s="22" t="str">
        <f t="shared" si="0"/>
        <v>52 cm</v>
      </c>
      <c r="D6" s="22" t="str">
        <f t="shared" si="0"/>
        <v>54 cm</v>
      </c>
      <c r="E6" s="22" t="str">
        <f t="shared" si="0"/>
        <v>56 cm</v>
      </c>
      <c r="F6" s="22" t="str">
        <f t="shared" si="0"/>
        <v>58 cm</v>
      </c>
      <c r="G6" s="22" t="str">
        <f t="shared" si="0"/>
        <v>61 cm</v>
      </c>
      <c r="I6" s="123" t="s">
        <v>1920</v>
      </c>
      <c r="J6" s="123" t="s">
        <v>287</v>
      </c>
      <c r="K6" s="123" t="s">
        <v>288</v>
      </c>
      <c r="L6" s="123" t="s">
        <v>289</v>
      </c>
      <c r="M6" s="123" t="s">
        <v>290</v>
      </c>
      <c r="N6" s="123" t="s">
        <v>291</v>
      </c>
    </row>
    <row r="7" spans="1:14" ht="22">
      <c r="A7" s="22" t="s">
        <v>60</v>
      </c>
      <c r="B7" s="22" t="str">
        <f t="shared" ref="B7:B21" si="1">I7</f>
        <v>Seat tube (C-T)</v>
      </c>
      <c r="C7" s="22">
        <f t="shared" ref="C7:C21" si="2">J7</f>
        <v>450</v>
      </c>
      <c r="D7" s="22">
        <f t="shared" ref="D7:D21" si="3">K7</f>
        <v>470</v>
      </c>
      <c r="E7" s="22">
        <f t="shared" ref="E7:E21" si="4">L7</f>
        <v>490</v>
      </c>
      <c r="F7" s="22">
        <f t="shared" ref="F7:F21" si="5">M7</f>
        <v>520</v>
      </c>
      <c r="G7" s="22">
        <f t="shared" ref="G7:G21" si="6">N7</f>
        <v>540</v>
      </c>
      <c r="H7"/>
      <c r="I7" s="123" t="s">
        <v>2598</v>
      </c>
      <c r="J7" s="124">
        <v>450</v>
      </c>
      <c r="K7" s="124">
        <v>470</v>
      </c>
      <c r="L7" s="124">
        <v>490</v>
      </c>
      <c r="M7" s="124">
        <v>520</v>
      </c>
      <c r="N7" s="124">
        <v>540</v>
      </c>
    </row>
    <row r="8" spans="1:14" ht="22">
      <c r="A8" s="22" t="s">
        <v>73</v>
      </c>
      <c r="B8" s="22" t="str">
        <f t="shared" si="1"/>
        <v>Top tube length (effective)</v>
      </c>
      <c r="C8" s="22">
        <f t="shared" si="2"/>
        <v>520</v>
      </c>
      <c r="D8" s="22">
        <f t="shared" si="3"/>
        <v>540</v>
      </c>
      <c r="E8" s="22">
        <f t="shared" si="4"/>
        <v>563</v>
      </c>
      <c r="F8" s="22">
        <f t="shared" si="5"/>
        <v>581</v>
      </c>
      <c r="G8" s="22">
        <f t="shared" si="6"/>
        <v>605</v>
      </c>
      <c r="I8" s="123" t="s">
        <v>2599</v>
      </c>
      <c r="J8" s="124">
        <v>520</v>
      </c>
      <c r="K8" s="124">
        <v>540</v>
      </c>
      <c r="L8" s="124">
        <v>563</v>
      </c>
      <c r="M8" s="124">
        <v>581</v>
      </c>
      <c r="N8" s="124">
        <v>605</v>
      </c>
    </row>
    <row r="9" spans="1:14" ht="22">
      <c r="A9" s="22" t="s">
        <v>66</v>
      </c>
      <c r="B9" s="22" t="str">
        <f t="shared" si="1"/>
        <v>Chain stay length</v>
      </c>
      <c r="C9" s="22">
        <f>VALUE(LEFT(J9,3))</f>
        <v>435</v>
      </c>
      <c r="D9" s="22">
        <f t="shared" ref="D9:G9" si="7">VALUE(LEFT(K9,3))</f>
        <v>435</v>
      </c>
      <c r="E9" s="22">
        <f t="shared" si="7"/>
        <v>435</v>
      </c>
      <c r="F9" s="22">
        <f t="shared" si="7"/>
        <v>435</v>
      </c>
      <c r="G9" s="22">
        <f t="shared" si="7"/>
        <v>435</v>
      </c>
      <c r="I9" s="123" t="s">
        <v>2600</v>
      </c>
      <c r="J9" s="124" t="s">
        <v>2601</v>
      </c>
      <c r="K9" s="124" t="s">
        <v>2601</v>
      </c>
      <c r="L9" s="124" t="s">
        <v>2601</v>
      </c>
      <c r="M9" s="124" t="s">
        <v>2601</v>
      </c>
      <c r="N9" s="124" t="s">
        <v>2601</v>
      </c>
    </row>
    <row r="10" spans="1:14" ht="22">
      <c r="A10" s="22" t="s">
        <v>63</v>
      </c>
      <c r="B10" s="22" t="str">
        <f t="shared" si="1"/>
        <v>Seat tube angle</v>
      </c>
      <c r="C10" s="22">
        <f t="shared" si="2"/>
        <v>74</v>
      </c>
      <c r="D10" s="22">
        <f t="shared" si="3"/>
        <v>74</v>
      </c>
      <c r="E10" s="22">
        <f t="shared" si="4"/>
        <v>73</v>
      </c>
      <c r="F10" s="22">
        <f t="shared" si="5"/>
        <v>73</v>
      </c>
      <c r="G10" s="22">
        <f t="shared" si="6"/>
        <v>73</v>
      </c>
      <c r="I10" s="123" t="s">
        <v>1898</v>
      </c>
      <c r="J10" s="124">
        <v>74</v>
      </c>
      <c r="K10" s="124">
        <v>74</v>
      </c>
      <c r="L10" s="124">
        <v>73</v>
      </c>
      <c r="M10" s="124">
        <v>73</v>
      </c>
      <c r="N10" s="124">
        <v>73</v>
      </c>
    </row>
    <row r="11" spans="1:14" ht="22">
      <c r="A11" s="22" t="s">
        <v>65</v>
      </c>
      <c r="B11" s="22" t="str">
        <f t="shared" si="1"/>
        <v>Bottom bracket drop</v>
      </c>
      <c r="C11" s="22">
        <f t="shared" si="2"/>
        <v>65</v>
      </c>
      <c r="D11" s="22">
        <f t="shared" si="3"/>
        <v>65</v>
      </c>
      <c r="E11" s="22">
        <f t="shared" si="4"/>
        <v>65</v>
      </c>
      <c r="F11" s="22">
        <f t="shared" si="5"/>
        <v>65</v>
      </c>
      <c r="G11" s="22">
        <f t="shared" si="6"/>
        <v>65</v>
      </c>
      <c r="I11" s="123" t="s">
        <v>1585</v>
      </c>
      <c r="J11" s="124">
        <v>65</v>
      </c>
      <c r="K11" s="124">
        <v>65</v>
      </c>
      <c r="L11" s="124">
        <v>65</v>
      </c>
      <c r="M11" s="124">
        <v>65</v>
      </c>
      <c r="N11" s="124">
        <v>65</v>
      </c>
    </row>
    <row r="12" spans="1:14" ht="22">
      <c r="A12" s="22" t="s">
        <v>64</v>
      </c>
      <c r="B12" s="22" t="str">
        <f t="shared" si="1"/>
        <v>Head tube length</v>
      </c>
      <c r="C12" s="22">
        <f t="shared" si="2"/>
        <v>125</v>
      </c>
      <c r="D12" s="22">
        <f t="shared" si="3"/>
        <v>145</v>
      </c>
      <c r="E12" s="22">
        <f t="shared" si="4"/>
        <v>160</v>
      </c>
      <c r="F12" s="22">
        <f t="shared" si="5"/>
        <v>175</v>
      </c>
      <c r="G12" s="22">
        <f t="shared" si="6"/>
        <v>207</v>
      </c>
      <c r="I12" s="123" t="s">
        <v>1581</v>
      </c>
      <c r="J12" s="124">
        <v>125</v>
      </c>
      <c r="K12" s="124">
        <v>145</v>
      </c>
      <c r="L12" s="124">
        <v>160</v>
      </c>
      <c r="M12" s="124">
        <v>175</v>
      </c>
      <c r="N12" s="124">
        <v>207</v>
      </c>
    </row>
    <row r="13" spans="1:14" ht="22">
      <c r="A13" s="22" t="s">
        <v>62</v>
      </c>
      <c r="B13" s="22" t="str">
        <f t="shared" si="1"/>
        <v>Head tube angle</v>
      </c>
      <c r="C13" s="22">
        <f t="shared" si="2"/>
        <v>70</v>
      </c>
      <c r="D13" s="22">
        <f t="shared" si="3"/>
        <v>71</v>
      </c>
      <c r="E13" s="22">
        <f t="shared" si="4"/>
        <v>72</v>
      </c>
      <c r="F13" s="22">
        <f t="shared" si="5"/>
        <v>72</v>
      </c>
      <c r="G13" s="22">
        <f t="shared" si="6"/>
        <v>72</v>
      </c>
      <c r="I13" s="123" t="s">
        <v>2602</v>
      </c>
      <c r="J13" s="124">
        <v>70</v>
      </c>
      <c r="K13" s="124">
        <v>71</v>
      </c>
      <c r="L13" s="124">
        <v>72</v>
      </c>
      <c r="M13" s="124">
        <v>72</v>
      </c>
      <c r="N13" s="124">
        <v>72</v>
      </c>
    </row>
    <row r="14" spans="1:14" ht="22">
      <c r="A14" s="22" t="s">
        <v>55</v>
      </c>
      <c r="B14" s="22" t="str">
        <f t="shared" si="1"/>
        <v>Reach</v>
      </c>
      <c r="C14" s="22">
        <f t="shared" si="2"/>
        <v>366</v>
      </c>
      <c r="D14" s="22">
        <f t="shared" si="3"/>
        <v>374</v>
      </c>
      <c r="E14" s="22">
        <f t="shared" si="4"/>
        <v>386</v>
      </c>
      <c r="F14" s="22">
        <f t="shared" si="5"/>
        <v>393</v>
      </c>
      <c r="G14" s="22">
        <f t="shared" si="6"/>
        <v>408</v>
      </c>
      <c r="I14" s="123" t="s">
        <v>1</v>
      </c>
      <c r="J14" s="124">
        <v>366</v>
      </c>
      <c r="K14" s="124">
        <v>374</v>
      </c>
      <c r="L14" s="124">
        <v>386</v>
      </c>
      <c r="M14" s="124">
        <v>393</v>
      </c>
      <c r="N14" s="124">
        <v>408</v>
      </c>
    </row>
    <row r="15" spans="1:14" ht="22">
      <c r="A15" s="22" t="s">
        <v>54</v>
      </c>
      <c r="B15" s="22" t="str">
        <f t="shared" si="1"/>
        <v>Stack</v>
      </c>
      <c r="C15" s="22">
        <f t="shared" si="2"/>
        <v>538</v>
      </c>
      <c r="D15" s="22">
        <f t="shared" si="3"/>
        <v>559</v>
      </c>
      <c r="E15" s="22">
        <f t="shared" si="4"/>
        <v>578</v>
      </c>
      <c r="F15" s="22">
        <f t="shared" si="5"/>
        <v>595</v>
      </c>
      <c r="G15" s="22">
        <f t="shared" si="6"/>
        <v>625</v>
      </c>
      <c r="I15" s="123" t="s">
        <v>0</v>
      </c>
      <c r="J15" s="124">
        <v>538</v>
      </c>
      <c r="K15" s="124">
        <v>559</v>
      </c>
      <c r="L15" s="124">
        <v>578</v>
      </c>
      <c r="M15" s="124">
        <v>595</v>
      </c>
      <c r="N15" s="124">
        <v>625</v>
      </c>
    </row>
    <row r="16" spans="1:14" ht="22">
      <c r="A16" s="22" t="s">
        <v>495</v>
      </c>
      <c r="B16" s="22" t="str">
        <f t="shared" si="1"/>
        <v>Fork length</v>
      </c>
      <c r="C16" s="22">
        <f t="shared" si="2"/>
        <v>395</v>
      </c>
      <c r="D16" s="22">
        <f t="shared" si="3"/>
        <v>395</v>
      </c>
      <c r="E16" s="22">
        <f t="shared" si="4"/>
        <v>395</v>
      </c>
      <c r="F16" s="22">
        <f t="shared" si="5"/>
        <v>395</v>
      </c>
      <c r="G16" s="22">
        <f t="shared" si="6"/>
        <v>395</v>
      </c>
      <c r="I16" s="123" t="s">
        <v>2603</v>
      </c>
      <c r="J16" s="124">
        <v>395</v>
      </c>
      <c r="K16" s="124">
        <v>395</v>
      </c>
      <c r="L16" s="124">
        <v>395</v>
      </c>
      <c r="M16" s="124">
        <v>395</v>
      </c>
      <c r="N16" s="124">
        <v>395</v>
      </c>
    </row>
    <row r="17" spans="1:14" ht="22">
      <c r="A17" s="22" t="s">
        <v>67</v>
      </c>
      <c r="B17" s="22" t="str">
        <f t="shared" si="1"/>
        <v>Fork rake</v>
      </c>
      <c r="C17" s="22">
        <f t="shared" si="2"/>
        <v>50</v>
      </c>
      <c r="D17" s="22">
        <f t="shared" si="3"/>
        <v>50</v>
      </c>
      <c r="E17" s="22">
        <f t="shared" si="4"/>
        <v>45</v>
      </c>
      <c r="F17" s="22">
        <f t="shared" si="5"/>
        <v>45</v>
      </c>
      <c r="G17" s="22">
        <f t="shared" si="6"/>
        <v>45</v>
      </c>
      <c r="I17" s="123" t="s">
        <v>358</v>
      </c>
      <c r="J17" s="124">
        <v>50</v>
      </c>
      <c r="K17" s="124">
        <v>50</v>
      </c>
      <c r="L17" s="124">
        <v>45</v>
      </c>
      <c r="M17" s="124">
        <v>45</v>
      </c>
      <c r="N17" s="124">
        <v>45</v>
      </c>
    </row>
    <row r="18" spans="1:14" ht="22">
      <c r="A18" s="22" t="s">
        <v>134</v>
      </c>
      <c r="B18" s="22" t="str">
        <f t="shared" si="1"/>
        <v>Front center</v>
      </c>
      <c r="C18" s="22">
        <f t="shared" si="2"/>
        <v>595</v>
      </c>
      <c r="D18" s="22">
        <f t="shared" si="3"/>
        <v>606</v>
      </c>
      <c r="E18" s="22">
        <f t="shared" si="4"/>
        <v>609</v>
      </c>
      <c r="F18" s="22">
        <f t="shared" si="5"/>
        <v>616</v>
      </c>
      <c r="G18" s="22">
        <f t="shared" si="6"/>
        <v>641</v>
      </c>
      <c r="I18" s="123" t="s">
        <v>1896</v>
      </c>
      <c r="J18" s="124">
        <v>595</v>
      </c>
      <c r="K18" s="124">
        <v>606</v>
      </c>
      <c r="L18" s="124">
        <v>609</v>
      </c>
      <c r="M18" s="124">
        <v>616</v>
      </c>
      <c r="N18" s="124">
        <v>641</v>
      </c>
    </row>
    <row r="19" spans="1:14" ht="22">
      <c r="A19" s="22" t="s">
        <v>56</v>
      </c>
      <c r="B19" s="22" t="str">
        <f t="shared" si="1"/>
        <v>Wheelbase</v>
      </c>
      <c r="C19" s="22">
        <f>VALUE(LEFT(J19,4))</f>
        <v>1022</v>
      </c>
      <c r="D19" s="22">
        <f t="shared" ref="D19:G19" si="8">VALUE(LEFT(K19,4))</f>
        <v>1032</v>
      </c>
      <c r="E19" s="22">
        <f t="shared" si="8"/>
        <v>1036</v>
      </c>
      <c r="F19" s="22">
        <f t="shared" si="8"/>
        <v>1043</v>
      </c>
      <c r="G19" s="22">
        <f t="shared" si="8"/>
        <v>1067</v>
      </c>
      <c r="I19" s="123" t="s">
        <v>9</v>
      </c>
      <c r="J19" s="124" t="s">
        <v>2604</v>
      </c>
      <c r="K19" s="124" t="s">
        <v>2605</v>
      </c>
      <c r="L19" s="124" t="s">
        <v>2606</v>
      </c>
      <c r="M19" s="124" t="s">
        <v>2607</v>
      </c>
      <c r="N19" s="124" t="s">
        <v>2608</v>
      </c>
    </row>
    <row r="20" spans="1:14" ht="22">
      <c r="A20" s="22" t="s">
        <v>57</v>
      </c>
      <c r="B20" s="22" t="str">
        <f t="shared" si="1"/>
        <v>Stand over height at center of top tube, 700 x 38mm &amp; 650b x 2.1″</v>
      </c>
      <c r="C20" s="22">
        <f t="shared" si="2"/>
        <v>773</v>
      </c>
      <c r="D20" s="22">
        <f t="shared" si="3"/>
        <v>793</v>
      </c>
      <c r="E20" s="22">
        <f t="shared" si="4"/>
        <v>812</v>
      </c>
      <c r="F20" s="22">
        <f t="shared" si="5"/>
        <v>833</v>
      </c>
      <c r="G20" s="22">
        <f t="shared" si="6"/>
        <v>858</v>
      </c>
      <c r="I20" s="125" t="s">
        <v>2609</v>
      </c>
      <c r="J20" s="124">
        <v>773</v>
      </c>
      <c r="K20" s="124">
        <v>793</v>
      </c>
      <c r="L20" s="124">
        <v>812</v>
      </c>
      <c r="M20" s="124">
        <v>833</v>
      </c>
      <c r="N20" s="124">
        <v>858</v>
      </c>
    </row>
    <row r="21" spans="1:14" ht="22">
      <c r="A21" s="22" t="s">
        <v>2613</v>
      </c>
      <c r="B21" s="22" t="str">
        <f t="shared" si="1"/>
        <v>Stand over height at center of top tube, 650b x 47mm</v>
      </c>
      <c r="C21" s="22">
        <f t="shared" si="2"/>
        <v>763</v>
      </c>
      <c r="D21" s="22">
        <f t="shared" si="3"/>
        <v>783</v>
      </c>
      <c r="E21" s="22">
        <f t="shared" si="4"/>
        <v>802</v>
      </c>
      <c r="F21" s="22">
        <f t="shared" si="5"/>
        <v>823</v>
      </c>
      <c r="G21" s="22">
        <f t="shared" si="6"/>
        <v>848</v>
      </c>
      <c r="I21" s="125" t="s">
        <v>2610</v>
      </c>
      <c r="J21" s="124">
        <v>763</v>
      </c>
      <c r="K21" s="124">
        <v>783</v>
      </c>
      <c r="L21" s="124">
        <v>802</v>
      </c>
      <c r="M21" s="124">
        <v>823</v>
      </c>
      <c r="N21" s="124">
        <v>848</v>
      </c>
    </row>
    <row r="22" spans="1:14" ht="22">
      <c r="A22" s="22" t="s">
        <v>69</v>
      </c>
      <c r="B22" s="22" t="s">
        <v>69</v>
      </c>
      <c r="I22" s="124" t="s">
        <v>2611</v>
      </c>
      <c r="J22"/>
      <c r="K22"/>
      <c r="L22"/>
      <c r="M22"/>
      <c r="N22"/>
    </row>
    <row r="23" spans="1:14">
      <c r="A23" s="22" t="s">
        <v>70</v>
      </c>
      <c r="B23" s="22" t="s">
        <v>70</v>
      </c>
    </row>
    <row r="24" spans="1:14">
      <c r="A24" s="22" t="s">
        <v>71</v>
      </c>
      <c r="B24" s="22" t="s">
        <v>71</v>
      </c>
    </row>
    <row r="25" spans="1:14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  <c r="G25" s="22">
        <v>700</v>
      </c>
    </row>
    <row r="26" spans="1:14">
      <c r="A26" s="22" t="s">
        <v>139</v>
      </c>
      <c r="B26" s="22" t="s">
        <v>139</v>
      </c>
      <c r="C26" s="22">
        <v>38</v>
      </c>
      <c r="D26" s="22">
        <v>38</v>
      </c>
      <c r="E26" s="22">
        <v>38</v>
      </c>
      <c r="F26" s="22">
        <v>38</v>
      </c>
      <c r="G26" s="22">
        <v>38</v>
      </c>
    </row>
    <row r="27" spans="1:14">
      <c r="A27" s="22" t="s">
        <v>140</v>
      </c>
      <c r="B27" s="22" t="s">
        <v>140</v>
      </c>
      <c r="C27" s="22">
        <v>56</v>
      </c>
      <c r="D27" s="22">
        <v>56</v>
      </c>
      <c r="E27" s="22">
        <v>56</v>
      </c>
      <c r="F27" s="22">
        <v>56</v>
      </c>
      <c r="G27" s="22">
        <v>56</v>
      </c>
    </row>
    <row r="28" spans="1:14" ht="22">
      <c r="A28" s="22" t="s">
        <v>1752</v>
      </c>
      <c r="B28" s="22" t="s">
        <v>1752</v>
      </c>
      <c r="C28" s="22">
        <f>C30*2.54</f>
        <v>162.56</v>
      </c>
      <c r="D28" s="22">
        <f t="shared" ref="D28:G28" si="9">D30*2.54</f>
        <v>167.64000000000001</v>
      </c>
      <c r="E28" s="22">
        <f t="shared" si="9"/>
        <v>175.26</v>
      </c>
      <c r="F28" s="22">
        <f t="shared" si="9"/>
        <v>182.88</v>
      </c>
      <c r="G28" s="22">
        <f t="shared" si="9"/>
        <v>187.96</v>
      </c>
      <c r="I28" s="123" t="s">
        <v>1920</v>
      </c>
      <c r="J28" s="123" t="s">
        <v>2614</v>
      </c>
    </row>
    <row r="29" spans="1:14" ht="22">
      <c r="A29" s="22" t="s">
        <v>1753</v>
      </c>
      <c r="B29" s="22" t="s">
        <v>1753</v>
      </c>
      <c r="C29" s="22">
        <f>C31*2.54</f>
        <v>167.64000000000001</v>
      </c>
      <c r="D29" s="22">
        <f t="shared" ref="D29:G29" si="10">D31*2.54</f>
        <v>175.26</v>
      </c>
      <c r="E29" s="22">
        <f t="shared" si="10"/>
        <v>182.88</v>
      </c>
      <c r="F29" s="22">
        <f t="shared" si="10"/>
        <v>187.96</v>
      </c>
      <c r="G29" s="22">
        <f t="shared" si="10"/>
        <v>193.04</v>
      </c>
      <c r="I29" s="124" t="s">
        <v>287</v>
      </c>
      <c r="J29" s="124" t="s">
        <v>2615</v>
      </c>
    </row>
    <row r="30" spans="1:14" ht="22">
      <c r="C30" s="22">
        <v>64</v>
      </c>
      <c r="D30" s="22">
        <v>66</v>
      </c>
      <c r="E30" s="22">
        <v>69</v>
      </c>
      <c r="F30" s="22">
        <v>72</v>
      </c>
      <c r="G30" s="22">
        <v>74</v>
      </c>
      <c r="I30" s="124" t="s">
        <v>288</v>
      </c>
      <c r="J30" s="124" t="s">
        <v>2616</v>
      </c>
    </row>
    <row r="31" spans="1:14" ht="22">
      <c r="C31" s="22">
        <v>66</v>
      </c>
      <c r="D31" s="22">
        <v>69</v>
      </c>
      <c r="E31" s="22">
        <v>72</v>
      </c>
      <c r="F31" s="22">
        <v>74</v>
      </c>
      <c r="G31" s="22">
        <v>76</v>
      </c>
      <c r="I31" s="124" t="s">
        <v>289</v>
      </c>
      <c r="J31" s="124" t="s">
        <v>2617</v>
      </c>
    </row>
    <row r="32" spans="1:14" ht="22">
      <c r="B32" s="27"/>
      <c r="C32" s="27"/>
      <c r="D32" s="27"/>
      <c r="E32" s="27"/>
      <c r="F32" s="27"/>
      <c r="G32" s="27"/>
      <c r="H32" s="27"/>
      <c r="I32" s="124" t="s">
        <v>290</v>
      </c>
      <c r="J32" s="124" t="s">
        <v>2618</v>
      </c>
      <c r="K32" s="27"/>
      <c r="L32" s="27"/>
      <c r="M32" s="27"/>
      <c r="N32" s="27"/>
    </row>
    <row r="33" spans="1:14" ht="22">
      <c r="B33" s="29"/>
      <c r="C33" s="29"/>
      <c r="D33" s="29"/>
      <c r="E33" s="29"/>
      <c r="F33" s="29"/>
      <c r="G33" s="29"/>
      <c r="H33" s="29"/>
      <c r="I33" s="124" t="s">
        <v>291</v>
      </c>
      <c r="J33" s="124" t="s">
        <v>2619</v>
      </c>
      <c r="K33" s="29"/>
      <c r="L33" s="29"/>
      <c r="M33" s="29"/>
      <c r="N33" s="29"/>
    </row>
    <row r="34" spans="1:14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8" spans="1:14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1:14" ht="51" customHeight="1">
      <c r="A39" s="27"/>
    </row>
    <row r="40" spans="1:14">
      <c r="A40" s="29"/>
    </row>
    <row r="41" spans="1:14">
      <c r="A41" s="29"/>
    </row>
    <row r="42" spans="1:14">
      <c r="A42" s="29"/>
    </row>
    <row r="43" spans="1:14">
      <c r="A43" s="29"/>
      <c r="B43" s="29"/>
      <c r="C43" s="29"/>
      <c r="D43" s="29"/>
    </row>
    <row r="44" spans="1:14">
      <c r="A44" s="29"/>
      <c r="B44" s="29"/>
      <c r="C44" s="29"/>
      <c r="D44" s="29"/>
    </row>
    <row r="45" spans="1:14">
      <c r="A45" s="29"/>
      <c r="B45" s="29"/>
      <c r="C45" s="29"/>
      <c r="D45" s="29"/>
    </row>
    <row r="46" spans="1:14">
      <c r="A46" s="29"/>
      <c r="B46" s="29"/>
      <c r="C46" s="29"/>
      <c r="D46" s="29"/>
    </row>
    <row r="47" spans="1:14">
      <c r="A47" s="29"/>
      <c r="B47" s="29"/>
      <c r="C47" s="29"/>
      <c r="D47" s="29"/>
    </row>
    <row r="48" spans="1:14">
      <c r="A48" s="29"/>
      <c r="B48" s="29"/>
      <c r="C48" s="29"/>
      <c r="D48" s="29"/>
    </row>
    <row r="49" spans="1:4">
      <c r="A49" s="29"/>
      <c r="B49" s="29"/>
      <c r="C49" s="29"/>
      <c r="D49" s="29"/>
    </row>
    <row r="50" spans="1:4">
      <c r="A50" s="29"/>
      <c r="B50" s="29"/>
      <c r="C50" s="29"/>
      <c r="D50" s="29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E107-EC9B-B24B-8B8B-1BD6060CF491}">
  <dimension ref="A1:T43"/>
  <sheetViews>
    <sheetView topLeftCell="A13" workbookViewId="0">
      <selection activeCell="D21" sqref="D21:G22"/>
    </sheetView>
  </sheetViews>
  <sheetFormatPr baseColWidth="10" defaultRowHeight="20"/>
  <cols>
    <col min="1" max="2" width="29.33203125" style="22" bestFit="1" customWidth="1"/>
    <col min="3" max="3" width="22.1640625" style="22" bestFit="1" customWidth="1"/>
    <col min="4" max="4" width="11.1640625" style="22" bestFit="1" customWidth="1"/>
    <col min="5" max="6" width="12.6640625" style="22" bestFit="1" customWidth="1"/>
    <col min="7" max="7" width="17" style="22" bestFit="1" customWidth="1"/>
    <col min="8" max="8" width="23.33203125" style="22" bestFit="1" customWidth="1"/>
    <col min="9" max="9" width="24" style="22" bestFit="1" customWidth="1"/>
    <col min="10" max="10" width="15" style="22" bestFit="1" customWidth="1"/>
    <col min="11" max="12" width="13.6640625" style="22" bestFit="1" customWidth="1"/>
    <col min="13" max="13" width="11.83203125" style="22" bestFit="1" customWidth="1"/>
    <col min="14" max="14" width="23.1640625" style="22" bestFit="1" customWidth="1"/>
    <col min="15" max="15" width="21.33203125" style="22" bestFit="1" customWidth="1"/>
    <col min="16" max="16" width="26.5" style="22" bestFit="1" customWidth="1"/>
    <col min="17" max="17" width="15.5" style="22" bestFit="1" customWidth="1"/>
    <col min="18" max="18" width="18.1640625" style="22" bestFit="1" customWidth="1"/>
    <col min="19" max="19" width="13.83203125" style="22" bestFit="1" customWidth="1"/>
    <col min="20" max="20" width="16.83203125" style="22" bestFit="1" customWidth="1"/>
    <col min="21" max="16384" width="10.83203125" style="22"/>
  </cols>
  <sheetData>
    <row r="1" spans="1:7" ht="20" customHeight="1">
      <c r="A1" s="22" t="s">
        <v>72</v>
      </c>
      <c r="B1" s="22" t="s">
        <v>72</v>
      </c>
      <c r="C1" s="22" t="s">
        <v>141</v>
      </c>
      <c r="D1" s="22" t="str" cm="1">
        <f t="array" ref="D1:G16">TRANSPOSE(D34:S37)</f>
        <v>S</v>
      </c>
      <c r="E1" s="22" t="str">
        <v>M</v>
      </c>
      <c r="F1" s="22" t="str">
        <v>L</v>
      </c>
      <c r="G1" s="22" t="str">
        <v>XL</v>
      </c>
    </row>
    <row r="2" spans="1:7" ht="20" customHeight="1">
      <c r="A2" s="22" t="s">
        <v>54</v>
      </c>
      <c r="B2" s="22" t="s">
        <v>55</v>
      </c>
      <c r="C2" s="22" t="s">
        <v>1</v>
      </c>
      <c r="D2" s="22">
        <v>410</v>
      </c>
      <c r="E2" s="22">
        <v>423</v>
      </c>
      <c r="F2" s="22">
        <v>435</v>
      </c>
      <c r="G2" s="22">
        <v>445</v>
      </c>
    </row>
    <row r="3" spans="1:7" ht="20" customHeight="1">
      <c r="A3" s="22" t="s">
        <v>55</v>
      </c>
      <c r="B3" s="22" t="s">
        <v>54</v>
      </c>
      <c r="C3" s="22" t="s">
        <v>0</v>
      </c>
      <c r="D3" s="22">
        <v>548</v>
      </c>
      <c r="E3" s="22">
        <v>571</v>
      </c>
      <c r="F3" s="22">
        <v>589</v>
      </c>
      <c r="G3" s="22">
        <v>626</v>
      </c>
    </row>
    <row r="4" spans="1:7" ht="20" customHeight="1">
      <c r="A4" s="22" t="s">
        <v>60</v>
      </c>
      <c r="B4" s="22" t="s">
        <v>134</v>
      </c>
      <c r="C4" s="22" t="s">
        <v>1896</v>
      </c>
      <c r="D4" s="22">
        <v>657</v>
      </c>
      <c r="E4" s="22">
        <v>679</v>
      </c>
      <c r="F4" s="22">
        <v>701</v>
      </c>
      <c r="G4" s="22">
        <v>723</v>
      </c>
    </row>
    <row r="5" spans="1:7" ht="20" customHeight="1">
      <c r="A5" s="22" t="s">
        <v>73</v>
      </c>
      <c r="B5" s="22" t="s">
        <v>73</v>
      </c>
      <c r="C5" s="22" t="s">
        <v>577</v>
      </c>
      <c r="D5" s="22">
        <v>570</v>
      </c>
      <c r="E5" s="22">
        <v>597</v>
      </c>
      <c r="F5" s="22">
        <v>607</v>
      </c>
      <c r="G5" s="22">
        <v>626</v>
      </c>
    </row>
    <row r="6" spans="1:7" ht="20" customHeight="1">
      <c r="A6" s="22" t="s">
        <v>62</v>
      </c>
      <c r="B6" s="22" t="s">
        <v>64</v>
      </c>
      <c r="C6" s="22" t="s">
        <v>576</v>
      </c>
      <c r="D6" s="22">
        <v>130</v>
      </c>
      <c r="E6" s="22">
        <v>155</v>
      </c>
      <c r="F6" s="22">
        <v>184</v>
      </c>
      <c r="G6" s="22">
        <v>214</v>
      </c>
    </row>
    <row r="7" spans="1:7" ht="20" customHeight="1">
      <c r="A7" s="22" t="s">
        <v>63</v>
      </c>
      <c r="B7" s="22" t="s">
        <v>60</v>
      </c>
      <c r="C7" s="22" t="s">
        <v>582</v>
      </c>
      <c r="D7" s="22">
        <v>435</v>
      </c>
      <c r="E7" s="22">
        <v>467</v>
      </c>
      <c r="F7" s="22">
        <v>485</v>
      </c>
      <c r="G7" s="22">
        <v>515</v>
      </c>
    </row>
    <row r="8" spans="1:7" ht="20" customHeight="1">
      <c r="A8" s="22" t="s">
        <v>64</v>
      </c>
      <c r="B8" s="22" t="s">
        <v>66</v>
      </c>
      <c r="C8" s="22" t="s">
        <v>1349</v>
      </c>
      <c r="D8" s="22">
        <v>425</v>
      </c>
      <c r="E8" s="22">
        <v>425</v>
      </c>
      <c r="F8" s="22">
        <v>425</v>
      </c>
      <c r="G8" s="22">
        <v>425</v>
      </c>
    </row>
    <row r="9" spans="1:7" ht="20" customHeight="1">
      <c r="A9" s="22" t="s">
        <v>65</v>
      </c>
      <c r="B9" s="22" t="s">
        <v>65</v>
      </c>
      <c r="C9" s="22" t="s">
        <v>354</v>
      </c>
      <c r="D9" s="22">
        <v>75</v>
      </c>
      <c r="E9" s="22">
        <v>75</v>
      </c>
      <c r="F9" s="22">
        <v>75</v>
      </c>
      <c r="G9" s="22">
        <v>75</v>
      </c>
    </row>
    <row r="10" spans="1:7" ht="20" customHeight="1">
      <c r="A10" s="22" t="s">
        <v>66</v>
      </c>
      <c r="B10" s="22" t="s">
        <v>62</v>
      </c>
      <c r="C10" s="22" t="s">
        <v>1897</v>
      </c>
      <c r="D10" s="22">
        <v>68.599999999999994</v>
      </c>
      <c r="E10" s="22">
        <v>68.599999999999994</v>
      </c>
      <c r="F10" s="22">
        <v>68.599999999999994</v>
      </c>
      <c r="G10" s="22">
        <v>68.599999999999994</v>
      </c>
    </row>
    <row r="11" spans="1:7" ht="20" customHeight="1">
      <c r="A11" s="22" t="s">
        <v>56</v>
      </c>
      <c r="B11" s="22" t="s">
        <v>63</v>
      </c>
      <c r="C11" s="22" t="s">
        <v>1898</v>
      </c>
      <c r="D11" s="22">
        <v>74</v>
      </c>
      <c r="E11" s="22">
        <v>74</v>
      </c>
      <c r="F11" s="22">
        <v>74</v>
      </c>
      <c r="G11" s="22">
        <v>74</v>
      </c>
    </row>
    <row r="12" spans="1:7" ht="20" customHeight="1">
      <c r="A12" s="22" t="s">
        <v>67</v>
      </c>
      <c r="B12" s="22" t="s">
        <v>495</v>
      </c>
      <c r="C12" s="22" t="s">
        <v>580</v>
      </c>
      <c r="D12" s="22">
        <v>390</v>
      </c>
      <c r="E12" s="22">
        <v>390</v>
      </c>
      <c r="F12" s="22">
        <v>390</v>
      </c>
      <c r="G12" s="22">
        <v>390</v>
      </c>
    </row>
    <row r="13" spans="1:7" ht="20" customHeight="1">
      <c r="A13" s="22" t="s">
        <v>57</v>
      </c>
      <c r="B13" s="22" t="s">
        <v>67</v>
      </c>
      <c r="C13" s="22" t="s">
        <v>247</v>
      </c>
      <c r="D13" s="22">
        <v>55</v>
      </c>
      <c r="E13" s="22">
        <v>55</v>
      </c>
      <c r="F13" s="22">
        <v>55</v>
      </c>
      <c r="G13" s="22">
        <v>55</v>
      </c>
    </row>
    <row r="14" spans="1:7" ht="20" customHeight="1">
      <c r="A14" s="22" t="s">
        <v>69</v>
      </c>
      <c r="B14" s="22" t="s">
        <v>69</v>
      </c>
      <c r="C14" s="22" t="s">
        <v>58</v>
      </c>
      <c r="D14" s="22">
        <v>170</v>
      </c>
      <c r="E14" s="22">
        <v>172.5</v>
      </c>
      <c r="F14" s="22">
        <v>172.5</v>
      </c>
      <c r="G14" s="22">
        <v>175</v>
      </c>
    </row>
    <row r="15" spans="1:7" ht="20" customHeight="1">
      <c r="A15" s="22" t="s">
        <v>70</v>
      </c>
      <c r="B15" s="22" t="s">
        <v>70</v>
      </c>
      <c r="C15" s="22" t="s">
        <v>1899</v>
      </c>
      <c r="D15" s="22">
        <v>420</v>
      </c>
      <c r="E15" s="22">
        <v>440</v>
      </c>
      <c r="F15" s="22">
        <v>460</v>
      </c>
      <c r="G15" s="22">
        <v>460</v>
      </c>
    </row>
    <row r="16" spans="1:7" ht="20" customHeight="1">
      <c r="A16" s="22" t="s">
        <v>71</v>
      </c>
      <c r="B16" s="22" t="s">
        <v>71</v>
      </c>
      <c r="C16" s="22" t="s">
        <v>13</v>
      </c>
      <c r="D16" s="22">
        <v>50</v>
      </c>
      <c r="E16" s="22">
        <v>50</v>
      </c>
      <c r="F16" s="22">
        <v>70</v>
      </c>
      <c r="G16" s="22">
        <v>70</v>
      </c>
    </row>
    <row r="17" spans="1:20" ht="20" customHeight="1">
      <c r="A17" s="22" t="s">
        <v>68</v>
      </c>
      <c r="B17" s="22" t="s">
        <v>57</v>
      </c>
      <c r="C17" s="22" t="s">
        <v>57</v>
      </c>
    </row>
    <row r="18" spans="1:20" ht="20" customHeight="1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</row>
    <row r="19" spans="1:20" ht="20" customHeight="1">
      <c r="A19" s="22" t="s">
        <v>140</v>
      </c>
      <c r="B19" s="22" t="s">
        <v>139</v>
      </c>
      <c r="C19" s="22" t="s">
        <v>139</v>
      </c>
      <c r="D19" s="22">
        <v>40</v>
      </c>
      <c r="E19" s="22">
        <v>40</v>
      </c>
      <c r="F19" s="22">
        <v>40</v>
      </c>
      <c r="G19" s="22">
        <v>40</v>
      </c>
    </row>
    <row r="20" spans="1:20" ht="20" customHeight="1">
      <c r="A20" s="22" t="s">
        <v>1752</v>
      </c>
      <c r="B20" s="22" t="s">
        <v>140</v>
      </c>
      <c r="C20" s="22" t="s">
        <v>140</v>
      </c>
      <c r="D20" s="22">
        <v>47</v>
      </c>
      <c r="E20" s="22">
        <v>47</v>
      </c>
      <c r="F20" s="22">
        <v>47</v>
      </c>
      <c r="G20" s="22">
        <v>47</v>
      </c>
    </row>
    <row r="21" spans="1:20" ht="20" customHeight="1">
      <c r="A21" s="22" t="s">
        <v>1753</v>
      </c>
      <c r="B21" s="22" t="s">
        <v>1752</v>
      </c>
      <c r="C21" s="22" t="s">
        <v>1752</v>
      </c>
      <c r="D21" s="22">
        <v>165</v>
      </c>
      <c r="E21" s="22">
        <f>AVERAGE(E27,D28)</f>
        <v>172.5</v>
      </c>
      <c r="F21" s="22">
        <f t="shared" ref="F21:G21" si="0">AVERAGE(F27,E28)</f>
        <v>179.5</v>
      </c>
      <c r="G21" s="22">
        <f t="shared" si="0"/>
        <v>186.5</v>
      </c>
    </row>
    <row r="22" spans="1:20" ht="20" customHeight="1">
      <c r="B22" s="22" t="s">
        <v>1753</v>
      </c>
      <c r="C22" s="22" t="s">
        <v>1753</v>
      </c>
      <c r="D22" s="22">
        <f>E21</f>
        <v>172.5</v>
      </c>
      <c r="E22" s="22">
        <f t="shared" ref="E22:F22" si="1">F21</f>
        <v>179.5</v>
      </c>
      <c r="F22" s="22">
        <f t="shared" si="1"/>
        <v>186.5</v>
      </c>
      <c r="G22" s="22">
        <v>194</v>
      </c>
    </row>
    <row r="23" spans="1:20" ht="20" customHeight="1">
      <c r="B23" s="22" t="s">
        <v>56</v>
      </c>
      <c r="C23" s="22" t="s">
        <v>56</v>
      </c>
      <c r="D23" s="35">
        <f>D24+D25</f>
        <v>1071.0351534337137</v>
      </c>
      <c r="E23" s="35">
        <f t="shared" ref="E23:G23" si="2">E24+E25</f>
        <v>1093.1751806943521</v>
      </c>
      <c r="F23" s="35">
        <f t="shared" si="2"/>
        <v>1115.306339981224</v>
      </c>
      <c r="G23" s="35">
        <f t="shared" si="2"/>
        <v>1137.4294500628121</v>
      </c>
    </row>
    <row r="24" spans="1:20" ht="20" customHeight="1">
      <c r="C24" s="22" t="s">
        <v>1906</v>
      </c>
      <c r="D24" s="35">
        <f>SQRT(D8^2 - D9^2)</f>
        <v>418.33001326703777</v>
      </c>
      <c r="E24" s="35">
        <f t="shared" ref="E24:G24" si="3">SQRT(E8^2 - E9^2)</f>
        <v>418.33001326703777</v>
      </c>
      <c r="F24" s="35">
        <f t="shared" si="3"/>
        <v>418.33001326703777</v>
      </c>
      <c r="G24" s="35">
        <f t="shared" si="3"/>
        <v>418.33001326703777</v>
      </c>
    </row>
    <row r="25" spans="1:20" ht="20" customHeight="1">
      <c r="C25" s="22" t="s">
        <v>1907</v>
      </c>
      <c r="D25" s="35">
        <f>SQRT(D4^2-D9^2)</f>
        <v>652.70514016667585</v>
      </c>
      <c r="E25" s="35">
        <f t="shared" ref="E25:G25" si="4">SQRT(E4^2-E9^2)</f>
        <v>674.84516742731444</v>
      </c>
      <c r="F25" s="35">
        <f t="shared" si="4"/>
        <v>696.97632671418614</v>
      </c>
      <c r="G25" s="35">
        <f t="shared" si="4"/>
        <v>719.09943679577441</v>
      </c>
    </row>
    <row r="27" spans="1:20">
      <c r="D27" s="22">
        <v>165</v>
      </c>
      <c r="E27" s="22">
        <v>172</v>
      </c>
      <c r="F27" s="22">
        <v>179</v>
      </c>
      <c r="G27" s="22">
        <v>186</v>
      </c>
    </row>
    <row r="28" spans="1:20">
      <c r="D28" s="22">
        <v>173</v>
      </c>
      <c r="E28" s="22">
        <v>180</v>
      </c>
      <c r="F28" s="22">
        <v>187</v>
      </c>
      <c r="G28" s="22">
        <v>194</v>
      </c>
    </row>
    <row r="29" spans="1:20">
      <c r="C29" s="28" t="s">
        <v>1895</v>
      </c>
      <c r="D29" s="28" t="s">
        <v>141</v>
      </c>
      <c r="E29" s="28" t="s">
        <v>1</v>
      </c>
      <c r="F29" s="28" t="s">
        <v>0</v>
      </c>
      <c r="G29" s="28" t="s">
        <v>1896</v>
      </c>
      <c r="H29" s="28" t="s">
        <v>577</v>
      </c>
      <c r="I29" s="28" t="s">
        <v>576</v>
      </c>
      <c r="J29" s="28" t="s">
        <v>582</v>
      </c>
      <c r="K29" s="28" t="s">
        <v>1349</v>
      </c>
      <c r="L29" s="28" t="s">
        <v>354</v>
      </c>
      <c r="M29" s="28" t="s">
        <v>1897</v>
      </c>
      <c r="N29" s="28" t="s">
        <v>1898</v>
      </c>
      <c r="O29" s="28" t="s">
        <v>580</v>
      </c>
      <c r="P29" s="28" t="s">
        <v>247</v>
      </c>
      <c r="Q29" s="28" t="s">
        <v>58</v>
      </c>
      <c r="R29" s="28" t="s">
        <v>1899</v>
      </c>
      <c r="S29" s="28" t="s">
        <v>13</v>
      </c>
      <c r="T29"/>
    </row>
    <row r="30" spans="1:20">
      <c r="C30" s="22" t="s">
        <v>1900</v>
      </c>
      <c r="D30" s="22" t="s">
        <v>17</v>
      </c>
      <c r="E30" s="22">
        <v>405</v>
      </c>
      <c r="F30" s="22">
        <v>552</v>
      </c>
      <c r="G30" s="22">
        <v>652</v>
      </c>
      <c r="H30" s="22">
        <v>572</v>
      </c>
      <c r="I30" s="22">
        <v>130</v>
      </c>
      <c r="J30" s="22">
        <v>435</v>
      </c>
      <c r="K30" s="22">
        <v>425</v>
      </c>
      <c r="L30" s="22">
        <v>70</v>
      </c>
      <c r="M30" s="22">
        <v>68</v>
      </c>
      <c r="N30" s="22">
        <v>73.400000000000006</v>
      </c>
      <c r="O30" s="22">
        <v>400</v>
      </c>
      <c r="P30" s="22">
        <v>45</v>
      </c>
      <c r="Q30" s="22">
        <v>170</v>
      </c>
      <c r="R30" s="22">
        <v>420</v>
      </c>
      <c r="S30" s="22">
        <v>50</v>
      </c>
      <c r="T30"/>
    </row>
    <row r="31" spans="1:20">
      <c r="D31" s="22" t="s">
        <v>18</v>
      </c>
      <c r="E31" s="22">
        <v>418</v>
      </c>
      <c r="F31" s="22">
        <v>575</v>
      </c>
      <c r="G31" s="22">
        <v>674</v>
      </c>
      <c r="H31" s="22">
        <v>589</v>
      </c>
      <c r="I31" s="22">
        <v>155</v>
      </c>
      <c r="J31" s="22">
        <v>567</v>
      </c>
      <c r="K31" s="22">
        <v>425</v>
      </c>
      <c r="L31" s="22">
        <v>70</v>
      </c>
      <c r="M31" s="22">
        <v>68</v>
      </c>
      <c r="N31" s="22">
        <v>73.400000000000006</v>
      </c>
      <c r="O31" s="22">
        <v>400</v>
      </c>
      <c r="P31" s="22">
        <v>45</v>
      </c>
      <c r="Q31" s="22">
        <v>172.5</v>
      </c>
      <c r="R31" s="22">
        <v>440</v>
      </c>
      <c r="S31" s="22">
        <v>50</v>
      </c>
      <c r="T31"/>
    </row>
    <row r="32" spans="1:20">
      <c r="D32" s="22" t="s">
        <v>19</v>
      </c>
      <c r="E32" s="22">
        <v>430</v>
      </c>
      <c r="F32" s="22">
        <v>602</v>
      </c>
      <c r="G32" s="22">
        <v>697</v>
      </c>
      <c r="H32" s="22">
        <v>609</v>
      </c>
      <c r="I32" s="22">
        <v>184</v>
      </c>
      <c r="J32" s="22">
        <v>585</v>
      </c>
      <c r="K32" s="22">
        <v>425</v>
      </c>
      <c r="L32" s="22">
        <v>70</v>
      </c>
      <c r="M32" s="22">
        <v>68</v>
      </c>
      <c r="N32" s="22">
        <v>73.400000000000006</v>
      </c>
      <c r="O32" s="22">
        <v>400</v>
      </c>
      <c r="P32" s="22">
        <v>45</v>
      </c>
      <c r="Q32" s="22">
        <v>172.5</v>
      </c>
      <c r="R32" s="22">
        <v>460</v>
      </c>
      <c r="S32" s="22">
        <v>70</v>
      </c>
      <c r="T32"/>
    </row>
    <row r="33" spans="3:20">
      <c r="D33" s="22" t="s">
        <v>20</v>
      </c>
      <c r="E33" s="22">
        <v>440</v>
      </c>
      <c r="F33" s="22">
        <v>630</v>
      </c>
      <c r="G33" s="22">
        <v>718</v>
      </c>
      <c r="H33" s="22">
        <v>628</v>
      </c>
      <c r="I33" s="22">
        <v>214</v>
      </c>
      <c r="J33" s="22">
        <v>515</v>
      </c>
      <c r="K33" s="22">
        <v>425</v>
      </c>
      <c r="L33" s="22">
        <v>70</v>
      </c>
      <c r="M33" s="22">
        <v>68</v>
      </c>
      <c r="N33" s="22">
        <v>73.400000000000006</v>
      </c>
      <c r="O33" s="22">
        <v>400</v>
      </c>
      <c r="P33" s="22">
        <v>45</v>
      </c>
      <c r="Q33" s="22">
        <v>175</v>
      </c>
      <c r="R33" s="22">
        <v>460</v>
      </c>
      <c r="S33" s="22">
        <v>70</v>
      </c>
      <c r="T33"/>
    </row>
    <row r="34" spans="3:20">
      <c r="C34" s="22" t="s">
        <v>1901</v>
      </c>
      <c r="D34" s="22" t="s">
        <v>17</v>
      </c>
      <c r="E34" s="22">
        <v>410</v>
      </c>
      <c r="F34" s="22">
        <v>548</v>
      </c>
      <c r="G34" s="22">
        <v>657</v>
      </c>
      <c r="H34" s="22">
        <v>570</v>
      </c>
      <c r="I34" s="22">
        <v>130</v>
      </c>
      <c r="J34" s="22">
        <v>435</v>
      </c>
      <c r="K34" s="22">
        <v>425</v>
      </c>
      <c r="L34" s="22">
        <v>75</v>
      </c>
      <c r="M34" s="22">
        <v>68.599999999999994</v>
      </c>
      <c r="N34" s="22">
        <v>74</v>
      </c>
      <c r="O34" s="22">
        <v>390</v>
      </c>
      <c r="P34" s="22">
        <v>55</v>
      </c>
      <c r="Q34" s="22">
        <v>170</v>
      </c>
      <c r="R34" s="22">
        <v>420</v>
      </c>
      <c r="S34" s="22">
        <v>50</v>
      </c>
      <c r="T34"/>
    </row>
    <row r="35" spans="3:20">
      <c r="D35" s="22" t="s">
        <v>18</v>
      </c>
      <c r="E35" s="22">
        <v>423</v>
      </c>
      <c r="F35" s="22">
        <v>571</v>
      </c>
      <c r="G35" s="22">
        <v>679</v>
      </c>
      <c r="H35" s="22">
        <v>597</v>
      </c>
      <c r="I35" s="22">
        <v>155</v>
      </c>
      <c r="J35" s="22">
        <v>467</v>
      </c>
      <c r="K35" s="22">
        <v>425</v>
      </c>
      <c r="L35" s="22">
        <v>75</v>
      </c>
      <c r="M35" s="22">
        <v>68.599999999999994</v>
      </c>
      <c r="N35" s="22">
        <v>74</v>
      </c>
      <c r="O35" s="22">
        <v>390</v>
      </c>
      <c r="P35" s="22">
        <v>55</v>
      </c>
      <c r="Q35" s="22">
        <v>172.5</v>
      </c>
      <c r="R35" s="22">
        <v>440</v>
      </c>
      <c r="S35" s="22">
        <v>50</v>
      </c>
      <c r="T35"/>
    </row>
    <row r="36" spans="3:20">
      <c r="D36" s="22" t="s">
        <v>19</v>
      </c>
      <c r="E36" s="22">
        <v>435</v>
      </c>
      <c r="F36" s="22">
        <v>589</v>
      </c>
      <c r="G36" s="22">
        <v>701</v>
      </c>
      <c r="H36" s="22">
        <v>607</v>
      </c>
      <c r="I36" s="22">
        <v>184</v>
      </c>
      <c r="J36" s="22">
        <v>485</v>
      </c>
      <c r="K36" s="22">
        <v>425</v>
      </c>
      <c r="L36" s="22">
        <v>75</v>
      </c>
      <c r="M36" s="22">
        <v>68.599999999999994</v>
      </c>
      <c r="N36" s="22">
        <v>74</v>
      </c>
      <c r="O36" s="22">
        <v>390</v>
      </c>
      <c r="P36" s="22">
        <v>55</v>
      </c>
      <c r="Q36" s="22">
        <v>172.5</v>
      </c>
      <c r="R36" s="22">
        <v>460</v>
      </c>
      <c r="S36" s="22">
        <v>70</v>
      </c>
      <c r="T36"/>
    </row>
    <row r="37" spans="3:20">
      <c r="D37" s="22" t="s">
        <v>20</v>
      </c>
      <c r="E37" s="22">
        <v>445</v>
      </c>
      <c r="F37" s="22">
        <v>626</v>
      </c>
      <c r="G37" s="22">
        <v>723</v>
      </c>
      <c r="H37" s="22">
        <v>626</v>
      </c>
      <c r="I37" s="22">
        <v>214</v>
      </c>
      <c r="J37" s="22">
        <v>515</v>
      </c>
      <c r="K37" s="22">
        <v>425</v>
      </c>
      <c r="L37" s="22">
        <v>75</v>
      </c>
      <c r="M37" s="22">
        <v>68.599999999999994</v>
      </c>
      <c r="N37" s="22">
        <v>74</v>
      </c>
      <c r="O37" s="22">
        <v>390</v>
      </c>
      <c r="P37" s="22">
        <v>55</v>
      </c>
      <c r="Q37" s="22">
        <v>175</v>
      </c>
      <c r="R37" s="22">
        <v>460</v>
      </c>
      <c r="S37" s="22">
        <v>70</v>
      </c>
      <c r="T37"/>
    </row>
    <row r="40" spans="3:20">
      <c r="C40" s="29" t="s">
        <v>17</v>
      </c>
      <c r="D40" s="29" t="s">
        <v>1902</v>
      </c>
    </row>
    <row r="41" spans="3:20">
      <c r="C41" s="29" t="s">
        <v>18</v>
      </c>
      <c r="D41" s="29" t="s">
        <v>1903</v>
      </c>
    </row>
    <row r="42" spans="3:20">
      <c r="C42" s="29" t="s">
        <v>19</v>
      </c>
      <c r="D42" s="29" t="s">
        <v>1904</v>
      </c>
    </row>
    <row r="43" spans="3:20">
      <c r="C43" s="29" t="s">
        <v>20</v>
      </c>
      <c r="D43" s="29" t="s">
        <v>1905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8544-3646-0D47-B40B-A2C5FF34E995}">
  <dimension ref="A1:T54"/>
  <sheetViews>
    <sheetView topLeftCell="A15" workbookViewId="0">
      <selection activeCell="E21" sqref="E21"/>
    </sheetView>
  </sheetViews>
  <sheetFormatPr baseColWidth="10" defaultRowHeight="20"/>
  <cols>
    <col min="1" max="2" width="29.33203125" style="22" bestFit="1" customWidth="1"/>
    <col min="3" max="3" width="22.1640625" style="22" bestFit="1" customWidth="1"/>
    <col min="4" max="7" width="18.1640625" style="22" customWidth="1"/>
    <col min="8" max="8" width="23.33203125" style="22" bestFit="1" customWidth="1"/>
    <col min="9" max="9" width="24" style="22" bestFit="1" customWidth="1"/>
    <col min="10" max="10" width="15" style="22" bestFit="1" customWidth="1"/>
    <col min="11" max="12" width="13.6640625" style="22" bestFit="1" customWidth="1"/>
    <col min="13" max="13" width="11.83203125" style="22" bestFit="1" customWidth="1"/>
    <col min="14" max="14" width="23.1640625" style="22" bestFit="1" customWidth="1"/>
    <col min="15" max="15" width="21.33203125" style="22" bestFit="1" customWidth="1"/>
    <col min="16" max="16" width="26.5" style="22" bestFit="1" customWidth="1"/>
    <col min="17" max="17" width="15.5" style="22" bestFit="1" customWidth="1"/>
    <col min="18" max="18" width="18.1640625" style="22" bestFit="1" customWidth="1"/>
    <col min="19" max="19" width="13.83203125" style="22" bestFit="1" customWidth="1"/>
    <col min="20" max="20" width="16.83203125" style="22" bestFit="1" customWidth="1"/>
    <col min="21" max="16384" width="10.83203125" style="22"/>
  </cols>
  <sheetData>
    <row r="1" spans="1:8">
      <c r="A1" s="22" t="s">
        <v>72</v>
      </c>
      <c r="B1" s="22" t="s">
        <v>72</v>
      </c>
      <c r="C1" s="22" t="str" cm="1">
        <f t="array" ref="C1:G16">TRANSPOSE(D29:S33)</f>
        <v>Size</v>
      </c>
      <c r="D1" s="22" t="str">
        <v>S</v>
      </c>
      <c r="E1" s="22" t="str">
        <v>M</v>
      </c>
      <c r="F1" s="22" t="str">
        <v>L</v>
      </c>
      <c r="G1" s="22" t="str">
        <v>XL</v>
      </c>
    </row>
    <row r="2" spans="1:8">
      <c r="A2" s="22" t="s">
        <v>54</v>
      </c>
      <c r="B2" s="22" t="s">
        <v>55</v>
      </c>
      <c r="C2" s="22" t="str">
        <v>Reach</v>
      </c>
      <c r="D2" s="22">
        <v>405</v>
      </c>
      <c r="E2" s="22">
        <v>418</v>
      </c>
      <c r="F2" s="22">
        <v>430</v>
      </c>
      <c r="G2" s="22">
        <v>440</v>
      </c>
    </row>
    <row r="3" spans="1:8">
      <c r="A3" s="22" t="s">
        <v>55</v>
      </c>
      <c r="B3" s="22" t="s">
        <v>54</v>
      </c>
      <c r="C3" s="22" t="str">
        <v>Stack</v>
      </c>
      <c r="D3" s="22">
        <v>552</v>
      </c>
      <c r="E3" s="22">
        <v>575</v>
      </c>
      <c r="F3" s="22">
        <v>602</v>
      </c>
      <c r="G3" s="22">
        <v>630</v>
      </c>
    </row>
    <row r="4" spans="1:8">
      <c r="A4" s="22" t="s">
        <v>60</v>
      </c>
      <c r="B4" s="22" t="s">
        <v>134</v>
      </c>
      <c r="C4" s="22" t="str">
        <v>Front center</v>
      </c>
      <c r="D4" s="22">
        <v>652</v>
      </c>
      <c r="E4" s="22">
        <v>674</v>
      </c>
      <c r="F4" s="22">
        <v>697</v>
      </c>
      <c r="G4" s="22">
        <v>718</v>
      </c>
      <c r="H4" s="22" t="s">
        <v>1908</v>
      </c>
    </row>
    <row r="5" spans="1:8">
      <c r="A5" s="22" t="s">
        <v>73</v>
      </c>
      <c r="B5" s="22" t="s">
        <v>73</v>
      </c>
      <c r="C5" s="22" t="str">
        <v>Effective Top Tube</v>
      </c>
      <c r="D5" s="22">
        <v>572</v>
      </c>
      <c r="E5" s="22">
        <v>589</v>
      </c>
      <c r="F5" s="22">
        <v>609</v>
      </c>
      <c r="G5" s="22">
        <v>628</v>
      </c>
    </row>
    <row r="6" spans="1:8">
      <c r="A6" s="22" t="s">
        <v>62</v>
      </c>
      <c r="B6" s="22" t="s">
        <v>64</v>
      </c>
      <c r="C6" s="22" t="str">
        <v>Head Tube</v>
      </c>
      <c r="D6" s="22">
        <v>130</v>
      </c>
      <c r="E6" s="22">
        <v>155</v>
      </c>
      <c r="F6" s="22">
        <v>184</v>
      </c>
      <c r="G6" s="22">
        <v>214</v>
      </c>
    </row>
    <row r="7" spans="1:8">
      <c r="A7" s="22" t="s">
        <v>63</v>
      </c>
      <c r="B7" s="22" t="s">
        <v>60</v>
      </c>
      <c r="C7" s="22" t="str">
        <v>Seat Tube</v>
      </c>
      <c r="D7" s="22">
        <v>435</v>
      </c>
      <c r="E7" s="22">
        <v>567</v>
      </c>
      <c r="F7" s="22">
        <v>585</v>
      </c>
      <c r="G7" s="22">
        <v>515</v>
      </c>
    </row>
    <row r="8" spans="1:8">
      <c r="A8" s="22" t="s">
        <v>64</v>
      </c>
      <c r="B8" s="22" t="s">
        <v>66</v>
      </c>
      <c r="C8" s="22" t="str">
        <v>Chainstay</v>
      </c>
      <c r="D8" s="22">
        <v>425</v>
      </c>
      <c r="E8" s="22">
        <v>425</v>
      </c>
      <c r="F8" s="22">
        <v>425</v>
      </c>
      <c r="G8" s="22">
        <v>425</v>
      </c>
    </row>
    <row r="9" spans="1:8">
      <c r="A9" s="22" t="s">
        <v>65</v>
      </c>
      <c r="B9" s="22" t="s">
        <v>65</v>
      </c>
      <c r="C9" s="22" t="str">
        <v>BB drop</v>
      </c>
      <c r="D9" s="22">
        <v>70</v>
      </c>
      <c r="E9" s="22">
        <v>70</v>
      </c>
      <c r="F9" s="22">
        <v>70</v>
      </c>
      <c r="G9" s="22">
        <v>70</v>
      </c>
    </row>
    <row r="10" spans="1:8">
      <c r="A10" s="22" t="s">
        <v>66</v>
      </c>
      <c r="B10" s="22" t="s">
        <v>62</v>
      </c>
      <c r="C10" s="22" t="str">
        <v>Head Tube angle</v>
      </c>
      <c r="D10" s="22">
        <v>68</v>
      </c>
      <c r="E10" s="22">
        <v>68</v>
      </c>
      <c r="F10" s="22">
        <v>68</v>
      </c>
      <c r="G10" s="22">
        <v>68</v>
      </c>
    </row>
    <row r="11" spans="1:8">
      <c r="A11" s="22" t="s">
        <v>56</v>
      </c>
      <c r="B11" s="22" t="s">
        <v>63</v>
      </c>
      <c r="C11" s="22" t="str">
        <v>Seat tube angle</v>
      </c>
      <c r="D11" s="22">
        <v>73.400000000000006</v>
      </c>
      <c r="E11" s="22">
        <v>73.400000000000006</v>
      </c>
      <c r="F11" s="22">
        <v>73.400000000000006</v>
      </c>
      <c r="G11" s="22">
        <v>73.400000000000006</v>
      </c>
    </row>
    <row r="12" spans="1:8">
      <c r="A12" s="22" t="s">
        <v>67</v>
      </c>
      <c r="B12" s="22" t="s">
        <v>495</v>
      </c>
      <c r="C12" s="22" t="str">
        <v>Fork Axle to Crown</v>
      </c>
      <c r="D12" s="22">
        <v>400</v>
      </c>
      <c r="E12" s="22">
        <v>400</v>
      </c>
      <c r="F12" s="22">
        <v>400</v>
      </c>
      <c r="G12" s="22">
        <v>400</v>
      </c>
    </row>
    <row r="13" spans="1:8">
      <c r="A13" s="22" t="s">
        <v>57</v>
      </c>
      <c r="B13" s="22" t="s">
        <v>67</v>
      </c>
      <c r="C13" s="22" t="str">
        <v>Fork Offset</v>
      </c>
      <c r="D13" s="22">
        <v>45</v>
      </c>
      <c r="E13" s="22">
        <v>45</v>
      </c>
      <c r="F13" s="22">
        <v>45</v>
      </c>
      <c r="G13" s="22">
        <v>45</v>
      </c>
    </row>
    <row r="14" spans="1:8">
      <c r="A14" s="22" t="s">
        <v>69</v>
      </c>
      <c r="B14" s="22" t="s">
        <v>69</v>
      </c>
      <c r="C14" s="22" t="str">
        <v>Crank Length</v>
      </c>
      <c r="D14" s="22">
        <v>170</v>
      </c>
      <c r="E14" s="22">
        <v>172.5</v>
      </c>
      <c r="F14" s="22">
        <v>172.5</v>
      </c>
      <c r="G14" s="22">
        <v>175</v>
      </c>
    </row>
    <row r="15" spans="1:8">
      <c r="A15" s="22" t="s">
        <v>70</v>
      </c>
      <c r="B15" s="22" t="s">
        <v>70</v>
      </c>
      <c r="C15" s="22" t="str">
        <v>Bar width</v>
      </c>
      <c r="D15" s="22">
        <v>420</v>
      </c>
      <c r="E15" s="22">
        <v>440</v>
      </c>
      <c r="F15" s="22">
        <v>460</v>
      </c>
      <c r="G15" s="22">
        <v>460</v>
      </c>
    </row>
    <row r="16" spans="1:8">
      <c r="A16" s="22" t="s">
        <v>71</v>
      </c>
      <c r="B16" s="22" t="s">
        <v>71</v>
      </c>
      <c r="C16" s="22" t="str">
        <v>Stem Length</v>
      </c>
      <c r="D16" s="22">
        <v>50</v>
      </c>
      <c r="E16" s="22">
        <v>50</v>
      </c>
      <c r="F16" s="22">
        <v>70</v>
      </c>
      <c r="G16" s="22">
        <v>70</v>
      </c>
    </row>
    <row r="17" spans="1:20">
      <c r="A17" s="22" t="s">
        <v>68</v>
      </c>
      <c r="B17" s="22" t="s">
        <v>57</v>
      </c>
      <c r="C17" s="22" t="s">
        <v>57</v>
      </c>
    </row>
    <row r="18" spans="1:20">
      <c r="A18" s="22" t="s">
        <v>139</v>
      </c>
      <c r="B18" s="22" t="s">
        <v>68</v>
      </c>
      <c r="C18" s="22" t="s">
        <v>68</v>
      </c>
      <c r="D18" s="22">
        <v>700</v>
      </c>
      <c r="E18" s="22">
        <v>700</v>
      </c>
      <c r="F18" s="22">
        <v>700</v>
      </c>
      <c r="G18" s="22">
        <v>700</v>
      </c>
    </row>
    <row r="19" spans="1:20">
      <c r="A19" s="22" t="s">
        <v>140</v>
      </c>
      <c r="B19" s="22" t="s">
        <v>139</v>
      </c>
      <c r="C19" s="22" t="s">
        <v>139</v>
      </c>
      <c r="D19" s="22">
        <v>40</v>
      </c>
      <c r="E19" s="22">
        <v>40</v>
      </c>
      <c r="F19" s="22">
        <v>40</v>
      </c>
      <c r="G19" s="22">
        <v>40</v>
      </c>
    </row>
    <row r="20" spans="1:20">
      <c r="A20" s="22" t="s">
        <v>1752</v>
      </c>
      <c r="B20" s="22" t="s">
        <v>140</v>
      </c>
      <c r="C20" s="22" t="s">
        <v>140</v>
      </c>
      <c r="D20" s="22">
        <v>47</v>
      </c>
      <c r="E20" s="22">
        <v>47</v>
      </c>
      <c r="F20" s="22">
        <v>47</v>
      </c>
      <c r="G20" s="22">
        <v>47</v>
      </c>
    </row>
    <row r="21" spans="1:20">
      <c r="A21" s="22" t="s">
        <v>1753</v>
      </c>
      <c r="B21" s="22" t="s">
        <v>1752</v>
      </c>
      <c r="C21" s="22" t="s">
        <v>1752</v>
      </c>
      <c r="D21" s="22">
        <v>165</v>
      </c>
      <c r="E21" s="22">
        <f>AVERAGE(E27,D28)</f>
        <v>172.5</v>
      </c>
      <c r="F21" s="22">
        <f t="shared" ref="F21:G21" si="0">AVERAGE(F27,E28)</f>
        <v>179.5</v>
      </c>
      <c r="G21" s="22">
        <f t="shared" si="0"/>
        <v>186.5</v>
      </c>
    </row>
    <row r="22" spans="1:20">
      <c r="B22" s="22" t="s">
        <v>1753</v>
      </c>
      <c r="C22" s="22" t="s">
        <v>1753</v>
      </c>
      <c r="D22" s="22">
        <f>E21</f>
        <v>172.5</v>
      </c>
      <c r="E22" s="22">
        <f t="shared" ref="E22:F22" si="1">F21</f>
        <v>179.5</v>
      </c>
      <c r="F22" s="22">
        <f t="shared" si="1"/>
        <v>186.5</v>
      </c>
      <c r="G22" s="22">
        <v>194</v>
      </c>
    </row>
    <row r="23" spans="1:20">
      <c r="B23" s="22" t="s">
        <v>56</v>
      </c>
      <c r="C23" s="22" t="s">
        <v>56</v>
      </c>
      <c r="D23" s="35">
        <f>D24+D25</f>
        <v>1067.4270985252788</v>
      </c>
      <c r="E23" s="35">
        <f t="shared" ref="E23:G23" si="2">E24+E25</f>
        <v>1089.5507881377853</v>
      </c>
      <c r="F23" s="35">
        <f t="shared" si="2"/>
        <v>1112.6716853573723</v>
      </c>
      <c r="G23" s="35">
        <f t="shared" si="2"/>
        <v>1133.7752550605151</v>
      </c>
    </row>
    <row r="24" spans="1:20">
      <c r="C24" s="22" t="s">
        <v>1906</v>
      </c>
      <c r="D24" s="35">
        <f>SQRT(D8^2 - D9^2)</f>
        <v>419.19565837446362</v>
      </c>
      <c r="E24" s="35">
        <f t="shared" ref="E24:G24" si="3">SQRT(E8^2 - E9^2)</f>
        <v>419.19565837446362</v>
      </c>
      <c r="F24" s="35">
        <f t="shared" si="3"/>
        <v>419.19565837446362</v>
      </c>
      <c r="G24" s="35">
        <f t="shared" si="3"/>
        <v>419.19565837446362</v>
      </c>
    </row>
    <row r="25" spans="1:20">
      <c r="C25" s="22" t="s">
        <v>1907</v>
      </c>
      <c r="D25" s="35">
        <f>SQRT(D4^2-D9^2)</f>
        <v>648.23144015081527</v>
      </c>
      <c r="E25" s="35">
        <f t="shared" ref="E25:G25" si="4">SQRT(E4^2-E9^2)</f>
        <v>670.35512976332177</v>
      </c>
      <c r="F25" s="35">
        <f t="shared" si="4"/>
        <v>693.47602698290871</v>
      </c>
      <c r="G25" s="35">
        <f t="shared" si="4"/>
        <v>714.57959668605145</v>
      </c>
    </row>
    <row r="26" spans="1:20">
      <c r="A26" s="22" t="s">
        <v>57</v>
      </c>
    </row>
    <row r="27" spans="1:20">
      <c r="D27" s="22">
        <v>165</v>
      </c>
      <c r="E27" s="22">
        <v>172</v>
      </c>
      <c r="F27" s="22">
        <v>179</v>
      </c>
      <c r="G27" s="22">
        <v>186</v>
      </c>
    </row>
    <row r="28" spans="1:20">
      <c r="D28" s="22">
        <v>173</v>
      </c>
      <c r="E28" s="22">
        <v>180</v>
      </c>
      <c r="F28" s="22">
        <v>187</v>
      </c>
      <c r="G28" s="22">
        <v>194</v>
      </c>
    </row>
    <row r="29" spans="1:20">
      <c r="C29" s="28" t="s">
        <v>1895</v>
      </c>
      <c r="D29" s="28" t="s">
        <v>141</v>
      </c>
      <c r="E29" s="28" t="s">
        <v>1</v>
      </c>
      <c r="F29" s="28" t="s">
        <v>0</v>
      </c>
      <c r="G29" s="28" t="s">
        <v>1896</v>
      </c>
      <c r="H29" s="28" t="s">
        <v>577</v>
      </c>
      <c r="I29" s="28" t="s">
        <v>576</v>
      </c>
      <c r="J29" s="28" t="s">
        <v>582</v>
      </c>
      <c r="K29" s="28" t="s">
        <v>1349</v>
      </c>
      <c r="L29" s="28" t="s">
        <v>354</v>
      </c>
      <c r="M29" s="28" t="s">
        <v>1897</v>
      </c>
      <c r="N29" s="28" t="s">
        <v>1898</v>
      </c>
      <c r="O29" s="28" t="s">
        <v>580</v>
      </c>
      <c r="P29" s="28" t="s">
        <v>247</v>
      </c>
      <c r="Q29" s="28" t="s">
        <v>58</v>
      </c>
      <c r="R29" s="28" t="s">
        <v>1899</v>
      </c>
      <c r="S29" s="28" t="s">
        <v>13</v>
      </c>
      <c r="T29"/>
    </row>
    <row r="30" spans="1:20">
      <c r="C30" s="22" t="s">
        <v>1900</v>
      </c>
      <c r="D30" s="22" t="s">
        <v>17</v>
      </c>
      <c r="E30" s="22">
        <v>405</v>
      </c>
      <c r="F30" s="22">
        <v>552</v>
      </c>
      <c r="G30" s="22">
        <v>652</v>
      </c>
      <c r="H30" s="22">
        <v>572</v>
      </c>
      <c r="I30" s="22">
        <v>130</v>
      </c>
      <c r="J30" s="22">
        <v>435</v>
      </c>
      <c r="K30" s="22">
        <v>425</v>
      </c>
      <c r="L30" s="22">
        <v>70</v>
      </c>
      <c r="M30" s="22">
        <v>68</v>
      </c>
      <c r="N30" s="22">
        <v>73.400000000000006</v>
      </c>
      <c r="O30" s="22">
        <v>400</v>
      </c>
      <c r="P30" s="22">
        <v>45</v>
      </c>
      <c r="Q30" s="22">
        <v>170</v>
      </c>
      <c r="R30" s="22">
        <v>420</v>
      </c>
      <c r="S30" s="22">
        <v>50</v>
      </c>
      <c r="T30"/>
    </row>
    <row r="31" spans="1:20">
      <c r="D31" s="22" t="s">
        <v>18</v>
      </c>
      <c r="E31" s="22">
        <v>418</v>
      </c>
      <c r="F31" s="22">
        <v>575</v>
      </c>
      <c r="G31" s="22">
        <v>674</v>
      </c>
      <c r="H31" s="22">
        <v>589</v>
      </c>
      <c r="I31" s="22">
        <v>155</v>
      </c>
      <c r="J31" s="22">
        <v>567</v>
      </c>
      <c r="K31" s="22">
        <v>425</v>
      </c>
      <c r="L31" s="22">
        <v>70</v>
      </c>
      <c r="M31" s="22">
        <v>68</v>
      </c>
      <c r="N31" s="22">
        <v>73.400000000000006</v>
      </c>
      <c r="O31" s="22">
        <v>400</v>
      </c>
      <c r="P31" s="22">
        <v>45</v>
      </c>
      <c r="Q31" s="22">
        <v>172.5</v>
      </c>
      <c r="R31" s="22">
        <v>440</v>
      </c>
      <c r="S31" s="22">
        <v>50</v>
      </c>
      <c r="T31"/>
    </row>
    <row r="32" spans="1:20">
      <c r="D32" s="22" t="s">
        <v>19</v>
      </c>
      <c r="E32" s="22">
        <v>430</v>
      </c>
      <c r="F32" s="22">
        <v>602</v>
      </c>
      <c r="G32" s="22">
        <v>697</v>
      </c>
      <c r="H32" s="22">
        <v>609</v>
      </c>
      <c r="I32" s="22">
        <v>184</v>
      </c>
      <c r="J32" s="22">
        <v>585</v>
      </c>
      <c r="K32" s="22">
        <v>425</v>
      </c>
      <c r="L32" s="22">
        <v>70</v>
      </c>
      <c r="M32" s="22">
        <v>68</v>
      </c>
      <c r="N32" s="22">
        <v>73.400000000000006</v>
      </c>
      <c r="O32" s="22">
        <v>400</v>
      </c>
      <c r="P32" s="22">
        <v>45</v>
      </c>
      <c r="Q32" s="22">
        <v>172.5</v>
      </c>
      <c r="R32" s="22">
        <v>460</v>
      </c>
      <c r="S32" s="22">
        <v>70</v>
      </c>
      <c r="T32"/>
    </row>
    <row r="33" spans="2:20">
      <c r="D33" s="22" t="s">
        <v>20</v>
      </c>
      <c r="E33" s="22">
        <v>440</v>
      </c>
      <c r="F33" s="22">
        <v>630</v>
      </c>
      <c r="G33" s="22">
        <v>718</v>
      </c>
      <c r="H33" s="22">
        <v>628</v>
      </c>
      <c r="I33" s="22">
        <v>214</v>
      </c>
      <c r="J33" s="22">
        <v>515</v>
      </c>
      <c r="K33" s="22">
        <v>425</v>
      </c>
      <c r="L33" s="22">
        <v>70</v>
      </c>
      <c r="M33" s="22">
        <v>68</v>
      </c>
      <c r="N33" s="22">
        <v>73.400000000000006</v>
      </c>
      <c r="O33" s="22">
        <v>400</v>
      </c>
      <c r="P33" s="22">
        <v>45</v>
      </c>
      <c r="Q33" s="22">
        <v>175</v>
      </c>
      <c r="R33" s="22">
        <v>460</v>
      </c>
      <c r="S33" s="22">
        <v>70</v>
      </c>
      <c r="T33"/>
    </row>
    <row r="34" spans="2:20">
      <c r="C34" s="22" t="s">
        <v>1901</v>
      </c>
      <c r="D34" s="22" t="s">
        <v>17</v>
      </c>
      <c r="E34" s="22">
        <v>410</v>
      </c>
      <c r="F34" s="22">
        <v>548</v>
      </c>
      <c r="G34" s="22">
        <v>657</v>
      </c>
      <c r="H34" s="22">
        <v>570</v>
      </c>
      <c r="I34" s="22">
        <v>130</v>
      </c>
      <c r="J34" s="22">
        <v>435</v>
      </c>
      <c r="K34" s="22">
        <v>425</v>
      </c>
      <c r="L34" s="22">
        <v>75</v>
      </c>
      <c r="M34" s="22">
        <v>68.599999999999994</v>
      </c>
      <c r="N34" s="22">
        <v>74</v>
      </c>
      <c r="O34" s="22">
        <v>390</v>
      </c>
      <c r="P34" s="22">
        <v>55</v>
      </c>
      <c r="Q34" s="22">
        <v>170</v>
      </c>
      <c r="R34" s="22">
        <v>420</v>
      </c>
      <c r="S34" s="22">
        <v>50</v>
      </c>
      <c r="T34"/>
    </row>
    <row r="35" spans="2:20">
      <c r="D35" s="22" t="s">
        <v>18</v>
      </c>
      <c r="E35" s="22">
        <v>423</v>
      </c>
      <c r="F35" s="22">
        <v>571</v>
      </c>
      <c r="G35" s="22">
        <v>679</v>
      </c>
      <c r="H35" s="22">
        <v>597</v>
      </c>
      <c r="I35" s="22">
        <v>155</v>
      </c>
      <c r="J35" s="22">
        <v>467</v>
      </c>
      <c r="K35" s="22">
        <v>425</v>
      </c>
      <c r="L35" s="22">
        <v>75</v>
      </c>
      <c r="M35" s="22">
        <v>68.599999999999994</v>
      </c>
      <c r="N35" s="22">
        <v>74</v>
      </c>
      <c r="O35" s="22">
        <v>390</v>
      </c>
      <c r="P35" s="22">
        <v>55</v>
      </c>
      <c r="Q35" s="22">
        <v>172.5</v>
      </c>
      <c r="R35" s="22">
        <v>440</v>
      </c>
      <c r="S35" s="22">
        <v>50</v>
      </c>
      <c r="T35"/>
    </row>
    <row r="36" spans="2:20">
      <c r="D36" s="22" t="s">
        <v>19</v>
      </c>
      <c r="E36" s="22">
        <v>435</v>
      </c>
      <c r="F36" s="22">
        <v>589</v>
      </c>
      <c r="G36" s="22">
        <v>701</v>
      </c>
      <c r="H36" s="22">
        <v>607</v>
      </c>
      <c r="I36" s="22">
        <v>184</v>
      </c>
      <c r="J36" s="22">
        <v>485</v>
      </c>
      <c r="K36" s="22">
        <v>425</v>
      </c>
      <c r="L36" s="22">
        <v>75</v>
      </c>
      <c r="M36" s="22">
        <v>68.599999999999994</v>
      </c>
      <c r="N36" s="22">
        <v>74</v>
      </c>
      <c r="O36" s="22">
        <v>390</v>
      </c>
      <c r="P36" s="22">
        <v>55</v>
      </c>
      <c r="Q36" s="22">
        <v>172.5</v>
      </c>
      <c r="R36" s="22">
        <v>460</v>
      </c>
      <c r="S36" s="22">
        <v>70</v>
      </c>
      <c r="T36"/>
    </row>
    <row r="37" spans="2:20">
      <c r="D37" s="22" t="s">
        <v>20</v>
      </c>
      <c r="E37" s="22">
        <v>445</v>
      </c>
      <c r="F37" s="22">
        <v>626</v>
      </c>
      <c r="G37" s="22">
        <v>723</v>
      </c>
      <c r="H37" s="22">
        <v>626</v>
      </c>
      <c r="I37" s="22">
        <v>214</v>
      </c>
      <c r="J37" s="22">
        <v>515</v>
      </c>
      <c r="K37" s="22">
        <v>425</v>
      </c>
      <c r="L37" s="22">
        <v>75</v>
      </c>
      <c r="M37" s="22">
        <v>68.599999999999994</v>
      </c>
      <c r="N37" s="22">
        <v>74</v>
      </c>
      <c r="O37" s="22">
        <v>390</v>
      </c>
      <c r="P37" s="22">
        <v>55</v>
      </c>
      <c r="Q37" s="22">
        <v>175</v>
      </c>
      <c r="R37" s="22">
        <v>460</v>
      </c>
      <c r="S37" s="22">
        <v>70</v>
      </c>
      <c r="T37"/>
    </row>
    <row r="40" spans="2:20">
      <c r="C40" s="29" t="s">
        <v>17</v>
      </c>
      <c r="D40" s="29" t="s">
        <v>1902</v>
      </c>
    </row>
    <row r="41" spans="2:20">
      <c r="C41" s="29" t="s">
        <v>18</v>
      </c>
      <c r="D41" s="29" t="s">
        <v>1903</v>
      </c>
    </row>
    <row r="42" spans="2:20">
      <c r="C42" s="29" t="s">
        <v>19</v>
      </c>
      <c r="D42" s="29" t="s">
        <v>1904</v>
      </c>
    </row>
    <row r="43" spans="2:20">
      <c r="C43" s="29" t="s">
        <v>20</v>
      </c>
      <c r="D43" s="29" t="s">
        <v>1905</v>
      </c>
    </row>
    <row r="46" spans="2:20">
      <c r="B46" s="28" t="s">
        <v>1895</v>
      </c>
      <c r="C46" s="28" t="s">
        <v>141</v>
      </c>
      <c r="D46" s="28" t="s">
        <v>1</v>
      </c>
      <c r="E46" s="28" t="s">
        <v>0</v>
      </c>
      <c r="F46" s="28" t="s">
        <v>1896</v>
      </c>
      <c r="G46" s="28" t="s">
        <v>577</v>
      </c>
      <c r="H46" s="28" t="s">
        <v>576</v>
      </c>
      <c r="I46" s="28" t="s">
        <v>582</v>
      </c>
      <c r="J46" s="28" t="s">
        <v>1349</v>
      </c>
      <c r="K46" s="28" t="s">
        <v>354</v>
      </c>
      <c r="L46" s="28" t="s">
        <v>1897</v>
      </c>
      <c r="M46" s="28" t="s">
        <v>1898</v>
      </c>
      <c r="N46" s="28" t="s">
        <v>580</v>
      </c>
      <c r="O46" s="28" t="s">
        <v>247</v>
      </c>
      <c r="P46" s="28" t="s">
        <v>58</v>
      </c>
      <c r="Q46" s="28" t="s">
        <v>1899</v>
      </c>
      <c r="R46" s="28" t="s">
        <v>13</v>
      </c>
    </row>
    <row r="47" spans="2:20">
      <c r="B47" s="22" t="s">
        <v>1900</v>
      </c>
      <c r="C47" s="22" t="s">
        <v>17</v>
      </c>
      <c r="D47" s="22">
        <v>405</v>
      </c>
      <c r="E47" s="22">
        <v>552</v>
      </c>
      <c r="F47" s="22">
        <v>752</v>
      </c>
      <c r="G47" s="22">
        <v>572</v>
      </c>
      <c r="H47" s="22">
        <v>130</v>
      </c>
      <c r="I47" s="22">
        <v>435</v>
      </c>
      <c r="J47" s="22">
        <v>425</v>
      </c>
      <c r="K47" s="22">
        <v>70</v>
      </c>
      <c r="L47" s="22">
        <v>68</v>
      </c>
      <c r="M47" s="22">
        <v>73.400000000000006</v>
      </c>
      <c r="N47" s="22">
        <v>400</v>
      </c>
      <c r="O47" s="22">
        <v>45</v>
      </c>
      <c r="P47" s="22">
        <v>170</v>
      </c>
      <c r="Q47" s="22">
        <v>420</v>
      </c>
      <c r="R47" s="22">
        <v>50</v>
      </c>
    </row>
    <row r="48" spans="2:20">
      <c r="C48" s="22" t="s">
        <v>18</v>
      </c>
      <c r="D48" s="22">
        <v>418</v>
      </c>
      <c r="E48" s="22">
        <v>575</v>
      </c>
      <c r="F48" s="22">
        <v>674</v>
      </c>
      <c r="G48" s="22">
        <v>589</v>
      </c>
      <c r="H48" s="22">
        <v>155</v>
      </c>
      <c r="I48" s="22">
        <v>567</v>
      </c>
      <c r="J48" s="22">
        <v>425</v>
      </c>
      <c r="K48" s="22">
        <v>70</v>
      </c>
      <c r="L48" s="22">
        <v>68</v>
      </c>
      <c r="M48" s="22">
        <v>73.400000000000006</v>
      </c>
      <c r="N48" s="22">
        <v>400</v>
      </c>
      <c r="O48" s="22">
        <v>45</v>
      </c>
      <c r="P48" s="22">
        <v>172.5</v>
      </c>
      <c r="Q48" s="22">
        <v>440</v>
      </c>
      <c r="R48" s="22">
        <v>50</v>
      </c>
    </row>
    <row r="49" spans="2:18">
      <c r="C49" s="22" t="s">
        <v>19</v>
      </c>
      <c r="D49" s="22">
        <v>430</v>
      </c>
      <c r="E49" s="22">
        <v>602</v>
      </c>
      <c r="F49" s="22">
        <v>697</v>
      </c>
      <c r="G49" s="22">
        <v>609</v>
      </c>
      <c r="H49" s="22">
        <v>184</v>
      </c>
      <c r="I49" s="22">
        <v>585</v>
      </c>
      <c r="J49" s="22">
        <v>425</v>
      </c>
      <c r="K49" s="22">
        <v>70</v>
      </c>
      <c r="L49" s="22">
        <v>68</v>
      </c>
      <c r="M49" s="22">
        <v>73.400000000000006</v>
      </c>
      <c r="N49" s="22">
        <v>400</v>
      </c>
      <c r="O49" s="22">
        <v>45</v>
      </c>
      <c r="P49" s="22">
        <v>172.5</v>
      </c>
      <c r="Q49" s="22">
        <v>460</v>
      </c>
      <c r="R49" s="22">
        <v>70</v>
      </c>
    </row>
    <row r="50" spans="2:18">
      <c r="C50" s="22" t="s">
        <v>20</v>
      </c>
      <c r="D50" s="22">
        <v>440</v>
      </c>
      <c r="E50" s="22">
        <v>630</v>
      </c>
      <c r="F50" s="22">
        <v>718</v>
      </c>
      <c r="G50" s="22">
        <v>628</v>
      </c>
      <c r="H50" s="22">
        <v>214</v>
      </c>
      <c r="I50" s="22">
        <v>515</v>
      </c>
      <c r="J50" s="22">
        <v>425</v>
      </c>
      <c r="K50" s="22">
        <v>70</v>
      </c>
      <c r="L50" s="22">
        <v>68</v>
      </c>
      <c r="M50" s="22">
        <v>73.400000000000006</v>
      </c>
      <c r="N50" s="22">
        <v>400</v>
      </c>
      <c r="O50" s="22">
        <v>45</v>
      </c>
      <c r="P50" s="22">
        <v>175</v>
      </c>
      <c r="Q50" s="22">
        <v>460</v>
      </c>
      <c r="R50" s="22">
        <v>70</v>
      </c>
    </row>
    <row r="51" spans="2:18">
      <c r="B51" s="22" t="s">
        <v>1901</v>
      </c>
      <c r="C51" s="22" t="s">
        <v>17</v>
      </c>
      <c r="D51" s="22">
        <v>410</v>
      </c>
      <c r="E51" s="22">
        <v>548</v>
      </c>
      <c r="F51" s="22">
        <v>657</v>
      </c>
      <c r="G51" s="22">
        <v>570</v>
      </c>
      <c r="H51" s="22">
        <v>130</v>
      </c>
      <c r="I51" s="22">
        <v>435</v>
      </c>
      <c r="J51" s="22">
        <v>425</v>
      </c>
      <c r="K51" s="22">
        <v>75</v>
      </c>
      <c r="L51" s="22">
        <v>68.599999999999994</v>
      </c>
      <c r="M51" s="22">
        <v>74</v>
      </c>
      <c r="N51" s="22">
        <v>390</v>
      </c>
      <c r="O51" s="22">
        <v>55</v>
      </c>
      <c r="P51" s="22">
        <v>170</v>
      </c>
      <c r="Q51" s="22">
        <v>420</v>
      </c>
      <c r="R51" s="22">
        <v>50</v>
      </c>
    </row>
    <row r="52" spans="2:18">
      <c r="C52" s="22" t="s">
        <v>18</v>
      </c>
      <c r="D52" s="22">
        <v>423</v>
      </c>
      <c r="E52" s="22">
        <v>571</v>
      </c>
      <c r="F52" s="22">
        <v>679</v>
      </c>
      <c r="G52" s="22">
        <v>597</v>
      </c>
      <c r="H52" s="22">
        <v>155</v>
      </c>
      <c r="I52" s="22">
        <v>467</v>
      </c>
      <c r="J52" s="22">
        <v>425</v>
      </c>
      <c r="K52" s="22">
        <v>75</v>
      </c>
      <c r="L52" s="22">
        <v>68.599999999999994</v>
      </c>
      <c r="M52" s="22">
        <v>74</v>
      </c>
      <c r="N52" s="22">
        <v>390</v>
      </c>
      <c r="O52" s="22">
        <v>55</v>
      </c>
      <c r="P52" s="22">
        <v>172.5</v>
      </c>
      <c r="Q52" s="22">
        <v>440</v>
      </c>
      <c r="R52" s="22">
        <v>50</v>
      </c>
    </row>
    <row r="53" spans="2:18">
      <c r="C53" s="22" t="s">
        <v>19</v>
      </c>
      <c r="D53" s="22">
        <v>435</v>
      </c>
      <c r="E53" s="22">
        <v>589</v>
      </c>
      <c r="F53" s="22">
        <v>701</v>
      </c>
      <c r="G53" s="22">
        <v>607</v>
      </c>
      <c r="H53" s="22">
        <v>184</v>
      </c>
      <c r="I53" s="22">
        <v>485</v>
      </c>
      <c r="J53" s="22">
        <v>425</v>
      </c>
      <c r="K53" s="22">
        <v>75</v>
      </c>
      <c r="L53" s="22">
        <v>68.599999999999994</v>
      </c>
      <c r="M53" s="22">
        <v>74</v>
      </c>
      <c r="N53" s="22">
        <v>390</v>
      </c>
      <c r="O53" s="22">
        <v>55</v>
      </c>
      <c r="P53" s="22">
        <v>172.5</v>
      </c>
      <c r="Q53" s="22">
        <v>460</v>
      </c>
      <c r="R53" s="22">
        <v>70</v>
      </c>
    </row>
    <row r="54" spans="2:18">
      <c r="C54" s="22" t="s">
        <v>20</v>
      </c>
      <c r="D54" s="22">
        <v>445</v>
      </c>
      <c r="E54" s="22">
        <v>626</v>
      </c>
      <c r="F54" s="22">
        <v>723</v>
      </c>
      <c r="G54" s="22">
        <v>626</v>
      </c>
      <c r="H54" s="22">
        <v>214</v>
      </c>
      <c r="I54" s="22">
        <v>515</v>
      </c>
      <c r="J54" s="22">
        <v>425</v>
      </c>
      <c r="K54" s="22">
        <v>75</v>
      </c>
      <c r="L54" s="22">
        <v>68.599999999999994</v>
      </c>
      <c r="M54" s="22">
        <v>74</v>
      </c>
      <c r="N54" s="22">
        <v>390</v>
      </c>
      <c r="O54" s="22">
        <v>55</v>
      </c>
      <c r="P54" s="22">
        <v>175</v>
      </c>
      <c r="Q54" s="22">
        <v>460</v>
      </c>
      <c r="R54" s="22">
        <v>70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2B27-9FDF-0E49-AA60-15E37A69E25D}">
  <dimension ref="A1:J34"/>
  <sheetViews>
    <sheetView workbookViewId="0">
      <selection activeCell="A33" sqref="A33"/>
    </sheetView>
  </sheetViews>
  <sheetFormatPr baseColWidth="10" defaultRowHeight="20"/>
  <cols>
    <col min="1" max="2" width="29.33203125" style="22" bestFit="1" customWidth="1"/>
    <col min="3" max="3" width="46.83203125" style="22" bestFit="1" customWidth="1"/>
    <col min="4" max="16384" width="10.83203125" style="22"/>
  </cols>
  <sheetData>
    <row r="1" spans="1:10">
      <c r="A1" s="22" t="s">
        <v>72</v>
      </c>
      <c r="B1" s="22" t="s">
        <v>72</v>
      </c>
      <c r="C1" s="22" t="s">
        <v>1920</v>
      </c>
      <c r="D1" s="22" t="s">
        <v>1921</v>
      </c>
      <c r="E1" s="22" t="s">
        <v>412</v>
      </c>
      <c r="F1" s="22" t="s">
        <v>1922</v>
      </c>
      <c r="G1" s="22" t="s">
        <v>519</v>
      </c>
      <c r="H1" s="22" t="s">
        <v>24</v>
      </c>
      <c r="I1" s="22" t="s">
        <v>868</v>
      </c>
      <c r="J1" s="22" t="s">
        <v>750</v>
      </c>
    </row>
    <row r="2" spans="1:10">
      <c r="A2" s="22" t="s">
        <v>54</v>
      </c>
      <c r="B2" s="22" t="s">
        <v>60</v>
      </c>
      <c r="C2" s="22" t="s">
        <v>1933</v>
      </c>
      <c r="D2" s="22">
        <v>420</v>
      </c>
      <c r="E2" s="22">
        <v>450</v>
      </c>
      <c r="F2" s="22">
        <v>480</v>
      </c>
      <c r="G2" s="22">
        <v>500</v>
      </c>
      <c r="H2" s="22">
        <v>520</v>
      </c>
      <c r="I2" s="22">
        <v>540</v>
      </c>
      <c r="J2" s="22">
        <v>575</v>
      </c>
    </row>
    <row r="3" spans="1:10">
      <c r="A3" s="22" t="s">
        <v>55</v>
      </c>
      <c r="B3" s="22" t="s">
        <v>73</v>
      </c>
      <c r="C3" s="22" t="s">
        <v>1934</v>
      </c>
      <c r="D3" s="22">
        <v>499</v>
      </c>
      <c r="E3" s="22">
        <v>515</v>
      </c>
      <c r="F3" s="22">
        <v>534</v>
      </c>
      <c r="G3" s="22">
        <v>550</v>
      </c>
      <c r="H3" s="22">
        <v>568</v>
      </c>
      <c r="I3" s="22">
        <v>582</v>
      </c>
      <c r="J3" s="22">
        <v>602</v>
      </c>
    </row>
    <row r="4" spans="1:10">
      <c r="A4" s="22" t="s">
        <v>60</v>
      </c>
      <c r="B4" s="22" t="s">
        <v>64</v>
      </c>
      <c r="C4" s="22" t="s">
        <v>1935</v>
      </c>
      <c r="D4" s="22">
        <v>100</v>
      </c>
      <c r="E4" s="22">
        <v>100</v>
      </c>
      <c r="F4" s="22">
        <v>120</v>
      </c>
      <c r="G4" s="22">
        <v>135</v>
      </c>
      <c r="H4" s="22">
        <v>150</v>
      </c>
      <c r="I4" s="22">
        <v>165</v>
      </c>
      <c r="J4" s="22">
        <v>188</v>
      </c>
    </row>
    <row r="5" spans="1:10">
      <c r="A5" s="22" t="s">
        <v>73</v>
      </c>
      <c r="B5" s="22" t="s">
        <v>62</v>
      </c>
      <c r="C5" s="22" t="s">
        <v>1936</v>
      </c>
      <c r="D5" s="22">
        <v>70.5</v>
      </c>
      <c r="E5" s="22">
        <v>71</v>
      </c>
      <c r="F5" s="22">
        <v>71.25</v>
      </c>
      <c r="G5" s="22">
        <v>71.5</v>
      </c>
      <c r="H5" s="22">
        <v>71.75</v>
      </c>
      <c r="I5" s="22">
        <v>72</v>
      </c>
      <c r="J5" s="22">
        <v>72</v>
      </c>
    </row>
    <row r="6" spans="1:10">
      <c r="A6" s="22" t="s">
        <v>62</v>
      </c>
      <c r="B6" s="22" t="s">
        <v>63</v>
      </c>
      <c r="C6" s="22" t="s">
        <v>1937</v>
      </c>
      <c r="D6" s="22">
        <v>76</v>
      </c>
      <c r="E6" s="22">
        <v>75</v>
      </c>
      <c r="F6" s="22">
        <v>74.5</v>
      </c>
      <c r="G6" s="22">
        <v>74</v>
      </c>
      <c r="H6" s="22">
        <v>73.5</v>
      </c>
      <c r="I6" s="22">
        <v>73.5</v>
      </c>
      <c r="J6" s="22">
        <v>73.5</v>
      </c>
    </row>
    <row r="7" spans="1:10">
      <c r="A7" s="22" t="s">
        <v>63</v>
      </c>
      <c r="B7" s="22" t="s">
        <v>65</v>
      </c>
      <c r="C7" s="22" t="s">
        <v>423</v>
      </c>
      <c r="D7" s="22">
        <v>65</v>
      </c>
      <c r="E7" s="22">
        <v>76</v>
      </c>
      <c r="F7" s="22">
        <v>76</v>
      </c>
      <c r="G7" s="22">
        <v>76</v>
      </c>
      <c r="H7" s="22">
        <v>76</v>
      </c>
      <c r="I7" s="22">
        <v>76</v>
      </c>
      <c r="J7" s="22">
        <v>76</v>
      </c>
    </row>
    <row r="8" spans="1:10">
      <c r="A8" s="22" t="s">
        <v>64</v>
      </c>
      <c r="B8" s="22" t="s">
        <v>66</v>
      </c>
      <c r="C8" s="22" t="s">
        <v>1938</v>
      </c>
      <c r="D8" s="22">
        <v>414</v>
      </c>
      <c r="E8" s="22">
        <v>427</v>
      </c>
      <c r="F8" s="22">
        <v>427</v>
      </c>
      <c r="G8" s="22">
        <v>427</v>
      </c>
      <c r="H8" s="22">
        <v>434</v>
      </c>
      <c r="I8" s="22">
        <v>434</v>
      </c>
      <c r="J8" s="22">
        <v>434</v>
      </c>
    </row>
    <row r="9" spans="1:10">
      <c r="A9" s="22" t="s">
        <v>65</v>
      </c>
      <c r="B9" s="22" t="s">
        <v>56</v>
      </c>
      <c r="C9" s="22" t="s">
        <v>1939</v>
      </c>
      <c r="D9" s="22">
        <v>987</v>
      </c>
      <c r="E9" s="22">
        <v>1000</v>
      </c>
      <c r="F9" s="22">
        <v>1012</v>
      </c>
      <c r="G9" s="22">
        <v>1021</v>
      </c>
      <c r="H9" s="22">
        <v>1039</v>
      </c>
      <c r="I9" s="22">
        <v>1051</v>
      </c>
      <c r="J9" s="22">
        <v>1072</v>
      </c>
    </row>
    <row r="10" spans="1:10">
      <c r="A10" s="22" t="s">
        <v>66</v>
      </c>
      <c r="B10" s="22" t="s">
        <v>1953</v>
      </c>
      <c r="C10" s="22" t="s">
        <v>1940</v>
      </c>
      <c r="D10" s="22">
        <v>75</v>
      </c>
      <c r="E10" s="22">
        <v>79</v>
      </c>
      <c r="F10" s="22">
        <v>84</v>
      </c>
      <c r="G10" s="22">
        <v>87</v>
      </c>
      <c r="H10" s="22">
        <v>90</v>
      </c>
      <c r="I10" s="22">
        <v>93</v>
      </c>
      <c r="J10" s="22">
        <v>97</v>
      </c>
    </row>
    <row r="11" spans="1:10">
      <c r="A11" s="22" t="s">
        <v>56</v>
      </c>
      <c r="B11" s="22" t="s">
        <v>55</v>
      </c>
      <c r="C11" s="22" t="s">
        <v>1941</v>
      </c>
      <c r="D11" s="22">
        <v>374</v>
      </c>
      <c r="E11" s="22">
        <v>371</v>
      </c>
      <c r="F11" s="22">
        <v>380</v>
      </c>
      <c r="G11" s="22">
        <v>386</v>
      </c>
      <c r="H11" s="22">
        <v>395</v>
      </c>
      <c r="I11" s="22">
        <v>404</v>
      </c>
      <c r="J11" s="22">
        <v>417</v>
      </c>
    </row>
    <row r="12" spans="1:10">
      <c r="A12" s="22" t="s">
        <v>67</v>
      </c>
      <c r="B12" s="22" t="s">
        <v>54</v>
      </c>
      <c r="C12" s="22" t="s">
        <v>1942</v>
      </c>
      <c r="D12" s="22">
        <v>503</v>
      </c>
      <c r="E12" s="22">
        <v>536</v>
      </c>
      <c r="F12" s="22">
        <v>555</v>
      </c>
      <c r="G12" s="22">
        <v>570</v>
      </c>
      <c r="H12" s="22">
        <v>586</v>
      </c>
      <c r="I12" s="22">
        <v>601</v>
      </c>
      <c r="J12" s="22">
        <v>623</v>
      </c>
    </row>
    <row r="13" spans="1:10">
      <c r="A13" s="22" t="s">
        <v>57</v>
      </c>
      <c r="B13" s="22" t="s">
        <v>57</v>
      </c>
      <c r="C13" s="22" t="s">
        <v>1943</v>
      </c>
      <c r="D13" s="22">
        <v>719</v>
      </c>
      <c r="E13" s="22">
        <v>757</v>
      </c>
      <c r="F13" s="22">
        <v>782</v>
      </c>
      <c r="G13" s="22">
        <v>799</v>
      </c>
      <c r="H13" s="22">
        <v>816</v>
      </c>
      <c r="I13" s="22">
        <v>834</v>
      </c>
      <c r="J13" s="22">
        <v>862</v>
      </c>
    </row>
    <row r="14" spans="1:10">
      <c r="A14" s="22" t="s">
        <v>69</v>
      </c>
      <c r="B14" s="22" t="s">
        <v>1455</v>
      </c>
      <c r="C14" s="22" t="s">
        <v>1944</v>
      </c>
      <c r="D14" s="22">
        <v>1.34</v>
      </c>
      <c r="E14" s="22">
        <v>1.44</v>
      </c>
      <c r="F14" s="22">
        <v>1.46</v>
      </c>
      <c r="G14" s="22">
        <v>1.48</v>
      </c>
      <c r="H14" s="22">
        <v>1.48</v>
      </c>
      <c r="I14" s="22">
        <v>1.49</v>
      </c>
      <c r="J14" s="22">
        <v>1.49</v>
      </c>
    </row>
    <row r="15" spans="1:10">
      <c r="A15" s="22" t="s">
        <v>70</v>
      </c>
      <c r="B15" s="22" t="s">
        <v>67</v>
      </c>
      <c r="C15" s="22" t="s">
        <v>1945</v>
      </c>
      <c r="D15" s="22">
        <v>47</v>
      </c>
      <c r="E15" s="22">
        <v>47</v>
      </c>
      <c r="F15" s="22">
        <v>47</v>
      </c>
      <c r="G15" s="22">
        <v>47</v>
      </c>
      <c r="H15" s="22">
        <v>47</v>
      </c>
      <c r="I15" s="22">
        <v>47</v>
      </c>
      <c r="J15" s="22">
        <v>47</v>
      </c>
    </row>
    <row r="16" spans="1:10">
      <c r="A16" s="22" t="s">
        <v>71</v>
      </c>
      <c r="B16" s="22" t="s">
        <v>68</v>
      </c>
      <c r="C16" s="22" t="s">
        <v>68</v>
      </c>
      <c r="D16" s="22">
        <v>650</v>
      </c>
      <c r="E16" s="22">
        <v>700</v>
      </c>
      <c r="F16" s="22">
        <v>700</v>
      </c>
      <c r="G16" s="22">
        <v>700</v>
      </c>
      <c r="H16" s="22">
        <v>700</v>
      </c>
      <c r="I16" s="22">
        <v>700</v>
      </c>
      <c r="J16" s="22">
        <v>700</v>
      </c>
    </row>
    <row r="17" spans="1:10">
      <c r="A17" s="22" t="s">
        <v>68</v>
      </c>
      <c r="B17" s="22" t="s">
        <v>139</v>
      </c>
      <c r="C17" s="22" t="s">
        <v>139</v>
      </c>
      <c r="D17" s="22">
        <v>47</v>
      </c>
      <c r="E17" s="27">
        <v>44</v>
      </c>
      <c r="F17" s="27">
        <v>44</v>
      </c>
      <c r="G17" s="27">
        <v>44</v>
      </c>
      <c r="H17" s="27">
        <v>44</v>
      </c>
      <c r="I17" s="27">
        <v>44</v>
      </c>
      <c r="J17" s="27">
        <v>44</v>
      </c>
    </row>
    <row r="18" spans="1:10">
      <c r="A18" s="22" t="s">
        <v>139</v>
      </c>
      <c r="B18" s="22" t="s">
        <v>140</v>
      </c>
      <c r="C18" s="22" t="s">
        <v>1954</v>
      </c>
      <c r="D18" s="22">
        <v>48</v>
      </c>
      <c r="E18" s="22">
        <v>45</v>
      </c>
      <c r="F18" s="22">
        <v>45</v>
      </c>
      <c r="G18" s="22">
        <v>45</v>
      </c>
      <c r="H18" s="22">
        <v>45</v>
      </c>
      <c r="I18" s="22">
        <v>45</v>
      </c>
      <c r="J18" s="22">
        <v>45</v>
      </c>
    </row>
    <row r="19" spans="1:10">
      <c r="A19" s="22" t="s">
        <v>140</v>
      </c>
      <c r="B19" s="22" t="s">
        <v>1955</v>
      </c>
      <c r="C19" s="22" t="s">
        <v>1955</v>
      </c>
      <c r="D19" s="22">
        <v>48</v>
      </c>
      <c r="E19" s="22">
        <v>50</v>
      </c>
      <c r="F19" s="22">
        <v>50</v>
      </c>
      <c r="G19" s="22">
        <v>50</v>
      </c>
      <c r="H19" s="22">
        <v>50</v>
      </c>
      <c r="I19" s="22">
        <v>50</v>
      </c>
      <c r="J19" s="22">
        <v>50</v>
      </c>
    </row>
    <row r="20" spans="1:10">
      <c r="A20" s="22" t="s">
        <v>1752</v>
      </c>
      <c r="B20" s="22" t="s">
        <v>1956</v>
      </c>
      <c r="C20" s="22" t="s">
        <v>1956</v>
      </c>
      <c r="E20" s="22">
        <v>45</v>
      </c>
      <c r="F20" s="22">
        <v>45</v>
      </c>
      <c r="G20" s="22">
        <v>45</v>
      </c>
      <c r="H20" s="22">
        <v>45</v>
      </c>
      <c r="I20" s="22">
        <v>45</v>
      </c>
      <c r="J20" s="22">
        <v>45</v>
      </c>
    </row>
    <row r="21" spans="1:10">
      <c r="A21" s="22" t="s">
        <v>1753</v>
      </c>
      <c r="B21" s="22" t="s">
        <v>495</v>
      </c>
      <c r="C21" s="22" t="s">
        <v>1948</v>
      </c>
      <c r="D21" s="22">
        <v>384</v>
      </c>
      <c r="E21" s="22">
        <v>405</v>
      </c>
      <c r="F21" s="22">
        <v>405</v>
      </c>
      <c r="G21" s="22">
        <v>405</v>
      </c>
      <c r="H21" s="22">
        <v>405</v>
      </c>
      <c r="I21" s="22">
        <v>405</v>
      </c>
      <c r="J21" s="22">
        <v>405</v>
      </c>
    </row>
    <row r="22" spans="1:10">
      <c r="B22" s="22" t="s">
        <v>134</v>
      </c>
      <c r="C22" s="22" t="s">
        <v>1949</v>
      </c>
      <c r="D22" s="22">
        <v>582</v>
      </c>
      <c r="E22" s="22">
        <v>585</v>
      </c>
      <c r="F22" s="22">
        <v>597</v>
      </c>
      <c r="G22" s="22">
        <v>606</v>
      </c>
      <c r="H22" s="22">
        <v>617</v>
      </c>
      <c r="I22" s="22">
        <v>628</v>
      </c>
      <c r="J22" s="22">
        <v>649</v>
      </c>
    </row>
    <row r="23" spans="1:10">
      <c r="B23" s="22" t="s">
        <v>69</v>
      </c>
      <c r="C23" s="22" t="s">
        <v>69</v>
      </c>
    </row>
    <row r="24" spans="1:10">
      <c r="B24" s="22" t="s">
        <v>70</v>
      </c>
      <c r="C24" s="22" t="s">
        <v>70</v>
      </c>
    </row>
    <row r="25" spans="1:10">
      <c r="B25" s="22" t="s">
        <v>71</v>
      </c>
      <c r="C25" s="22" t="s">
        <v>71</v>
      </c>
    </row>
    <row r="26" spans="1:10">
      <c r="B26" s="22" t="s">
        <v>1752</v>
      </c>
      <c r="C26" s="22" t="s">
        <v>1752</v>
      </c>
    </row>
    <row r="27" spans="1:10">
      <c r="B27" s="22" t="s">
        <v>1753</v>
      </c>
      <c r="C27" s="22" t="s">
        <v>1753</v>
      </c>
    </row>
    <row r="30" spans="1:10">
      <c r="C30" s="22" t="s">
        <v>1946</v>
      </c>
      <c r="D30" s="22" t="s">
        <v>1923</v>
      </c>
      <c r="E30" s="22">
        <v>28</v>
      </c>
      <c r="F30" s="22">
        <v>28</v>
      </c>
      <c r="G30" s="22">
        <v>28</v>
      </c>
      <c r="H30" s="22">
        <v>28</v>
      </c>
      <c r="I30" s="22">
        <v>28</v>
      </c>
      <c r="J30" s="22">
        <v>28</v>
      </c>
    </row>
    <row r="31" spans="1:10">
      <c r="C31" s="22" t="s">
        <v>1947</v>
      </c>
      <c r="D31" s="22">
        <v>48</v>
      </c>
      <c r="E31" s="22" t="s">
        <v>1924</v>
      </c>
      <c r="F31" s="22" t="s">
        <v>1924</v>
      </c>
      <c r="G31" s="22" t="s">
        <v>1924</v>
      </c>
      <c r="H31" s="22" t="s">
        <v>1924</v>
      </c>
      <c r="I31" s="22" t="s">
        <v>1924</v>
      </c>
      <c r="J31" s="22" t="s">
        <v>1924</v>
      </c>
    </row>
    <row r="32" spans="1:10">
      <c r="C32" s="22" t="s">
        <v>1950</v>
      </c>
      <c r="D32" s="22" t="s">
        <v>1925</v>
      </c>
      <c r="E32" s="22" t="s">
        <v>1925</v>
      </c>
      <c r="F32" s="22" t="s">
        <v>1925</v>
      </c>
      <c r="G32" s="22" t="s">
        <v>1925</v>
      </c>
      <c r="H32" s="22" t="s">
        <v>1925</v>
      </c>
      <c r="I32" s="22" t="s">
        <v>1925</v>
      </c>
      <c r="J32" s="22" t="s">
        <v>1925</v>
      </c>
    </row>
    <row r="33" spans="3:10">
      <c r="C33" s="22" t="s">
        <v>1951</v>
      </c>
      <c r="D33" s="22" t="s">
        <v>1926</v>
      </c>
      <c r="E33" s="22" t="s">
        <v>1927</v>
      </c>
      <c r="F33" s="22" t="s">
        <v>1928</v>
      </c>
      <c r="G33" s="22" t="s">
        <v>1929</v>
      </c>
      <c r="H33" s="22" t="s">
        <v>1930</v>
      </c>
      <c r="I33" s="22" t="s">
        <v>1931</v>
      </c>
      <c r="J33" s="22" t="s">
        <v>1932</v>
      </c>
    </row>
    <row r="34" spans="3:10">
      <c r="C34" s="22" t="s">
        <v>1952</v>
      </c>
      <c r="D34" s="22">
        <v>110</v>
      </c>
      <c r="E34" s="22">
        <v>110</v>
      </c>
      <c r="F34" s="22">
        <v>110</v>
      </c>
      <c r="G34" s="22">
        <v>110</v>
      </c>
      <c r="H34" s="22">
        <v>110</v>
      </c>
      <c r="I34" s="22">
        <v>110</v>
      </c>
      <c r="J34" s="22">
        <v>110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7099-7867-0047-A3EC-C115FA29F0BB}">
  <dimension ref="A1:G29"/>
  <sheetViews>
    <sheetView workbookViewId="0">
      <selection activeCell="I23" sqref="I23"/>
    </sheetView>
  </sheetViews>
  <sheetFormatPr baseColWidth="10" defaultRowHeight="20"/>
  <cols>
    <col min="1" max="1" width="29.33203125" style="22" bestFit="1" customWidth="1"/>
    <col min="2" max="2" width="32.5" style="22" bestFit="1" customWidth="1"/>
    <col min="3" max="6" width="17.6640625" style="22" bestFit="1" customWidth="1"/>
    <col min="7" max="7" width="17.1640625" style="22" bestFit="1" customWidth="1"/>
    <col min="8" max="16384" width="10.83203125" style="22"/>
  </cols>
  <sheetData>
    <row r="1" spans="1:7">
      <c r="A1" s="22" t="s">
        <v>72</v>
      </c>
      <c r="B1" s="22" t="s">
        <v>141</v>
      </c>
      <c r="C1" s="22" t="s">
        <v>413</v>
      </c>
      <c r="D1" s="22" t="s">
        <v>23</v>
      </c>
      <c r="E1" s="22" t="s">
        <v>414</v>
      </c>
      <c r="F1" s="22" t="s">
        <v>415</v>
      </c>
      <c r="G1" s="22" t="s">
        <v>25</v>
      </c>
    </row>
    <row r="2" spans="1:7">
      <c r="A2" s="22" t="s">
        <v>73</v>
      </c>
      <c r="B2" s="22" t="s">
        <v>521</v>
      </c>
      <c r="C2" s="22">
        <v>520</v>
      </c>
      <c r="D2" s="22">
        <v>540</v>
      </c>
      <c r="E2" s="22">
        <v>560</v>
      </c>
      <c r="F2" s="22">
        <v>580</v>
      </c>
      <c r="G2" s="22">
        <v>600</v>
      </c>
    </row>
    <row r="3" spans="1:7">
      <c r="A3" s="22" t="s">
        <v>57</v>
      </c>
      <c r="B3" s="22" t="s">
        <v>522</v>
      </c>
      <c r="C3" s="22">
        <v>700.44</v>
      </c>
      <c r="D3" s="22">
        <v>741.72</v>
      </c>
      <c r="E3" s="22">
        <v>810.51</v>
      </c>
      <c r="F3" s="22">
        <v>851.75</v>
      </c>
      <c r="G3" s="22">
        <v>874.22</v>
      </c>
    </row>
    <row r="4" spans="1:7">
      <c r="A4" s="22" t="s">
        <v>55</v>
      </c>
      <c r="B4" s="22" t="s">
        <v>523</v>
      </c>
      <c r="C4" s="22">
        <v>357.77</v>
      </c>
      <c r="D4" s="22">
        <v>372.91</v>
      </c>
      <c r="E4" s="22">
        <v>385.28</v>
      </c>
      <c r="F4" s="22">
        <v>395.13</v>
      </c>
      <c r="G4" s="22">
        <v>406.36</v>
      </c>
    </row>
    <row r="5" spans="1:7">
      <c r="A5" s="22" t="s">
        <v>54</v>
      </c>
      <c r="B5" s="22" t="s">
        <v>524</v>
      </c>
      <c r="C5" s="22">
        <v>584.98</v>
      </c>
      <c r="D5" s="22">
        <v>592.45000000000005</v>
      </c>
      <c r="E5" s="22">
        <v>619.53</v>
      </c>
      <c r="F5" s="22">
        <v>644.73</v>
      </c>
      <c r="G5" s="22">
        <v>664.34</v>
      </c>
    </row>
    <row r="6" spans="1:7">
      <c r="A6" s="22" t="s">
        <v>60</v>
      </c>
      <c r="B6" s="22" t="s">
        <v>525</v>
      </c>
      <c r="C6" s="22">
        <v>355.6</v>
      </c>
      <c r="D6" s="22">
        <v>419.1</v>
      </c>
      <c r="E6" s="22">
        <v>508</v>
      </c>
      <c r="F6" s="22">
        <v>558.79999999999995</v>
      </c>
      <c r="G6" s="22">
        <v>584.20000000000005</v>
      </c>
    </row>
    <row r="7" spans="1:7">
      <c r="A7" s="22" t="s">
        <v>64</v>
      </c>
      <c r="B7" s="22" t="s">
        <v>526</v>
      </c>
      <c r="C7" s="22">
        <v>90</v>
      </c>
      <c r="D7" s="22">
        <v>98</v>
      </c>
      <c r="E7" s="22">
        <v>127</v>
      </c>
      <c r="F7" s="22">
        <v>154</v>
      </c>
      <c r="G7" s="22">
        <v>175</v>
      </c>
    </row>
    <row r="8" spans="1:7">
      <c r="A8" s="22" t="s">
        <v>62</v>
      </c>
      <c r="B8" s="22" t="s">
        <v>527</v>
      </c>
      <c r="C8" s="22">
        <v>69</v>
      </c>
      <c r="D8" s="22">
        <v>69</v>
      </c>
      <c r="E8" s="22">
        <v>69</v>
      </c>
      <c r="F8" s="22">
        <v>69</v>
      </c>
      <c r="G8" s="22">
        <v>69</v>
      </c>
    </row>
    <row r="9" spans="1:7">
      <c r="A9" s="22" t="s">
        <v>63</v>
      </c>
      <c r="B9" s="22" t="s">
        <v>528</v>
      </c>
      <c r="C9" s="22">
        <v>74.5</v>
      </c>
      <c r="D9" s="22">
        <v>74.25</v>
      </c>
      <c r="E9" s="22">
        <v>74.25</v>
      </c>
      <c r="F9" s="22">
        <v>74</v>
      </c>
      <c r="G9" s="22">
        <v>73.75</v>
      </c>
    </row>
    <row r="10" spans="1:7">
      <c r="A10" s="22" t="s">
        <v>65</v>
      </c>
      <c r="B10" s="22" t="s">
        <v>529</v>
      </c>
      <c r="C10" s="22">
        <v>70</v>
      </c>
      <c r="D10" s="22">
        <v>70</v>
      </c>
      <c r="E10" s="22">
        <v>70</v>
      </c>
      <c r="F10" s="22">
        <v>70</v>
      </c>
      <c r="G10" s="22">
        <v>70</v>
      </c>
    </row>
    <row r="11" spans="1:7">
      <c r="A11" s="22" t="s">
        <v>66</v>
      </c>
      <c r="B11" s="22" t="s">
        <v>530</v>
      </c>
      <c r="C11" s="22">
        <v>445</v>
      </c>
      <c r="D11" s="22">
        <v>445</v>
      </c>
      <c r="E11" s="22">
        <v>445</v>
      </c>
      <c r="F11" s="22">
        <v>445</v>
      </c>
      <c r="G11" s="22">
        <v>445</v>
      </c>
    </row>
    <row r="12" spans="1:7">
      <c r="A12" s="22" t="s">
        <v>163</v>
      </c>
      <c r="B12" s="22" t="s">
        <v>531</v>
      </c>
      <c r="C12" s="22">
        <v>483</v>
      </c>
      <c r="D12" s="22">
        <v>483</v>
      </c>
      <c r="E12" s="22">
        <v>483</v>
      </c>
      <c r="F12" s="22">
        <v>483</v>
      </c>
      <c r="G12" s="22">
        <v>483</v>
      </c>
    </row>
    <row r="13" spans="1:7">
      <c r="A13" s="22" t="s">
        <v>67</v>
      </c>
      <c r="B13" s="22" t="s">
        <v>532</v>
      </c>
      <c r="C13" s="22">
        <v>51</v>
      </c>
      <c r="D13" s="22">
        <v>51</v>
      </c>
      <c r="E13" s="22">
        <v>51</v>
      </c>
      <c r="F13" s="22">
        <v>51</v>
      </c>
      <c r="G13" s="22">
        <v>51</v>
      </c>
    </row>
    <row r="14" spans="1:7">
      <c r="A14" s="22" t="s">
        <v>56</v>
      </c>
      <c r="B14" s="22" t="s">
        <v>533</v>
      </c>
      <c r="C14" s="22">
        <v>1049.54</v>
      </c>
      <c r="D14" s="22">
        <v>1067.55</v>
      </c>
      <c r="E14" s="22">
        <v>1090.31</v>
      </c>
      <c r="F14" s="22">
        <v>1109.83</v>
      </c>
      <c r="G14" s="22">
        <v>1128.5999999999999</v>
      </c>
    </row>
    <row r="15" spans="1:7">
      <c r="A15" s="22" t="s">
        <v>69</v>
      </c>
      <c r="B15" s="22" t="s">
        <v>534</v>
      </c>
      <c r="C15" s="22">
        <v>170</v>
      </c>
      <c r="D15" s="22">
        <v>170</v>
      </c>
      <c r="E15" s="22">
        <v>175</v>
      </c>
      <c r="F15" s="22">
        <v>175</v>
      </c>
      <c r="G15" s="22">
        <v>175</v>
      </c>
    </row>
    <row r="16" spans="1:7">
      <c r="A16" s="22" t="s">
        <v>70</v>
      </c>
      <c r="B16" s="22" t="s">
        <v>12</v>
      </c>
      <c r="C16" s="22">
        <f>VALUE(LEFT(C28,2))*10</f>
        <v>440</v>
      </c>
      <c r="D16" s="22">
        <f t="shared" ref="D16:G16" si="0">VALUE(LEFT(D28,2))*10</f>
        <v>460</v>
      </c>
      <c r="E16" s="22">
        <f t="shared" si="0"/>
        <v>460</v>
      </c>
      <c r="F16" s="22">
        <f t="shared" si="0"/>
        <v>460</v>
      </c>
      <c r="G16" s="22">
        <f t="shared" si="0"/>
        <v>460</v>
      </c>
    </row>
    <row r="17" spans="1:7">
      <c r="A17" s="22" t="s">
        <v>71</v>
      </c>
      <c r="B17" s="22" t="s">
        <v>13</v>
      </c>
      <c r="C17" s="22">
        <v>60</v>
      </c>
      <c r="D17" s="22">
        <v>70</v>
      </c>
      <c r="E17" s="22">
        <v>80</v>
      </c>
      <c r="F17" s="22">
        <v>80</v>
      </c>
      <c r="G17" s="22">
        <v>90</v>
      </c>
    </row>
    <row r="18" spans="1:7">
      <c r="A18" s="22" t="s">
        <v>68</v>
      </c>
      <c r="B18" s="22" t="s">
        <v>68</v>
      </c>
      <c r="C18" s="22">
        <v>700</v>
      </c>
      <c r="D18" s="22">
        <v>701</v>
      </c>
      <c r="E18" s="22">
        <v>702</v>
      </c>
      <c r="F18" s="22">
        <v>703</v>
      </c>
      <c r="G18" s="22">
        <v>704</v>
      </c>
    </row>
    <row r="19" spans="1:7">
      <c r="A19" s="22" t="s">
        <v>139</v>
      </c>
      <c r="B19" s="22" t="s">
        <v>139</v>
      </c>
      <c r="C19" s="22">
        <f>2.2*25.4</f>
        <v>55.88</v>
      </c>
      <c r="D19" s="22">
        <f t="shared" ref="D19:G19" si="1">2.2*25.4</f>
        <v>55.88</v>
      </c>
      <c r="E19" s="22">
        <f t="shared" si="1"/>
        <v>55.88</v>
      </c>
      <c r="F19" s="22">
        <f t="shared" si="1"/>
        <v>55.88</v>
      </c>
      <c r="G19" s="22">
        <f t="shared" si="1"/>
        <v>55.88</v>
      </c>
    </row>
    <row r="20" spans="1:7">
      <c r="A20" s="22" t="s">
        <v>140</v>
      </c>
      <c r="B20" s="22" t="s">
        <v>140</v>
      </c>
      <c r="C20" s="22">
        <f>2.4*25.4</f>
        <v>60.959999999999994</v>
      </c>
      <c r="D20" s="22">
        <f t="shared" ref="D20:G20" si="2">2.4*25.4</f>
        <v>60.959999999999994</v>
      </c>
      <c r="E20" s="22">
        <f t="shared" si="2"/>
        <v>60.959999999999994</v>
      </c>
      <c r="F20" s="22">
        <f t="shared" si="2"/>
        <v>60.959999999999994</v>
      </c>
      <c r="G20" s="22">
        <f t="shared" si="2"/>
        <v>60.959999999999994</v>
      </c>
    </row>
    <row r="21" spans="1:7">
      <c r="A21" s="22" t="s">
        <v>1752</v>
      </c>
      <c r="B21" s="22" t="s">
        <v>1752</v>
      </c>
      <c r="C21" s="22">
        <f>C23</f>
        <v>154</v>
      </c>
      <c r="D21" s="22">
        <f>C22</f>
        <v>168</v>
      </c>
      <c r="E21" s="22">
        <f t="shared" ref="E21:G21" si="3">D22</f>
        <v>174</v>
      </c>
      <c r="F21" s="22">
        <f t="shared" si="3"/>
        <v>184</v>
      </c>
      <c r="G21" s="22">
        <f t="shared" si="3"/>
        <v>191.5</v>
      </c>
    </row>
    <row r="22" spans="1:7">
      <c r="A22" s="22" t="s">
        <v>1753</v>
      </c>
      <c r="B22" s="22" t="s">
        <v>1753</v>
      </c>
      <c r="C22" s="22">
        <f>AVERAGE(C24,D23)</f>
        <v>168</v>
      </c>
      <c r="D22" s="22">
        <f>AVERAGE(D24,E23)</f>
        <v>174</v>
      </c>
      <c r="E22" s="22">
        <f t="shared" ref="E22:G22" si="4">AVERAGE(E24,F23)</f>
        <v>184</v>
      </c>
      <c r="F22" s="22">
        <f t="shared" si="4"/>
        <v>191.5</v>
      </c>
      <c r="G22" s="22">
        <f t="shared" si="4"/>
        <v>198</v>
      </c>
    </row>
    <row r="23" spans="1:7">
      <c r="C23" s="2">
        <f>VALUE(LEFT(C26,3))</f>
        <v>154</v>
      </c>
      <c r="D23" s="2">
        <f t="shared" ref="D23:G23" si="5">VALUE(LEFT(D26,3))</f>
        <v>168</v>
      </c>
      <c r="E23" s="2">
        <f t="shared" si="5"/>
        <v>173</v>
      </c>
      <c r="F23" s="2">
        <f t="shared" si="5"/>
        <v>183</v>
      </c>
      <c r="G23" s="2">
        <f t="shared" si="5"/>
        <v>190</v>
      </c>
    </row>
    <row r="24" spans="1:7">
      <c r="C24" s="2">
        <f>VALUE(MID(C26,7,3))</f>
        <v>168</v>
      </c>
      <c r="D24" s="2">
        <f t="shared" ref="D24:F24" si="6">VALUE(MID(D26,7,3))</f>
        <v>175</v>
      </c>
      <c r="E24" s="2">
        <f t="shared" si="6"/>
        <v>185</v>
      </c>
      <c r="F24" s="2">
        <f t="shared" si="6"/>
        <v>193</v>
      </c>
      <c r="G24" s="2">
        <v>198</v>
      </c>
    </row>
    <row r="25" spans="1:7">
      <c r="D25" s="29" t="s">
        <v>23</v>
      </c>
    </row>
    <row r="26" spans="1:7">
      <c r="B26" s="22" t="s">
        <v>540</v>
      </c>
      <c r="C26" s="22" t="s">
        <v>879</v>
      </c>
      <c r="D26" s="22" t="s">
        <v>880</v>
      </c>
      <c r="E26" s="22" t="s">
        <v>881</v>
      </c>
      <c r="F26" s="22" t="s">
        <v>882</v>
      </c>
      <c r="G26" s="22" t="s">
        <v>875</v>
      </c>
    </row>
    <row r="28" spans="1:7">
      <c r="B28" s="22" t="s">
        <v>12</v>
      </c>
      <c r="C28" s="22" t="s">
        <v>538</v>
      </c>
      <c r="D28" s="22" t="s">
        <v>539</v>
      </c>
      <c r="E28" s="22" t="s">
        <v>876</v>
      </c>
      <c r="F28" s="22" t="s">
        <v>877</v>
      </c>
      <c r="G28" s="22" t="s">
        <v>878</v>
      </c>
    </row>
    <row r="29" spans="1:7">
      <c r="B29" s="22" t="s">
        <v>540</v>
      </c>
      <c r="C29" s="22" t="s">
        <v>879</v>
      </c>
      <c r="D29" s="22" t="s">
        <v>880</v>
      </c>
      <c r="E29" s="22" t="s">
        <v>881</v>
      </c>
      <c r="F29" s="22" t="s">
        <v>882</v>
      </c>
      <c r="G29" s="22" t="s">
        <v>875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F713-73DF-A84B-96F7-6A6E5C22AE8C}">
  <dimension ref="A1:G64"/>
  <sheetViews>
    <sheetView workbookViewId="0">
      <selection activeCell="C21" sqref="C21:G24"/>
    </sheetView>
  </sheetViews>
  <sheetFormatPr baseColWidth="10" defaultRowHeight="19"/>
  <cols>
    <col min="1" max="1" width="14.33203125" style="2" bestFit="1" customWidth="1"/>
    <col min="2" max="2" width="44.33203125" style="2" bestFit="1" customWidth="1"/>
    <col min="3" max="3" width="13.83203125" style="2" bestFit="1" customWidth="1"/>
    <col min="4" max="16384" width="10.83203125" style="2"/>
  </cols>
  <sheetData>
    <row r="1" spans="1:7">
      <c r="A1" s="2" t="s">
        <v>72</v>
      </c>
      <c r="B1" s="10" t="s">
        <v>141</v>
      </c>
      <c r="C1" s="10" t="s">
        <v>16</v>
      </c>
      <c r="D1" s="10" t="s">
        <v>168</v>
      </c>
      <c r="E1" s="10" t="s">
        <v>169</v>
      </c>
      <c r="F1" s="10" t="s">
        <v>170</v>
      </c>
      <c r="G1" s="10" t="s">
        <v>20</v>
      </c>
    </row>
    <row r="2" spans="1:7">
      <c r="A2" s="2" t="s">
        <v>73</v>
      </c>
      <c r="B2" s="10" t="s">
        <v>521</v>
      </c>
      <c r="C2" s="10">
        <v>520</v>
      </c>
      <c r="D2" s="10">
        <v>540</v>
      </c>
      <c r="E2" s="10">
        <v>565</v>
      </c>
      <c r="F2" s="10">
        <v>590</v>
      </c>
      <c r="G2" s="10">
        <v>620</v>
      </c>
    </row>
    <row r="3" spans="1:7">
      <c r="A3" s="2" t="s">
        <v>57</v>
      </c>
      <c r="B3" s="10" t="s">
        <v>522</v>
      </c>
      <c r="C3" s="10">
        <v>690</v>
      </c>
      <c r="D3" s="10">
        <v>732</v>
      </c>
      <c r="E3" s="10">
        <v>778</v>
      </c>
      <c r="F3" s="10">
        <v>821</v>
      </c>
      <c r="G3" s="10">
        <v>859</v>
      </c>
    </row>
    <row r="4" spans="1:7">
      <c r="A4" s="2" t="s">
        <v>55</v>
      </c>
      <c r="B4" s="10" t="s">
        <v>523</v>
      </c>
      <c r="C4" s="10">
        <v>350</v>
      </c>
      <c r="D4" s="10">
        <v>364</v>
      </c>
      <c r="E4" s="10">
        <v>368</v>
      </c>
      <c r="F4" s="10">
        <v>385</v>
      </c>
      <c r="G4" s="10">
        <v>409</v>
      </c>
    </row>
    <row r="5" spans="1:7">
      <c r="A5" s="2" t="s">
        <v>54</v>
      </c>
      <c r="B5" s="10" t="s">
        <v>524</v>
      </c>
      <c r="C5" s="10">
        <v>594</v>
      </c>
      <c r="D5" s="10">
        <v>615</v>
      </c>
      <c r="E5" s="10">
        <v>643</v>
      </c>
      <c r="F5" s="10">
        <v>671</v>
      </c>
      <c r="G5" s="10">
        <v>690</v>
      </c>
    </row>
    <row r="6" spans="1:7">
      <c r="A6" s="2" t="s">
        <v>60</v>
      </c>
      <c r="B6" s="10" t="s">
        <v>525</v>
      </c>
      <c r="C6" s="10">
        <v>355.6</v>
      </c>
      <c r="D6" s="10">
        <v>406.4</v>
      </c>
      <c r="E6" s="10">
        <v>457.2</v>
      </c>
      <c r="F6" s="10">
        <v>508</v>
      </c>
      <c r="G6" s="10">
        <v>558.79999999999995</v>
      </c>
    </row>
    <row r="7" spans="1:7">
      <c r="A7" s="2" t="s">
        <v>64</v>
      </c>
      <c r="B7" s="10" t="s">
        <v>526</v>
      </c>
      <c r="C7" s="10">
        <v>90</v>
      </c>
      <c r="D7" s="10">
        <v>110</v>
      </c>
      <c r="E7" s="10">
        <v>140</v>
      </c>
      <c r="F7" s="10">
        <v>170</v>
      </c>
      <c r="G7" s="10">
        <v>190</v>
      </c>
    </row>
    <row r="8" spans="1:7">
      <c r="A8" s="2" t="s">
        <v>62</v>
      </c>
      <c r="B8" s="10" t="s">
        <v>527</v>
      </c>
      <c r="C8" s="10">
        <v>68.5</v>
      </c>
      <c r="D8" s="10">
        <v>69</v>
      </c>
      <c r="E8" s="10">
        <v>69</v>
      </c>
      <c r="F8" s="10">
        <v>69</v>
      </c>
      <c r="G8" s="10">
        <v>69</v>
      </c>
    </row>
    <row r="9" spans="1:7">
      <c r="A9" s="2" t="s">
        <v>63</v>
      </c>
      <c r="B9" s="10" t="s">
        <v>528</v>
      </c>
      <c r="C9" s="10">
        <v>74</v>
      </c>
      <c r="D9" s="10">
        <v>74</v>
      </c>
      <c r="E9" s="10">
        <v>73</v>
      </c>
      <c r="F9" s="10">
        <v>73</v>
      </c>
      <c r="G9" s="10">
        <v>73</v>
      </c>
    </row>
    <row r="10" spans="1:7">
      <c r="A10" s="2" t="s">
        <v>65</v>
      </c>
      <c r="B10" s="10" t="s">
        <v>529</v>
      </c>
      <c r="C10" s="10">
        <v>70</v>
      </c>
      <c r="D10" s="10">
        <v>70</v>
      </c>
      <c r="E10" s="10">
        <v>70</v>
      </c>
      <c r="F10" s="10">
        <v>70</v>
      </c>
      <c r="G10" s="10">
        <v>70</v>
      </c>
    </row>
    <row r="11" spans="1:7">
      <c r="A11" s="2" t="s">
        <v>66</v>
      </c>
      <c r="B11" s="10" t="s">
        <v>530</v>
      </c>
      <c r="C11" s="10">
        <f>VALUE(RIGHT(C37,3))</f>
        <v>462</v>
      </c>
      <c r="D11" s="10">
        <f t="shared" ref="D11:G11" si="0">VALUE(RIGHT(D37,3))</f>
        <v>462</v>
      </c>
      <c r="E11" s="10">
        <f t="shared" si="0"/>
        <v>462</v>
      </c>
      <c r="F11" s="10">
        <f t="shared" si="0"/>
        <v>462</v>
      </c>
      <c r="G11" s="10">
        <f t="shared" si="0"/>
        <v>462</v>
      </c>
    </row>
    <row r="12" spans="1:7">
      <c r="A12" s="2" t="s">
        <v>495</v>
      </c>
      <c r="B12" s="10" t="s">
        <v>531</v>
      </c>
      <c r="C12" s="10">
        <v>480</v>
      </c>
      <c r="D12" s="10">
        <v>480</v>
      </c>
      <c r="E12" s="10">
        <v>480</v>
      </c>
      <c r="F12" s="10">
        <v>480</v>
      </c>
      <c r="G12" s="10">
        <v>480</v>
      </c>
    </row>
    <row r="13" spans="1:7">
      <c r="A13" s="2" t="s">
        <v>67</v>
      </c>
      <c r="B13" s="10" t="s">
        <v>532</v>
      </c>
      <c r="C13" s="10">
        <v>51</v>
      </c>
      <c r="D13" s="10">
        <v>51</v>
      </c>
      <c r="E13" s="10">
        <v>51</v>
      </c>
      <c r="F13" s="10">
        <v>51</v>
      </c>
      <c r="G13" s="10">
        <v>51</v>
      </c>
    </row>
    <row r="14" spans="1:7">
      <c r="A14" s="2" t="s">
        <v>56</v>
      </c>
      <c r="B14" s="10" t="s">
        <v>533</v>
      </c>
      <c r="C14" s="10">
        <f>VALUE(RIGHT(C40,4))</f>
        <v>1067</v>
      </c>
      <c r="D14" s="10">
        <f t="shared" ref="D14:G14" si="1">VALUE(RIGHT(D40,4))</f>
        <v>1084</v>
      </c>
      <c r="E14" s="10">
        <f t="shared" si="1"/>
        <v>1100</v>
      </c>
      <c r="F14" s="10">
        <f t="shared" si="1"/>
        <v>1127</v>
      </c>
      <c r="G14" s="10">
        <f t="shared" si="1"/>
        <v>1158</v>
      </c>
    </row>
    <row r="15" spans="1:7">
      <c r="A15" s="2" t="s">
        <v>69</v>
      </c>
      <c r="B15" s="10" t="s">
        <v>534</v>
      </c>
      <c r="C15" s="10">
        <v>170</v>
      </c>
      <c r="D15" s="10">
        <v>170</v>
      </c>
      <c r="E15" s="10">
        <v>175</v>
      </c>
      <c r="F15" s="10">
        <v>175</v>
      </c>
      <c r="G15" s="10">
        <v>175</v>
      </c>
    </row>
    <row r="16" spans="1:7">
      <c r="A16" s="2" t="s">
        <v>70</v>
      </c>
      <c r="B16" s="10" t="s">
        <v>12</v>
      </c>
      <c r="C16" s="10">
        <f>VALUE(LEFT(C42,2)) *10</f>
        <v>440</v>
      </c>
      <c r="D16" s="10">
        <f t="shared" ref="D16:G16" si="2">VALUE(LEFT(D42,2)) *10</f>
        <v>460</v>
      </c>
      <c r="E16" s="10">
        <f t="shared" si="2"/>
        <v>480</v>
      </c>
      <c r="F16" s="10">
        <f t="shared" si="2"/>
        <v>500</v>
      </c>
      <c r="G16" s="10">
        <f t="shared" si="2"/>
        <v>520</v>
      </c>
    </row>
    <row r="17" spans="1:7">
      <c r="A17" s="2" t="s">
        <v>71</v>
      </c>
      <c r="B17" s="10" t="s">
        <v>13</v>
      </c>
      <c r="C17" s="10">
        <v>60</v>
      </c>
      <c r="D17" s="10">
        <v>70</v>
      </c>
      <c r="E17" s="10">
        <v>70</v>
      </c>
      <c r="F17" s="10">
        <v>80</v>
      </c>
      <c r="G17" s="10">
        <v>80</v>
      </c>
    </row>
    <row r="18" spans="1:7">
      <c r="A18" s="2" t="s">
        <v>68</v>
      </c>
      <c r="B18" s="2" t="s">
        <v>68</v>
      </c>
      <c r="C18" s="10">
        <v>29</v>
      </c>
      <c r="D18" s="10">
        <v>29</v>
      </c>
      <c r="E18" s="10">
        <v>29</v>
      </c>
      <c r="F18" s="10">
        <v>29</v>
      </c>
      <c r="G18" s="10">
        <v>29</v>
      </c>
    </row>
    <row r="19" spans="1:7">
      <c r="A19" s="2" t="s">
        <v>139</v>
      </c>
      <c r="B19" s="2" t="s">
        <v>139</v>
      </c>
      <c r="C19" s="2">
        <f>2.2*25.4</f>
        <v>55.88</v>
      </c>
      <c r="D19" s="2">
        <f t="shared" ref="D19:G19" si="3">2.2*25.4</f>
        <v>55.88</v>
      </c>
      <c r="E19" s="2">
        <f t="shared" si="3"/>
        <v>55.88</v>
      </c>
      <c r="F19" s="2">
        <f t="shared" si="3"/>
        <v>55.88</v>
      </c>
      <c r="G19" s="2">
        <f t="shared" si="3"/>
        <v>55.88</v>
      </c>
    </row>
    <row r="20" spans="1:7">
      <c r="A20" s="2" t="s">
        <v>140</v>
      </c>
      <c r="B20" s="2" t="s">
        <v>140</v>
      </c>
      <c r="C20" s="2">
        <f>3*25.4</f>
        <v>76.199999999999989</v>
      </c>
      <c r="D20" s="2">
        <f t="shared" ref="D20:G20" si="4">3*25.4</f>
        <v>76.199999999999989</v>
      </c>
      <c r="E20" s="2">
        <f t="shared" si="4"/>
        <v>76.199999999999989</v>
      </c>
      <c r="F20" s="2">
        <f t="shared" si="4"/>
        <v>76.199999999999989</v>
      </c>
      <c r="G20" s="2">
        <f t="shared" si="4"/>
        <v>76.199999999999989</v>
      </c>
    </row>
    <row r="21" spans="1:7" ht="20">
      <c r="A21" s="22" t="s">
        <v>1752</v>
      </c>
      <c r="B21" s="22" t="s">
        <v>1752</v>
      </c>
      <c r="C21" s="2">
        <f>VALUE(LEFT(C25,3))</f>
        <v>150</v>
      </c>
      <c r="D21" s="2">
        <f>AVERAGE(D23,C24)</f>
        <v>160</v>
      </c>
      <c r="E21" s="2">
        <f t="shared" ref="E21:G21" si="5">AVERAGE(E23,D24)</f>
        <v>174</v>
      </c>
      <c r="F21" s="2">
        <f t="shared" si="5"/>
        <v>181.5</v>
      </c>
      <c r="G21" s="2">
        <f t="shared" si="5"/>
        <v>189.5</v>
      </c>
    </row>
    <row r="22" spans="1:7" ht="20">
      <c r="A22" s="22" t="s">
        <v>1753</v>
      </c>
      <c r="B22" s="22" t="s">
        <v>1753</v>
      </c>
      <c r="C22" s="2">
        <f>D21</f>
        <v>160</v>
      </c>
      <c r="D22" s="2">
        <f t="shared" ref="D22:F22" si="6">E21</f>
        <v>174</v>
      </c>
      <c r="E22" s="2">
        <f t="shared" si="6"/>
        <v>181.5</v>
      </c>
      <c r="F22" s="2">
        <f t="shared" si="6"/>
        <v>189.5</v>
      </c>
      <c r="G22" s="2">
        <v>198</v>
      </c>
    </row>
    <row r="23" spans="1:7">
      <c r="C23" s="2">
        <v>150</v>
      </c>
      <c r="D23" s="2">
        <v>160</v>
      </c>
      <c r="E23" s="2">
        <v>173</v>
      </c>
      <c r="F23" s="2">
        <v>180</v>
      </c>
      <c r="G23" s="2">
        <v>188</v>
      </c>
    </row>
    <row r="24" spans="1:7">
      <c r="C24" s="2">
        <v>160</v>
      </c>
      <c r="D24" s="2">
        <v>175</v>
      </c>
      <c r="E24" s="2">
        <v>183</v>
      </c>
      <c r="F24" s="2">
        <v>191</v>
      </c>
      <c r="G24" s="2">
        <v>198</v>
      </c>
    </row>
    <row r="25" spans="1:7">
      <c r="B25" s="10" t="s">
        <v>540</v>
      </c>
      <c r="C25" s="10" t="s">
        <v>554</v>
      </c>
      <c r="D25" s="10" t="s">
        <v>555</v>
      </c>
      <c r="E25" s="10" t="s">
        <v>556</v>
      </c>
      <c r="F25" s="10" t="s">
        <v>557</v>
      </c>
      <c r="G25" s="10" t="s">
        <v>558</v>
      </c>
    </row>
    <row r="27" spans="1:7">
      <c r="B27" s="10" t="s">
        <v>141</v>
      </c>
      <c r="C27" s="10" t="s">
        <v>16</v>
      </c>
      <c r="D27" s="10" t="s">
        <v>168</v>
      </c>
      <c r="E27" s="10" t="s">
        <v>169</v>
      </c>
      <c r="F27" s="10" t="s">
        <v>170</v>
      </c>
      <c r="G27" s="10" t="s">
        <v>20</v>
      </c>
    </row>
    <row r="28" spans="1:7">
      <c r="B28" s="10" t="s">
        <v>521</v>
      </c>
      <c r="C28" s="10">
        <v>520</v>
      </c>
      <c r="D28" s="10">
        <v>540</v>
      </c>
      <c r="E28" s="10">
        <v>565</v>
      </c>
      <c r="F28" s="10">
        <v>590</v>
      </c>
      <c r="G28" s="10">
        <v>620</v>
      </c>
    </row>
    <row r="29" spans="1:7">
      <c r="B29" s="10" t="s">
        <v>522</v>
      </c>
      <c r="C29" s="10">
        <v>690</v>
      </c>
      <c r="D29" s="10">
        <v>732</v>
      </c>
      <c r="E29" s="10">
        <v>778</v>
      </c>
      <c r="F29" s="10">
        <v>821</v>
      </c>
      <c r="G29" s="10">
        <v>859</v>
      </c>
    </row>
    <row r="30" spans="1:7">
      <c r="B30" s="10" t="s">
        <v>523</v>
      </c>
      <c r="C30" s="10">
        <v>350</v>
      </c>
      <c r="D30" s="10">
        <v>364</v>
      </c>
      <c r="E30" s="10">
        <v>368</v>
      </c>
      <c r="F30" s="10">
        <v>385</v>
      </c>
      <c r="G30" s="10">
        <v>409</v>
      </c>
    </row>
    <row r="31" spans="1:7">
      <c r="B31" s="10" t="s">
        <v>524</v>
      </c>
      <c r="C31" s="10">
        <v>594</v>
      </c>
      <c r="D31" s="10">
        <v>615</v>
      </c>
      <c r="E31" s="10">
        <v>643</v>
      </c>
      <c r="F31" s="10">
        <v>671</v>
      </c>
      <c r="G31" s="10">
        <v>690</v>
      </c>
    </row>
    <row r="32" spans="1:7">
      <c r="B32" s="10" t="s">
        <v>525</v>
      </c>
      <c r="C32" s="10">
        <v>355.6</v>
      </c>
      <c r="D32" s="10">
        <v>406.4</v>
      </c>
      <c r="E32" s="10">
        <v>457.2</v>
      </c>
      <c r="F32" s="10">
        <v>508</v>
      </c>
      <c r="G32" s="10">
        <v>558.79999999999995</v>
      </c>
    </row>
    <row r="33" spans="2:7">
      <c r="B33" s="10" t="s">
        <v>526</v>
      </c>
      <c r="C33" s="10">
        <v>90</v>
      </c>
      <c r="D33" s="10">
        <v>110</v>
      </c>
      <c r="E33" s="10">
        <v>140</v>
      </c>
      <c r="F33" s="10">
        <v>170</v>
      </c>
      <c r="G33" s="10">
        <v>190</v>
      </c>
    </row>
    <row r="34" spans="2:7">
      <c r="B34" s="10" t="s">
        <v>527</v>
      </c>
      <c r="C34" s="10">
        <v>68.5</v>
      </c>
      <c r="D34" s="10">
        <v>69</v>
      </c>
      <c r="E34" s="10">
        <v>69</v>
      </c>
      <c r="F34" s="10">
        <v>69</v>
      </c>
      <c r="G34" s="10">
        <v>69</v>
      </c>
    </row>
    <row r="35" spans="2:7">
      <c r="B35" s="10" t="s">
        <v>528</v>
      </c>
      <c r="C35" s="10">
        <v>74</v>
      </c>
      <c r="D35" s="10">
        <v>74</v>
      </c>
      <c r="E35" s="10">
        <v>73</v>
      </c>
      <c r="F35" s="10">
        <v>73</v>
      </c>
      <c r="G35" s="10">
        <v>73</v>
      </c>
    </row>
    <row r="36" spans="2:7">
      <c r="B36" s="10" t="s">
        <v>529</v>
      </c>
      <c r="C36" s="10">
        <v>70</v>
      </c>
      <c r="D36" s="10">
        <v>70</v>
      </c>
      <c r="E36" s="10">
        <v>70</v>
      </c>
      <c r="F36" s="10">
        <v>70</v>
      </c>
      <c r="G36" s="10">
        <v>70</v>
      </c>
    </row>
    <row r="37" spans="2:7">
      <c r="B37" s="10" t="s">
        <v>530</v>
      </c>
      <c r="C37" s="10" t="s">
        <v>548</v>
      </c>
      <c r="D37" s="10" t="s">
        <v>548</v>
      </c>
      <c r="E37" s="10" t="s">
        <v>548</v>
      </c>
      <c r="F37" s="10" t="s">
        <v>548</v>
      </c>
      <c r="G37" s="10" t="s">
        <v>548</v>
      </c>
    </row>
    <row r="38" spans="2:7">
      <c r="B38" s="10" t="s">
        <v>531</v>
      </c>
      <c r="C38" s="10">
        <v>480</v>
      </c>
      <c r="D38" s="10">
        <v>480</v>
      </c>
      <c r="E38" s="10">
        <v>480</v>
      </c>
      <c r="F38" s="10">
        <v>480</v>
      </c>
      <c r="G38" s="10">
        <v>480</v>
      </c>
    </row>
    <row r="39" spans="2:7">
      <c r="B39" s="10" t="s">
        <v>532</v>
      </c>
      <c r="C39" s="10">
        <v>51</v>
      </c>
      <c r="D39" s="10">
        <v>51</v>
      </c>
      <c r="E39" s="10">
        <v>51</v>
      </c>
      <c r="F39" s="10">
        <v>51</v>
      </c>
      <c r="G39" s="10">
        <v>51</v>
      </c>
    </row>
    <row r="40" spans="2:7">
      <c r="B40" s="10" t="s">
        <v>533</v>
      </c>
      <c r="C40" s="10" t="s">
        <v>549</v>
      </c>
      <c r="D40" s="10" t="s">
        <v>550</v>
      </c>
      <c r="E40" s="10" t="s">
        <v>551</v>
      </c>
      <c r="F40" s="10" t="s">
        <v>552</v>
      </c>
      <c r="G40" s="10" t="s">
        <v>553</v>
      </c>
    </row>
    <row r="41" spans="2:7">
      <c r="B41" s="10" t="s">
        <v>534</v>
      </c>
      <c r="C41" s="10">
        <v>170</v>
      </c>
      <c r="D41" s="10">
        <v>170</v>
      </c>
      <c r="E41" s="10">
        <v>175</v>
      </c>
      <c r="F41" s="10">
        <v>175</v>
      </c>
      <c r="G41" s="10">
        <v>175</v>
      </c>
    </row>
    <row r="42" spans="2:7">
      <c r="B42" s="10" t="s">
        <v>12</v>
      </c>
      <c r="C42" s="10" t="s">
        <v>538</v>
      </c>
      <c r="D42" s="10" t="s">
        <v>539</v>
      </c>
      <c r="E42" s="10" t="s">
        <v>22</v>
      </c>
      <c r="F42" s="10" t="s">
        <v>412</v>
      </c>
      <c r="G42" s="10" t="s">
        <v>413</v>
      </c>
    </row>
    <row r="43" spans="2:7">
      <c r="B43" s="10" t="s">
        <v>540</v>
      </c>
      <c r="C43" s="10" t="s">
        <v>554</v>
      </c>
      <c r="D43" s="10" t="s">
        <v>555</v>
      </c>
      <c r="E43" s="10" t="s">
        <v>556</v>
      </c>
      <c r="F43" s="10" t="s">
        <v>557</v>
      </c>
      <c r="G43" s="10" t="s">
        <v>558</v>
      </c>
    </row>
    <row r="44" spans="2:7">
      <c r="B44" s="10" t="s">
        <v>13</v>
      </c>
      <c r="C44" s="10">
        <v>60</v>
      </c>
      <c r="D44" s="10">
        <v>70</v>
      </c>
      <c r="E44" s="10">
        <v>70</v>
      </c>
      <c r="F44" s="10">
        <v>80</v>
      </c>
      <c r="G44" s="10">
        <v>80</v>
      </c>
    </row>
    <row r="47" spans="2:7">
      <c r="B47" s="10"/>
      <c r="C47" s="10"/>
      <c r="D47" s="10"/>
      <c r="E47" s="10"/>
      <c r="F47" s="10"/>
      <c r="G47" s="10"/>
    </row>
    <row r="48" spans="2:7">
      <c r="B48" s="10"/>
      <c r="C48" s="10"/>
      <c r="D48" s="10"/>
      <c r="E48" s="10"/>
      <c r="F48" s="10"/>
      <c r="G48" s="10"/>
    </row>
    <row r="49" spans="2:7">
      <c r="B49" s="10"/>
      <c r="C49" s="10"/>
      <c r="D49" s="10"/>
      <c r="E49" s="10"/>
      <c r="F49" s="10"/>
      <c r="G49" s="10"/>
    </row>
    <row r="50" spans="2:7">
      <c r="B50" s="10"/>
      <c r="C50" s="10"/>
      <c r="D50" s="10"/>
      <c r="E50" s="10"/>
      <c r="F50" s="10"/>
      <c r="G50" s="10"/>
    </row>
    <row r="51" spans="2:7">
      <c r="B51" s="10"/>
      <c r="C51" s="10"/>
      <c r="D51" s="10"/>
      <c r="E51" s="10"/>
      <c r="F51" s="10"/>
      <c r="G51" s="10"/>
    </row>
    <row r="52" spans="2:7">
      <c r="B52" s="10"/>
      <c r="C52" s="10"/>
      <c r="D52" s="10"/>
      <c r="E52" s="10"/>
      <c r="F52" s="10"/>
      <c r="G52" s="10"/>
    </row>
    <row r="53" spans="2:7">
      <c r="B53" s="10"/>
      <c r="C53" s="10"/>
      <c r="D53" s="10"/>
      <c r="E53" s="10"/>
      <c r="F53" s="10"/>
      <c r="G53" s="10"/>
    </row>
    <row r="54" spans="2:7">
      <c r="B54" s="10"/>
      <c r="C54" s="10"/>
      <c r="D54" s="10"/>
      <c r="E54" s="10"/>
      <c r="F54" s="10"/>
      <c r="G54" s="10"/>
    </row>
    <row r="55" spans="2:7">
      <c r="B55" s="10"/>
      <c r="C55" s="10"/>
      <c r="D55" s="10"/>
      <c r="E55" s="10"/>
      <c r="F55" s="10"/>
      <c r="G55" s="10"/>
    </row>
    <row r="56" spans="2:7">
      <c r="B56" s="10"/>
      <c r="C56" s="10"/>
      <c r="D56" s="10"/>
      <c r="E56" s="10"/>
      <c r="F56" s="10"/>
      <c r="G56" s="10"/>
    </row>
    <row r="57" spans="2:7">
      <c r="B57" s="10"/>
      <c r="C57" s="10"/>
      <c r="D57" s="10"/>
      <c r="E57" s="10"/>
      <c r="F57" s="10"/>
      <c r="G57" s="10"/>
    </row>
    <row r="58" spans="2:7">
      <c r="B58" s="10"/>
      <c r="C58" s="10"/>
      <c r="D58" s="10"/>
      <c r="E58" s="10"/>
      <c r="F58" s="10"/>
      <c r="G58" s="10"/>
    </row>
    <row r="59" spans="2:7">
      <c r="B59" s="10"/>
      <c r="C59" s="10"/>
      <c r="D59" s="10"/>
      <c r="E59" s="10"/>
      <c r="F59" s="10"/>
      <c r="G59" s="10"/>
    </row>
    <row r="60" spans="2:7">
      <c r="B60" s="10"/>
      <c r="C60" s="10"/>
      <c r="D60" s="10"/>
      <c r="E60" s="10"/>
      <c r="F60" s="10"/>
      <c r="G60" s="10"/>
    </row>
    <row r="61" spans="2:7">
      <c r="B61" s="10"/>
      <c r="C61" s="10"/>
      <c r="D61" s="10"/>
      <c r="E61" s="10"/>
      <c r="F61" s="10"/>
      <c r="G61" s="10"/>
    </row>
    <row r="62" spans="2:7">
      <c r="B62" s="10"/>
      <c r="C62" s="10"/>
      <c r="D62" s="10"/>
      <c r="E62" s="10"/>
      <c r="F62" s="10"/>
      <c r="G62" s="10"/>
    </row>
    <row r="63" spans="2:7">
      <c r="B63" s="10"/>
      <c r="C63" s="10"/>
      <c r="D63" s="10"/>
      <c r="E63" s="10"/>
      <c r="F63" s="10"/>
      <c r="G63" s="10"/>
    </row>
    <row r="64" spans="2:7">
      <c r="B64" s="10"/>
      <c r="C64" s="10"/>
      <c r="D64" s="10"/>
      <c r="E64" s="10"/>
      <c r="F64" s="10"/>
      <c r="G64" s="10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57B4-EBFE-494C-B223-0437CC52F606}">
  <dimension ref="A1:G65"/>
  <sheetViews>
    <sheetView workbookViewId="0">
      <selection activeCell="C27" sqref="C27"/>
    </sheetView>
  </sheetViews>
  <sheetFormatPr baseColWidth="10" defaultRowHeight="19"/>
  <cols>
    <col min="1" max="1" width="14.33203125" style="2" bestFit="1" customWidth="1"/>
    <col min="2" max="2" width="44.33203125" style="2" bestFit="1" customWidth="1"/>
    <col min="3" max="7" width="25.83203125" style="2" customWidth="1"/>
    <col min="8" max="16384" width="10.83203125" style="2"/>
  </cols>
  <sheetData>
    <row r="1" spans="1:7">
      <c r="A1" s="2" t="s">
        <v>72</v>
      </c>
      <c r="B1" s="10" t="s">
        <v>141</v>
      </c>
      <c r="C1" s="10" t="s">
        <v>16</v>
      </c>
      <c r="D1" s="10" t="s">
        <v>168</v>
      </c>
      <c r="E1" s="10" t="s">
        <v>169</v>
      </c>
      <c r="F1" s="10" t="s">
        <v>170</v>
      </c>
      <c r="G1" s="10" t="s">
        <v>20</v>
      </c>
    </row>
    <row r="2" spans="1:7">
      <c r="A2" s="2" t="s">
        <v>73</v>
      </c>
      <c r="B2" s="10" t="s">
        <v>521</v>
      </c>
      <c r="C2" s="10">
        <v>520</v>
      </c>
      <c r="D2" s="10">
        <v>540</v>
      </c>
      <c r="E2" s="10">
        <v>565</v>
      </c>
      <c r="F2" s="10">
        <v>590</v>
      </c>
      <c r="G2" s="10">
        <v>620</v>
      </c>
    </row>
    <row r="3" spans="1:7">
      <c r="A3" s="2" t="s">
        <v>57</v>
      </c>
      <c r="B3" s="10" t="s">
        <v>522</v>
      </c>
      <c r="C3" s="10">
        <v>690</v>
      </c>
      <c r="D3" s="10">
        <v>732</v>
      </c>
      <c r="E3" s="10">
        <v>778</v>
      </c>
      <c r="F3" s="10">
        <v>821</v>
      </c>
      <c r="G3" s="10">
        <v>859</v>
      </c>
    </row>
    <row r="4" spans="1:7">
      <c r="A4" s="2" t="s">
        <v>55</v>
      </c>
      <c r="B4" s="10" t="s">
        <v>523</v>
      </c>
      <c r="C4" s="10">
        <v>350</v>
      </c>
      <c r="D4" s="10">
        <v>364</v>
      </c>
      <c r="E4" s="10">
        <v>368</v>
      </c>
      <c r="F4" s="10">
        <v>385</v>
      </c>
      <c r="G4" s="10">
        <v>409</v>
      </c>
    </row>
    <row r="5" spans="1:7">
      <c r="A5" s="2" t="s">
        <v>54</v>
      </c>
      <c r="B5" s="10" t="s">
        <v>524</v>
      </c>
      <c r="C5" s="10">
        <v>594</v>
      </c>
      <c r="D5" s="10">
        <v>615</v>
      </c>
      <c r="E5" s="10">
        <v>643</v>
      </c>
      <c r="F5" s="10">
        <v>671</v>
      </c>
      <c r="G5" s="10">
        <v>690</v>
      </c>
    </row>
    <row r="6" spans="1:7">
      <c r="A6" s="2" t="s">
        <v>60</v>
      </c>
      <c r="B6" s="10" t="s">
        <v>525</v>
      </c>
      <c r="C6" s="10">
        <v>355.6</v>
      </c>
      <c r="D6" s="10">
        <v>406.4</v>
      </c>
      <c r="E6" s="10">
        <v>457.2</v>
      </c>
      <c r="F6" s="10">
        <v>508</v>
      </c>
      <c r="G6" s="10">
        <v>558.79999999999995</v>
      </c>
    </row>
    <row r="7" spans="1:7">
      <c r="A7" s="2" t="s">
        <v>64</v>
      </c>
      <c r="B7" s="10" t="s">
        <v>526</v>
      </c>
      <c r="C7" s="10">
        <v>90</v>
      </c>
      <c r="D7" s="10">
        <v>110</v>
      </c>
      <c r="E7" s="10">
        <v>140</v>
      </c>
      <c r="F7" s="10">
        <v>170</v>
      </c>
      <c r="G7" s="10">
        <v>190</v>
      </c>
    </row>
    <row r="8" spans="1:7">
      <c r="A8" s="2" t="s">
        <v>62</v>
      </c>
      <c r="B8" s="10" t="s">
        <v>527</v>
      </c>
      <c r="C8" s="10">
        <v>68.5</v>
      </c>
      <c r="D8" s="10">
        <v>69</v>
      </c>
      <c r="E8" s="10">
        <v>69</v>
      </c>
      <c r="F8" s="10">
        <v>69</v>
      </c>
      <c r="G8" s="10">
        <v>69</v>
      </c>
    </row>
    <row r="9" spans="1:7">
      <c r="A9" s="2" t="s">
        <v>63</v>
      </c>
      <c r="B9" s="10" t="s">
        <v>528</v>
      </c>
      <c r="C9" s="10">
        <v>74</v>
      </c>
      <c r="D9" s="10">
        <v>74</v>
      </c>
      <c r="E9" s="10">
        <v>73</v>
      </c>
      <c r="F9" s="10">
        <v>73</v>
      </c>
      <c r="G9" s="10">
        <v>73</v>
      </c>
    </row>
    <row r="10" spans="1:7">
      <c r="A10" s="2" t="s">
        <v>65</v>
      </c>
      <c r="B10" s="10" t="s">
        <v>529</v>
      </c>
      <c r="C10" s="10">
        <v>70</v>
      </c>
      <c r="D10" s="10">
        <v>70</v>
      </c>
      <c r="E10" s="10">
        <v>70</v>
      </c>
      <c r="F10" s="10">
        <v>70</v>
      </c>
      <c r="G10" s="10">
        <v>70</v>
      </c>
    </row>
    <row r="11" spans="1:7">
      <c r="A11" s="2" t="s">
        <v>66</v>
      </c>
      <c r="B11" s="10" t="s">
        <v>530</v>
      </c>
      <c r="C11" s="10">
        <f>VALUE(LEFT(C38,3))</f>
        <v>445</v>
      </c>
      <c r="D11" s="10">
        <f t="shared" ref="D11:G11" si="0">VALUE(LEFT(D38,3))</f>
        <v>445</v>
      </c>
      <c r="E11" s="10">
        <f t="shared" si="0"/>
        <v>445</v>
      </c>
      <c r="F11" s="10">
        <f t="shared" si="0"/>
        <v>445</v>
      </c>
      <c r="G11" s="10">
        <f t="shared" si="0"/>
        <v>445</v>
      </c>
    </row>
    <row r="12" spans="1:7">
      <c r="A12" s="2" t="s">
        <v>495</v>
      </c>
      <c r="B12" s="10" t="s">
        <v>531</v>
      </c>
      <c r="C12" s="10">
        <v>480</v>
      </c>
      <c r="D12" s="10">
        <v>480</v>
      </c>
      <c r="E12" s="10">
        <v>480</v>
      </c>
      <c r="F12" s="10">
        <v>480</v>
      </c>
      <c r="G12" s="10">
        <v>480</v>
      </c>
    </row>
    <row r="13" spans="1:7">
      <c r="A13" s="2" t="s">
        <v>67</v>
      </c>
      <c r="B13" s="10" t="s">
        <v>532</v>
      </c>
      <c r="C13" s="10">
        <v>51</v>
      </c>
      <c r="D13" s="10">
        <v>51</v>
      </c>
      <c r="E13" s="10">
        <v>51</v>
      </c>
      <c r="F13" s="10">
        <v>51</v>
      </c>
      <c r="G13" s="10">
        <v>51</v>
      </c>
    </row>
    <row r="14" spans="1:7">
      <c r="A14" s="2" t="s">
        <v>56</v>
      </c>
      <c r="B14" s="10" t="s">
        <v>533</v>
      </c>
      <c r="C14" s="10">
        <f>VALUE(LEFT(C41,4))</f>
        <v>1050</v>
      </c>
      <c r="D14" s="10">
        <f t="shared" ref="D14:G14" si="1">VALUE(LEFT(D41,4))</f>
        <v>1067</v>
      </c>
      <c r="E14" s="10">
        <f t="shared" si="1"/>
        <v>1083</v>
      </c>
      <c r="F14" s="10">
        <f t="shared" si="1"/>
        <v>1110</v>
      </c>
      <c r="G14" s="10">
        <f t="shared" si="1"/>
        <v>1141</v>
      </c>
    </row>
    <row r="15" spans="1:7">
      <c r="A15" s="2" t="s">
        <v>69</v>
      </c>
      <c r="B15" s="10" t="s">
        <v>534</v>
      </c>
      <c r="C15" s="10">
        <v>170</v>
      </c>
      <c r="D15" s="10">
        <v>170</v>
      </c>
      <c r="E15" s="10">
        <v>175</v>
      </c>
      <c r="F15" s="10">
        <v>175</v>
      </c>
      <c r="G15" s="10">
        <v>175</v>
      </c>
    </row>
    <row r="16" spans="1:7">
      <c r="A16" s="2" t="s">
        <v>70</v>
      </c>
      <c r="B16" s="10" t="s">
        <v>12</v>
      </c>
      <c r="C16" s="10">
        <f>VALUE(LEFT(C43,2)) *10</f>
        <v>440</v>
      </c>
      <c r="D16" s="10">
        <f t="shared" ref="D16:G16" si="2">VALUE(LEFT(D43,2)) *10</f>
        <v>460</v>
      </c>
      <c r="E16" s="10">
        <f t="shared" si="2"/>
        <v>480</v>
      </c>
      <c r="F16" s="10">
        <f t="shared" si="2"/>
        <v>500</v>
      </c>
      <c r="G16" s="10">
        <f t="shared" si="2"/>
        <v>520</v>
      </c>
    </row>
    <row r="17" spans="1:7">
      <c r="A17" s="2" t="s">
        <v>71</v>
      </c>
      <c r="B17" s="10" t="s">
        <v>13</v>
      </c>
      <c r="C17" s="10">
        <v>60</v>
      </c>
      <c r="D17" s="10">
        <v>70</v>
      </c>
      <c r="E17" s="10">
        <v>70</v>
      </c>
      <c r="F17" s="10">
        <v>80</v>
      </c>
      <c r="G17" s="10">
        <v>80</v>
      </c>
    </row>
    <row r="18" spans="1:7">
      <c r="A18" s="2" t="s">
        <v>68</v>
      </c>
      <c r="B18" s="2" t="s">
        <v>68</v>
      </c>
      <c r="C18" s="10">
        <v>29</v>
      </c>
      <c r="D18" s="10">
        <v>29</v>
      </c>
      <c r="E18" s="10">
        <v>29</v>
      </c>
      <c r="F18" s="10">
        <v>29</v>
      </c>
      <c r="G18" s="10">
        <v>29</v>
      </c>
    </row>
    <row r="19" spans="1:7">
      <c r="A19" s="2" t="s">
        <v>139</v>
      </c>
      <c r="B19" s="2" t="s">
        <v>139</v>
      </c>
      <c r="C19" s="2">
        <f>2.2*25.4</f>
        <v>55.88</v>
      </c>
      <c r="D19" s="2">
        <f t="shared" ref="D19:G19" si="3">2.2*25.4</f>
        <v>55.88</v>
      </c>
      <c r="E19" s="2">
        <f t="shared" si="3"/>
        <v>55.88</v>
      </c>
      <c r="F19" s="2">
        <f t="shared" si="3"/>
        <v>55.88</v>
      </c>
      <c r="G19" s="2">
        <f t="shared" si="3"/>
        <v>55.88</v>
      </c>
    </row>
    <row r="20" spans="1:7">
      <c r="A20" s="2" t="s">
        <v>140</v>
      </c>
      <c r="B20" s="2" t="s">
        <v>140</v>
      </c>
      <c r="C20" s="2">
        <f>3*25.4</f>
        <v>76.199999999999989</v>
      </c>
      <c r="D20" s="2">
        <f t="shared" ref="D20:G20" si="4">3*25.4</f>
        <v>76.199999999999989</v>
      </c>
      <c r="E20" s="2">
        <f t="shared" si="4"/>
        <v>76.199999999999989</v>
      </c>
      <c r="F20" s="2">
        <f t="shared" si="4"/>
        <v>76.199999999999989</v>
      </c>
      <c r="G20" s="2">
        <f t="shared" si="4"/>
        <v>76.199999999999989</v>
      </c>
    </row>
    <row r="21" spans="1:7" ht="20">
      <c r="A21" s="22" t="s">
        <v>1752</v>
      </c>
      <c r="B21" s="22" t="s">
        <v>1752</v>
      </c>
      <c r="C21" s="2">
        <f>VALUE(LEFT(C25,3))</f>
        <v>150</v>
      </c>
      <c r="D21" s="2">
        <f>AVERAGE(D23,C24)</f>
        <v>160</v>
      </c>
      <c r="E21" s="2">
        <f t="shared" ref="E21:G21" si="5">AVERAGE(E23,D24)</f>
        <v>174</v>
      </c>
      <c r="F21" s="2">
        <f t="shared" si="5"/>
        <v>181.5</v>
      </c>
      <c r="G21" s="2">
        <f t="shared" si="5"/>
        <v>189.5</v>
      </c>
    </row>
    <row r="22" spans="1:7" ht="20">
      <c r="A22" s="22" t="s">
        <v>1753</v>
      </c>
      <c r="B22" s="22" t="s">
        <v>1753</v>
      </c>
      <c r="C22" s="2">
        <f>D21</f>
        <v>160</v>
      </c>
      <c r="D22" s="2">
        <f t="shared" ref="D22:F22" si="6">E21</f>
        <v>174</v>
      </c>
      <c r="E22" s="2">
        <f t="shared" si="6"/>
        <v>181.5</v>
      </c>
      <c r="F22" s="2">
        <f t="shared" si="6"/>
        <v>189.5</v>
      </c>
      <c r="G22" s="2">
        <v>198</v>
      </c>
    </row>
    <row r="23" spans="1:7" ht="20">
      <c r="A23" s="22"/>
      <c r="B23" s="22"/>
      <c r="C23" s="2">
        <v>150</v>
      </c>
      <c r="D23" s="2">
        <v>160</v>
      </c>
      <c r="E23" s="2">
        <v>173</v>
      </c>
      <c r="F23" s="2">
        <v>180</v>
      </c>
      <c r="G23" s="2">
        <v>188</v>
      </c>
    </row>
    <row r="24" spans="1:7">
      <c r="C24" s="2">
        <v>160</v>
      </c>
      <c r="D24" s="2">
        <v>175</v>
      </c>
      <c r="E24" s="2">
        <v>183</v>
      </c>
      <c r="F24" s="2">
        <v>191</v>
      </c>
      <c r="G24" s="2">
        <v>198</v>
      </c>
    </row>
    <row r="25" spans="1:7">
      <c r="B25" s="10" t="s">
        <v>540</v>
      </c>
      <c r="C25" s="10" t="s">
        <v>554</v>
      </c>
      <c r="D25" s="10" t="s">
        <v>555</v>
      </c>
      <c r="E25" s="10" t="s">
        <v>556</v>
      </c>
      <c r="F25" s="10" t="s">
        <v>557</v>
      </c>
      <c r="G25" s="10" t="s">
        <v>558</v>
      </c>
    </row>
    <row r="28" spans="1:7">
      <c r="B28" s="10" t="s">
        <v>141</v>
      </c>
      <c r="C28" s="10" t="s">
        <v>16</v>
      </c>
      <c r="D28" s="10" t="s">
        <v>168</v>
      </c>
      <c r="E28" s="10" t="s">
        <v>169</v>
      </c>
      <c r="F28" s="10" t="s">
        <v>170</v>
      </c>
      <c r="G28" s="10" t="s">
        <v>20</v>
      </c>
    </row>
    <row r="29" spans="1:7">
      <c r="B29" s="10" t="s">
        <v>521</v>
      </c>
      <c r="C29" s="10">
        <v>520</v>
      </c>
      <c r="D29" s="10">
        <v>540</v>
      </c>
      <c r="E29" s="10">
        <v>565</v>
      </c>
      <c r="F29" s="10">
        <v>590</v>
      </c>
      <c r="G29" s="10">
        <v>620</v>
      </c>
    </row>
    <row r="30" spans="1:7">
      <c r="B30" s="10" t="s">
        <v>522</v>
      </c>
      <c r="C30" s="10">
        <v>690</v>
      </c>
      <c r="D30" s="10">
        <v>732</v>
      </c>
      <c r="E30" s="10">
        <v>778</v>
      </c>
      <c r="F30" s="10">
        <v>821</v>
      </c>
      <c r="G30" s="10">
        <v>859</v>
      </c>
    </row>
    <row r="31" spans="1:7">
      <c r="B31" s="10" t="s">
        <v>523</v>
      </c>
      <c r="C31" s="10">
        <v>350</v>
      </c>
      <c r="D31" s="10">
        <v>364</v>
      </c>
      <c r="E31" s="10">
        <v>368</v>
      </c>
      <c r="F31" s="10">
        <v>385</v>
      </c>
      <c r="G31" s="10">
        <v>409</v>
      </c>
    </row>
    <row r="32" spans="1:7">
      <c r="B32" s="10" t="s">
        <v>524</v>
      </c>
      <c r="C32" s="10">
        <v>594</v>
      </c>
      <c r="D32" s="10">
        <v>615</v>
      </c>
      <c r="E32" s="10">
        <v>643</v>
      </c>
      <c r="F32" s="10">
        <v>671</v>
      </c>
      <c r="G32" s="10">
        <v>690</v>
      </c>
    </row>
    <row r="33" spans="2:7">
      <c r="B33" s="10" t="s">
        <v>525</v>
      </c>
      <c r="C33" s="10">
        <v>355.6</v>
      </c>
      <c r="D33" s="10">
        <v>406.4</v>
      </c>
      <c r="E33" s="10">
        <v>457.2</v>
      </c>
      <c r="F33" s="10">
        <v>508</v>
      </c>
      <c r="G33" s="10">
        <v>558.79999999999995</v>
      </c>
    </row>
    <row r="34" spans="2:7">
      <c r="B34" s="10" t="s">
        <v>526</v>
      </c>
      <c r="C34" s="10">
        <v>90</v>
      </c>
      <c r="D34" s="10">
        <v>110</v>
      </c>
      <c r="E34" s="10">
        <v>140</v>
      </c>
      <c r="F34" s="10">
        <v>170</v>
      </c>
      <c r="G34" s="10">
        <v>190</v>
      </c>
    </row>
    <row r="35" spans="2:7">
      <c r="B35" s="10" t="s">
        <v>527</v>
      </c>
      <c r="C35" s="10">
        <v>68.5</v>
      </c>
      <c r="D35" s="10">
        <v>69</v>
      </c>
      <c r="E35" s="10">
        <v>69</v>
      </c>
      <c r="F35" s="10">
        <v>69</v>
      </c>
      <c r="G35" s="10">
        <v>69</v>
      </c>
    </row>
    <row r="36" spans="2:7">
      <c r="B36" s="10" t="s">
        <v>528</v>
      </c>
      <c r="C36" s="10">
        <v>74</v>
      </c>
      <c r="D36" s="10">
        <v>74</v>
      </c>
      <c r="E36" s="10">
        <v>73</v>
      </c>
      <c r="F36" s="10">
        <v>73</v>
      </c>
      <c r="G36" s="10">
        <v>73</v>
      </c>
    </row>
    <row r="37" spans="2:7">
      <c r="B37" s="10" t="s">
        <v>529</v>
      </c>
      <c r="C37" s="10">
        <v>70</v>
      </c>
      <c r="D37" s="10">
        <v>70</v>
      </c>
      <c r="E37" s="10">
        <v>70</v>
      </c>
      <c r="F37" s="10">
        <v>70</v>
      </c>
      <c r="G37" s="10">
        <v>70</v>
      </c>
    </row>
    <row r="38" spans="2:7">
      <c r="B38" s="10" t="s">
        <v>530</v>
      </c>
      <c r="C38" s="10" t="s">
        <v>548</v>
      </c>
      <c r="D38" s="10" t="s">
        <v>548</v>
      </c>
      <c r="E38" s="10" t="s">
        <v>548</v>
      </c>
      <c r="F38" s="10" t="s">
        <v>548</v>
      </c>
      <c r="G38" s="10" t="s">
        <v>548</v>
      </c>
    </row>
    <row r="39" spans="2:7">
      <c r="B39" s="10" t="s">
        <v>531</v>
      </c>
      <c r="C39" s="10">
        <v>480</v>
      </c>
      <c r="D39" s="10">
        <v>480</v>
      </c>
      <c r="E39" s="10">
        <v>480</v>
      </c>
      <c r="F39" s="10">
        <v>480</v>
      </c>
      <c r="G39" s="10">
        <v>480</v>
      </c>
    </row>
    <row r="40" spans="2:7">
      <c r="B40" s="10" t="s">
        <v>532</v>
      </c>
      <c r="C40" s="10">
        <v>51</v>
      </c>
      <c r="D40" s="10">
        <v>51</v>
      </c>
      <c r="E40" s="10">
        <v>51</v>
      </c>
      <c r="F40" s="10">
        <v>51</v>
      </c>
      <c r="G40" s="10">
        <v>51</v>
      </c>
    </row>
    <row r="41" spans="2:7">
      <c r="B41" s="10" t="s">
        <v>533</v>
      </c>
      <c r="C41" s="10" t="s">
        <v>549</v>
      </c>
      <c r="D41" s="10" t="s">
        <v>550</v>
      </c>
      <c r="E41" s="10" t="s">
        <v>551</v>
      </c>
      <c r="F41" s="10" t="s">
        <v>552</v>
      </c>
      <c r="G41" s="10" t="s">
        <v>553</v>
      </c>
    </row>
    <row r="42" spans="2:7">
      <c r="B42" s="10" t="s">
        <v>534</v>
      </c>
      <c r="C42" s="10">
        <v>170</v>
      </c>
      <c r="D42" s="10">
        <v>170</v>
      </c>
      <c r="E42" s="10">
        <v>175</v>
      </c>
      <c r="F42" s="10">
        <v>175</v>
      </c>
      <c r="G42" s="10">
        <v>175</v>
      </c>
    </row>
    <row r="43" spans="2:7">
      <c r="B43" s="10" t="s">
        <v>12</v>
      </c>
      <c r="C43" s="10" t="s">
        <v>538</v>
      </c>
      <c r="D43" s="10" t="s">
        <v>539</v>
      </c>
      <c r="E43" s="10" t="s">
        <v>22</v>
      </c>
      <c r="F43" s="10" t="s">
        <v>412</v>
      </c>
      <c r="G43" s="10" t="s">
        <v>413</v>
      </c>
    </row>
    <row r="44" spans="2:7">
      <c r="B44" s="10" t="s">
        <v>540</v>
      </c>
      <c r="C44" s="10" t="s">
        <v>554</v>
      </c>
      <c r="D44" s="10" t="s">
        <v>555</v>
      </c>
      <c r="E44" s="10" t="s">
        <v>556</v>
      </c>
      <c r="F44" s="10" t="s">
        <v>557</v>
      </c>
      <c r="G44" s="10" t="s">
        <v>558</v>
      </c>
    </row>
    <row r="45" spans="2:7">
      <c r="B45" s="10" t="s">
        <v>13</v>
      </c>
      <c r="C45" s="10">
        <v>60</v>
      </c>
      <c r="D45" s="10">
        <v>70</v>
      </c>
      <c r="E45" s="10">
        <v>70</v>
      </c>
      <c r="F45" s="10">
        <v>80</v>
      </c>
      <c r="G45" s="10">
        <v>80</v>
      </c>
    </row>
    <row r="48" spans="2:7">
      <c r="B48" s="10"/>
      <c r="C48" s="10"/>
      <c r="D48" s="10"/>
      <c r="E48" s="10"/>
      <c r="F48" s="10"/>
      <c r="G48" s="10"/>
    </row>
    <row r="49" spans="2:7">
      <c r="B49" s="10"/>
      <c r="C49" s="10"/>
      <c r="D49" s="10"/>
      <c r="E49" s="10"/>
      <c r="F49" s="10"/>
      <c r="G49" s="10"/>
    </row>
    <row r="50" spans="2:7">
      <c r="B50" s="10"/>
      <c r="C50" s="10"/>
      <c r="D50" s="10"/>
      <c r="E50" s="10"/>
      <c r="F50" s="10"/>
      <c r="G50" s="10"/>
    </row>
    <row r="51" spans="2:7">
      <c r="B51" s="10"/>
      <c r="C51" s="10"/>
      <c r="D51" s="10"/>
      <c r="E51" s="10"/>
      <c r="F51" s="10"/>
      <c r="G51" s="10"/>
    </row>
    <row r="52" spans="2:7">
      <c r="B52" s="10"/>
      <c r="C52" s="10"/>
      <c r="D52" s="10"/>
      <c r="E52" s="10"/>
      <c r="F52" s="10"/>
      <c r="G52" s="10"/>
    </row>
    <row r="53" spans="2:7">
      <c r="B53" s="10"/>
      <c r="C53" s="10"/>
      <c r="D53" s="10"/>
      <c r="E53" s="10"/>
      <c r="F53" s="10"/>
      <c r="G53" s="10"/>
    </row>
    <row r="54" spans="2:7">
      <c r="B54" s="10"/>
      <c r="C54" s="10"/>
      <c r="D54" s="10"/>
      <c r="E54" s="10"/>
      <c r="F54" s="10"/>
      <c r="G54" s="10"/>
    </row>
    <row r="55" spans="2:7">
      <c r="B55" s="10"/>
      <c r="C55" s="10"/>
      <c r="D55" s="10"/>
      <c r="E55" s="10"/>
      <c r="F55" s="10"/>
      <c r="G55" s="10"/>
    </row>
    <row r="56" spans="2:7">
      <c r="B56" s="10"/>
      <c r="C56" s="10"/>
      <c r="D56" s="10"/>
      <c r="E56" s="10"/>
      <c r="F56" s="10"/>
      <c r="G56" s="10"/>
    </row>
    <row r="57" spans="2:7">
      <c r="B57" s="10"/>
      <c r="C57" s="10"/>
      <c r="D57" s="10"/>
      <c r="E57" s="10"/>
      <c r="F57" s="10"/>
      <c r="G57" s="10"/>
    </row>
    <row r="58" spans="2:7">
      <c r="B58" s="10"/>
      <c r="C58" s="10"/>
      <c r="D58" s="10"/>
      <c r="E58" s="10"/>
      <c r="F58" s="10"/>
      <c r="G58" s="10"/>
    </row>
    <row r="59" spans="2:7">
      <c r="B59" s="10"/>
      <c r="C59" s="10"/>
      <c r="D59" s="10"/>
      <c r="E59" s="10"/>
      <c r="F59" s="10"/>
      <c r="G59" s="10"/>
    </row>
    <row r="60" spans="2:7">
      <c r="B60" s="10"/>
      <c r="C60" s="10"/>
      <c r="D60" s="10"/>
      <c r="E60" s="10"/>
      <c r="F60" s="10"/>
      <c r="G60" s="10"/>
    </row>
    <row r="61" spans="2:7">
      <c r="B61" s="10"/>
      <c r="C61" s="10"/>
      <c r="D61" s="10"/>
      <c r="E61" s="10"/>
      <c r="F61" s="10"/>
      <c r="G61" s="10"/>
    </row>
    <row r="62" spans="2:7">
      <c r="B62" s="10"/>
      <c r="C62" s="10"/>
      <c r="D62" s="10"/>
      <c r="E62" s="10"/>
      <c r="F62" s="10"/>
      <c r="G62" s="10"/>
    </row>
    <row r="63" spans="2:7">
      <c r="B63" s="10"/>
      <c r="C63" s="10"/>
      <c r="D63" s="10"/>
      <c r="E63" s="10"/>
      <c r="F63" s="10"/>
      <c r="G63" s="10"/>
    </row>
    <row r="64" spans="2:7">
      <c r="B64" s="10"/>
      <c r="C64" s="10"/>
      <c r="D64" s="10"/>
      <c r="E64" s="10"/>
      <c r="F64" s="10"/>
      <c r="G64" s="10"/>
    </row>
    <row r="65" spans="2:7">
      <c r="B65" s="10"/>
      <c r="C65" s="10"/>
      <c r="D65" s="10"/>
      <c r="E65" s="10"/>
      <c r="F65" s="10"/>
      <c r="G65" s="10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F03A-B622-C44E-81BC-A42CEED0D37E}">
  <dimension ref="A1:K52"/>
  <sheetViews>
    <sheetView workbookViewId="0">
      <selection activeCell="J26" sqref="J26"/>
    </sheetView>
  </sheetViews>
  <sheetFormatPr baseColWidth="10" defaultRowHeight="20"/>
  <cols>
    <col min="1" max="1" width="31.5" style="22" bestFit="1" customWidth="1"/>
    <col min="2" max="2" width="36.5" style="22" customWidth="1"/>
    <col min="3" max="16384" width="10.83203125" style="22"/>
  </cols>
  <sheetData>
    <row r="1" spans="1:11">
      <c r="A1" s="22" t="s">
        <v>2412</v>
      </c>
      <c r="B1" s="22" t="s">
        <v>2787</v>
      </c>
    </row>
    <row r="2" spans="1:11">
      <c r="A2" s="22" t="s">
        <v>2423</v>
      </c>
      <c r="B2" s="22">
        <v>2022</v>
      </c>
    </row>
    <row r="3" spans="1:11">
      <c r="A3" s="22" t="s">
        <v>2424</v>
      </c>
      <c r="B3" s="114">
        <v>45155</v>
      </c>
    </row>
    <row r="4" spans="1:11">
      <c r="A4" s="22" t="s">
        <v>2414</v>
      </c>
      <c r="B4" s="22" t="s">
        <v>2777</v>
      </c>
    </row>
    <row r="5" spans="1:11">
      <c r="A5" s="22" t="s">
        <v>2415</v>
      </c>
      <c r="B5" s="22" t="s">
        <v>2771</v>
      </c>
    </row>
    <row r="6" spans="1:11">
      <c r="A6" s="22" t="s">
        <v>72</v>
      </c>
      <c r="B6" s="22" t="str">
        <f>B31</f>
        <v>Size</v>
      </c>
      <c r="C6" s="22" t="str">
        <f t="shared" ref="C6:H6" si="0">C31</f>
        <v>49cm</v>
      </c>
      <c r="D6" s="22" t="str">
        <f t="shared" si="0"/>
        <v>51cm</v>
      </c>
      <c r="E6" s="22" t="str">
        <f t="shared" si="0"/>
        <v>53cm</v>
      </c>
      <c r="F6" s="22" t="str">
        <f t="shared" si="0"/>
        <v>55cm</v>
      </c>
      <c r="G6" s="22" t="str">
        <f t="shared" si="0"/>
        <v>57cm</v>
      </c>
      <c r="H6" s="22" t="str">
        <f t="shared" si="0"/>
        <v>60cm</v>
      </c>
    </row>
    <row r="7" spans="1:11">
      <c r="A7" s="22" t="s">
        <v>73</v>
      </c>
      <c r="B7" s="22" t="str">
        <f t="shared" ref="B7:H7" si="1">B32</f>
        <v>A. Effective Top Tube</v>
      </c>
      <c r="C7" s="22">
        <f t="shared" si="1"/>
        <v>493</v>
      </c>
      <c r="D7" s="22">
        <f t="shared" si="1"/>
        <v>510</v>
      </c>
      <c r="E7" s="22">
        <f t="shared" si="1"/>
        <v>530</v>
      </c>
      <c r="F7" s="22">
        <f t="shared" si="1"/>
        <v>550</v>
      </c>
      <c r="G7" s="22">
        <f t="shared" si="1"/>
        <v>570</v>
      </c>
      <c r="H7" s="22">
        <f t="shared" si="1"/>
        <v>600</v>
      </c>
      <c r="K7" s="22" t="s">
        <v>2782</v>
      </c>
    </row>
    <row r="8" spans="1:11">
      <c r="A8" s="22" t="s">
        <v>57</v>
      </c>
      <c r="B8" s="22" t="str">
        <f t="shared" ref="B8:H8" si="2">B33</f>
        <v>B. Stand Over</v>
      </c>
      <c r="C8" s="22">
        <f t="shared" si="2"/>
        <v>613.5</v>
      </c>
      <c r="D8" s="22">
        <f t="shared" si="2"/>
        <v>648.5</v>
      </c>
      <c r="E8" s="22">
        <f t="shared" si="2"/>
        <v>684.5</v>
      </c>
      <c r="F8" s="22">
        <f t="shared" si="2"/>
        <v>720.5</v>
      </c>
      <c r="G8" s="22">
        <f t="shared" si="2"/>
        <v>756.5</v>
      </c>
      <c r="H8" s="22">
        <f t="shared" si="2"/>
        <v>803.5</v>
      </c>
    </row>
    <row r="9" spans="1:11">
      <c r="A9" s="22" t="s">
        <v>55</v>
      </c>
      <c r="B9" s="22" t="str">
        <f t="shared" ref="B9:H9" si="3">B34</f>
        <v>C. Reach</v>
      </c>
      <c r="C9" s="22">
        <f t="shared" si="3"/>
        <v>366</v>
      </c>
      <c r="D9" s="22">
        <f t="shared" si="3"/>
        <v>368</v>
      </c>
      <c r="E9" s="22">
        <f t="shared" si="3"/>
        <v>372</v>
      </c>
      <c r="F9" s="22">
        <f t="shared" si="3"/>
        <v>376</v>
      </c>
      <c r="G9" s="22">
        <f t="shared" si="3"/>
        <v>387</v>
      </c>
      <c r="H9" s="22">
        <f t="shared" si="3"/>
        <v>408</v>
      </c>
    </row>
    <row r="10" spans="1:11">
      <c r="A10" s="22" t="s">
        <v>54</v>
      </c>
      <c r="B10" s="22" t="str">
        <f t="shared" ref="B10:H10" si="4">B35</f>
        <v>D. Stack</v>
      </c>
      <c r="C10" s="22">
        <f t="shared" si="4"/>
        <v>510</v>
      </c>
      <c r="D10" s="22">
        <f t="shared" si="4"/>
        <v>528</v>
      </c>
      <c r="E10" s="22">
        <f t="shared" si="4"/>
        <v>552</v>
      </c>
      <c r="F10" s="22">
        <f t="shared" si="4"/>
        <v>570</v>
      </c>
      <c r="G10" s="22">
        <f t="shared" si="4"/>
        <v>598</v>
      </c>
      <c r="H10" s="22">
        <f t="shared" si="4"/>
        <v>627</v>
      </c>
    </row>
    <row r="11" spans="1:11">
      <c r="A11" s="22" t="s">
        <v>60</v>
      </c>
      <c r="B11" s="22" t="str">
        <f t="shared" ref="B11:H11" si="5">B36</f>
        <v>E. Total Seat Tube Length</v>
      </c>
      <c r="C11" s="22">
        <f t="shared" si="5"/>
        <v>340</v>
      </c>
      <c r="D11" s="22">
        <f t="shared" si="5"/>
        <v>380</v>
      </c>
      <c r="E11" s="22">
        <f t="shared" si="5"/>
        <v>410</v>
      </c>
      <c r="F11" s="22">
        <f t="shared" si="5"/>
        <v>450</v>
      </c>
      <c r="G11" s="22">
        <f t="shared" si="5"/>
        <v>490</v>
      </c>
      <c r="H11" s="22">
        <f t="shared" si="5"/>
        <v>520</v>
      </c>
    </row>
    <row r="12" spans="1:11">
      <c r="A12" s="22" t="s">
        <v>64</v>
      </c>
      <c r="B12" s="22" t="str">
        <f t="shared" ref="B12:H12" si="6">B37</f>
        <v>F. Headtube Length</v>
      </c>
      <c r="C12" s="22">
        <f t="shared" si="6"/>
        <v>90</v>
      </c>
      <c r="D12" s="22">
        <f t="shared" si="6"/>
        <v>105</v>
      </c>
      <c r="E12" s="22">
        <f t="shared" si="6"/>
        <v>130</v>
      </c>
      <c r="F12" s="22">
        <f t="shared" si="6"/>
        <v>150</v>
      </c>
      <c r="G12" s="22">
        <f t="shared" si="6"/>
        <v>180</v>
      </c>
      <c r="H12" s="22">
        <f t="shared" si="6"/>
        <v>210</v>
      </c>
    </row>
    <row r="13" spans="1:11">
      <c r="A13" s="22" t="s">
        <v>62</v>
      </c>
      <c r="B13" s="22" t="str">
        <f t="shared" ref="B13:H13" si="7">B38</f>
        <v>G. Headtube Angle</v>
      </c>
      <c r="C13" s="22">
        <f t="shared" si="7"/>
        <v>68.5</v>
      </c>
      <c r="D13" s="22">
        <f t="shared" si="7"/>
        <v>69.5</v>
      </c>
      <c r="E13" s="22">
        <f t="shared" si="7"/>
        <v>69.5</v>
      </c>
      <c r="F13" s="22">
        <f t="shared" si="7"/>
        <v>69.5</v>
      </c>
      <c r="G13" s="22">
        <f t="shared" si="7"/>
        <v>69.5</v>
      </c>
      <c r="H13" s="22">
        <f t="shared" si="7"/>
        <v>69.5</v>
      </c>
    </row>
    <row r="14" spans="1:11">
      <c r="A14" s="22" t="s">
        <v>63</v>
      </c>
      <c r="B14" s="22" t="str">
        <f t="shared" ref="B14:H14" si="8">B39</f>
        <v>H. Seat Tube Angle</v>
      </c>
      <c r="C14" s="22">
        <f t="shared" si="8"/>
        <v>76</v>
      </c>
      <c r="D14" s="22">
        <f t="shared" si="8"/>
        <v>75</v>
      </c>
      <c r="E14" s="22">
        <f t="shared" si="8"/>
        <v>74</v>
      </c>
      <c r="F14" s="22">
        <f t="shared" si="8"/>
        <v>73</v>
      </c>
      <c r="G14" s="22">
        <f t="shared" si="8"/>
        <v>73</v>
      </c>
      <c r="H14" s="22">
        <f t="shared" si="8"/>
        <v>73</v>
      </c>
    </row>
    <row r="15" spans="1:11">
      <c r="A15" s="22" t="s">
        <v>65</v>
      </c>
      <c r="B15" s="22" t="str">
        <f t="shared" ref="B15:H15" si="9">B40</f>
        <v>I. BB Drop</v>
      </c>
      <c r="C15" s="22">
        <f t="shared" si="9"/>
        <v>70</v>
      </c>
      <c r="D15" s="22">
        <f t="shared" si="9"/>
        <v>70</v>
      </c>
      <c r="E15" s="22">
        <f t="shared" si="9"/>
        <v>70</v>
      </c>
      <c r="F15" s="22">
        <f t="shared" si="9"/>
        <v>70</v>
      </c>
      <c r="G15" s="22">
        <f t="shared" si="9"/>
        <v>70</v>
      </c>
      <c r="H15" s="22">
        <f t="shared" si="9"/>
        <v>70</v>
      </c>
    </row>
    <row r="16" spans="1:11">
      <c r="A16" s="22" t="s">
        <v>66</v>
      </c>
      <c r="B16" s="22" t="str">
        <f t="shared" ref="B16:H16" si="10">B41</f>
        <v>K. Chainstay Length</v>
      </c>
      <c r="C16" s="22">
        <f t="shared" si="10"/>
        <v>440</v>
      </c>
      <c r="D16" s="22">
        <f t="shared" si="10"/>
        <v>440</v>
      </c>
      <c r="E16" s="22">
        <f t="shared" si="10"/>
        <v>440</v>
      </c>
      <c r="F16" s="22">
        <f t="shared" si="10"/>
        <v>440</v>
      </c>
      <c r="G16" s="22">
        <f t="shared" si="10"/>
        <v>440</v>
      </c>
      <c r="H16" s="22">
        <f t="shared" si="10"/>
        <v>440</v>
      </c>
    </row>
    <row r="17" spans="1:8">
      <c r="A17" s="22" t="s">
        <v>495</v>
      </c>
      <c r="B17" s="22" t="str">
        <f t="shared" ref="B17:H17" si="11">B42</f>
        <v>L. Fork Length Axle to Crown</v>
      </c>
      <c r="C17" s="22">
        <f t="shared" si="11"/>
        <v>402</v>
      </c>
      <c r="D17" s="22">
        <f t="shared" si="11"/>
        <v>402</v>
      </c>
      <c r="E17" s="22">
        <f t="shared" si="11"/>
        <v>402</v>
      </c>
      <c r="F17" s="22">
        <f t="shared" si="11"/>
        <v>402</v>
      </c>
      <c r="G17" s="22">
        <f t="shared" si="11"/>
        <v>402</v>
      </c>
      <c r="H17" s="22">
        <f t="shared" si="11"/>
        <v>402</v>
      </c>
    </row>
    <row r="18" spans="1:8">
      <c r="A18" s="22" t="s">
        <v>67</v>
      </c>
      <c r="B18" s="22" t="str">
        <f t="shared" ref="B18:H18" si="12">B43</f>
        <v>M. Fork Offset</v>
      </c>
      <c r="C18" s="22">
        <f t="shared" si="12"/>
        <v>50</v>
      </c>
      <c r="D18" s="22">
        <f t="shared" si="12"/>
        <v>50</v>
      </c>
      <c r="E18" s="22">
        <f t="shared" si="12"/>
        <v>50</v>
      </c>
      <c r="F18" s="22">
        <f t="shared" si="12"/>
        <v>50</v>
      </c>
      <c r="G18" s="22">
        <f t="shared" si="12"/>
        <v>50</v>
      </c>
      <c r="H18" s="22">
        <f t="shared" si="12"/>
        <v>50</v>
      </c>
    </row>
    <row r="19" spans="1:8">
      <c r="A19" s="22" t="s">
        <v>56</v>
      </c>
      <c r="B19" s="22" t="str">
        <f t="shared" ref="B19:H19" si="13">B44</f>
        <v>N. Wheelbase</v>
      </c>
      <c r="C19" s="22">
        <f t="shared" si="13"/>
        <v>1027</v>
      </c>
      <c r="D19" s="22">
        <f t="shared" si="13"/>
        <v>1028</v>
      </c>
      <c r="E19" s="22">
        <f t="shared" si="13"/>
        <v>1040</v>
      </c>
      <c r="F19" s="22">
        <f t="shared" si="13"/>
        <v>1050</v>
      </c>
      <c r="G19" s="22">
        <f t="shared" si="13"/>
        <v>1072</v>
      </c>
      <c r="H19" s="22">
        <f t="shared" si="13"/>
        <v>1104</v>
      </c>
    </row>
    <row r="20" spans="1:8">
      <c r="A20" s="22" t="s">
        <v>69</v>
      </c>
      <c r="B20" s="22" t="str">
        <f t="shared" ref="B20:H20" si="14">B45</f>
        <v>Crank Arm Length</v>
      </c>
      <c r="C20" s="22">
        <f t="shared" si="14"/>
        <v>165</v>
      </c>
      <c r="D20" s="22">
        <f t="shared" si="14"/>
        <v>165</v>
      </c>
      <c r="E20" s="22">
        <f t="shared" si="14"/>
        <v>170</v>
      </c>
      <c r="F20" s="22">
        <f t="shared" si="14"/>
        <v>172.5</v>
      </c>
      <c r="G20" s="22">
        <f t="shared" si="14"/>
        <v>175</v>
      </c>
      <c r="H20" s="22">
        <f t="shared" si="14"/>
        <v>175</v>
      </c>
    </row>
    <row r="21" spans="1:8">
      <c r="A21" s="22" t="s">
        <v>70</v>
      </c>
      <c r="B21" s="22" t="str">
        <f t="shared" ref="B21:H21" si="15">B46</f>
        <v>Handlebar Width</v>
      </c>
      <c r="C21" s="22">
        <f t="shared" si="15"/>
        <v>380</v>
      </c>
      <c r="D21" s="22">
        <f t="shared" si="15"/>
        <v>400</v>
      </c>
      <c r="E21" s="22">
        <f t="shared" si="15"/>
        <v>420</v>
      </c>
      <c r="F21" s="22">
        <f t="shared" si="15"/>
        <v>440</v>
      </c>
      <c r="G21" s="22">
        <f t="shared" si="15"/>
        <v>460</v>
      </c>
      <c r="H21" s="22">
        <f t="shared" si="15"/>
        <v>460</v>
      </c>
    </row>
    <row r="22" spans="1:8">
      <c r="A22" s="22" t="s">
        <v>71</v>
      </c>
      <c r="B22" s="22" t="str">
        <f t="shared" ref="B22:H22" si="16">B48</f>
        <v>Stem Length</v>
      </c>
      <c r="C22" s="22">
        <f t="shared" si="16"/>
        <v>60</v>
      </c>
      <c r="D22" s="22">
        <f t="shared" si="16"/>
        <v>70</v>
      </c>
      <c r="E22" s="22">
        <f t="shared" si="16"/>
        <v>80</v>
      </c>
      <c r="F22" s="22">
        <f t="shared" si="16"/>
        <v>80</v>
      </c>
      <c r="G22" s="22">
        <f t="shared" si="16"/>
        <v>90</v>
      </c>
      <c r="H22" s="22">
        <f t="shared" si="16"/>
        <v>100</v>
      </c>
    </row>
    <row r="23" spans="1:8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8">
      <c r="A24" s="22" t="s">
        <v>139</v>
      </c>
      <c r="B24" s="22" t="s">
        <v>139</v>
      </c>
      <c r="C24" s="22">
        <v>38</v>
      </c>
      <c r="D24" s="22">
        <v>45</v>
      </c>
      <c r="E24" s="22">
        <v>45</v>
      </c>
      <c r="F24" s="22">
        <v>45</v>
      </c>
      <c r="G24" s="22">
        <v>45</v>
      </c>
      <c r="H24" s="22">
        <v>45</v>
      </c>
    </row>
    <row r="25" spans="1:8">
      <c r="A25" s="22" t="s">
        <v>140</v>
      </c>
      <c r="B25" s="22" t="s">
        <v>140</v>
      </c>
      <c r="C25" s="22">
        <v>50</v>
      </c>
      <c r="D25" s="22">
        <v>50</v>
      </c>
      <c r="E25" s="22">
        <v>50</v>
      </c>
      <c r="F25" s="22">
        <v>50</v>
      </c>
      <c r="G25" s="22">
        <v>50</v>
      </c>
      <c r="H25" s="22">
        <v>50</v>
      </c>
    </row>
    <row r="26" spans="1:8">
      <c r="A26" s="22" t="s">
        <v>2593</v>
      </c>
      <c r="B26" s="22" t="s">
        <v>1752</v>
      </c>
      <c r="C26" s="22">
        <f>VALUE(LEFT(C47,3))</f>
        <v>142</v>
      </c>
      <c r="D26" s="22">
        <f t="shared" ref="D26:H26" si="17">VALUE(LEFT(D47,3))</f>
        <v>150</v>
      </c>
      <c r="E26" s="22">
        <f t="shared" si="17"/>
        <v>157</v>
      </c>
      <c r="F26" s="22">
        <f t="shared" si="17"/>
        <v>165</v>
      </c>
      <c r="G26" s="22">
        <f t="shared" si="17"/>
        <v>173</v>
      </c>
      <c r="H26" s="22">
        <f t="shared" si="17"/>
        <v>183</v>
      </c>
    </row>
    <row r="27" spans="1:8">
      <c r="A27" s="22" t="s">
        <v>2594</v>
      </c>
      <c r="B27" s="22" t="s">
        <v>1753</v>
      </c>
      <c r="C27" s="22">
        <f>VALUE(MID(C47,7,3))</f>
        <v>152</v>
      </c>
      <c r="D27" s="22">
        <f t="shared" ref="D27:H27" si="18">VALUE(MID(D47,7,3))</f>
        <v>160</v>
      </c>
      <c r="E27" s="22">
        <f t="shared" si="18"/>
        <v>170</v>
      </c>
      <c r="F27" s="22">
        <f t="shared" si="18"/>
        <v>178</v>
      </c>
      <c r="G27" s="22">
        <f t="shared" si="18"/>
        <v>185</v>
      </c>
      <c r="H27" s="22">
        <f t="shared" si="18"/>
        <v>196</v>
      </c>
    </row>
    <row r="28" spans="1:8">
      <c r="A28" s="22" t="s">
        <v>1752</v>
      </c>
      <c r="B28" s="22" t="s">
        <v>1752</v>
      </c>
      <c r="C28" s="22">
        <f>C26</f>
        <v>142</v>
      </c>
      <c r="D28" s="22">
        <f>C29</f>
        <v>151</v>
      </c>
      <c r="E28" s="22">
        <f t="shared" ref="E28:H28" si="19">D29</f>
        <v>158.5</v>
      </c>
      <c r="F28" s="22">
        <f t="shared" si="19"/>
        <v>167.5</v>
      </c>
      <c r="G28" s="22">
        <f t="shared" si="19"/>
        <v>175.5</v>
      </c>
      <c r="H28" s="22">
        <f t="shared" si="19"/>
        <v>184</v>
      </c>
    </row>
    <row r="29" spans="1:8">
      <c r="A29" s="22" t="s">
        <v>1753</v>
      </c>
      <c r="B29" s="22" t="s">
        <v>1753</v>
      </c>
      <c r="C29" s="22">
        <f>AVERAGE(C27,D26)</f>
        <v>151</v>
      </c>
      <c r="D29" s="22">
        <f>AVERAGE(D27,E26)</f>
        <v>158.5</v>
      </c>
      <c r="E29" s="22">
        <f t="shared" ref="E29:H29" si="20">AVERAGE(E27,F26)</f>
        <v>167.5</v>
      </c>
      <c r="F29" s="22">
        <f t="shared" si="20"/>
        <v>175.5</v>
      </c>
      <c r="G29" s="22">
        <f t="shared" si="20"/>
        <v>184</v>
      </c>
      <c r="H29" s="22">
        <f t="shared" si="20"/>
        <v>196</v>
      </c>
    </row>
    <row r="31" spans="1:8" ht="24">
      <c r="A31" s="49"/>
      <c r="B31" s="138" t="s">
        <v>141</v>
      </c>
      <c r="C31" s="138" t="s">
        <v>601</v>
      </c>
      <c r="D31" s="138" t="s">
        <v>2788</v>
      </c>
      <c r="E31" s="138" t="s">
        <v>1922</v>
      </c>
      <c r="F31" s="138" t="s">
        <v>519</v>
      </c>
      <c r="G31" s="138" t="s">
        <v>24</v>
      </c>
      <c r="H31" s="138" t="s">
        <v>25</v>
      </c>
    </row>
    <row r="32" spans="1:8" ht="24">
      <c r="B32" s="138" t="s">
        <v>521</v>
      </c>
      <c r="C32" s="139">
        <v>493</v>
      </c>
      <c r="D32" s="139">
        <v>510</v>
      </c>
      <c r="E32" s="139">
        <v>530</v>
      </c>
      <c r="F32" s="139">
        <v>550</v>
      </c>
      <c r="G32" s="139">
        <v>570</v>
      </c>
      <c r="H32" s="139">
        <v>600</v>
      </c>
    </row>
    <row r="33" spans="1:8" ht="24">
      <c r="A33" s="49"/>
      <c r="B33" s="138" t="s">
        <v>522</v>
      </c>
      <c r="C33" s="139">
        <v>613.5</v>
      </c>
      <c r="D33" s="139">
        <v>648.5</v>
      </c>
      <c r="E33" s="139">
        <v>684.5</v>
      </c>
      <c r="F33" s="139">
        <v>720.5</v>
      </c>
      <c r="G33" s="139">
        <v>756.5</v>
      </c>
      <c r="H33" s="139">
        <v>803.5</v>
      </c>
    </row>
    <row r="34" spans="1:8" ht="24">
      <c r="B34" s="138" t="s">
        <v>523</v>
      </c>
      <c r="C34" s="139">
        <v>366</v>
      </c>
      <c r="D34" s="139">
        <v>368</v>
      </c>
      <c r="E34" s="139">
        <v>372</v>
      </c>
      <c r="F34" s="139">
        <v>376</v>
      </c>
      <c r="G34" s="139">
        <v>387</v>
      </c>
      <c r="H34" s="139">
        <v>408</v>
      </c>
    </row>
    <row r="35" spans="1:8" ht="24">
      <c r="A35" s="49"/>
      <c r="B35" s="138" t="s">
        <v>524</v>
      </c>
      <c r="C35" s="139">
        <v>510</v>
      </c>
      <c r="D35" s="139">
        <v>528</v>
      </c>
      <c r="E35" s="139">
        <v>552</v>
      </c>
      <c r="F35" s="139">
        <v>570</v>
      </c>
      <c r="G35" s="139">
        <v>598</v>
      </c>
      <c r="H35" s="139">
        <v>627</v>
      </c>
    </row>
    <row r="36" spans="1:8" ht="24">
      <c r="B36" s="138" t="s">
        <v>525</v>
      </c>
      <c r="C36" s="139">
        <v>340</v>
      </c>
      <c r="D36" s="139">
        <v>380</v>
      </c>
      <c r="E36" s="139">
        <v>410</v>
      </c>
      <c r="F36" s="139">
        <v>450</v>
      </c>
      <c r="G36" s="139">
        <v>490</v>
      </c>
      <c r="H36" s="139">
        <v>520</v>
      </c>
    </row>
    <row r="37" spans="1:8" ht="24">
      <c r="A37" s="49"/>
      <c r="B37" s="138" t="s">
        <v>526</v>
      </c>
      <c r="C37" s="139">
        <v>90</v>
      </c>
      <c r="D37" s="139">
        <v>105</v>
      </c>
      <c r="E37" s="139">
        <v>130</v>
      </c>
      <c r="F37" s="139">
        <v>150</v>
      </c>
      <c r="G37" s="139">
        <v>180</v>
      </c>
      <c r="H37" s="139">
        <v>210</v>
      </c>
    </row>
    <row r="38" spans="1:8" ht="24">
      <c r="B38" s="138" t="s">
        <v>527</v>
      </c>
      <c r="C38" s="139">
        <v>68.5</v>
      </c>
      <c r="D38" s="139">
        <v>69.5</v>
      </c>
      <c r="E38" s="139">
        <v>69.5</v>
      </c>
      <c r="F38" s="139">
        <v>69.5</v>
      </c>
      <c r="G38" s="139">
        <v>69.5</v>
      </c>
      <c r="H38" s="139">
        <v>69.5</v>
      </c>
    </row>
    <row r="39" spans="1:8" ht="24">
      <c r="B39" s="138" t="s">
        <v>528</v>
      </c>
      <c r="C39" s="139">
        <v>76</v>
      </c>
      <c r="D39" s="139">
        <v>75</v>
      </c>
      <c r="E39" s="139">
        <v>74</v>
      </c>
      <c r="F39" s="139">
        <v>73</v>
      </c>
      <c r="G39" s="139">
        <v>73</v>
      </c>
      <c r="H39" s="139">
        <v>73</v>
      </c>
    </row>
    <row r="40" spans="1:8" ht="24">
      <c r="B40" s="138" t="s">
        <v>529</v>
      </c>
      <c r="C40" s="139">
        <v>70</v>
      </c>
      <c r="D40" s="139">
        <v>70</v>
      </c>
      <c r="E40" s="139">
        <v>70</v>
      </c>
      <c r="F40" s="139">
        <v>70</v>
      </c>
      <c r="G40" s="139">
        <v>70</v>
      </c>
      <c r="H40" s="139">
        <v>70</v>
      </c>
    </row>
    <row r="41" spans="1:8" ht="24">
      <c r="B41" s="138" t="s">
        <v>530</v>
      </c>
      <c r="C41" s="139">
        <v>440</v>
      </c>
      <c r="D41" s="139">
        <v>440</v>
      </c>
      <c r="E41" s="139">
        <v>440</v>
      </c>
      <c r="F41" s="139">
        <v>440</v>
      </c>
      <c r="G41" s="139">
        <v>440</v>
      </c>
      <c r="H41" s="139">
        <v>440</v>
      </c>
    </row>
    <row r="42" spans="1:8" ht="24">
      <c r="B42" s="138" t="s">
        <v>531</v>
      </c>
      <c r="C42" s="139">
        <v>402</v>
      </c>
      <c r="D42" s="139">
        <v>402</v>
      </c>
      <c r="E42" s="139">
        <v>402</v>
      </c>
      <c r="F42" s="139">
        <v>402</v>
      </c>
      <c r="G42" s="139">
        <v>402</v>
      </c>
      <c r="H42" s="139">
        <v>402</v>
      </c>
    </row>
    <row r="43" spans="1:8" ht="24">
      <c r="B43" s="138" t="s">
        <v>532</v>
      </c>
      <c r="C43" s="139">
        <v>50</v>
      </c>
      <c r="D43" s="139">
        <v>50</v>
      </c>
      <c r="E43" s="139">
        <v>50</v>
      </c>
      <c r="F43" s="139">
        <v>50</v>
      </c>
      <c r="G43" s="139">
        <v>50</v>
      </c>
      <c r="H43" s="139">
        <v>50</v>
      </c>
    </row>
    <row r="44" spans="1:8" ht="24">
      <c r="B44" s="138" t="s">
        <v>533</v>
      </c>
      <c r="C44" s="139">
        <v>1027</v>
      </c>
      <c r="D44" s="139">
        <v>1028</v>
      </c>
      <c r="E44" s="139">
        <v>1040</v>
      </c>
      <c r="F44" s="139">
        <v>1050</v>
      </c>
      <c r="G44" s="139">
        <v>1072</v>
      </c>
      <c r="H44" s="139">
        <v>1104</v>
      </c>
    </row>
    <row r="45" spans="1:8" ht="24">
      <c r="B45" s="138" t="s">
        <v>534</v>
      </c>
      <c r="C45" s="139">
        <v>165</v>
      </c>
      <c r="D45" s="139">
        <v>165</v>
      </c>
      <c r="E45" s="139">
        <v>170</v>
      </c>
      <c r="F45" s="139">
        <v>172.5</v>
      </c>
      <c r="G45" s="139">
        <v>175</v>
      </c>
      <c r="H45" s="139">
        <v>175</v>
      </c>
    </row>
    <row r="46" spans="1:8" ht="24">
      <c r="B46" s="138" t="s">
        <v>12</v>
      </c>
      <c r="C46" s="139">
        <v>380</v>
      </c>
      <c r="D46" s="139">
        <v>400</v>
      </c>
      <c r="E46" s="139">
        <v>420</v>
      </c>
      <c r="F46" s="139">
        <v>440</v>
      </c>
      <c r="G46" s="139">
        <v>460</v>
      </c>
      <c r="H46" s="139">
        <v>460</v>
      </c>
    </row>
    <row r="47" spans="1:8" ht="24">
      <c r="B47" s="138" t="s">
        <v>540</v>
      </c>
      <c r="C47" s="139" t="s">
        <v>2789</v>
      </c>
      <c r="D47" s="139" t="s">
        <v>2790</v>
      </c>
      <c r="E47" s="139" t="s">
        <v>2791</v>
      </c>
      <c r="F47" s="139" t="s">
        <v>2329</v>
      </c>
      <c r="G47" s="139" t="s">
        <v>2792</v>
      </c>
      <c r="H47" s="139" t="s">
        <v>2793</v>
      </c>
    </row>
    <row r="48" spans="1:8" ht="24">
      <c r="B48" s="138" t="s">
        <v>13</v>
      </c>
      <c r="C48" s="139">
        <v>60</v>
      </c>
      <c r="D48" s="139">
        <v>70</v>
      </c>
      <c r="E48" s="139">
        <v>80</v>
      </c>
      <c r="F48" s="139">
        <v>80</v>
      </c>
      <c r="G48" s="139">
        <v>90</v>
      </c>
      <c r="H48" s="139">
        <v>100</v>
      </c>
    </row>
    <row r="49" spans="2:8" ht="27">
      <c r="B49" s="140" t="s">
        <v>2794</v>
      </c>
      <c r="C49"/>
      <c r="D49"/>
      <c r="E49"/>
      <c r="F49"/>
      <c r="G49"/>
      <c r="H49"/>
    </row>
    <row r="50" spans="2:8" ht="27">
      <c r="B50" s="141" t="s">
        <v>2795</v>
      </c>
      <c r="C50"/>
      <c r="D50"/>
      <c r="E50"/>
      <c r="F50"/>
      <c r="G50"/>
      <c r="H50"/>
    </row>
    <row r="51" spans="2:8" ht="27">
      <c r="B51" s="141" t="s">
        <v>2796</v>
      </c>
      <c r="C51"/>
      <c r="D51"/>
      <c r="E51"/>
      <c r="F51"/>
      <c r="G51"/>
      <c r="H51"/>
    </row>
    <row r="52" spans="2:8" ht="27">
      <c r="B52" s="141" t="s">
        <v>2797</v>
      </c>
      <c r="C52"/>
      <c r="D52"/>
      <c r="E52"/>
      <c r="F52"/>
      <c r="G52"/>
      <c r="H5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4A14-15DB-B24F-A13D-18BFC2E2FE3F}">
  <dimension ref="A1:H26"/>
  <sheetViews>
    <sheetView workbookViewId="0">
      <selection activeCell="A21" sqref="A21:B22"/>
    </sheetView>
  </sheetViews>
  <sheetFormatPr baseColWidth="10" defaultRowHeight="19"/>
  <cols>
    <col min="1" max="1" width="26.83203125" style="2" bestFit="1" customWidth="1"/>
    <col min="2" max="2" width="44.33203125" style="2" bestFit="1" customWidth="1"/>
    <col min="3" max="8" width="20" style="2" customWidth="1"/>
    <col min="9" max="16384" width="10.83203125" style="2"/>
  </cols>
  <sheetData>
    <row r="1" spans="1:8">
      <c r="A1" s="2" t="s">
        <v>72</v>
      </c>
      <c r="B1" s="10" t="s">
        <v>141</v>
      </c>
      <c r="C1" s="10" t="s">
        <v>518</v>
      </c>
      <c r="D1" s="10" t="s">
        <v>413</v>
      </c>
      <c r="E1" s="10" t="s">
        <v>23</v>
      </c>
      <c r="F1" s="10" t="s">
        <v>519</v>
      </c>
      <c r="G1" s="10" t="s">
        <v>24</v>
      </c>
      <c r="H1" s="10" t="s">
        <v>520</v>
      </c>
    </row>
    <row r="2" spans="1:8">
      <c r="A2" s="2" t="s">
        <v>73</v>
      </c>
      <c r="B2" s="10" t="s">
        <v>521</v>
      </c>
      <c r="C2" s="10">
        <v>495</v>
      </c>
      <c r="D2" s="10">
        <v>520</v>
      </c>
      <c r="E2" s="10">
        <v>540</v>
      </c>
      <c r="F2" s="10">
        <v>550</v>
      </c>
      <c r="G2" s="10">
        <v>570</v>
      </c>
      <c r="H2" s="10">
        <v>595</v>
      </c>
    </row>
    <row r="3" spans="1:8">
      <c r="A3" s="2" t="s">
        <v>57</v>
      </c>
      <c r="B3" s="10" t="s">
        <v>522</v>
      </c>
      <c r="C3" s="10">
        <v>660.1</v>
      </c>
      <c r="D3" s="10">
        <v>713.7</v>
      </c>
      <c r="E3" s="10">
        <v>742</v>
      </c>
      <c r="F3" s="10">
        <v>776.3</v>
      </c>
      <c r="G3" s="10">
        <v>795.6</v>
      </c>
      <c r="H3" s="10">
        <v>821</v>
      </c>
    </row>
    <row r="4" spans="1:8">
      <c r="A4" s="2" t="s">
        <v>55</v>
      </c>
      <c r="B4" s="10" t="s">
        <v>523</v>
      </c>
      <c r="C4" s="10">
        <v>354.6</v>
      </c>
      <c r="D4" s="10">
        <v>368.2</v>
      </c>
      <c r="E4" s="10">
        <v>365.2</v>
      </c>
      <c r="F4" s="10">
        <v>363.8</v>
      </c>
      <c r="G4" s="10">
        <v>372</v>
      </c>
      <c r="H4" s="10">
        <v>384.8</v>
      </c>
    </row>
    <row r="5" spans="1:8">
      <c r="A5" s="2" t="s">
        <v>54</v>
      </c>
      <c r="B5" s="10" t="s">
        <v>524</v>
      </c>
      <c r="C5" s="10">
        <v>542.70000000000005</v>
      </c>
      <c r="D5" s="10">
        <v>547.4</v>
      </c>
      <c r="E5" s="10">
        <v>590.1</v>
      </c>
      <c r="F5" s="10">
        <v>609.1</v>
      </c>
      <c r="G5" s="10">
        <v>628</v>
      </c>
      <c r="H5" s="10">
        <v>647</v>
      </c>
    </row>
    <row r="6" spans="1:8">
      <c r="A6" s="2" t="s">
        <v>60</v>
      </c>
      <c r="B6" s="10" t="s">
        <v>525</v>
      </c>
      <c r="C6" s="10">
        <v>380</v>
      </c>
      <c r="D6" s="10">
        <v>450</v>
      </c>
      <c r="E6" s="10">
        <v>470</v>
      </c>
      <c r="F6" s="10">
        <v>510</v>
      </c>
      <c r="G6" s="10">
        <v>530</v>
      </c>
      <c r="H6" s="10">
        <v>560</v>
      </c>
    </row>
    <row r="7" spans="1:8">
      <c r="A7" s="2" t="s">
        <v>64</v>
      </c>
      <c r="B7" s="10" t="s">
        <v>526</v>
      </c>
      <c r="C7" s="10">
        <v>100</v>
      </c>
      <c r="D7" s="10">
        <v>100</v>
      </c>
      <c r="E7" s="10">
        <v>145</v>
      </c>
      <c r="F7" s="10">
        <v>165</v>
      </c>
      <c r="G7" s="10">
        <v>185</v>
      </c>
      <c r="H7" s="10">
        <v>205</v>
      </c>
    </row>
    <row r="8" spans="1:8">
      <c r="A8" s="2" t="s">
        <v>62</v>
      </c>
      <c r="B8" s="10" t="s">
        <v>527</v>
      </c>
      <c r="C8" s="10">
        <v>70.25</v>
      </c>
      <c r="D8" s="10">
        <v>71.5</v>
      </c>
      <c r="E8" s="10">
        <v>71.5</v>
      </c>
      <c r="F8" s="10">
        <v>71.5</v>
      </c>
      <c r="G8" s="10">
        <v>71.5</v>
      </c>
      <c r="H8" s="10">
        <v>71.5</v>
      </c>
    </row>
    <row r="9" spans="1:8">
      <c r="A9" s="2" t="s">
        <v>63</v>
      </c>
      <c r="B9" s="10" t="s">
        <v>528</v>
      </c>
      <c r="C9" s="10">
        <v>75.5</v>
      </c>
      <c r="D9" s="10">
        <v>74.5</v>
      </c>
      <c r="E9" s="10">
        <v>73.5</v>
      </c>
      <c r="F9" s="10">
        <v>73</v>
      </c>
      <c r="G9" s="10">
        <v>72.5</v>
      </c>
      <c r="H9" s="10">
        <v>72</v>
      </c>
    </row>
    <row r="10" spans="1:8">
      <c r="A10" s="2" t="s">
        <v>65</v>
      </c>
      <c r="B10" s="10" t="s">
        <v>529</v>
      </c>
      <c r="C10" s="10">
        <v>75</v>
      </c>
      <c r="D10" s="10">
        <v>75</v>
      </c>
      <c r="E10" s="10">
        <v>75</v>
      </c>
      <c r="F10" s="10">
        <v>75</v>
      </c>
      <c r="G10" s="10">
        <v>75</v>
      </c>
      <c r="H10" s="10">
        <v>75</v>
      </c>
    </row>
    <row r="11" spans="1:8">
      <c r="A11" s="2" t="s">
        <v>66</v>
      </c>
      <c r="B11" s="10" t="s">
        <v>530</v>
      </c>
      <c r="C11" s="10">
        <v>450</v>
      </c>
      <c r="D11" s="10">
        <v>450</v>
      </c>
      <c r="E11" s="10">
        <v>450</v>
      </c>
      <c r="F11" s="10">
        <v>450</v>
      </c>
      <c r="G11" s="10">
        <v>450</v>
      </c>
      <c r="H11" s="10">
        <v>450</v>
      </c>
    </row>
    <row r="12" spans="1:8">
      <c r="A12" s="2" t="s">
        <v>547</v>
      </c>
      <c r="B12" s="10" t="s">
        <v>531</v>
      </c>
      <c r="C12" s="10">
        <v>405</v>
      </c>
      <c r="D12" s="10">
        <v>405</v>
      </c>
      <c r="E12" s="10">
        <v>405</v>
      </c>
      <c r="F12" s="10">
        <v>405</v>
      </c>
      <c r="G12" s="10">
        <v>405</v>
      </c>
      <c r="H12" s="10">
        <v>405</v>
      </c>
    </row>
    <row r="13" spans="1:8">
      <c r="A13" s="2" t="s">
        <v>67</v>
      </c>
      <c r="B13" s="10" t="s">
        <v>532</v>
      </c>
      <c r="C13" s="10">
        <v>50</v>
      </c>
      <c r="D13" s="10">
        <v>50</v>
      </c>
      <c r="E13" s="10">
        <v>50</v>
      </c>
      <c r="F13" s="10">
        <v>50</v>
      </c>
      <c r="G13" s="10">
        <v>50</v>
      </c>
      <c r="H13" s="10">
        <v>50</v>
      </c>
    </row>
    <row r="14" spans="1:8">
      <c r="A14" s="2" t="s">
        <v>56</v>
      </c>
      <c r="B14" s="10" t="s">
        <v>533</v>
      </c>
      <c r="C14" s="10">
        <v>1019.4</v>
      </c>
      <c r="D14" s="10">
        <v>1022.7</v>
      </c>
      <c r="E14" s="10">
        <v>1034</v>
      </c>
      <c r="F14" s="10">
        <v>1038.9000000000001</v>
      </c>
      <c r="G14" s="10">
        <v>1053.5</v>
      </c>
      <c r="H14" s="10">
        <v>1072.5999999999999</v>
      </c>
    </row>
    <row r="15" spans="1:8">
      <c r="A15" s="2" t="s">
        <v>69</v>
      </c>
      <c r="B15" s="10" t="s">
        <v>534</v>
      </c>
      <c r="C15" s="10">
        <v>170</v>
      </c>
      <c r="D15" s="10">
        <v>170</v>
      </c>
      <c r="E15" s="10">
        <v>170</v>
      </c>
      <c r="F15" s="10">
        <v>172.5</v>
      </c>
      <c r="G15" s="10">
        <v>175</v>
      </c>
      <c r="H15" s="10">
        <v>175</v>
      </c>
    </row>
    <row r="16" spans="1:8">
      <c r="A16" s="2" t="s">
        <v>70</v>
      </c>
      <c r="B16" s="10" t="s">
        <v>12</v>
      </c>
      <c r="C16" s="10">
        <f t="shared" ref="C16:H16" si="0">VALUE(LEFT(C26,2))*10</f>
        <v>380</v>
      </c>
      <c r="D16" s="10">
        <f t="shared" si="0"/>
        <v>400</v>
      </c>
      <c r="E16" s="10">
        <f t="shared" si="0"/>
        <v>420</v>
      </c>
      <c r="F16" s="10">
        <f t="shared" si="0"/>
        <v>440</v>
      </c>
      <c r="G16" s="10">
        <f t="shared" si="0"/>
        <v>440</v>
      </c>
      <c r="H16" s="10">
        <f t="shared" si="0"/>
        <v>460</v>
      </c>
    </row>
    <row r="17" spans="1:8">
      <c r="A17" s="2" t="s">
        <v>71</v>
      </c>
      <c r="B17" s="10" t="s">
        <v>13</v>
      </c>
      <c r="C17" s="10">
        <v>60</v>
      </c>
      <c r="D17" s="10">
        <v>70</v>
      </c>
      <c r="E17" s="10">
        <v>80</v>
      </c>
      <c r="F17" s="10">
        <v>80</v>
      </c>
      <c r="G17" s="10">
        <v>90</v>
      </c>
      <c r="H17" s="10">
        <v>100</v>
      </c>
    </row>
    <row r="18" spans="1:8">
      <c r="A18" s="2" t="s">
        <v>68</v>
      </c>
      <c r="B18" s="2" t="s">
        <v>68</v>
      </c>
      <c r="C18" s="10">
        <v>700</v>
      </c>
      <c r="D18" s="10">
        <v>700</v>
      </c>
      <c r="E18" s="10">
        <v>700</v>
      </c>
      <c r="F18" s="10">
        <v>700</v>
      </c>
      <c r="G18" s="10">
        <v>700</v>
      </c>
      <c r="H18" s="10">
        <v>700</v>
      </c>
    </row>
    <row r="19" spans="1:8">
      <c r="A19" s="2" t="s">
        <v>139</v>
      </c>
      <c r="B19" s="2" t="s">
        <v>139</v>
      </c>
      <c r="C19" s="10">
        <v>38</v>
      </c>
      <c r="D19" s="10">
        <v>38</v>
      </c>
      <c r="E19" s="10">
        <v>38</v>
      </c>
      <c r="F19" s="10">
        <v>38</v>
      </c>
      <c r="G19" s="10">
        <v>38</v>
      </c>
      <c r="H19" s="10">
        <v>38</v>
      </c>
    </row>
    <row r="20" spans="1:8">
      <c r="A20" s="2" t="s">
        <v>140</v>
      </c>
      <c r="B20" s="2" t="s">
        <v>140</v>
      </c>
      <c r="C20" s="10">
        <v>45</v>
      </c>
      <c r="D20" s="10">
        <v>45</v>
      </c>
      <c r="E20" s="10">
        <v>45</v>
      </c>
      <c r="F20" s="10">
        <v>45</v>
      </c>
      <c r="G20" s="10">
        <v>45</v>
      </c>
      <c r="H20" s="10">
        <v>45</v>
      </c>
    </row>
    <row r="21" spans="1:8" ht="20">
      <c r="A21" s="22" t="s">
        <v>1752</v>
      </c>
      <c r="B21" s="22" t="s">
        <v>1752</v>
      </c>
      <c r="C21" s="2">
        <f>VALUE(LEFT(C25,3))</f>
        <v>147</v>
      </c>
      <c r="D21" s="2">
        <f t="shared" ref="D21:H21" si="1">VALUE(LEFT(D25,3))</f>
        <v>158</v>
      </c>
      <c r="E21" s="2">
        <f t="shared" si="1"/>
        <v>165</v>
      </c>
      <c r="F21" s="2">
        <f t="shared" si="1"/>
        <v>170</v>
      </c>
      <c r="G21" s="2">
        <f t="shared" si="1"/>
        <v>175</v>
      </c>
      <c r="H21" s="2">
        <f t="shared" si="1"/>
        <v>188</v>
      </c>
    </row>
    <row r="22" spans="1:8" ht="20">
      <c r="A22" s="22" t="s">
        <v>1753</v>
      </c>
      <c r="B22" s="22" t="s">
        <v>1753</v>
      </c>
      <c r="C22" s="2">
        <f>VALUE(MID(C25,5,3))</f>
        <v>158</v>
      </c>
      <c r="D22" s="2">
        <f t="shared" ref="D22:G22" si="2">VALUE(MID(D25,5,3))</f>
        <v>165</v>
      </c>
      <c r="E22" s="2">
        <f t="shared" si="2"/>
        <v>173</v>
      </c>
      <c r="F22" s="2">
        <f t="shared" si="2"/>
        <v>178</v>
      </c>
      <c r="G22" s="2">
        <f t="shared" si="2"/>
        <v>185</v>
      </c>
      <c r="H22" s="2">
        <v>198</v>
      </c>
    </row>
    <row r="25" spans="1:8">
      <c r="B25" s="10" t="s">
        <v>540</v>
      </c>
      <c r="C25" s="10" t="s">
        <v>541</v>
      </c>
      <c r="D25" s="10" t="s">
        <v>542</v>
      </c>
      <c r="E25" s="10" t="s">
        <v>543</v>
      </c>
      <c r="F25" s="10" t="s">
        <v>544</v>
      </c>
      <c r="G25" s="10" t="s">
        <v>545</v>
      </c>
      <c r="H25" s="10" t="s">
        <v>546</v>
      </c>
    </row>
    <row r="26" spans="1:8">
      <c r="B26" s="10" t="s">
        <v>12</v>
      </c>
      <c r="C26" s="10" t="s">
        <v>535</v>
      </c>
      <c r="D26" s="10" t="s">
        <v>536</v>
      </c>
      <c r="E26" s="10" t="s">
        <v>537</v>
      </c>
      <c r="F26" s="10" t="s">
        <v>538</v>
      </c>
      <c r="G26" s="10" t="s">
        <v>538</v>
      </c>
      <c r="H26" s="10" t="s">
        <v>539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63FA-51B5-A54D-B0AE-E3B150EB2F8D}">
  <dimension ref="A1:I25"/>
  <sheetViews>
    <sheetView topLeftCell="A6" workbookViewId="0">
      <selection activeCell="O24" sqref="O24"/>
    </sheetView>
  </sheetViews>
  <sheetFormatPr baseColWidth="10" defaultRowHeight="19"/>
  <cols>
    <col min="1" max="1" width="29.33203125" style="2" bestFit="1" customWidth="1"/>
    <col min="2" max="2" width="44.33203125" style="2" bestFit="1" customWidth="1"/>
    <col min="3" max="16384" width="10.83203125" style="2"/>
  </cols>
  <sheetData>
    <row r="1" spans="1:9" ht="20">
      <c r="A1" s="22" t="s">
        <v>72</v>
      </c>
      <c r="B1" s="10" t="s">
        <v>141</v>
      </c>
      <c r="C1" s="10" t="s">
        <v>601</v>
      </c>
      <c r="D1" s="10" t="s">
        <v>865</v>
      </c>
      <c r="E1" s="10" t="s">
        <v>866</v>
      </c>
      <c r="F1" s="10" t="s">
        <v>414</v>
      </c>
      <c r="G1" s="10" t="s">
        <v>867</v>
      </c>
      <c r="H1" s="10" t="s">
        <v>868</v>
      </c>
      <c r="I1" s="10" t="s">
        <v>602</v>
      </c>
    </row>
    <row r="2" spans="1:9" ht="20">
      <c r="A2" s="22" t="s">
        <v>73</v>
      </c>
      <c r="B2" s="10" t="s">
        <v>521</v>
      </c>
      <c r="C2" s="10">
        <v>499</v>
      </c>
      <c r="D2" s="10">
        <v>525</v>
      </c>
      <c r="E2" s="10">
        <v>545</v>
      </c>
      <c r="F2" s="10">
        <v>560</v>
      </c>
      <c r="G2" s="10">
        <v>575</v>
      </c>
      <c r="H2" s="10">
        <v>590</v>
      </c>
      <c r="I2" s="10">
        <v>610</v>
      </c>
    </row>
    <row r="3" spans="1:9" ht="20">
      <c r="A3" s="22" t="s">
        <v>57</v>
      </c>
      <c r="B3" s="10" t="s">
        <v>522</v>
      </c>
      <c r="C3" s="10">
        <v>670.2</v>
      </c>
      <c r="D3" s="10">
        <v>714.48</v>
      </c>
      <c r="E3" s="10">
        <v>744.3</v>
      </c>
      <c r="F3" s="10">
        <v>770.11</v>
      </c>
      <c r="G3" s="10">
        <v>785.96</v>
      </c>
      <c r="H3" s="10">
        <v>808.4</v>
      </c>
      <c r="I3" s="10">
        <v>830.55</v>
      </c>
    </row>
    <row r="4" spans="1:9" ht="20">
      <c r="A4" s="22" t="s">
        <v>55</v>
      </c>
      <c r="B4" s="10" t="s">
        <v>523</v>
      </c>
      <c r="C4" s="10">
        <v>360.24</v>
      </c>
      <c r="D4" s="10">
        <v>368.13</v>
      </c>
      <c r="E4" s="10">
        <v>371.97</v>
      </c>
      <c r="F4" s="10">
        <v>381.19</v>
      </c>
      <c r="G4" s="10">
        <v>390.42</v>
      </c>
      <c r="H4" s="10">
        <v>399.65</v>
      </c>
      <c r="I4" s="10">
        <v>407.74</v>
      </c>
    </row>
    <row r="5" spans="1:9" ht="20">
      <c r="A5" s="22" t="s">
        <v>54</v>
      </c>
      <c r="B5" s="10" t="s">
        <v>524</v>
      </c>
      <c r="C5" s="10">
        <v>517.85</v>
      </c>
      <c r="D5" s="10">
        <v>547.09</v>
      </c>
      <c r="E5" s="10">
        <v>565.97</v>
      </c>
      <c r="F5" s="10">
        <v>584.85</v>
      </c>
      <c r="G5" s="10">
        <v>603.73</v>
      </c>
      <c r="H5" s="10">
        <v>622.61</v>
      </c>
      <c r="I5" s="10">
        <v>641.5</v>
      </c>
    </row>
    <row r="6" spans="1:9" ht="20">
      <c r="A6" s="22" t="s">
        <v>60</v>
      </c>
      <c r="B6" s="10" t="s">
        <v>525</v>
      </c>
      <c r="C6" s="10">
        <v>390</v>
      </c>
      <c r="D6" s="10">
        <v>440</v>
      </c>
      <c r="E6" s="10">
        <v>475</v>
      </c>
      <c r="F6" s="10">
        <v>510</v>
      </c>
      <c r="G6" s="10">
        <v>520</v>
      </c>
      <c r="H6" s="10">
        <v>545</v>
      </c>
      <c r="I6" s="10">
        <v>570</v>
      </c>
    </row>
    <row r="7" spans="1:9" ht="20">
      <c r="A7" s="22" t="s">
        <v>64</v>
      </c>
      <c r="B7" s="10" t="s">
        <v>526</v>
      </c>
      <c r="C7" s="10">
        <v>90</v>
      </c>
      <c r="D7" s="10">
        <v>120</v>
      </c>
      <c r="E7" s="10">
        <v>140</v>
      </c>
      <c r="F7" s="10">
        <v>160</v>
      </c>
      <c r="G7" s="10">
        <v>180</v>
      </c>
      <c r="H7" s="10">
        <v>200</v>
      </c>
      <c r="I7" s="10">
        <v>220</v>
      </c>
    </row>
    <row r="8" spans="1:9" ht="20">
      <c r="A8" s="22" t="s">
        <v>62</v>
      </c>
      <c r="B8" s="10" t="s">
        <v>527</v>
      </c>
      <c r="C8" s="10">
        <v>71</v>
      </c>
      <c r="D8" s="10">
        <v>70.75</v>
      </c>
      <c r="E8" s="10">
        <v>70.75</v>
      </c>
      <c r="F8" s="10">
        <v>70.75</v>
      </c>
      <c r="G8" s="10">
        <v>70.75</v>
      </c>
      <c r="H8" s="10">
        <v>70.75</v>
      </c>
      <c r="I8" s="10">
        <v>70.75</v>
      </c>
    </row>
    <row r="9" spans="1:9" ht="20">
      <c r="A9" s="22" t="s">
        <v>63</v>
      </c>
      <c r="B9" s="10" t="s">
        <v>528</v>
      </c>
      <c r="C9" s="10">
        <v>75</v>
      </c>
      <c r="D9" s="10">
        <v>74</v>
      </c>
      <c r="E9" s="10">
        <v>73</v>
      </c>
      <c r="F9" s="10">
        <v>73</v>
      </c>
      <c r="G9" s="10">
        <v>73</v>
      </c>
      <c r="H9" s="10">
        <v>73</v>
      </c>
      <c r="I9" s="10">
        <v>72.5</v>
      </c>
    </row>
    <row r="10" spans="1:9" ht="20">
      <c r="A10" s="22" t="s">
        <v>65</v>
      </c>
      <c r="B10" s="10" t="s">
        <v>529</v>
      </c>
      <c r="C10" s="10">
        <v>70</v>
      </c>
      <c r="D10" s="10">
        <v>70</v>
      </c>
      <c r="E10" s="10">
        <v>70</v>
      </c>
      <c r="F10" s="10">
        <v>70</v>
      </c>
      <c r="G10" s="10">
        <v>70</v>
      </c>
      <c r="H10" s="10">
        <v>70</v>
      </c>
      <c r="I10" s="10">
        <v>70</v>
      </c>
    </row>
    <row r="11" spans="1:9" ht="20">
      <c r="A11" s="22" t="s">
        <v>66</v>
      </c>
      <c r="B11" s="10" t="s">
        <v>530</v>
      </c>
      <c r="C11" s="10">
        <v>430</v>
      </c>
      <c r="D11" s="10">
        <v>430</v>
      </c>
      <c r="E11" s="10">
        <v>430</v>
      </c>
      <c r="F11" s="10">
        <v>430</v>
      </c>
      <c r="G11" s="10">
        <v>430</v>
      </c>
      <c r="H11" s="10">
        <v>430</v>
      </c>
      <c r="I11" s="10">
        <v>430</v>
      </c>
    </row>
    <row r="12" spans="1:9" ht="20">
      <c r="A12" s="22" t="s">
        <v>163</v>
      </c>
      <c r="B12" s="10" t="s">
        <v>531</v>
      </c>
      <c r="C12" s="10">
        <v>405</v>
      </c>
      <c r="D12" s="10">
        <v>405</v>
      </c>
      <c r="E12" s="10">
        <v>405</v>
      </c>
      <c r="F12" s="10">
        <v>405</v>
      </c>
      <c r="G12" s="10">
        <v>405</v>
      </c>
      <c r="H12" s="10">
        <v>405</v>
      </c>
      <c r="I12" s="10">
        <v>405</v>
      </c>
    </row>
    <row r="13" spans="1:9" ht="20">
      <c r="A13" s="22" t="s">
        <v>67</v>
      </c>
      <c r="B13" s="10" t="s">
        <v>532</v>
      </c>
      <c r="C13" s="10">
        <v>50</v>
      </c>
      <c r="D13" s="10">
        <v>50</v>
      </c>
      <c r="E13" s="10">
        <v>50</v>
      </c>
      <c r="F13" s="10">
        <v>50</v>
      </c>
      <c r="G13" s="10">
        <v>50</v>
      </c>
      <c r="H13" s="10">
        <v>50</v>
      </c>
      <c r="I13" s="10">
        <v>50</v>
      </c>
    </row>
    <row r="14" spans="1:9" ht="20">
      <c r="A14" s="22" t="s">
        <v>56</v>
      </c>
      <c r="B14" s="10" t="s">
        <v>533</v>
      </c>
      <c r="C14" s="10">
        <v>996.14</v>
      </c>
      <c r="D14" s="10">
        <v>1011.96</v>
      </c>
      <c r="E14" s="10">
        <v>1022.39</v>
      </c>
      <c r="F14" s="10">
        <v>1038.21</v>
      </c>
      <c r="G14" s="10">
        <v>1054.03</v>
      </c>
      <c r="H14" s="10">
        <v>1069.8499999999999</v>
      </c>
      <c r="I14" s="10">
        <v>1084.54</v>
      </c>
    </row>
    <row r="15" spans="1:9" ht="20">
      <c r="A15" s="22" t="s">
        <v>69</v>
      </c>
      <c r="B15" s="10" t="s">
        <v>534</v>
      </c>
      <c r="C15" s="10">
        <v>165</v>
      </c>
      <c r="D15" s="10">
        <v>170</v>
      </c>
      <c r="E15" s="10">
        <v>170</v>
      </c>
      <c r="F15" s="10">
        <v>172.5</v>
      </c>
      <c r="G15" s="10">
        <v>172.5</v>
      </c>
      <c r="H15" s="10">
        <v>175</v>
      </c>
      <c r="I15" s="10">
        <v>175</v>
      </c>
    </row>
    <row r="16" spans="1:9" ht="20">
      <c r="A16" s="22" t="s">
        <v>70</v>
      </c>
      <c r="B16" s="10" t="s">
        <v>12</v>
      </c>
      <c r="C16" s="10">
        <v>380</v>
      </c>
      <c r="D16" s="10">
        <v>400</v>
      </c>
      <c r="E16" s="10">
        <v>420</v>
      </c>
      <c r="F16" s="10">
        <v>440</v>
      </c>
      <c r="G16" s="10">
        <v>460</v>
      </c>
      <c r="H16" s="10">
        <v>460</v>
      </c>
      <c r="I16" s="10">
        <v>460</v>
      </c>
    </row>
    <row r="17" spans="1:9" ht="20">
      <c r="A17" s="22" t="s">
        <v>71</v>
      </c>
      <c r="B17" s="10" t="s">
        <v>13</v>
      </c>
      <c r="C17" s="10">
        <v>70</v>
      </c>
      <c r="D17" s="10">
        <v>70</v>
      </c>
      <c r="E17" s="10">
        <v>80</v>
      </c>
      <c r="F17" s="10">
        <v>90</v>
      </c>
      <c r="G17" s="10">
        <v>90</v>
      </c>
      <c r="H17" s="10">
        <v>100</v>
      </c>
      <c r="I17" s="10">
        <v>110</v>
      </c>
    </row>
    <row r="18" spans="1:9" ht="20">
      <c r="A18" s="22" t="s">
        <v>68</v>
      </c>
      <c r="B18" s="22" t="s">
        <v>68</v>
      </c>
      <c r="C18" s="10">
        <v>700</v>
      </c>
      <c r="D18" s="10">
        <v>700</v>
      </c>
      <c r="E18" s="10">
        <v>700</v>
      </c>
      <c r="F18" s="10">
        <v>700</v>
      </c>
      <c r="G18" s="10">
        <v>700</v>
      </c>
      <c r="H18" s="10">
        <v>700</v>
      </c>
      <c r="I18" s="10">
        <v>700</v>
      </c>
    </row>
    <row r="19" spans="1:9" ht="20">
      <c r="A19" s="22" t="s">
        <v>139</v>
      </c>
      <c r="B19" s="22" t="s">
        <v>139</v>
      </c>
      <c r="C19" s="10">
        <v>42</v>
      </c>
      <c r="D19" s="10">
        <v>42</v>
      </c>
      <c r="E19" s="10">
        <v>42</v>
      </c>
      <c r="F19" s="10">
        <v>42</v>
      </c>
      <c r="G19" s="10">
        <v>42</v>
      </c>
      <c r="H19" s="10">
        <v>42</v>
      </c>
      <c r="I19" s="10">
        <v>42</v>
      </c>
    </row>
    <row r="20" spans="1:9" ht="20">
      <c r="A20" s="22" t="s">
        <v>140</v>
      </c>
      <c r="B20" s="22" t="s">
        <v>140</v>
      </c>
      <c r="C20" s="10">
        <v>45</v>
      </c>
      <c r="D20" s="10">
        <v>45</v>
      </c>
      <c r="E20" s="10">
        <v>45</v>
      </c>
      <c r="F20" s="10">
        <v>45</v>
      </c>
      <c r="G20" s="10">
        <v>45</v>
      </c>
      <c r="H20" s="10">
        <v>45</v>
      </c>
      <c r="I20" s="10">
        <v>45</v>
      </c>
    </row>
    <row r="21" spans="1:9" ht="20">
      <c r="A21" s="22" t="s">
        <v>1752</v>
      </c>
      <c r="B21" s="22" t="s">
        <v>1752</v>
      </c>
      <c r="C21" s="2">
        <f>C23</f>
        <v>142</v>
      </c>
      <c r="D21" s="2">
        <f>AVERAGE(D23,C24)</f>
        <v>156</v>
      </c>
      <c r="E21" s="2">
        <f t="shared" ref="E21:I21" si="0">AVERAGE(E23,D24)</f>
        <v>163.5</v>
      </c>
      <c r="F21" s="2">
        <f t="shared" si="0"/>
        <v>171.5</v>
      </c>
      <c r="G21" s="2">
        <f t="shared" si="0"/>
        <v>179</v>
      </c>
      <c r="H21" s="2">
        <f t="shared" si="0"/>
        <v>186.5</v>
      </c>
      <c r="I21" s="2">
        <f t="shared" si="0"/>
        <v>191.5</v>
      </c>
    </row>
    <row r="22" spans="1:9" ht="20">
      <c r="A22" s="22" t="s">
        <v>1753</v>
      </c>
      <c r="B22" s="22" t="s">
        <v>1753</v>
      </c>
      <c r="C22" s="2">
        <f>D21</f>
        <v>156</v>
      </c>
      <c r="D22" s="2">
        <f t="shared" ref="D22:H22" si="1">E21</f>
        <v>163.5</v>
      </c>
      <c r="E22" s="2">
        <f t="shared" si="1"/>
        <v>171.5</v>
      </c>
      <c r="F22" s="2">
        <f t="shared" si="1"/>
        <v>179</v>
      </c>
      <c r="G22" s="2">
        <f t="shared" si="1"/>
        <v>186.5</v>
      </c>
      <c r="H22" s="2">
        <f t="shared" si="1"/>
        <v>191.5</v>
      </c>
      <c r="I22" s="2">
        <f t="shared" ref="I22" si="2">I24</f>
        <v>200</v>
      </c>
    </row>
    <row r="23" spans="1:9">
      <c r="C23" s="2">
        <f t="shared" ref="C23:I23" si="3">VALUE(LEFT(C25,3))</f>
        <v>142</v>
      </c>
      <c r="D23" s="2">
        <f t="shared" si="3"/>
        <v>155</v>
      </c>
      <c r="E23" s="2">
        <f t="shared" si="3"/>
        <v>162</v>
      </c>
      <c r="F23" s="2">
        <f t="shared" si="3"/>
        <v>170</v>
      </c>
      <c r="G23" s="2">
        <f t="shared" si="3"/>
        <v>178</v>
      </c>
      <c r="H23" s="2">
        <f t="shared" si="3"/>
        <v>185</v>
      </c>
      <c r="I23" s="2">
        <f t="shared" si="3"/>
        <v>190</v>
      </c>
    </row>
    <row r="24" spans="1:9">
      <c r="C24" s="2">
        <f>VALUE(MID(C25,7,3))</f>
        <v>157</v>
      </c>
      <c r="D24" s="2">
        <f>VALUE(MID(D25,7,3))</f>
        <v>165</v>
      </c>
      <c r="E24" s="2">
        <f>VALUE(MID(E25,7,3))</f>
        <v>173</v>
      </c>
      <c r="F24" s="2">
        <f>VALUE(MID(F25,7,3))</f>
        <v>180</v>
      </c>
      <c r="G24" s="2">
        <f>VALUE(MID(G25,5,3))</f>
        <v>188</v>
      </c>
      <c r="H24" s="2">
        <f>VALUE(MID(H25,5,3))</f>
        <v>193</v>
      </c>
      <c r="I24" s="2">
        <v>200</v>
      </c>
    </row>
    <row r="25" spans="1:9">
      <c r="B25" s="10" t="s">
        <v>540</v>
      </c>
      <c r="C25" s="10" t="s">
        <v>869</v>
      </c>
      <c r="D25" s="10" t="s">
        <v>870</v>
      </c>
      <c r="E25" s="10" t="s">
        <v>871</v>
      </c>
      <c r="F25" s="10" t="s">
        <v>872</v>
      </c>
      <c r="G25" s="10" t="s">
        <v>873</v>
      </c>
      <c r="H25" s="10" t="s">
        <v>874</v>
      </c>
      <c r="I25" s="10" t="s">
        <v>875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E7D0-CB17-B743-81D2-17F95AFD94BD}">
  <dimension ref="A1:K49"/>
  <sheetViews>
    <sheetView topLeftCell="A12" workbookViewId="0">
      <selection activeCell="N31" sqref="N31"/>
    </sheetView>
  </sheetViews>
  <sheetFormatPr baseColWidth="10" defaultRowHeight="20"/>
  <cols>
    <col min="1" max="1" width="18.1640625" style="22" customWidth="1"/>
    <col min="2" max="2" width="20.83203125" style="22" bestFit="1" customWidth="1"/>
    <col min="3" max="16384" width="10.83203125" style="22"/>
  </cols>
  <sheetData>
    <row r="1" spans="1:11">
      <c r="A1" s="22" t="s">
        <v>2412</v>
      </c>
      <c r="B1" s="22" t="s">
        <v>2776</v>
      </c>
    </row>
    <row r="2" spans="1:11">
      <c r="A2" s="22" t="s">
        <v>2423</v>
      </c>
      <c r="B2" s="22">
        <v>2023</v>
      </c>
    </row>
    <row r="3" spans="1:11">
      <c r="A3" s="22" t="s">
        <v>2424</v>
      </c>
      <c r="B3" s="114">
        <v>45139</v>
      </c>
    </row>
    <row r="4" spans="1:11">
      <c r="A4" s="22" t="s">
        <v>2414</v>
      </c>
      <c r="B4" s="22" t="s">
        <v>2777</v>
      </c>
    </row>
    <row r="5" spans="1:11">
      <c r="A5" s="22" t="s">
        <v>2415</v>
      </c>
      <c r="B5" s="22" t="s">
        <v>2552</v>
      </c>
    </row>
    <row r="6" spans="1:11">
      <c r="A6" s="22" t="s">
        <v>72</v>
      </c>
      <c r="B6" s="22" t="s">
        <v>15</v>
      </c>
      <c r="C6" s="22" t="str">
        <f>C37</f>
        <v>S</v>
      </c>
      <c r="D6" s="22" t="str">
        <f t="shared" ref="D6:G6" si="0">D37</f>
        <v>M</v>
      </c>
      <c r="E6" s="22" t="str">
        <f t="shared" si="0"/>
        <v>L</v>
      </c>
      <c r="F6" s="22" t="str">
        <f t="shared" si="0"/>
        <v>XL</v>
      </c>
      <c r="G6" s="22" t="str">
        <f t="shared" si="0"/>
        <v>XXL</v>
      </c>
    </row>
    <row r="7" spans="1:11">
      <c r="A7" s="22" t="s">
        <v>55</v>
      </c>
      <c r="B7" s="22" t="str">
        <f>B38</f>
        <v>Reach</v>
      </c>
      <c r="C7" s="22">
        <f t="shared" ref="C7:G7" si="1">C38</f>
        <v>390</v>
      </c>
      <c r="D7" s="22">
        <f t="shared" si="1"/>
        <v>405</v>
      </c>
      <c r="E7" s="22">
        <f t="shared" si="1"/>
        <v>420</v>
      </c>
      <c r="F7" s="22">
        <f t="shared" si="1"/>
        <v>435</v>
      </c>
      <c r="G7" s="22">
        <f t="shared" si="1"/>
        <v>450</v>
      </c>
      <c r="K7" s="22" t="s">
        <v>2782</v>
      </c>
    </row>
    <row r="8" spans="1:11">
      <c r="A8" s="22" t="s">
        <v>54</v>
      </c>
      <c r="B8" s="22" t="str">
        <f t="shared" ref="B8:G8" si="2">B39</f>
        <v>Stack</v>
      </c>
      <c r="C8" s="22">
        <f t="shared" si="2"/>
        <v>564</v>
      </c>
      <c r="D8" s="22">
        <f t="shared" si="2"/>
        <v>576</v>
      </c>
      <c r="E8" s="22">
        <f t="shared" si="2"/>
        <v>600</v>
      </c>
      <c r="F8" s="22">
        <f t="shared" si="2"/>
        <v>612</v>
      </c>
      <c r="G8" s="22">
        <f t="shared" si="2"/>
        <v>631</v>
      </c>
    </row>
    <row r="9" spans="1:11">
      <c r="A9" s="22" t="s">
        <v>60</v>
      </c>
      <c r="B9" s="22" t="str">
        <f t="shared" ref="B9:G9" si="3">B40</f>
        <v>Seat Tube Length</v>
      </c>
      <c r="C9" s="22">
        <f t="shared" si="3"/>
        <v>455</v>
      </c>
      <c r="D9" s="22">
        <f t="shared" si="3"/>
        <v>485</v>
      </c>
      <c r="E9" s="22">
        <f t="shared" si="3"/>
        <v>515</v>
      </c>
      <c r="F9" s="22">
        <f t="shared" si="3"/>
        <v>545</v>
      </c>
      <c r="G9" s="22">
        <f t="shared" si="3"/>
        <v>575</v>
      </c>
    </row>
    <row r="10" spans="1:11">
      <c r="A10" s="22" t="s">
        <v>134</v>
      </c>
      <c r="B10" s="22" t="str">
        <f t="shared" ref="B10:G10" si="4">B41</f>
        <v>Front Center</v>
      </c>
      <c r="C10" s="22">
        <f t="shared" si="4"/>
        <v>625</v>
      </c>
      <c r="D10" s="22">
        <f t="shared" si="4"/>
        <v>645</v>
      </c>
      <c r="E10" s="22">
        <f t="shared" si="4"/>
        <v>668</v>
      </c>
      <c r="F10" s="22">
        <f t="shared" si="4"/>
        <v>688</v>
      </c>
      <c r="G10" s="22">
        <f t="shared" si="4"/>
        <v>710</v>
      </c>
    </row>
    <row r="11" spans="1:11">
      <c r="A11" s="22" t="s">
        <v>137</v>
      </c>
      <c r="B11" s="22" t="str">
        <f t="shared" ref="B11:G11" si="5">B42</f>
        <v>BB Height</v>
      </c>
      <c r="C11" s="22">
        <f t="shared" si="5"/>
        <v>278</v>
      </c>
      <c r="D11" s="22">
        <f t="shared" si="5"/>
        <v>280</v>
      </c>
      <c r="E11" s="22">
        <f t="shared" si="5"/>
        <v>280</v>
      </c>
      <c r="F11" s="22">
        <f t="shared" si="5"/>
        <v>282</v>
      </c>
      <c r="G11" s="22">
        <f t="shared" si="5"/>
        <v>282</v>
      </c>
    </row>
    <row r="12" spans="1:11">
      <c r="A12" s="22" t="s">
        <v>65</v>
      </c>
      <c r="B12" s="22" t="str">
        <f t="shared" ref="B12:G12" si="6">B43</f>
        <v>BB Drop</v>
      </c>
      <c r="C12" s="22">
        <f t="shared" si="6"/>
        <v>78</v>
      </c>
      <c r="D12" s="22">
        <f t="shared" si="6"/>
        <v>76</v>
      </c>
      <c r="E12" s="22">
        <f t="shared" si="6"/>
        <v>76</v>
      </c>
      <c r="F12" s="22">
        <f t="shared" si="6"/>
        <v>74</v>
      </c>
      <c r="G12" s="22">
        <f t="shared" si="6"/>
        <v>74</v>
      </c>
    </row>
    <row r="13" spans="1:11">
      <c r="A13" s="22" t="s">
        <v>56</v>
      </c>
      <c r="B13" s="22" t="str">
        <f t="shared" ref="B13:G13" si="7">B44</f>
        <v>Wheelbase</v>
      </c>
      <c r="C13" s="22">
        <f t="shared" si="7"/>
        <v>1043</v>
      </c>
      <c r="D13" s="22">
        <f t="shared" si="7"/>
        <v>1063</v>
      </c>
      <c r="E13" s="22">
        <f t="shared" si="7"/>
        <v>1087</v>
      </c>
      <c r="F13" s="22">
        <f t="shared" si="7"/>
        <v>1108</v>
      </c>
      <c r="G13" s="22">
        <f t="shared" si="7"/>
        <v>1130</v>
      </c>
    </row>
    <row r="14" spans="1:11">
      <c r="A14" s="22" t="s">
        <v>2410</v>
      </c>
      <c r="B14" s="22" t="str">
        <f t="shared" ref="B14:G14" si="8">B45</f>
        <v>Rear Center</v>
      </c>
      <c r="C14" s="22">
        <f t="shared" si="8"/>
        <v>423</v>
      </c>
      <c r="D14" s="22">
        <f t="shared" si="8"/>
        <v>423</v>
      </c>
      <c r="E14" s="22">
        <f t="shared" si="8"/>
        <v>423</v>
      </c>
      <c r="F14" s="22">
        <f t="shared" si="8"/>
        <v>423</v>
      </c>
      <c r="G14" s="22">
        <f t="shared" si="8"/>
        <v>423</v>
      </c>
      <c r="H14" s="22" t="s">
        <v>2778</v>
      </c>
    </row>
    <row r="15" spans="1:11">
      <c r="A15" s="22" t="s">
        <v>64</v>
      </c>
      <c r="B15" s="22" t="str">
        <f t="shared" ref="B15:G15" si="9">B46</f>
        <v>Head Tube Length</v>
      </c>
      <c r="C15" s="22">
        <f t="shared" si="9"/>
        <v>105</v>
      </c>
      <c r="D15" s="22">
        <f t="shared" si="9"/>
        <v>120</v>
      </c>
      <c r="E15" s="22">
        <f t="shared" si="9"/>
        <v>145</v>
      </c>
      <c r="F15" s="22">
        <f t="shared" si="9"/>
        <v>160</v>
      </c>
      <c r="G15" s="22">
        <f t="shared" si="9"/>
        <v>180</v>
      </c>
    </row>
    <row r="16" spans="1:11">
      <c r="A16" s="22" t="s">
        <v>73</v>
      </c>
      <c r="B16" s="22" t="str">
        <f t="shared" ref="B16:G16" si="10">B47</f>
        <v>Top Tube Length</v>
      </c>
      <c r="C16" s="22">
        <f t="shared" si="10"/>
        <v>552</v>
      </c>
      <c r="D16" s="22">
        <f t="shared" si="10"/>
        <v>570</v>
      </c>
      <c r="E16" s="22">
        <f t="shared" si="10"/>
        <v>592</v>
      </c>
      <c r="F16" s="22">
        <f t="shared" si="10"/>
        <v>610</v>
      </c>
      <c r="G16" s="22">
        <f t="shared" si="10"/>
        <v>631</v>
      </c>
    </row>
    <row r="17" spans="1:8">
      <c r="A17" s="22" t="s">
        <v>63</v>
      </c>
      <c r="B17" s="22" t="str">
        <f>B48</f>
        <v>Seat Tube Angle</v>
      </c>
      <c r="C17" s="22">
        <f>VALUE(LEFT(C48,2))</f>
        <v>74</v>
      </c>
      <c r="D17" s="22">
        <f t="shared" ref="D17:G17" si="11">VALUE(LEFT(D48,2))</f>
        <v>74</v>
      </c>
      <c r="E17" s="22">
        <f t="shared" si="11"/>
        <v>74</v>
      </c>
      <c r="F17" s="22">
        <f t="shared" si="11"/>
        <v>74</v>
      </c>
      <c r="G17" s="22">
        <f t="shared" si="11"/>
        <v>74</v>
      </c>
    </row>
    <row r="18" spans="1:8">
      <c r="A18" s="22" t="s">
        <v>57</v>
      </c>
      <c r="B18" s="22" t="str">
        <f t="shared" ref="B18:G18" si="12">B49</f>
        <v>Standover Height</v>
      </c>
      <c r="C18" s="22">
        <f t="shared" si="12"/>
        <v>728</v>
      </c>
      <c r="D18" s="22">
        <f t="shared" si="12"/>
        <v>753</v>
      </c>
      <c r="E18" s="22">
        <f t="shared" si="12"/>
        <v>778</v>
      </c>
      <c r="F18" s="22">
        <f t="shared" si="12"/>
        <v>804</v>
      </c>
      <c r="G18" s="22">
        <f t="shared" si="12"/>
        <v>830</v>
      </c>
    </row>
    <row r="19" spans="1:8">
      <c r="A19" s="22" t="s">
        <v>2784</v>
      </c>
      <c r="B19" s="22" t="s">
        <v>66</v>
      </c>
      <c r="C19" s="22">
        <f>SQRT(C14^2 + C12^2)</f>
        <v>430.13137527969292</v>
      </c>
      <c r="D19" s="22">
        <f t="shared" ref="D19:G19" si="13">SQRT(D14^2 + D12^2)</f>
        <v>429.77319599993672</v>
      </c>
      <c r="E19" s="22">
        <f t="shared" si="13"/>
        <v>429.77319599993672</v>
      </c>
      <c r="F19" s="22">
        <f t="shared" si="13"/>
        <v>429.42403286262402</v>
      </c>
      <c r="G19" s="22">
        <f t="shared" si="13"/>
        <v>429.42403286262402</v>
      </c>
    </row>
    <row r="20" spans="1:8">
      <c r="A20" s="22" t="s">
        <v>66</v>
      </c>
      <c r="B20" s="22" t="s">
        <v>66</v>
      </c>
      <c r="C20" s="22">
        <v>430</v>
      </c>
      <c r="D20" s="22">
        <v>430</v>
      </c>
      <c r="E20" s="22">
        <v>430</v>
      </c>
      <c r="F20" s="22">
        <v>430</v>
      </c>
      <c r="G20" s="22">
        <v>430</v>
      </c>
      <c r="H20" s="22" t="s">
        <v>2785</v>
      </c>
    </row>
    <row r="21" spans="1:8">
      <c r="A21" s="22" t="s">
        <v>62</v>
      </c>
      <c r="B21" s="22" t="s">
        <v>62</v>
      </c>
      <c r="C21" s="22">
        <v>69.5</v>
      </c>
      <c r="D21" s="22">
        <v>69.5</v>
      </c>
      <c r="E21" s="22">
        <v>69.5</v>
      </c>
      <c r="F21" s="22">
        <v>69.5</v>
      </c>
      <c r="G21" s="22">
        <v>69.5</v>
      </c>
      <c r="H21" s="22" t="s">
        <v>2779</v>
      </c>
    </row>
    <row r="22" spans="1:8">
      <c r="A22" s="22" t="s">
        <v>2780</v>
      </c>
      <c r="B22" s="22" t="s">
        <v>2781</v>
      </c>
      <c r="C22" s="22">
        <f>C10+C14</f>
        <v>1048</v>
      </c>
      <c r="D22" s="22">
        <f t="shared" ref="D22:G22" si="14">D10+D14</f>
        <v>1068</v>
      </c>
      <c r="E22" s="22">
        <f t="shared" si="14"/>
        <v>1091</v>
      </c>
      <c r="F22" s="22">
        <f t="shared" si="14"/>
        <v>1111</v>
      </c>
      <c r="G22" s="22">
        <f t="shared" si="14"/>
        <v>1133</v>
      </c>
    </row>
    <row r="23" spans="1:8">
      <c r="A23" s="22" t="s">
        <v>2783</v>
      </c>
      <c r="B23" s="22" t="s">
        <v>2783</v>
      </c>
      <c r="C23" s="22">
        <f>SQRT(C14^2 - C12^2) +C10</f>
        <v>1040.7463168808595</v>
      </c>
      <c r="D23" s="22">
        <f t="shared" ref="D23:G23" si="15">SQRT(D14^2 - D12^2) +D10</f>
        <v>1061.1165702059941</v>
      </c>
      <c r="E23" s="22">
        <f t="shared" si="15"/>
        <v>1084.1165702059941</v>
      </c>
      <c r="F23" s="22">
        <f t="shared" si="15"/>
        <v>1104.476890115166</v>
      </c>
      <c r="G23" s="22">
        <f t="shared" si="15"/>
        <v>1126.476890115166</v>
      </c>
    </row>
    <row r="24" spans="1:8">
      <c r="A24" s="22" t="s">
        <v>67</v>
      </c>
      <c r="B24" s="22" t="s">
        <v>67</v>
      </c>
      <c r="C24" s="22">
        <v>45</v>
      </c>
      <c r="D24" s="22">
        <v>45</v>
      </c>
      <c r="E24" s="22">
        <v>45</v>
      </c>
      <c r="F24" s="22">
        <v>45</v>
      </c>
      <c r="G24" s="22">
        <v>45</v>
      </c>
      <c r="H24" s="22" t="s">
        <v>2786</v>
      </c>
    </row>
    <row r="25" spans="1:8">
      <c r="A25" s="22" t="s">
        <v>495</v>
      </c>
      <c r="B25" s="22" t="s">
        <v>495</v>
      </c>
      <c r="C25" s="22">
        <v>430</v>
      </c>
      <c r="D25" s="22">
        <v>430</v>
      </c>
      <c r="E25" s="22">
        <v>430</v>
      </c>
      <c r="F25" s="22">
        <v>430</v>
      </c>
      <c r="G25" s="22">
        <v>430</v>
      </c>
      <c r="H25" s="22" t="s">
        <v>2786</v>
      </c>
    </row>
    <row r="26" spans="1:8">
      <c r="A26" s="22" t="s">
        <v>69</v>
      </c>
      <c r="B26" s="22" t="s">
        <v>69</v>
      </c>
    </row>
    <row r="27" spans="1:8">
      <c r="A27" s="22" t="s">
        <v>70</v>
      </c>
      <c r="B27" s="22" t="s">
        <v>70</v>
      </c>
    </row>
    <row r="28" spans="1:8">
      <c r="A28" s="22" t="s">
        <v>71</v>
      </c>
      <c r="B28" s="22" t="s">
        <v>71</v>
      </c>
      <c r="C28" s="22">
        <v>70</v>
      </c>
      <c r="D28" s="22">
        <v>70</v>
      </c>
      <c r="E28" s="22">
        <v>70</v>
      </c>
      <c r="F28" s="22">
        <v>70</v>
      </c>
      <c r="G28" s="22">
        <v>70</v>
      </c>
    </row>
    <row r="29" spans="1:8">
      <c r="A29" s="22" t="s">
        <v>68</v>
      </c>
      <c r="B29" s="22" t="s">
        <v>68</v>
      </c>
      <c r="C29" s="22">
        <v>700</v>
      </c>
      <c r="D29" s="22">
        <v>700</v>
      </c>
      <c r="E29" s="22">
        <v>700</v>
      </c>
      <c r="F29" s="22">
        <v>700</v>
      </c>
      <c r="G29" s="22">
        <v>700</v>
      </c>
    </row>
    <row r="30" spans="1:8">
      <c r="A30" s="22" t="s">
        <v>139</v>
      </c>
      <c r="B30" s="22" t="s">
        <v>139</v>
      </c>
      <c r="C30" s="22">
        <v>45</v>
      </c>
      <c r="D30" s="22">
        <v>45</v>
      </c>
      <c r="E30" s="22">
        <v>45</v>
      </c>
      <c r="F30" s="22">
        <v>45</v>
      </c>
      <c r="G30" s="22">
        <v>45</v>
      </c>
    </row>
    <row r="31" spans="1:8">
      <c r="A31" s="22" t="s">
        <v>140</v>
      </c>
      <c r="B31" s="22" t="s">
        <v>140</v>
      </c>
      <c r="C31" s="22">
        <v>50</v>
      </c>
      <c r="D31" s="22">
        <v>50</v>
      </c>
      <c r="E31" s="22">
        <v>50</v>
      </c>
      <c r="F31" s="22">
        <v>50</v>
      </c>
      <c r="G31" s="22">
        <v>50</v>
      </c>
    </row>
    <row r="32" spans="1:8">
      <c r="A32" s="22" t="s">
        <v>1752</v>
      </c>
      <c r="B32" s="22" t="s">
        <v>1752</v>
      </c>
      <c r="C32" s="22">
        <v>160</v>
      </c>
      <c r="D32" s="22">
        <v>168</v>
      </c>
      <c r="E32" s="22">
        <v>175</v>
      </c>
      <c r="F32" s="22">
        <v>183</v>
      </c>
      <c r="G32" s="22">
        <v>188</v>
      </c>
    </row>
    <row r="33" spans="1:7">
      <c r="A33" s="22" t="s">
        <v>1753</v>
      </c>
      <c r="B33" s="22" t="s">
        <v>1753</v>
      </c>
      <c r="C33" s="22">
        <v>168</v>
      </c>
      <c r="D33" s="22">
        <v>175</v>
      </c>
      <c r="E33" s="22">
        <v>183</v>
      </c>
      <c r="F33" s="22">
        <v>188</v>
      </c>
      <c r="G33" s="22">
        <v>198</v>
      </c>
    </row>
    <row r="35" spans="1:7" ht="24">
      <c r="A35" s="49"/>
      <c r="C35" s="48"/>
      <c r="D35" s="48"/>
      <c r="E35" s="48"/>
      <c r="F35" s="48"/>
      <c r="G35" s="48"/>
    </row>
    <row r="37" spans="1:7" ht="24">
      <c r="A37" s="49"/>
      <c r="B37"/>
      <c r="C37" s="22" t="s">
        <v>17</v>
      </c>
      <c r="D37" s="22" t="s">
        <v>18</v>
      </c>
      <c r="E37" s="22" t="s">
        <v>19</v>
      </c>
      <c r="F37" s="22" t="s">
        <v>20</v>
      </c>
      <c r="G37" s="22" t="s">
        <v>1289</v>
      </c>
    </row>
    <row r="38" spans="1:7">
      <c r="B38" s="22" t="s">
        <v>1</v>
      </c>
      <c r="C38" s="22">
        <v>390</v>
      </c>
      <c r="D38" s="22">
        <v>405</v>
      </c>
      <c r="E38" s="22">
        <v>420</v>
      </c>
      <c r="F38" s="22">
        <v>435</v>
      </c>
      <c r="G38" s="22">
        <v>450</v>
      </c>
    </row>
    <row r="39" spans="1:7" ht="24">
      <c r="A39" s="49"/>
      <c r="B39" s="22" t="s">
        <v>0</v>
      </c>
      <c r="C39" s="22">
        <v>564</v>
      </c>
      <c r="D39" s="22">
        <v>576</v>
      </c>
      <c r="E39" s="22">
        <v>600</v>
      </c>
      <c r="F39" s="22">
        <v>612</v>
      </c>
      <c r="G39" s="22">
        <v>631</v>
      </c>
    </row>
    <row r="40" spans="1:7">
      <c r="B40" s="22" t="s">
        <v>173</v>
      </c>
      <c r="C40" s="22">
        <v>455</v>
      </c>
      <c r="D40" s="22">
        <v>485</v>
      </c>
      <c r="E40" s="22">
        <v>515</v>
      </c>
      <c r="F40" s="22">
        <v>545</v>
      </c>
      <c r="G40" s="22">
        <v>575</v>
      </c>
    </row>
    <row r="41" spans="1:7" ht="24">
      <c r="A41" s="49"/>
      <c r="B41" s="22" t="s">
        <v>478</v>
      </c>
      <c r="C41" s="22">
        <v>625</v>
      </c>
      <c r="D41" s="22">
        <v>645</v>
      </c>
      <c r="E41" s="22">
        <v>668</v>
      </c>
      <c r="F41" s="22">
        <v>688</v>
      </c>
      <c r="G41" s="22">
        <v>710</v>
      </c>
    </row>
    <row r="42" spans="1:7">
      <c r="B42" s="22" t="s">
        <v>615</v>
      </c>
      <c r="C42" s="22">
        <v>278</v>
      </c>
      <c r="D42" s="22">
        <v>280</v>
      </c>
      <c r="E42" s="22">
        <v>280</v>
      </c>
      <c r="F42" s="22">
        <v>282</v>
      </c>
      <c r="G42" s="22">
        <v>282</v>
      </c>
    </row>
    <row r="43" spans="1:7" ht="24">
      <c r="A43" s="49"/>
      <c r="B43" s="22" t="s">
        <v>174</v>
      </c>
      <c r="C43" s="22">
        <v>78</v>
      </c>
      <c r="D43" s="22">
        <v>76</v>
      </c>
      <c r="E43" s="22">
        <v>76</v>
      </c>
      <c r="F43" s="22">
        <v>74</v>
      </c>
      <c r="G43" s="22">
        <v>74</v>
      </c>
    </row>
    <row r="44" spans="1:7">
      <c r="B44" s="22" t="s">
        <v>9</v>
      </c>
      <c r="C44" s="22">
        <v>1043</v>
      </c>
      <c r="D44" s="22">
        <v>1063</v>
      </c>
      <c r="E44" s="22">
        <v>1087</v>
      </c>
      <c r="F44" s="22">
        <v>1108</v>
      </c>
      <c r="G44" s="22">
        <v>1130</v>
      </c>
    </row>
    <row r="45" spans="1:7">
      <c r="B45" s="22" t="s">
        <v>1281</v>
      </c>
      <c r="C45" s="22">
        <v>423</v>
      </c>
      <c r="D45" s="22">
        <v>423</v>
      </c>
      <c r="E45" s="22">
        <v>423</v>
      </c>
      <c r="F45" s="22">
        <v>423</v>
      </c>
      <c r="G45" s="22">
        <v>423</v>
      </c>
    </row>
    <row r="46" spans="1:7">
      <c r="B46" s="22" t="s">
        <v>5</v>
      </c>
      <c r="C46" s="22">
        <v>105</v>
      </c>
      <c r="D46" s="22">
        <v>120</v>
      </c>
      <c r="E46" s="22">
        <v>145</v>
      </c>
      <c r="F46" s="22">
        <v>160</v>
      </c>
      <c r="G46" s="22">
        <v>180</v>
      </c>
    </row>
    <row r="47" spans="1:7">
      <c r="B47" s="22" t="s">
        <v>1282</v>
      </c>
      <c r="C47" s="22">
        <v>552</v>
      </c>
      <c r="D47" s="22">
        <v>570</v>
      </c>
      <c r="E47" s="22">
        <v>592</v>
      </c>
      <c r="F47" s="22">
        <v>610</v>
      </c>
      <c r="G47" s="22">
        <v>631</v>
      </c>
    </row>
    <row r="48" spans="1:7">
      <c r="B48" s="22" t="s">
        <v>4</v>
      </c>
      <c r="C48" s="22" t="s">
        <v>32</v>
      </c>
      <c r="D48" s="22" t="s">
        <v>32</v>
      </c>
      <c r="E48" s="22" t="s">
        <v>32</v>
      </c>
      <c r="F48" s="22" t="s">
        <v>32</v>
      </c>
      <c r="G48" s="22" t="s">
        <v>32</v>
      </c>
    </row>
    <row r="49" spans="2:7">
      <c r="B49" s="22" t="s">
        <v>176</v>
      </c>
      <c r="C49" s="22">
        <v>728</v>
      </c>
      <c r="D49" s="22">
        <v>753</v>
      </c>
      <c r="E49" s="22">
        <v>778</v>
      </c>
      <c r="F49" s="22">
        <v>804</v>
      </c>
      <c r="G49" s="22">
        <v>830</v>
      </c>
    </row>
  </sheetData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B893-2818-C545-BA37-097FD7FB87E4}">
  <dimension ref="A1:H33"/>
  <sheetViews>
    <sheetView workbookViewId="0">
      <selection activeCell="A22" sqref="A22:B23"/>
    </sheetView>
  </sheetViews>
  <sheetFormatPr baseColWidth="10" defaultRowHeight="20"/>
  <cols>
    <col min="1" max="1" width="18.1640625" style="22" bestFit="1" customWidth="1"/>
    <col min="2" max="2" width="20.83203125" style="22" bestFit="1" customWidth="1"/>
    <col min="3" max="16384" width="10.83203125" style="22"/>
  </cols>
  <sheetData>
    <row r="1" spans="1:8">
      <c r="A1" s="22" t="s">
        <v>72</v>
      </c>
      <c r="B1" s="22" t="s">
        <v>15</v>
      </c>
      <c r="C1" s="22">
        <v>52</v>
      </c>
      <c r="D1" s="22">
        <v>54</v>
      </c>
      <c r="E1" s="22">
        <v>56</v>
      </c>
      <c r="F1" s="22">
        <v>58</v>
      </c>
      <c r="G1" s="22">
        <v>60</v>
      </c>
    </row>
    <row r="2" spans="1:8">
      <c r="A2" s="22" t="s">
        <v>55</v>
      </c>
      <c r="B2" s="22" t="s">
        <v>1</v>
      </c>
      <c r="C2" s="22">
        <v>372</v>
      </c>
      <c r="D2" s="22">
        <v>380</v>
      </c>
      <c r="E2" s="22">
        <v>388</v>
      </c>
      <c r="F2" s="22">
        <v>392</v>
      </c>
      <c r="G2" s="22">
        <v>405</v>
      </c>
    </row>
    <row r="3" spans="1:8">
      <c r="A3" s="22" t="s">
        <v>54</v>
      </c>
      <c r="B3" s="22" t="s">
        <v>0</v>
      </c>
      <c r="C3" s="22">
        <v>555</v>
      </c>
      <c r="D3" s="22">
        <v>576</v>
      </c>
      <c r="E3" s="22">
        <v>596</v>
      </c>
      <c r="F3" s="22">
        <v>609</v>
      </c>
      <c r="G3" s="22">
        <v>628</v>
      </c>
    </row>
    <row r="4" spans="1:8">
      <c r="A4" s="22" t="s">
        <v>62</v>
      </c>
      <c r="B4" s="22" t="s">
        <v>3</v>
      </c>
      <c r="C4" s="22">
        <v>71</v>
      </c>
      <c r="D4" s="22">
        <v>71.5</v>
      </c>
      <c r="E4" s="22">
        <v>72</v>
      </c>
      <c r="F4" s="22">
        <v>72</v>
      </c>
      <c r="G4" s="22">
        <v>72</v>
      </c>
    </row>
    <row r="5" spans="1:8">
      <c r="A5" s="22" t="s">
        <v>60</v>
      </c>
      <c r="B5" s="22" t="s">
        <v>173</v>
      </c>
      <c r="C5" s="22">
        <v>495</v>
      </c>
      <c r="D5" s="22">
        <v>520</v>
      </c>
      <c r="E5" s="22">
        <v>545</v>
      </c>
      <c r="F5" s="22">
        <v>565</v>
      </c>
      <c r="G5" s="22">
        <v>590</v>
      </c>
    </row>
    <row r="6" spans="1:8">
      <c r="A6" s="22" t="s">
        <v>134</v>
      </c>
      <c r="B6" s="22" t="s">
        <v>478</v>
      </c>
      <c r="C6" s="22">
        <v>595</v>
      </c>
      <c r="D6" s="22">
        <v>600</v>
      </c>
      <c r="E6" s="22">
        <v>610</v>
      </c>
      <c r="F6" s="22">
        <v>618</v>
      </c>
      <c r="G6" s="22">
        <v>637</v>
      </c>
    </row>
    <row r="7" spans="1:8">
      <c r="A7" s="22" t="s">
        <v>137</v>
      </c>
      <c r="B7" s="22" t="s">
        <v>615</v>
      </c>
      <c r="C7" s="22">
        <v>280</v>
      </c>
      <c r="D7" s="22">
        <v>282</v>
      </c>
      <c r="E7" s="22">
        <v>282</v>
      </c>
      <c r="F7" s="22">
        <v>284</v>
      </c>
      <c r="G7" s="22">
        <v>284</v>
      </c>
    </row>
    <row r="8" spans="1:8">
      <c r="A8" s="22" t="s">
        <v>65</v>
      </c>
      <c r="B8" s="22" t="s">
        <v>174</v>
      </c>
      <c r="C8" s="22">
        <v>74</v>
      </c>
      <c r="D8" s="22">
        <v>72</v>
      </c>
      <c r="E8" s="22">
        <v>72</v>
      </c>
      <c r="F8" s="22">
        <v>70</v>
      </c>
      <c r="G8" s="22">
        <v>70</v>
      </c>
    </row>
    <row r="9" spans="1:8">
      <c r="A9" s="22" t="s">
        <v>56</v>
      </c>
      <c r="B9" s="22" t="s">
        <v>9</v>
      </c>
      <c r="C9" s="22">
        <v>1009</v>
      </c>
      <c r="D9" s="22">
        <v>1015</v>
      </c>
      <c r="E9" s="22">
        <v>1025</v>
      </c>
      <c r="F9" s="22">
        <v>1034</v>
      </c>
      <c r="G9" s="22">
        <v>1053</v>
      </c>
    </row>
    <row r="10" spans="1:8">
      <c r="A10" s="22" t="s">
        <v>66</v>
      </c>
      <c r="B10" s="22" t="s">
        <v>1281</v>
      </c>
      <c r="C10" s="22">
        <v>425</v>
      </c>
      <c r="D10" s="22">
        <v>425</v>
      </c>
      <c r="E10" s="22">
        <v>425</v>
      </c>
      <c r="F10" s="22">
        <v>425</v>
      </c>
      <c r="G10" s="22">
        <v>425</v>
      </c>
      <c r="H10" s="22" t="s">
        <v>1283</v>
      </c>
    </row>
    <row r="11" spans="1:8">
      <c r="A11" s="22" t="s">
        <v>64</v>
      </c>
      <c r="B11" s="22" t="s">
        <v>5</v>
      </c>
      <c r="C11" s="22">
        <v>130</v>
      </c>
      <c r="D11" s="22">
        <v>150</v>
      </c>
      <c r="E11" s="22">
        <v>170</v>
      </c>
      <c r="F11" s="22">
        <v>185</v>
      </c>
      <c r="G11" s="22">
        <v>205</v>
      </c>
    </row>
    <row r="12" spans="1:8">
      <c r="A12" s="22" t="s">
        <v>73</v>
      </c>
      <c r="B12" s="22" t="s">
        <v>1282</v>
      </c>
      <c r="C12" s="22">
        <v>526</v>
      </c>
      <c r="D12" s="22">
        <v>545</v>
      </c>
      <c r="E12" s="22">
        <v>565</v>
      </c>
      <c r="F12" s="22">
        <v>572</v>
      </c>
      <c r="G12" s="22">
        <v>591</v>
      </c>
    </row>
    <row r="13" spans="1:8">
      <c r="A13" s="22" t="s">
        <v>63</v>
      </c>
      <c r="B13" s="22" t="s">
        <v>4</v>
      </c>
      <c r="C13" s="22">
        <v>74.5</v>
      </c>
      <c r="D13" s="22">
        <v>74</v>
      </c>
      <c r="E13" s="22">
        <v>73.5</v>
      </c>
      <c r="F13" s="22">
        <v>73.5</v>
      </c>
      <c r="G13" s="22">
        <v>73.5</v>
      </c>
    </row>
    <row r="14" spans="1:8">
      <c r="A14" s="22" t="s">
        <v>57</v>
      </c>
      <c r="B14" s="22" t="s">
        <v>176</v>
      </c>
      <c r="C14" s="22">
        <v>754</v>
      </c>
      <c r="D14" s="22">
        <v>776</v>
      </c>
      <c r="E14" s="22">
        <v>797</v>
      </c>
      <c r="F14" s="22">
        <v>816</v>
      </c>
      <c r="G14" s="22">
        <v>834</v>
      </c>
    </row>
    <row r="15" spans="1:8">
      <c r="A15" s="22" t="s">
        <v>67</v>
      </c>
      <c r="B15" s="22" t="s">
        <v>67</v>
      </c>
      <c r="C15" s="22">
        <v>50</v>
      </c>
      <c r="D15" s="22">
        <v>50</v>
      </c>
      <c r="E15" s="22">
        <v>45</v>
      </c>
      <c r="F15" s="22">
        <v>45</v>
      </c>
      <c r="G15" s="22">
        <v>45</v>
      </c>
    </row>
    <row r="16" spans="1:8">
      <c r="A16" s="22" t="s">
        <v>69</v>
      </c>
      <c r="C16" s="22">
        <v>170</v>
      </c>
      <c r="D16" s="22">
        <v>172.5</v>
      </c>
      <c r="E16" s="22">
        <v>172.5</v>
      </c>
      <c r="F16" s="22">
        <v>175</v>
      </c>
      <c r="G16" s="22">
        <v>175</v>
      </c>
    </row>
    <row r="17" spans="1:7">
      <c r="A17" s="22" t="s">
        <v>70</v>
      </c>
    </row>
    <row r="18" spans="1:7">
      <c r="A18" s="22" t="s">
        <v>71</v>
      </c>
    </row>
    <row r="19" spans="1:7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</row>
    <row r="21" spans="1:7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</row>
    <row r="22" spans="1:7">
      <c r="A22" s="22" t="s">
        <v>1752</v>
      </c>
      <c r="B22" s="22" t="s">
        <v>1752</v>
      </c>
      <c r="C22" s="22">
        <f>VALUE(LEFT(C25,3))</f>
        <v>160</v>
      </c>
      <c r="D22" s="22">
        <f t="shared" ref="D22:G22" si="0">VALUE(LEFT(D25,3))</f>
        <v>168</v>
      </c>
      <c r="E22" s="22">
        <f t="shared" si="0"/>
        <v>175</v>
      </c>
      <c r="F22" s="22">
        <f t="shared" si="0"/>
        <v>183</v>
      </c>
      <c r="G22" s="22">
        <f t="shared" si="0"/>
        <v>188</v>
      </c>
    </row>
    <row r="23" spans="1:7">
      <c r="A23" s="22" t="s">
        <v>1753</v>
      </c>
      <c r="B23" s="22" t="s">
        <v>1753</v>
      </c>
      <c r="C23" s="22">
        <f>VALUE(MID(C25,7,3))</f>
        <v>168</v>
      </c>
      <c r="D23" s="22">
        <f t="shared" ref="D23:G23" si="1">VALUE(MID(D25,7,3))</f>
        <v>175</v>
      </c>
      <c r="E23" s="22">
        <f t="shared" si="1"/>
        <v>183</v>
      </c>
      <c r="F23" s="22">
        <f t="shared" si="1"/>
        <v>188</v>
      </c>
      <c r="G23" s="22">
        <f t="shared" si="1"/>
        <v>196</v>
      </c>
    </row>
    <row r="25" spans="1:7" ht="24">
      <c r="A25" s="49">
        <v>52</v>
      </c>
      <c r="B25" s="22" t="s">
        <v>1034</v>
      </c>
      <c r="C25" s="48" t="s">
        <v>1284</v>
      </c>
      <c r="D25" s="48" t="s">
        <v>1285</v>
      </c>
      <c r="E25" s="48" t="s">
        <v>1286</v>
      </c>
      <c r="F25" s="48" t="s">
        <v>1287</v>
      </c>
      <c r="G25" s="48" t="s">
        <v>1288</v>
      </c>
    </row>
    <row r="27" spans="1:7" ht="24">
      <c r="A27" s="49">
        <v>54</v>
      </c>
    </row>
    <row r="29" spans="1:7" ht="24">
      <c r="A29" s="49">
        <v>56</v>
      </c>
    </row>
    <row r="31" spans="1:7" ht="24">
      <c r="A31" s="49">
        <v>58</v>
      </c>
    </row>
    <row r="33" spans="1:1" ht="24">
      <c r="A33" s="49">
        <v>60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C191-9A2A-CF46-949D-4FFD744E36DC}">
  <dimension ref="A1:EN44"/>
  <sheetViews>
    <sheetView topLeftCell="A12" zoomScale="85" workbookViewId="0">
      <selection activeCell="A22" sqref="A22:B23"/>
    </sheetView>
  </sheetViews>
  <sheetFormatPr baseColWidth="10" defaultRowHeight="20"/>
  <cols>
    <col min="1" max="1" width="29.33203125" style="22" bestFit="1" customWidth="1"/>
    <col min="2" max="2" width="29.6640625" style="22" bestFit="1" customWidth="1"/>
    <col min="3" max="7" width="12.83203125" style="22" customWidth="1"/>
    <col min="8" max="8" width="10.83203125" style="22"/>
    <col min="9" max="122" width="4.6640625" style="22" customWidth="1"/>
    <col min="123" max="16384" width="10.83203125" style="22"/>
  </cols>
  <sheetData>
    <row r="1" spans="1:144">
      <c r="A1" s="22" t="s">
        <v>72</v>
      </c>
      <c r="B1" s="22" t="s">
        <v>141</v>
      </c>
      <c r="C1" s="22" t="str">
        <f>C25</f>
        <v>XS/49</v>
      </c>
      <c r="D1" s="22" t="str">
        <f>D25</f>
        <v>S/52</v>
      </c>
      <c r="E1" s="22" t="str">
        <f>E25</f>
        <v>M/54</v>
      </c>
      <c r="F1" s="22" t="str">
        <f>F25</f>
        <v>L/56</v>
      </c>
      <c r="G1" s="22" t="str">
        <f>G25</f>
        <v>XL/58</v>
      </c>
      <c r="I1" s="103">
        <v>155</v>
      </c>
      <c r="J1" s="103">
        <f>I1+1</f>
        <v>156</v>
      </c>
      <c r="K1" s="103">
        <f t="shared" ref="K1:BV1" si="0">J1+1</f>
        <v>157</v>
      </c>
      <c r="L1" s="103">
        <f t="shared" si="0"/>
        <v>158</v>
      </c>
      <c r="M1" s="103">
        <f t="shared" si="0"/>
        <v>159</v>
      </c>
      <c r="N1" s="103">
        <f t="shared" si="0"/>
        <v>160</v>
      </c>
      <c r="O1" s="103">
        <f t="shared" si="0"/>
        <v>161</v>
      </c>
      <c r="P1" s="103">
        <f t="shared" si="0"/>
        <v>162</v>
      </c>
      <c r="Q1" s="103">
        <f t="shared" si="0"/>
        <v>163</v>
      </c>
      <c r="R1" s="103">
        <f t="shared" si="0"/>
        <v>164</v>
      </c>
      <c r="S1" s="103">
        <f t="shared" si="0"/>
        <v>165</v>
      </c>
      <c r="T1" s="103">
        <f t="shared" si="0"/>
        <v>166</v>
      </c>
      <c r="U1" s="103">
        <f t="shared" si="0"/>
        <v>167</v>
      </c>
      <c r="V1" s="103">
        <f t="shared" si="0"/>
        <v>168</v>
      </c>
      <c r="W1" s="103">
        <f t="shared" si="0"/>
        <v>169</v>
      </c>
      <c r="X1" s="103">
        <f t="shared" si="0"/>
        <v>170</v>
      </c>
      <c r="Y1" s="103">
        <f t="shared" si="0"/>
        <v>171</v>
      </c>
      <c r="Z1" s="103">
        <f t="shared" si="0"/>
        <v>172</v>
      </c>
      <c r="AA1" s="103">
        <f t="shared" si="0"/>
        <v>173</v>
      </c>
      <c r="AB1" s="103">
        <f t="shared" si="0"/>
        <v>174</v>
      </c>
      <c r="AC1" s="103">
        <f t="shared" si="0"/>
        <v>175</v>
      </c>
      <c r="AD1" s="103">
        <f t="shared" si="0"/>
        <v>176</v>
      </c>
      <c r="AE1" s="103">
        <f t="shared" si="0"/>
        <v>177</v>
      </c>
      <c r="AF1" s="103">
        <f t="shared" si="0"/>
        <v>178</v>
      </c>
      <c r="AG1" s="103">
        <f t="shared" si="0"/>
        <v>179</v>
      </c>
      <c r="AH1" s="103">
        <f t="shared" si="0"/>
        <v>180</v>
      </c>
      <c r="AI1" s="103">
        <f t="shared" si="0"/>
        <v>181</v>
      </c>
      <c r="AJ1" s="103">
        <f t="shared" si="0"/>
        <v>182</v>
      </c>
      <c r="AK1" s="103">
        <f t="shared" si="0"/>
        <v>183</v>
      </c>
      <c r="AL1" s="103">
        <f t="shared" si="0"/>
        <v>184</v>
      </c>
      <c r="AM1" s="103">
        <f t="shared" si="0"/>
        <v>185</v>
      </c>
      <c r="AN1" s="103">
        <f t="shared" si="0"/>
        <v>186</v>
      </c>
      <c r="AO1" s="103">
        <f t="shared" si="0"/>
        <v>187</v>
      </c>
      <c r="AP1" s="103">
        <f t="shared" si="0"/>
        <v>188</v>
      </c>
      <c r="AQ1" s="103">
        <f t="shared" si="0"/>
        <v>189</v>
      </c>
      <c r="AR1" s="103">
        <f t="shared" si="0"/>
        <v>190</v>
      </c>
      <c r="AS1" s="103">
        <f t="shared" si="0"/>
        <v>191</v>
      </c>
      <c r="AT1" s="103">
        <f t="shared" si="0"/>
        <v>192</v>
      </c>
      <c r="AU1" s="103">
        <f t="shared" si="0"/>
        <v>193</v>
      </c>
      <c r="AV1" s="103">
        <f t="shared" si="0"/>
        <v>194</v>
      </c>
      <c r="AW1" s="103">
        <f t="shared" si="0"/>
        <v>195</v>
      </c>
      <c r="AX1" s="103">
        <f t="shared" si="0"/>
        <v>196</v>
      </c>
      <c r="AY1" s="103">
        <f t="shared" si="0"/>
        <v>197</v>
      </c>
      <c r="AZ1" s="103">
        <f t="shared" si="0"/>
        <v>198</v>
      </c>
      <c r="BA1" s="103">
        <f t="shared" si="0"/>
        <v>199</v>
      </c>
      <c r="BB1" s="103">
        <f t="shared" si="0"/>
        <v>200</v>
      </c>
      <c r="BC1" s="103">
        <f t="shared" si="0"/>
        <v>201</v>
      </c>
      <c r="BD1" s="103">
        <f t="shared" si="0"/>
        <v>202</v>
      </c>
      <c r="BE1" s="103">
        <f t="shared" si="0"/>
        <v>203</v>
      </c>
      <c r="BF1" s="103">
        <f t="shared" si="0"/>
        <v>204</v>
      </c>
      <c r="BG1" s="103">
        <f t="shared" si="0"/>
        <v>205</v>
      </c>
      <c r="BH1" s="103">
        <f t="shared" si="0"/>
        <v>206</v>
      </c>
      <c r="BI1" s="103">
        <f t="shared" si="0"/>
        <v>207</v>
      </c>
      <c r="BJ1" s="103">
        <f t="shared" si="0"/>
        <v>208</v>
      </c>
      <c r="BK1" s="103">
        <f t="shared" si="0"/>
        <v>209</v>
      </c>
      <c r="BL1" s="103">
        <f t="shared" si="0"/>
        <v>210</v>
      </c>
      <c r="BM1" s="103">
        <f t="shared" si="0"/>
        <v>211</v>
      </c>
      <c r="BN1" s="103">
        <f t="shared" si="0"/>
        <v>212</v>
      </c>
      <c r="BO1" s="103">
        <f t="shared" si="0"/>
        <v>213</v>
      </c>
      <c r="BP1" s="103">
        <f t="shared" si="0"/>
        <v>214</v>
      </c>
      <c r="BQ1" s="103">
        <f t="shared" si="0"/>
        <v>215</v>
      </c>
      <c r="BR1" s="103">
        <f t="shared" si="0"/>
        <v>216</v>
      </c>
      <c r="BS1" s="103">
        <f t="shared" si="0"/>
        <v>217</v>
      </c>
      <c r="BT1" s="103">
        <f t="shared" si="0"/>
        <v>218</v>
      </c>
      <c r="BU1" s="103">
        <f t="shared" si="0"/>
        <v>219</v>
      </c>
      <c r="BV1" s="103">
        <f t="shared" si="0"/>
        <v>220</v>
      </c>
      <c r="BW1" s="103">
        <f t="shared" ref="BW1:DS1" si="1">BV1+1</f>
        <v>221</v>
      </c>
      <c r="BX1" s="103">
        <f t="shared" si="1"/>
        <v>222</v>
      </c>
      <c r="BY1" s="103">
        <f t="shared" si="1"/>
        <v>223</v>
      </c>
      <c r="BZ1" s="103">
        <f t="shared" si="1"/>
        <v>224</v>
      </c>
      <c r="CA1" s="103">
        <f t="shared" si="1"/>
        <v>225</v>
      </c>
      <c r="CB1" s="103">
        <f t="shared" si="1"/>
        <v>226</v>
      </c>
      <c r="CC1" s="103">
        <f t="shared" si="1"/>
        <v>227</v>
      </c>
      <c r="CD1" s="103">
        <f t="shared" si="1"/>
        <v>228</v>
      </c>
      <c r="CE1" s="103">
        <f t="shared" si="1"/>
        <v>229</v>
      </c>
      <c r="CF1" s="103">
        <f t="shared" si="1"/>
        <v>230</v>
      </c>
      <c r="CG1" s="103">
        <f t="shared" si="1"/>
        <v>231</v>
      </c>
      <c r="CH1" s="103">
        <f t="shared" si="1"/>
        <v>232</v>
      </c>
      <c r="CI1" s="103">
        <f t="shared" si="1"/>
        <v>233</v>
      </c>
      <c r="CJ1" s="103">
        <f t="shared" si="1"/>
        <v>234</v>
      </c>
      <c r="CK1" s="103">
        <f t="shared" si="1"/>
        <v>235</v>
      </c>
      <c r="CL1" s="103">
        <f t="shared" si="1"/>
        <v>236</v>
      </c>
      <c r="CM1" s="103">
        <f t="shared" si="1"/>
        <v>237</v>
      </c>
      <c r="CN1" s="103">
        <f t="shared" si="1"/>
        <v>238</v>
      </c>
      <c r="CO1" s="103">
        <f t="shared" si="1"/>
        <v>239</v>
      </c>
      <c r="CP1" s="103">
        <f t="shared" si="1"/>
        <v>240</v>
      </c>
      <c r="CQ1" s="103">
        <f t="shared" si="1"/>
        <v>241</v>
      </c>
      <c r="CR1" s="103">
        <f t="shared" si="1"/>
        <v>242</v>
      </c>
      <c r="CS1" s="103">
        <f t="shared" si="1"/>
        <v>243</v>
      </c>
      <c r="CT1" s="103">
        <f t="shared" si="1"/>
        <v>244</v>
      </c>
      <c r="CU1" s="103">
        <f t="shared" si="1"/>
        <v>245</v>
      </c>
      <c r="CV1" s="103">
        <f t="shared" si="1"/>
        <v>246</v>
      </c>
      <c r="CW1" s="103">
        <f t="shared" si="1"/>
        <v>247</v>
      </c>
      <c r="CX1" s="103">
        <f t="shared" si="1"/>
        <v>248</v>
      </c>
      <c r="CY1" s="103">
        <f t="shared" si="1"/>
        <v>249</v>
      </c>
      <c r="CZ1" s="103">
        <f t="shared" si="1"/>
        <v>250</v>
      </c>
      <c r="DA1" s="103">
        <f t="shared" si="1"/>
        <v>251</v>
      </c>
      <c r="DB1" s="103">
        <f t="shared" si="1"/>
        <v>252</v>
      </c>
      <c r="DC1" s="103">
        <f t="shared" si="1"/>
        <v>253</v>
      </c>
      <c r="DD1" s="103">
        <f t="shared" si="1"/>
        <v>254</v>
      </c>
      <c r="DE1" s="103">
        <f t="shared" si="1"/>
        <v>255</v>
      </c>
      <c r="DF1" s="103">
        <f t="shared" si="1"/>
        <v>256</v>
      </c>
      <c r="DG1" s="103">
        <f t="shared" si="1"/>
        <v>257</v>
      </c>
      <c r="DH1" s="103">
        <f t="shared" si="1"/>
        <v>258</v>
      </c>
      <c r="DI1" s="103">
        <f t="shared" si="1"/>
        <v>259</v>
      </c>
      <c r="DJ1" s="103">
        <f t="shared" si="1"/>
        <v>260</v>
      </c>
      <c r="DK1" s="103">
        <f t="shared" si="1"/>
        <v>261</v>
      </c>
      <c r="DL1" s="103">
        <f t="shared" si="1"/>
        <v>262</v>
      </c>
      <c r="DM1" s="103">
        <f t="shared" si="1"/>
        <v>263</v>
      </c>
      <c r="DN1" s="103">
        <f t="shared" si="1"/>
        <v>264</v>
      </c>
      <c r="DO1" s="103">
        <f t="shared" si="1"/>
        <v>265</v>
      </c>
      <c r="DP1" s="103">
        <f t="shared" si="1"/>
        <v>266</v>
      </c>
      <c r="DQ1" s="103">
        <f t="shared" si="1"/>
        <v>267</v>
      </c>
      <c r="DR1" s="103">
        <f t="shared" si="1"/>
        <v>268</v>
      </c>
      <c r="DS1" s="103">
        <f t="shared" si="1"/>
        <v>269</v>
      </c>
      <c r="DT1" s="103">
        <v>280</v>
      </c>
      <c r="DU1" s="103">
        <v>281</v>
      </c>
      <c r="DV1" s="103">
        <v>282</v>
      </c>
      <c r="DW1" s="103">
        <v>283</v>
      </c>
      <c r="DX1" s="103">
        <v>284</v>
      </c>
      <c r="DY1" s="103">
        <v>285</v>
      </c>
      <c r="DZ1" s="103">
        <v>286</v>
      </c>
      <c r="EA1" s="103">
        <v>287</v>
      </c>
      <c r="EB1" s="103">
        <v>288</v>
      </c>
      <c r="EC1" s="103">
        <v>289</v>
      </c>
      <c r="ED1" s="103">
        <v>290</v>
      </c>
      <c r="EE1" s="103">
        <v>291</v>
      </c>
      <c r="EF1" s="103">
        <v>292</v>
      </c>
      <c r="EG1" s="103">
        <v>293</v>
      </c>
      <c r="EH1" s="103">
        <v>294</v>
      </c>
      <c r="EI1" s="103">
        <v>295</v>
      </c>
      <c r="EJ1" s="103">
        <v>296</v>
      </c>
      <c r="EK1" s="103">
        <v>297</v>
      </c>
      <c r="EL1" s="103">
        <v>298</v>
      </c>
      <c r="EM1" s="103">
        <v>299</v>
      </c>
      <c r="EN1" s="103">
        <v>300</v>
      </c>
    </row>
    <row r="2" spans="1:144">
      <c r="A2" s="22" t="s">
        <v>62</v>
      </c>
      <c r="B2" s="22" t="str">
        <f t="shared" ref="B2:B14" si="2">B26</f>
        <v>HEAD TUBE ANGLE</v>
      </c>
      <c r="C2" s="22">
        <f t="shared" ref="C2:G3" si="3">VALUE(LEFT(C26,4))</f>
        <v>70</v>
      </c>
      <c r="D2" s="22">
        <f t="shared" si="3"/>
        <v>70</v>
      </c>
      <c r="E2" s="22">
        <f t="shared" si="3"/>
        <v>71</v>
      </c>
      <c r="F2" s="22">
        <f t="shared" si="3"/>
        <v>71</v>
      </c>
      <c r="G2" s="22">
        <f t="shared" si="3"/>
        <v>71</v>
      </c>
    </row>
    <row r="3" spans="1:144">
      <c r="A3" s="22" t="s">
        <v>64</v>
      </c>
      <c r="B3" s="22" t="str">
        <f t="shared" si="2"/>
        <v>HEAD TUBE LENGTH</v>
      </c>
      <c r="C3" s="22">
        <f t="shared" si="3"/>
        <v>95</v>
      </c>
      <c r="D3" s="22">
        <f t="shared" si="3"/>
        <v>122</v>
      </c>
      <c r="E3" s="22">
        <f t="shared" si="3"/>
        <v>140</v>
      </c>
      <c r="F3" s="22">
        <f t="shared" si="3"/>
        <v>166</v>
      </c>
      <c r="G3" s="22">
        <f t="shared" si="3"/>
        <v>187</v>
      </c>
    </row>
    <row r="4" spans="1:144">
      <c r="A4" s="22" t="s">
        <v>73</v>
      </c>
      <c r="B4" s="22" t="str">
        <f t="shared" si="2"/>
        <v>TOP TUBE HORIZONTAL</v>
      </c>
      <c r="C4" s="22">
        <f t="shared" ref="C4:G5" si="4">VALUE(LEFT(C28,5))</f>
        <v>518</v>
      </c>
      <c r="D4" s="22">
        <f t="shared" si="4"/>
        <v>534.5</v>
      </c>
      <c r="E4" s="22">
        <f t="shared" si="4"/>
        <v>554.5</v>
      </c>
      <c r="F4" s="22">
        <f t="shared" si="4"/>
        <v>578.5</v>
      </c>
      <c r="G4" s="22">
        <f t="shared" si="4"/>
        <v>592.5</v>
      </c>
    </row>
    <row r="5" spans="1:144">
      <c r="A5" s="22" t="s">
        <v>57</v>
      </c>
      <c r="B5" s="22" t="str">
        <f t="shared" si="2"/>
        <v>STANDOVER HEIGHT</v>
      </c>
      <c r="C5" s="22">
        <f t="shared" si="4"/>
        <v>759</v>
      </c>
      <c r="D5" s="22">
        <f t="shared" si="4"/>
        <v>786</v>
      </c>
      <c r="E5" s="22">
        <f t="shared" si="4"/>
        <v>807</v>
      </c>
      <c r="F5" s="22">
        <f t="shared" si="4"/>
        <v>828</v>
      </c>
      <c r="G5" s="22">
        <f t="shared" si="4"/>
        <v>847</v>
      </c>
    </row>
    <row r="6" spans="1:144">
      <c r="A6" s="22" t="s">
        <v>65</v>
      </c>
      <c r="B6" s="22" t="str">
        <f t="shared" si="2"/>
        <v>BB OFFSET</v>
      </c>
      <c r="C6" s="22">
        <f>-VALUE(LEFT(C30,5))</f>
        <v>71</v>
      </c>
      <c r="D6" s="22">
        <f>-VALUE(LEFT(D30,5))</f>
        <v>71</v>
      </c>
      <c r="E6" s="22">
        <f>-VALUE(LEFT(E30,5))</f>
        <v>71</v>
      </c>
      <c r="F6" s="22">
        <f>-VALUE(LEFT(F30,5))</f>
        <v>71</v>
      </c>
      <c r="G6" s="22">
        <f>-VALUE(LEFT(G30,5))</f>
        <v>71</v>
      </c>
    </row>
    <row r="7" spans="1:144">
      <c r="A7" s="22" t="s">
        <v>137</v>
      </c>
      <c r="B7" s="22" t="str">
        <f t="shared" si="2"/>
        <v>BB HEIGHT</v>
      </c>
      <c r="C7" s="22">
        <f t="shared" ref="C7:G10" si="5">VALUE(LEFT(C31,5))</f>
        <v>283</v>
      </c>
      <c r="D7" s="22">
        <f t="shared" si="5"/>
        <v>283</v>
      </c>
      <c r="E7" s="22">
        <f t="shared" si="5"/>
        <v>283</v>
      </c>
      <c r="F7" s="22">
        <f t="shared" si="5"/>
        <v>283</v>
      </c>
      <c r="G7" s="22">
        <f t="shared" si="5"/>
        <v>283</v>
      </c>
    </row>
    <row r="8" spans="1:144">
      <c r="A8" s="22" t="s">
        <v>56</v>
      </c>
      <c r="B8" s="22" t="str">
        <f t="shared" si="2"/>
        <v>WHEEL BASE</v>
      </c>
      <c r="C8" s="22">
        <f>VALUE(LEFT(C32,7))</f>
        <v>1009.4</v>
      </c>
      <c r="D8" s="22">
        <f t="shared" ref="D8:G8" si="6">VALUE(LEFT(D32,7))</f>
        <v>1022.9</v>
      </c>
      <c r="E8" s="22">
        <f t="shared" si="6"/>
        <v>1029.2</v>
      </c>
      <c r="F8" s="22">
        <f t="shared" si="6"/>
        <v>1048.7</v>
      </c>
      <c r="G8" s="22">
        <f t="shared" si="6"/>
        <v>1063.5</v>
      </c>
    </row>
    <row r="9" spans="1:144">
      <c r="A9" s="22" t="s">
        <v>1873</v>
      </c>
      <c r="B9" s="22" t="str">
        <f t="shared" si="2"/>
        <v>BB CENTER TO TOPTUBE CENTER</v>
      </c>
      <c r="C9" s="22">
        <f t="shared" si="5"/>
        <v>447</v>
      </c>
      <c r="D9" s="22">
        <f t="shared" si="5"/>
        <v>477</v>
      </c>
      <c r="E9" s="22">
        <f t="shared" si="5"/>
        <v>498</v>
      </c>
      <c r="F9" s="22">
        <f t="shared" si="5"/>
        <v>516</v>
      </c>
      <c r="G9" s="22">
        <f t="shared" si="5"/>
        <v>536</v>
      </c>
    </row>
    <row r="10" spans="1:144">
      <c r="A10" s="22" t="s">
        <v>60</v>
      </c>
      <c r="B10" s="22" t="str">
        <f t="shared" si="2"/>
        <v>BB CENTER TO TOP OF SEATTUBE</v>
      </c>
      <c r="C10" s="22">
        <f t="shared" si="5"/>
        <v>477</v>
      </c>
      <c r="D10" s="22">
        <f t="shared" si="5"/>
        <v>507</v>
      </c>
      <c r="E10" s="22">
        <f t="shared" si="5"/>
        <v>528</v>
      </c>
      <c r="F10" s="22">
        <f t="shared" si="5"/>
        <v>546</v>
      </c>
      <c r="G10" s="22">
        <f t="shared" si="5"/>
        <v>566</v>
      </c>
    </row>
    <row r="11" spans="1:144">
      <c r="A11" s="22" t="s">
        <v>63</v>
      </c>
      <c r="B11" s="22" t="str">
        <f t="shared" si="2"/>
        <v>SEAT ANGLE</v>
      </c>
      <c r="C11" s="22">
        <f>VALUE(LEFT(C35,4))</f>
        <v>74.5</v>
      </c>
      <c r="D11" s="22">
        <f>VALUE(LEFT(D35,4))</f>
        <v>74</v>
      </c>
      <c r="E11" s="22">
        <f>VALUE(LEFT(E35,4))</f>
        <v>73.5</v>
      </c>
      <c r="F11" s="22">
        <f>VALUE(LEFT(F35,4))</f>
        <v>73</v>
      </c>
      <c r="G11" s="22">
        <f>VALUE(LEFT(G35,4))</f>
        <v>73</v>
      </c>
    </row>
    <row r="12" spans="1:144">
      <c r="A12" s="22" t="s">
        <v>66</v>
      </c>
      <c r="B12" s="22" t="str">
        <f t="shared" si="2"/>
        <v>CHAINSTAY</v>
      </c>
      <c r="C12" s="22">
        <f t="shared" ref="C12:G14" si="7">VALUE(LEFT(C36,5))</f>
        <v>425</v>
      </c>
      <c r="D12" s="22">
        <f t="shared" si="7"/>
        <v>425</v>
      </c>
      <c r="E12" s="22">
        <f t="shared" si="7"/>
        <v>425</v>
      </c>
      <c r="F12" s="22">
        <f t="shared" si="7"/>
        <v>425</v>
      </c>
      <c r="G12" s="22">
        <f t="shared" si="7"/>
        <v>425</v>
      </c>
    </row>
    <row r="13" spans="1:144">
      <c r="A13" s="22" t="s">
        <v>55</v>
      </c>
      <c r="B13" s="22" t="str">
        <f t="shared" si="2"/>
        <v>REACH</v>
      </c>
      <c r="C13" s="22">
        <f t="shared" si="7"/>
        <v>374.1</v>
      </c>
      <c r="D13" s="22">
        <f t="shared" si="7"/>
        <v>378.4</v>
      </c>
      <c r="E13" s="22">
        <f t="shared" si="7"/>
        <v>387.1</v>
      </c>
      <c r="F13" s="22">
        <f t="shared" si="7"/>
        <v>398.2</v>
      </c>
      <c r="G13" s="22">
        <f t="shared" si="7"/>
        <v>406.1</v>
      </c>
      <c r="L13" s="22">
        <v>159</v>
      </c>
      <c r="M13" s="22">
        <v>164</v>
      </c>
      <c r="N13" s="22">
        <v>171</v>
      </c>
      <c r="O13" s="22">
        <v>177</v>
      </c>
      <c r="P13" s="22">
        <v>186</v>
      </c>
    </row>
    <row r="14" spans="1:144">
      <c r="A14" s="22" t="s">
        <v>54</v>
      </c>
      <c r="B14" s="22" t="str">
        <f t="shared" si="2"/>
        <v>STACK</v>
      </c>
      <c r="C14" s="22">
        <f t="shared" si="7"/>
        <v>519</v>
      </c>
      <c r="D14" s="22">
        <f t="shared" si="7"/>
        <v>544.4</v>
      </c>
      <c r="E14" s="22">
        <f t="shared" si="7"/>
        <v>565.29999999999995</v>
      </c>
      <c r="F14" s="22">
        <f t="shared" si="7"/>
        <v>589.9</v>
      </c>
      <c r="G14" s="22">
        <f t="shared" si="7"/>
        <v>609.70000000000005</v>
      </c>
      <c r="L14" s="22">
        <v>167</v>
      </c>
      <c r="M14" s="22">
        <v>174</v>
      </c>
      <c r="N14" s="22">
        <v>179</v>
      </c>
      <c r="O14" s="22">
        <v>187</v>
      </c>
      <c r="P14" s="22">
        <v>197</v>
      </c>
    </row>
    <row r="15" spans="1:144">
      <c r="A15" s="22" t="s">
        <v>67</v>
      </c>
      <c r="B15" s="22" t="s">
        <v>67</v>
      </c>
      <c r="C15" s="22">
        <v>50</v>
      </c>
      <c r="D15" s="22">
        <v>50</v>
      </c>
      <c r="E15" s="22">
        <v>50</v>
      </c>
      <c r="F15" s="22">
        <v>50</v>
      </c>
      <c r="G15" s="22">
        <v>50</v>
      </c>
    </row>
    <row r="16" spans="1:144">
      <c r="A16" s="22" t="s">
        <v>69</v>
      </c>
      <c r="B16" s="22" t="s">
        <v>69</v>
      </c>
    </row>
    <row r="17" spans="1:7">
      <c r="A17" s="22" t="s">
        <v>70</v>
      </c>
      <c r="B17" s="22" t="s">
        <v>70</v>
      </c>
    </row>
    <row r="18" spans="1:7">
      <c r="A18" s="22" t="s">
        <v>71</v>
      </c>
      <c r="B18" s="22" t="s">
        <v>71</v>
      </c>
    </row>
    <row r="19" spans="1:7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</row>
    <row r="22" spans="1:7">
      <c r="A22" s="22" t="s">
        <v>1752</v>
      </c>
      <c r="B22" s="22" t="s">
        <v>1752</v>
      </c>
      <c r="C22" s="22">
        <v>159</v>
      </c>
      <c r="D22" s="22">
        <v>164</v>
      </c>
      <c r="E22" s="22">
        <v>171</v>
      </c>
      <c r="F22" s="22">
        <v>177</v>
      </c>
      <c r="G22" s="22">
        <v>186</v>
      </c>
    </row>
    <row r="23" spans="1:7">
      <c r="A23" s="22" t="s">
        <v>1753</v>
      </c>
      <c r="B23" s="22" t="s">
        <v>1753</v>
      </c>
      <c r="C23" s="22">
        <v>167</v>
      </c>
      <c r="D23" s="22">
        <v>174</v>
      </c>
      <c r="E23" s="22">
        <v>179</v>
      </c>
      <c r="F23" s="22">
        <v>187</v>
      </c>
      <c r="G23" s="22">
        <v>197</v>
      </c>
    </row>
    <row r="25" spans="1:7">
      <c r="C25" s="22" t="s">
        <v>1808</v>
      </c>
      <c r="D25" s="22" t="s">
        <v>1809</v>
      </c>
      <c r="E25" s="22" t="s">
        <v>1810</v>
      </c>
      <c r="F25" s="22" t="s">
        <v>1811</v>
      </c>
      <c r="G25" s="22" t="s">
        <v>1812</v>
      </c>
    </row>
    <row r="26" spans="1:7">
      <c r="A26" s="22" t="s">
        <v>1274</v>
      </c>
      <c r="B26" s="22" t="s">
        <v>34</v>
      </c>
      <c r="C26" s="22" t="s">
        <v>1813</v>
      </c>
      <c r="D26" s="22" t="s">
        <v>1813</v>
      </c>
      <c r="E26" s="22" t="s">
        <v>1814</v>
      </c>
      <c r="F26" s="22" t="s">
        <v>1814</v>
      </c>
      <c r="G26" s="22" t="s">
        <v>1814</v>
      </c>
    </row>
    <row r="27" spans="1:7">
      <c r="A27" s="22" t="s">
        <v>1275</v>
      </c>
      <c r="B27" s="22" t="s">
        <v>29</v>
      </c>
      <c r="C27" s="22" t="s">
        <v>1815</v>
      </c>
      <c r="D27" s="22" t="s">
        <v>1816</v>
      </c>
      <c r="E27" s="22" t="s">
        <v>1817</v>
      </c>
      <c r="F27" s="22" t="s">
        <v>1818</v>
      </c>
      <c r="G27" s="22" t="s">
        <v>1819</v>
      </c>
    </row>
    <row r="28" spans="1:7">
      <c r="A28" s="22" t="s">
        <v>27</v>
      </c>
      <c r="B28" s="22" t="s">
        <v>668</v>
      </c>
      <c r="C28" s="22" t="s">
        <v>1820</v>
      </c>
      <c r="D28" s="22" t="s">
        <v>1821</v>
      </c>
      <c r="E28" s="22" t="s">
        <v>1822</v>
      </c>
      <c r="F28" s="22" t="s">
        <v>1823</v>
      </c>
      <c r="G28" s="22" t="s">
        <v>1824</v>
      </c>
    </row>
    <row r="29" spans="1:7">
      <c r="A29" s="22" t="s">
        <v>888</v>
      </c>
      <c r="B29" s="22" t="s">
        <v>1825</v>
      </c>
      <c r="C29" s="22" t="s">
        <v>1826</v>
      </c>
      <c r="D29" s="22" t="s">
        <v>1827</v>
      </c>
      <c r="E29" s="22" t="s">
        <v>1828</v>
      </c>
      <c r="F29" s="22" t="s">
        <v>1829</v>
      </c>
      <c r="G29" s="22" t="s">
        <v>1830</v>
      </c>
    </row>
    <row r="30" spans="1:7">
      <c r="A30" s="22" t="s">
        <v>30</v>
      </c>
      <c r="B30" s="22" t="s">
        <v>1831</v>
      </c>
      <c r="C30" s="22" t="s">
        <v>1832</v>
      </c>
      <c r="D30" s="22" t="s">
        <v>1832</v>
      </c>
      <c r="E30" s="22" t="s">
        <v>1832</v>
      </c>
      <c r="F30" s="22" t="s">
        <v>1832</v>
      </c>
      <c r="G30" s="22" t="s">
        <v>1832</v>
      </c>
    </row>
    <row r="31" spans="1:7">
      <c r="A31" s="22" t="s">
        <v>578</v>
      </c>
      <c r="B31" s="22" t="s">
        <v>565</v>
      </c>
      <c r="C31" s="22" t="s">
        <v>1833</v>
      </c>
      <c r="D31" s="22" t="s">
        <v>1833</v>
      </c>
      <c r="E31" s="22" t="s">
        <v>1833</v>
      </c>
      <c r="F31" s="22" t="s">
        <v>1833</v>
      </c>
      <c r="G31" s="22" t="s">
        <v>1833</v>
      </c>
    </row>
    <row r="32" spans="1:7">
      <c r="A32" s="22" t="s">
        <v>889</v>
      </c>
      <c r="B32" s="22" t="s">
        <v>1351</v>
      </c>
      <c r="C32" s="22" t="s">
        <v>1834</v>
      </c>
      <c r="D32" s="22" t="s">
        <v>1835</v>
      </c>
      <c r="E32" s="22" t="s">
        <v>1836</v>
      </c>
      <c r="F32" s="22" t="s">
        <v>1837</v>
      </c>
      <c r="G32" s="22" t="s">
        <v>1838</v>
      </c>
    </row>
    <row r="33" spans="1:7">
      <c r="A33" s="22" t="s">
        <v>1276</v>
      </c>
      <c r="B33" s="22" t="s">
        <v>1839</v>
      </c>
      <c r="C33" s="22" t="s">
        <v>1840</v>
      </c>
      <c r="D33" s="22" t="s">
        <v>1841</v>
      </c>
      <c r="E33" s="22" t="s">
        <v>1842</v>
      </c>
      <c r="F33" s="22" t="s">
        <v>1843</v>
      </c>
      <c r="G33" s="22" t="s">
        <v>1844</v>
      </c>
    </row>
    <row r="34" spans="1:7">
      <c r="A34" s="22" t="s">
        <v>1277</v>
      </c>
      <c r="B34" s="22" t="s">
        <v>1845</v>
      </c>
      <c r="C34" s="22" t="s">
        <v>1841</v>
      </c>
      <c r="D34" s="22" t="s">
        <v>1846</v>
      </c>
      <c r="E34" s="22" t="s">
        <v>1847</v>
      </c>
      <c r="F34" s="22" t="s">
        <v>1848</v>
      </c>
      <c r="G34" s="22" t="s">
        <v>1849</v>
      </c>
    </row>
    <row r="35" spans="1:7">
      <c r="A35" s="22" t="s">
        <v>1278</v>
      </c>
      <c r="B35" s="22" t="s">
        <v>1850</v>
      </c>
      <c r="C35" s="22" t="s">
        <v>1851</v>
      </c>
      <c r="D35" s="22" t="s">
        <v>1852</v>
      </c>
      <c r="E35" s="22" t="s">
        <v>1853</v>
      </c>
      <c r="F35" s="22" t="s">
        <v>1854</v>
      </c>
      <c r="G35" s="22" t="s">
        <v>1854</v>
      </c>
    </row>
    <row r="36" spans="1:7">
      <c r="A36" s="22" t="s">
        <v>1855</v>
      </c>
      <c r="B36" s="22" t="s">
        <v>1856</v>
      </c>
      <c r="C36" s="22" t="s">
        <v>1857</v>
      </c>
      <c r="D36" s="22" t="s">
        <v>1857</v>
      </c>
      <c r="E36" s="22" t="s">
        <v>1857</v>
      </c>
      <c r="F36" s="22" t="s">
        <v>1857</v>
      </c>
      <c r="G36" s="22" t="s">
        <v>1857</v>
      </c>
    </row>
    <row r="37" spans="1:7">
      <c r="A37" s="22" t="s">
        <v>19</v>
      </c>
      <c r="B37" s="22" t="s">
        <v>40</v>
      </c>
      <c r="C37" s="22" t="s">
        <v>1858</v>
      </c>
      <c r="D37" s="22" t="s">
        <v>1859</v>
      </c>
      <c r="E37" s="22" t="s">
        <v>1860</v>
      </c>
      <c r="F37" s="22" t="s">
        <v>1861</v>
      </c>
      <c r="G37" s="22" t="s">
        <v>1862</v>
      </c>
    </row>
    <row r="38" spans="1:7">
      <c r="A38" s="22" t="s">
        <v>18</v>
      </c>
      <c r="B38" s="22" t="s">
        <v>39</v>
      </c>
      <c r="C38" s="22" t="s">
        <v>1863</v>
      </c>
      <c r="D38" s="22" t="s">
        <v>1864</v>
      </c>
      <c r="E38" s="22" t="s">
        <v>1865</v>
      </c>
      <c r="F38" s="22" t="s">
        <v>1866</v>
      </c>
      <c r="G38" s="22" t="s">
        <v>1867</v>
      </c>
    </row>
    <row r="39" spans="1:7">
      <c r="A39" s="22" t="s">
        <v>1868</v>
      </c>
      <c r="B39" s="22" t="s">
        <v>1531</v>
      </c>
      <c r="C39" s="22" t="s">
        <v>1869</v>
      </c>
      <c r="D39" s="22" t="s">
        <v>1870</v>
      </c>
      <c r="E39" s="22" t="s">
        <v>1871</v>
      </c>
      <c r="F39" s="22" t="s">
        <v>1871</v>
      </c>
      <c r="G39" s="22" t="s">
        <v>1872</v>
      </c>
    </row>
    <row r="44" spans="1:7">
      <c r="A44"/>
    </row>
  </sheetData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6A83-3CC7-B54D-B01D-B1B3D6DAE366}">
  <dimension ref="A1:J37"/>
  <sheetViews>
    <sheetView workbookViewId="0">
      <selection activeCell="A22" sqref="A22:A23"/>
    </sheetView>
  </sheetViews>
  <sheetFormatPr baseColWidth="10" defaultRowHeight="20"/>
  <cols>
    <col min="1" max="1" width="29.33203125" style="22" bestFit="1" customWidth="1"/>
    <col min="2" max="2" width="23.6640625" style="22" bestFit="1" customWidth="1"/>
    <col min="3" max="16384" width="10.83203125" style="22"/>
  </cols>
  <sheetData>
    <row r="1" spans="1:7">
      <c r="A1" s="22" t="s">
        <v>72</v>
      </c>
      <c r="B1" s="28" t="s">
        <v>138</v>
      </c>
      <c r="C1" s="28" t="s">
        <v>16</v>
      </c>
      <c r="D1" s="30" t="s">
        <v>17</v>
      </c>
      <c r="E1" s="30" t="s">
        <v>18</v>
      </c>
      <c r="F1" s="30" t="s">
        <v>19</v>
      </c>
      <c r="G1" s="30" t="s">
        <v>20</v>
      </c>
    </row>
    <row r="2" spans="1:7">
      <c r="A2" s="22" t="s">
        <v>62</v>
      </c>
      <c r="B2" s="28" t="s">
        <v>117</v>
      </c>
      <c r="C2" s="30">
        <v>70</v>
      </c>
      <c r="D2" s="30">
        <v>70.5</v>
      </c>
      <c r="E2" s="22">
        <v>71.5</v>
      </c>
      <c r="F2" s="30">
        <v>71.5</v>
      </c>
      <c r="G2" s="30">
        <v>71.5</v>
      </c>
    </row>
    <row r="3" spans="1:7">
      <c r="A3" s="22" t="s">
        <v>63</v>
      </c>
      <c r="B3" s="28" t="s">
        <v>822</v>
      </c>
      <c r="C3" s="30">
        <v>74</v>
      </c>
      <c r="D3" s="30">
        <v>74</v>
      </c>
      <c r="E3" s="22">
        <v>72</v>
      </c>
      <c r="F3" s="30">
        <v>72</v>
      </c>
      <c r="G3" s="30">
        <v>71.5</v>
      </c>
    </row>
    <row r="4" spans="1:7">
      <c r="A4" s="22" t="s">
        <v>73</v>
      </c>
      <c r="B4" s="28" t="s">
        <v>823</v>
      </c>
      <c r="C4" s="22">
        <f>VALUE(LEFT(C27,3))</f>
        <v>520</v>
      </c>
      <c r="D4" s="22">
        <f t="shared" ref="D4:G4" si="0">VALUE(LEFT(D27,3))</f>
        <v>534</v>
      </c>
      <c r="E4" s="22">
        <f t="shared" si="0"/>
        <v>570</v>
      </c>
      <c r="F4" s="22">
        <f t="shared" si="0"/>
        <v>582</v>
      </c>
      <c r="G4" s="22">
        <f t="shared" si="0"/>
        <v>607</v>
      </c>
    </row>
    <row r="5" spans="1:7">
      <c r="A5" s="22" t="s">
        <v>60</v>
      </c>
      <c r="B5" s="28" t="s">
        <v>825</v>
      </c>
      <c r="C5" s="22">
        <f t="shared" ref="C5:G14" si="1">VALUE(LEFT(C28,3))</f>
        <v>500</v>
      </c>
      <c r="D5" s="22">
        <f t="shared" si="1"/>
        <v>520</v>
      </c>
      <c r="E5" s="22">
        <f t="shared" si="1"/>
        <v>540</v>
      </c>
      <c r="F5" s="22">
        <f t="shared" si="1"/>
        <v>560</v>
      </c>
      <c r="G5" s="22">
        <f t="shared" si="1"/>
        <v>590</v>
      </c>
    </row>
    <row r="6" spans="1:7">
      <c r="A6" s="22" t="s">
        <v>65</v>
      </c>
      <c r="B6" s="28" t="s">
        <v>826</v>
      </c>
      <c r="C6" s="22">
        <f>VALUE(LEFT(C29,2))</f>
        <v>68</v>
      </c>
      <c r="D6" s="22">
        <f t="shared" ref="D6:G6" si="2">VALUE(LEFT(D29,2))</f>
        <v>68</v>
      </c>
      <c r="E6" s="22">
        <f t="shared" si="2"/>
        <v>68</v>
      </c>
      <c r="F6" s="22">
        <f t="shared" si="2"/>
        <v>68</v>
      </c>
      <c r="G6" s="22">
        <f t="shared" si="2"/>
        <v>68</v>
      </c>
    </row>
    <row r="7" spans="1:7">
      <c r="A7" s="22" t="s">
        <v>66</v>
      </c>
      <c r="B7" s="28" t="s">
        <v>828</v>
      </c>
      <c r="C7" s="22">
        <f t="shared" si="1"/>
        <v>430</v>
      </c>
      <c r="D7" s="22">
        <f t="shared" si="1"/>
        <v>430</v>
      </c>
      <c r="E7" s="22">
        <f t="shared" si="1"/>
        <v>430</v>
      </c>
      <c r="F7" s="22">
        <f t="shared" si="1"/>
        <v>430</v>
      </c>
      <c r="G7" s="22">
        <f t="shared" si="1"/>
        <v>430</v>
      </c>
    </row>
    <row r="8" spans="1:7">
      <c r="A8" s="22" t="s">
        <v>64</v>
      </c>
      <c r="B8" s="28" t="s">
        <v>829</v>
      </c>
      <c r="C8" s="22">
        <f t="shared" si="1"/>
        <v>130</v>
      </c>
      <c r="D8" s="22">
        <f t="shared" si="1"/>
        <v>140</v>
      </c>
      <c r="E8" s="22">
        <f t="shared" si="1"/>
        <v>150</v>
      </c>
      <c r="F8" s="22">
        <f t="shared" si="1"/>
        <v>160</v>
      </c>
      <c r="G8" s="22">
        <f t="shared" si="1"/>
        <v>190</v>
      </c>
    </row>
    <row r="9" spans="1:7">
      <c r="A9" s="22" t="s">
        <v>56</v>
      </c>
      <c r="B9" s="28" t="s">
        <v>831</v>
      </c>
      <c r="C9" s="22">
        <f>VALUE(LEFT(C32,4))</f>
        <v>1011</v>
      </c>
      <c r="D9" s="22">
        <f t="shared" ref="D9:G9" si="3">VALUE(LEFT(D32,4))</f>
        <v>1020</v>
      </c>
      <c r="E9" s="22">
        <f t="shared" si="3"/>
        <v>1027</v>
      </c>
      <c r="F9" s="22">
        <f t="shared" si="3"/>
        <v>1038</v>
      </c>
      <c r="G9" s="22">
        <f t="shared" si="3"/>
        <v>1059</v>
      </c>
    </row>
    <row r="10" spans="1:7">
      <c r="A10" s="22" t="s">
        <v>134</v>
      </c>
      <c r="B10" s="28" t="s">
        <v>833</v>
      </c>
      <c r="C10" s="22">
        <f t="shared" si="1"/>
        <v>590</v>
      </c>
      <c r="D10" s="22">
        <f t="shared" si="1"/>
        <v>600</v>
      </c>
      <c r="E10" s="22">
        <f t="shared" si="1"/>
        <v>606</v>
      </c>
      <c r="F10" s="22">
        <f t="shared" si="1"/>
        <v>618</v>
      </c>
      <c r="G10" s="22">
        <f t="shared" si="1"/>
        <v>638</v>
      </c>
    </row>
    <row r="11" spans="1:7">
      <c r="A11" s="22" t="s">
        <v>67</v>
      </c>
      <c r="B11" s="28" t="s">
        <v>835</v>
      </c>
      <c r="C11" s="22">
        <f>VALUE(LEFT(C34,2))</f>
        <v>47</v>
      </c>
      <c r="D11" s="22">
        <f t="shared" ref="D11:G11" si="4">VALUE(LEFT(D34,2))</f>
        <v>47</v>
      </c>
      <c r="E11" s="22">
        <f t="shared" si="4"/>
        <v>47</v>
      </c>
      <c r="F11" s="22">
        <f t="shared" si="4"/>
        <v>47</v>
      </c>
      <c r="G11" s="22">
        <f t="shared" si="4"/>
        <v>47</v>
      </c>
    </row>
    <row r="12" spans="1:7">
      <c r="A12" s="22" t="s">
        <v>135</v>
      </c>
      <c r="B12" s="28" t="s">
        <v>837</v>
      </c>
      <c r="C12" s="22">
        <f>VALUE(LEFT(C35,2))</f>
        <v>74</v>
      </c>
      <c r="D12" s="22">
        <f t="shared" ref="D12:G12" si="5">VALUE(LEFT(D35,2))</f>
        <v>72</v>
      </c>
      <c r="E12" s="22">
        <f t="shared" si="5"/>
        <v>66</v>
      </c>
      <c r="F12" s="22">
        <f t="shared" si="5"/>
        <v>66</v>
      </c>
      <c r="G12" s="22">
        <f t="shared" si="5"/>
        <v>66</v>
      </c>
    </row>
    <row r="13" spans="1:7">
      <c r="A13" s="22" t="s">
        <v>55</v>
      </c>
      <c r="B13" s="28" t="s">
        <v>839</v>
      </c>
      <c r="C13" s="22">
        <f t="shared" si="1"/>
        <v>358</v>
      </c>
      <c r="D13" s="22">
        <f t="shared" si="1"/>
        <v>368</v>
      </c>
      <c r="E13" s="22">
        <f t="shared" si="1"/>
        <v>380</v>
      </c>
      <c r="F13" s="22">
        <f t="shared" si="1"/>
        <v>390</v>
      </c>
      <c r="G13" s="22">
        <f t="shared" si="1"/>
        <v>400</v>
      </c>
    </row>
    <row r="14" spans="1:7">
      <c r="A14" s="22" t="s">
        <v>54</v>
      </c>
      <c r="B14" s="28" t="s">
        <v>841</v>
      </c>
      <c r="C14" s="22">
        <f t="shared" si="1"/>
        <v>558</v>
      </c>
      <c r="D14" s="22">
        <f t="shared" si="1"/>
        <v>570</v>
      </c>
      <c r="E14" s="22">
        <f t="shared" si="1"/>
        <v>582</v>
      </c>
      <c r="F14" s="22">
        <f t="shared" si="1"/>
        <v>592</v>
      </c>
      <c r="G14" s="22">
        <f t="shared" si="1"/>
        <v>619</v>
      </c>
    </row>
    <row r="15" spans="1:7">
      <c r="A15" s="22" t="s">
        <v>57</v>
      </c>
      <c r="B15" s="22" t="s">
        <v>57</v>
      </c>
    </row>
    <row r="16" spans="1:7">
      <c r="A16" s="22" t="s">
        <v>69</v>
      </c>
      <c r="B16" s="22" t="s">
        <v>69</v>
      </c>
    </row>
    <row r="17" spans="1:10">
      <c r="A17" s="22" t="s">
        <v>70</v>
      </c>
      <c r="B17" s="22" t="s">
        <v>70</v>
      </c>
    </row>
    <row r="18" spans="1:10">
      <c r="A18" s="22" t="s">
        <v>71</v>
      </c>
      <c r="B18" s="22" t="s">
        <v>71</v>
      </c>
    </row>
    <row r="19" spans="1:10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10">
      <c r="A20" s="22" t="s">
        <v>139</v>
      </c>
      <c r="B20" s="22" t="s">
        <v>139</v>
      </c>
      <c r="C20" s="22">
        <v>35</v>
      </c>
      <c r="D20" s="22">
        <v>35</v>
      </c>
      <c r="E20" s="22">
        <v>35</v>
      </c>
      <c r="F20" s="22">
        <v>35</v>
      </c>
      <c r="G20" s="22">
        <v>35</v>
      </c>
    </row>
    <row r="21" spans="1:10">
      <c r="A21" s="22" t="s">
        <v>140</v>
      </c>
      <c r="B21" s="22" t="s">
        <v>140</v>
      </c>
      <c r="C21" s="22">
        <v>42</v>
      </c>
      <c r="D21" s="22">
        <v>42</v>
      </c>
      <c r="E21" s="22">
        <v>42</v>
      </c>
      <c r="F21" s="22">
        <v>42</v>
      </c>
      <c r="G21" s="22">
        <v>42</v>
      </c>
    </row>
    <row r="22" spans="1:10">
      <c r="A22" s="22" t="s">
        <v>1752</v>
      </c>
    </row>
    <row r="23" spans="1:10">
      <c r="A23" s="22" t="s">
        <v>1753</v>
      </c>
    </row>
    <row r="24" spans="1:10">
      <c r="C24" s="28" t="s">
        <v>16</v>
      </c>
      <c r="D24" s="30" t="s">
        <v>17</v>
      </c>
      <c r="E24" s="30" t="s">
        <v>18</v>
      </c>
      <c r="F24" s="30" t="s">
        <v>19</v>
      </c>
      <c r="G24" s="30" t="s">
        <v>20</v>
      </c>
      <c r="I24" s="28"/>
    </row>
    <row r="25" spans="1:10">
      <c r="B25" s="28" t="s">
        <v>117</v>
      </c>
      <c r="C25" s="30" t="s">
        <v>579</v>
      </c>
      <c r="D25" s="30" t="s">
        <v>843</v>
      </c>
      <c r="E25" s="22" t="s">
        <v>790</v>
      </c>
      <c r="F25" s="30" t="s">
        <v>790</v>
      </c>
      <c r="G25" s="30" t="s">
        <v>790</v>
      </c>
      <c r="I25" s="28"/>
      <c r="J25" s="30"/>
    </row>
    <row r="26" spans="1:10">
      <c r="B26" s="28" t="s">
        <v>822</v>
      </c>
      <c r="C26" s="30" t="s">
        <v>32</v>
      </c>
      <c r="D26" s="30" t="s">
        <v>32</v>
      </c>
      <c r="E26" s="22" t="s">
        <v>791</v>
      </c>
      <c r="F26" s="30" t="s">
        <v>791</v>
      </c>
      <c r="G26" s="30" t="s">
        <v>790</v>
      </c>
      <c r="I26" s="28"/>
      <c r="J26" s="30"/>
    </row>
    <row r="27" spans="1:10">
      <c r="B27" s="28" t="s">
        <v>823</v>
      </c>
      <c r="C27" s="30" t="s">
        <v>824</v>
      </c>
      <c r="D27" s="30" t="s">
        <v>844</v>
      </c>
      <c r="E27" s="22" t="s">
        <v>848</v>
      </c>
      <c r="F27" s="30" t="s">
        <v>854</v>
      </c>
      <c r="G27" s="30" t="s">
        <v>607</v>
      </c>
      <c r="I27" s="28"/>
      <c r="J27" s="30"/>
    </row>
    <row r="28" spans="1:10">
      <c r="B28" s="28" t="s">
        <v>825</v>
      </c>
      <c r="C28" s="30" t="s">
        <v>637</v>
      </c>
      <c r="D28" s="30" t="s">
        <v>824</v>
      </c>
      <c r="E28" s="22" t="s">
        <v>849</v>
      </c>
      <c r="F28" s="30" t="s">
        <v>855</v>
      </c>
      <c r="G28" s="30" t="s">
        <v>834</v>
      </c>
      <c r="I28" s="28"/>
      <c r="J28" s="30"/>
    </row>
    <row r="29" spans="1:10">
      <c r="B29" s="28" t="s">
        <v>826</v>
      </c>
      <c r="C29" s="30" t="s">
        <v>827</v>
      </c>
      <c r="D29" s="30" t="s">
        <v>827</v>
      </c>
      <c r="E29" s="22" t="s">
        <v>827</v>
      </c>
      <c r="F29" s="30" t="s">
        <v>827</v>
      </c>
      <c r="G29" s="30" t="s">
        <v>827</v>
      </c>
      <c r="I29" s="28"/>
      <c r="J29" s="30"/>
    </row>
    <row r="30" spans="1:10">
      <c r="B30" s="28" t="s">
        <v>828</v>
      </c>
      <c r="C30" s="30" t="s">
        <v>237</v>
      </c>
      <c r="D30" s="30" t="s">
        <v>237</v>
      </c>
      <c r="E30" s="22" t="s">
        <v>237</v>
      </c>
      <c r="F30" s="30" t="s">
        <v>237</v>
      </c>
      <c r="G30" s="30" t="s">
        <v>237</v>
      </c>
      <c r="I30" s="28"/>
      <c r="J30" s="30"/>
    </row>
    <row r="31" spans="1:10">
      <c r="B31" s="28" t="s">
        <v>829</v>
      </c>
      <c r="C31" s="30" t="s">
        <v>830</v>
      </c>
      <c r="D31" s="30" t="s">
        <v>242</v>
      </c>
      <c r="E31" s="22" t="s">
        <v>850</v>
      </c>
      <c r="F31" s="30" t="s">
        <v>856</v>
      </c>
      <c r="G31" s="30" t="s">
        <v>860</v>
      </c>
      <c r="I31" s="28"/>
      <c r="J31" s="30"/>
    </row>
    <row r="32" spans="1:10">
      <c r="B32" s="28" t="s">
        <v>831</v>
      </c>
      <c r="C32" s="30" t="s">
        <v>832</v>
      </c>
      <c r="D32" s="30" t="s">
        <v>845</v>
      </c>
      <c r="E32" s="22" t="s">
        <v>851</v>
      </c>
      <c r="F32" s="30" t="s">
        <v>857</v>
      </c>
      <c r="G32" s="30" t="s">
        <v>861</v>
      </c>
      <c r="I32" s="28"/>
      <c r="J32" s="30"/>
    </row>
    <row r="33" spans="2:10">
      <c r="B33" s="28" t="s">
        <v>833</v>
      </c>
      <c r="C33" s="30" t="s">
        <v>834</v>
      </c>
      <c r="D33" s="30" t="s">
        <v>630</v>
      </c>
      <c r="E33" s="22" t="s">
        <v>852</v>
      </c>
      <c r="F33" s="30" t="s">
        <v>858</v>
      </c>
      <c r="G33" s="30" t="s">
        <v>862</v>
      </c>
      <c r="I33" s="28"/>
      <c r="J33" s="30"/>
    </row>
    <row r="34" spans="2:10">
      <c r="B34" s="28" t="s">
        <v>835</v>
      </c>
      <c r="C34" s="30" t="s">
        <v>836</v>
      </c>
      <c r="D34" s="30" t="s">
        <v>836</v>
      </c>
      <c r="E34" s="22" t="s">
        <v>836</v>
      </c>
      <c r="F34" s="30" t="s">
        <v>836</v>
      </c>
      <c r="G34" s="30" t="s">
        <v>836</v>
      </c>
      <c r="I34" s="28"/>
      <c r="J34" s="30"/>
    </row>
    <row r="35" spans="2:10">
      <c r="B35" s="28" t="s">
        <v>837</v>
      </c>
      <c r="C35" s="30" t="s">
        <v>838</v>
      </c>
      <c r="D35" s="30" t="s">
        <v>846</v>
      </c>
      <c r="E35" s="22" t="s">
        <v>853</v>
      </c>
      <c r="F35" s="30" t="s">
        <v>853</v>
      </c>
      <c r="G35" s="30" t="s">
        <v>853</v>
      </c>
      <c r="I35" s="28"/>
      <c r="J35" s="30"/>
    </row>
    <row r="36" spans="2:10">
      <c r="B36" s="28" t="s">
        <v>839</v>
      </c>
      <c r="C36" s="30" t="s">
        <v>840</v>
      </c>
      <c r="D36" s="30" t="s">
        <v>847</v>
      </c>
      <c r="E36" s="22" t="s">
        <v>236</v>
      </c>
      <c r="F36" s="30" t="s">
        <v>620</v>
      </c>
      <c r="G36" s="30" t="s">
        <v>863</v>
      </c>
      <c r="I36" s="28"/>
      <c r="J36" s="30"/>
    </row>
    <row r="37" spans="2:10">
      <c r="B37" s="28" t="s">
        <v>841</v>
      </c>
      <c r="C37" s="30" t="s">
        <v>842</v>
      </c>
      <c r="D37" s="30" t="s">
        <v>848</v>
      </c>
      <c r="E37" s="22" t="s">
        <v>854</v>
      </c>
      <c r="F37" s="30" t="s">
        <v>859</v>
      </c>
      <c r="G37" s="30" t="s">
        <v>864</v>
      </c>
      <c r="I37" s="28"/>
      <c r="J37" s="30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38F5-02EB-0840-BF5F-5284992D11D8}">
  <dimension ref="A1:R41"/>
  <sheetViews>
    <sheetView workbookViewId="0">
      <selection activeCell="K29" sqref="K29"/>
    </sheetView>
  </sheetViews>
  <sheetFormatPr baseColWidth="10" defaultRowHeight="20"/>
  <cols>
    <col min="1" max="1" width="31.5" style="22" bestFit="1" customWidth="1"/>
    <col min="2" max="2" width="20.83203125" style="22" bestFit="1" customWidth="1"/>
    <col min="3" max="8" width="10.83203125" style="22"/>
    <col min="9" max="11" width="19.6640625" style="22" customWidth="1"/>
    <col min="12" max="12" width="27" style="22" customWidth="1"/>
    <col min="13" max="16384" width="10.83203125" style="22"/>
  </cols>
  <sheetData>
    <row r="1" spans="1:18">
      <c r="A1" s="22" t="s">
        <v>2412</v>
      </c>
      <c r="B1" s="22" t="s">
        <v>2812</v>
      </c>
    </row>
    <row r="2" spans="1:18">
      <c r="A2" s="22" t="s">
        <v>2423</v>
      </c>
      <c r="B2" s="22">
        <v>2024</v>
      </c>
    </row>
    <row r="3" spans="1:18">
      <c r="A3" s="22" t="s">
        <v>2424</v>
      </c>
      <c r="B3" s="114">
        <v>45638</v>
      </c>
      <c r="L3" s="114">
        <v>45818</v>
      </c>
    </row>
    <row r="4" spans="1:18">
      <c r="A4" s="22" t="s">
        <v>2414</v>
      </c>
      <c r="B4" s="22" t="s">
        <v>2813</v>
      </c>
      <c r="L4" s="22" t="s">
        <v>2813</v>
      </c>
    </row>
    <row r="5" spans="1:18">
      <c r="A5" s="22" t="s">
        <v>2415</v>
      </c>
      <c r="B5" s="22" t="s">
        <v>2474</v>
      </c>
      <c r="L5" s="22">
        <v>10</v>
      </c>
    </row>
    <row r="6" spans="1:18">
      <c r="A6" s="22" t="s">
        <v>72</v>
      </c>
      <c r="B6" s="22" t="s">
        <v>15</v>
      </c>
      <c r="C6" s="22" t="s">
        <v>16</v>
      </c>
      <c r="D6" s="22" t="s">
        <v>220</v>
      </c>
      <c r="E6" s="22" t="s">
        <v>221</v>
      </c>
      <c r="F6" s="22" t="s">
        <v>223</v>
      </c>
      <c r="G6" s="22" t="s">
        <v>20</v>
      </c>
      <c r="I6" s="22" t="s">
        <v>2819</v>
      </c>
      <c r="J6" s="22" t="s">
        <v>2820</v>
      </c>
      <c r="L6"/>
      <c r="M6" s="22" t="s">
        <v>220</v>
      </c>
      <c r="N6" s="22" t="s">
        <v>221</v>
      </c>
      <c r="O6" s="22" t="s">
        <v>2821</v>
      </c>
      <c r="P6" s="22" t="s">
        <v>223</v>
      </c>
      <c r="Q6" s="22" t="s">
        <v>20</v>
      </c>
      <c r="R6" s="22" t="s">
        <v>2825</v>
      </c>
    </row>
    <row r="7" spans="1:18">
      <c r="A7" s="22" t="s">
        <v>54</v>
      </c>
      <c r="B7" s="22" t="s">
        <v>54</v>
      </c>
      <c r="C7" s="22">
        <v>543</v>
      </c>
      <c r="D7" s="22">
        <v>590</v>
      </c>
      <c r="E7" s="22">
        <v>609</v>
      </c>
      <c r="F7" s="22">
        <v>623</v>
      </c>
      <c r="G7" s="22">
        <v>656</v>
      </c>
      <c r="I7" s="22">
        <v>606.5</v>
      </c>
      <c r="L7" s="22" t="s">
        <v>39</v>
      </c>
      <c r="M7" s="22">
        <v>543</v>
      </c>
      <c r="N7" s="22">
        <v>588</v>
      </c>
      <c r="O7" s="22">
        <v>607</v>
      </c>
      <c r="P7" s="22">
        <v>623</v>
      </c>
      <c r="Q7" s="22">
        <v>660</v>
      </c>
      <c r="R7" s="22">
        <v>609.4</v>
      </c>
    </row>
    <row r="8" spans="1:18">
      <c r="A8" s="22" t="s">
        <v>55</v>
      </c>
      <c r="B8" s="22" t="s">
        <v>55</v>
      </c>
      <c r="C8" s="22">
        <v>347</v>
      </c>
      <c r="D8" s="22">
        <v>365</v>
      </c>
      <c r="E8" s="22">
        <v>390</v>
      </c>
      <c r="F8" s="22">
        <v>423</v>
      </c>
      <c r="G8" s="22">
        <v>437</v>
      </c>
      <c r="I8" s="22">
        <v>393.8</v>
      </c>
      <c r="L8" s="22" t="s">
        <v>40</v>
      </c>
      <c r="M8" s="22">
        <v>347</v>
      </c>
      <c r="N8" s="22">
        <v>365</v>
      </c>
      <c r="O8" s="22">
        <v>386</v>
      </c>
      <c r="P8" s="22">
        <v>406</v>
      </c>
      <c r="Q8" s="22">
        <v>421</v>
      </c>
      <c r="R8" s="22">
        <v>382.2</v>
      </c>
    </row>
    <row r="9" spans="1:18">
      <c r="A9" s="22" t="s">
        <v>73</v>
      </c>
      <c r="B9" s="22" t="s">
        <v>2814</v>
      </c>
      <c r="C9" s="22">
        <v>502</v>
      </c>
      <c r="D9" s="22">
        <v>532</v>
      </c>
      <c r="E9" s="22">
        <v>562</v>
      </c>
      <c r="F9" s="22">
        <v>583</v>
      </c>
      <c r="G9" s="22">
        <v>618</v>
      </c>
      <c r="I9" s="22">
        <v>567.1</v>
      </c>
      <c r="L9" s="22" t="s">
        <v>2822</v>
      </c>
      <c r="M9" s="22">
        <v>507</v>
      </c>
      <c r="N9" s="22">
        <v>539</v>
      </c>
      <c r="O9" s="22">
        <v>542</v>
      </c>
      <c r="P9" s="22">
        <v>568</v>
      </c>
      <c r="Q9" s="22">
        <v>616</v>
      </c>
      <c r="R9" s="22">
        <v>566.9</v>
      </c>
    </row>
    <row r="10" spans="1:18">
      <c r="A10" s="22" t="s">
        <v>134</v>
      </c>
      <c r="B10" s="22" t="s">
        <v>973</v>
      </c>
      <c r="C10" s="22">
        <v>586</v>
      </c>
      <c r="D10" s="22">
        <v>616</v>
      </c>
      <c r="E10" s="22">
        <v>642</v>
      </c>
      <c r="F10" s="22">
        <v>680</v>
      </c>
      <c r="G10" s="22">
        <v>705</v>
      </c>
      <c r="L10" s="22" t="s">
        <v>566</v>
      </c>
      <c r="M10" s="22">
        <v>585</v>
      </c>
      <c r="N10" s="22">
        <v>615</v>
      </c>
      <c r="O10" s="22">
        <v>646</v>
      </c>
      <c r="P10" s="22">
        <v>665</v>
      </c>
      <c r="Q10" s="22">
        <v>705</v>
      </c>
    </row>
    <row r="11" spans="1:18">
      <c r="A11" s="22" t="s">
        <v>137</v>
      </c>
      <c r="B11" s="22" t="s">
        <v>2815</v>
      </c>
      <c r="C11" s="22">
        <v>287</v>
      </c>
      <c r="D11" s="22">
        <v>287</v>
      </c>
      <c r="E11" s="22">
        <v>287</v>
      </c>
      <c r="F11" s="22">
        <v>287</v>
      </c>
      <c r="G11" s="22">
        <v>287</v>
      </c>
      <c r="L11" s="22" t="s">
        <v>2823</v>
      </c>
      <c r="M11" s="22">
        <v>287</v>
      </c>
      <c r="N11" s="22">
        <v>287</v>
      </c>
      <c r="O11" s="22">
        <v>287</v>
      </c>
      <c r="P11" s="22">
        <v>287</v>
      </c>
      <c r="Q11" s="22">
        <v>287</v>
      </c>
    </row>
    <row r="12" spans="1:18">
      <c r="A12" s="22" t="s">
        <v>62</v>
      </c>
      <c r="B12" s="22" t="s">
        <v>1635</v>
      </c>
      <c r="C12" s="22">
        <v>69.5</v>
      </c>
      <c r="D12" s="22">
        <v>70</v>
      </c>
      <c r="E12" s="22">
        <v>70.5</v>
      </c>
      <c r="F12" s="22">
        <v>70.5</v>
      </c>
      <c r="G12" s="22">
        <v>70.5</v>
      </c>
      <c r="I12" s="22">
        <v>70.900000000000006</v>
      </c>
      <c r="L12" s="22" t="s">
        <v>34</v>
      </c>
      <c r="M12" s="22" t="s">
        <v>172</v>
      </c>
      <c r="N12" s="22" t="s">
        <v>579</v>
      </c>
      <c r="O12" s="22" t="s">
        <v>843</v>
      </c>
      <c r="P12" s="22" t="s">
        <v>843</v>
      </c>
      <c r="Q12" s="22" t="s">
        <v>843</v>
      </c>
      <c r="R12" s="22">
        <v>70.099999999999994</v>
      </c>
    </row>
    <row r="13" spans="1:18">
      <c r="A13" s="22" t="s">
        <v>63</v>
      </c>
      <c r="B13" s="22" t="s">
        <v>2816</v>
      </c>
      <c r="C13" s="22">
        <v>72.8</v>
      </c>
      <c r="D13" s="22">
        <v>73.099999999999994</v>
      </c>
      <c r="E13" s="22">
        <v>73.7</v>
      </c>
      <c r="F13" s="22">
        <v>74.3</v>
      </c>
      <c r="G13" s="22">
        <v>74.8</v>
      </c>
      <c r="I13" s="22">
        <v>74.099999999999994</v>
      </c>
      <c r="L13" s="22" t="s">
        <v>2824</v>
      </c>
      <c r="M13" s="22" t="s">
        <v>33</v>
      </c>
      <c r="N13" s="22" t="s">
        <v>33</v>
      </c>
      <c r="O13" s="22" t="s">
        <v>33</v>
      </c>
      <c r="P13" s="22" t="s">
        <v>33</v>
      </c>
      <c r="Q13" s="22" t="s">
        <v>33</v>
      </c>
      <c r="R13" s="22">
        <v>73.099999999999994</v>
      </c>
    </row>
    <row r="14" spans="1:18">
      <c r="A14" s="22" t="s">
        <v>66</v>
      </c>
      <c r="B14" s="22" t="s">
        <v>2411</v>
      </c>
      <c r="C14" s="22">
        <v>426</v>
      </c>
      <c r="D14" s="22">
        <v>426</v>
      </c>
      <c r="E14" s="22">
        <v>426</v>
      </c>
      <c r="F14" s="22">
        <v>426</v>
      </c>
      <c r="G14" s="22">
        <v>426</v>
      </c>
      <c r="I14" s="22">
        <v>426.6</v>
      </c>
      <c r="L14" s="22" t="s">
        <v>35</v>
      </c>
      <c r="M14" s="22">
        <v>426</v>
      </c>
      <c r="N14" s="22">
        <v>426</v>
      </c>
      <c r="O14" s="22">
        <v>426</v>
      </c>
      <c r="P14" s="22">
        <v>426</v>
      </c>
      <c r="Q14" s="22">
        <v>426</v>
      </c>
      <c r="R14" s="22">
        <v>425.7</v>
      </c>
    </row>
    <row r="15" spans="1:18">
      <c r="A15" s="22" t="s">
        <v>65</v>
      </c>
      <c r="B15" s="22" t="s">
        <v>1640</v>
      </c>
      <c r="C15" s="22">
        <v>73</v>
      </c>
      <c r="D15" s="22">
        <v>73</v>
      </c>
      <c r="E15" s="22">
        <v>73</v>
      </c>
      <c r="F15" s="22">
        <v>73</v>
      </c>
      <c r="G15" s="22">
        <v>73</v>
      </c>
      <c r="I15" s="22">
        <v>69.599999999999994</v>
      </c>
      <c r="L15" s="22" t="s">
        <v>184</v>
      </c>
      <c r="M15" s="22">
        <v>73</v>
      </c>
      <c r="N15" s="22">
        <v>73</v>
      </c>
      <c r="O15" s="22">
        <v>73</v>
      </c>
      <c r="P15" s="22">
        <v>73</v>
      </c>
      <c r="Q15" s="22">
        <v>73</v>
      </c>
      <c r="R15" s="22">
        <v>75</v>
      </c>
    </row>
    <row r="16" spans="1:18">
      <c r="A16" s="22" t="s">
        <v>495</v>
      </c>
      <c r="B16" s="22" t="s">
        <v>2817</v>
      </c>
      <c r="C16" s="22">
        <v>412</v>
      </c>
      <c r="D16" s="22">
        <v>412</v>
      </c>
      <c r="E16" s="22">
        <v>412</v>
      </c>
      <c r="F16" s="22">
        <v>412</v>
      </c>
      <c r="G16" s="22">
        <v>412</v>
      </c>
      <c r="I16" s="22">
        <v>405</v>
      </c>
      <c r="L16" s="22" t="s">
        <v>1914</v>
      </c>
      <c r="M16" s="22">
        <v>412</v>
      </c>
      <c r="N16" s="22">
        <v>412</v>
      </c>
      <c r="O16" s="22">
        <v>412</v>
      </c>
      <c r="P16" s="22">
        <v>412</v>
      </c>
      <c r="Q16" s="22">
        <v>412</v>
      </c>
      <c r="R16" s="22">
        <v>419.02</v>
      </c>
    </row>
    <row r="17" spans="1:18">
      <c r="A17" s="22" t="s">
        <v>2818</v>
      </c>
      <c r="B17" s="22" t="s">
        <v>135</v>
      </c>
      <c r="C17" s="22">
        <v>76</v>
      </c>
      <c r="D17" s="22">
        <v>74</v>
      </c>
      <c r="E17" s="22">
        <v>69</v>
      </c>
      <c r="F17" s="22">
        <v>69</v>
      </c>
      <c r="G17" s="22">
        <v>69</v>
      </c>
      <c r="I17" s="22">
        <v>77</v>
      </c>
      <c r="L17" s="22" t="s">
        <v>189</v>
      </c>
      <c r="M17" s="22">
        <v>76</v>
      </c>
      <c r="N17" s="22">
        <v>74</v>
      </c>
      <c r="O17" s="22">
        <v>69</v>
      </c>
      <c r="P17" s="22">
        <v>69</v>
      </c>
      <c r="Q17" s="22">
        <v>69</v>
      </c>
    </row>
    <row r="18" spans="1:18">
      <c r="A18" s="22" t="s">
        <v>67</v>
      </c>
      <c r="B18" s="22" t="s">
        <v>976</v>
      </c>
      <c r="C18" s="22">
        <v>55</v>
      </c>
      <c r="D18" s="22">
        <v>55</v>
      </c>
      <c r="E18" s="22">
        <v>55</v>
      </c>
      <c r="F18" s="22">
        <v>55</v>
      </c>
      <c r="G18" s="22">
        <v>55</v>
      </c>
      <c r="I18" s="22">
        <v>45</v>
      </c>
      <c r="L18" s="22" t="s">
        <v>568</v>
      </c>
      <c r="M18" s="22">
        <v>55</v>
      </c>
      <c r="N18" s="22">
        <v>55</v>
      </c>
      <c r="O18" s="22">
        <v>55</v>
      </c>
      <c r="P18" s="22">
        <v>55</v>
      </c>
      <c r="Q18" s="22">
        <v>55</v>
      </c>
    </row>
    <row r="19" spans="1:18">
      <c r="A19" s="22" t="s">
        <v>64</v>
      </c>
      <c r="B19" s="22" t="s">
        <v>1226</v>
      </c>
      <c r="C19" s="22">
        <v>100</v>
      </c>
      <c r="D19" s="22">
        <v>148</v>
      </c>
      <c r="E19" s="22">
        <v>166</v>
      </c>
      <c r="F19" s="22">
        <v>187</v>
      </c>
      <c r="G19" s="22">
        <v>215</v>
      </c>
      <c r="L19" s="22" t="s">
        <v>29</v>
      </c>
      <c r="M19" s="22">
        <v>100</v>
      </c>
      <c r="N19" s="22">
        <v>148</v>
      </c>
      <c r="O19" s="22">
        <v>166</v>
      </c>
      <c r="P19" s="22">
        <v>187</v>
      </c>
      <c r="Q19" s="22">
        <v>222</v>
      </c>
    </row>
    <row r="20" spans="1:18">
      <c r="A20" s="22" t="s">
        <v>60</v>
      </c>
      <c r="B20" s="22" t="s">
        <v>1637</v>
      </c>
      <c r="C20" s="22">
        <v>440</v>
      </c>
      <c r="D20" s="22">
        <v>490</v>
      </c>
      <c r="E20" s="22">
        <v>538</v>
      </c>
      <c r="F20" s="22">
        <v>575</v>
      </c>
      <c r="G20" s="22">
        <v>595</v>
      </c>
      <c r="L20" s="22" t="s">
        <v>409</v>
      </c>
      <c r="M20" s="22">
        <v>440</v>
      </c>
      <c r="N20" s="22">
        <v>490</v>
      </c>
      <c r="O20" s="22">
        <v>538</v>
      </c>
      <c r="P20" s="22">
        <v>575</v>
      </c>
      <c r="Q20" s="22">
        <v>595</v>
      </c>
    </row>
    <row r="21" spans="1:18">
      <c r="A21" s="22" t="s">
        <v>57</v>
      </c>
      <c r="B21" s="22" t="s">
        <v>57</v>
      </c>
      <c r="C21" s="22">
        <v>735</v>
      </c>
      <c r="D21" s="22">
        <v>776</v>
      </c>
      <c r="E21" s="22">
        <v>822</v>
      </c>
      <c r="F21" s="22">
        <v>850</v>
      </c>
      <c r="G21" s="22">
        <v>870</v>
      </c>
      <c r="L21" s="22" t="s">
        <v>1825</v>
      </c>
      <c r="M21" s="22">
        <v>735</v>
      </c>
      <c r="N21" s="22">
        <v>776</v>
      </c>
      <c r="O21" s="22">
        <v>822</v>
      </c>
      <c r="P21" s="22">
        <v>850</v>
      </c>
      <c r="Q21" s="22">
        <v>870</v>
      </c>
    </row>
    <row r="22" spans="1:18">
      <c r="A22" s="22" t="s">
        <v>56</v>
      </c>
      <c r="I22" s="22">
        <v>1044.5999999999999</v>
      </c>
      <c r="J22" s="22">
        <v>1057.5</v>
      </c>
      <c r="L22" s="22" t="s">
        <v>1281</v>
      </c>
      <c r="O22" s="22">
        <f>SQRT(O14^2 -O15^2)</f>
        <v>419.69870145141027</v>
      </c>
    </row>
    <row r="23" spans="1:18">
      <c r="A23" s="22" t="s">
        <v>2410</v>
      </c>
      <c r="L23" s="22" t="s">
        <v>9</v>
      </c>
      <c r="O23" s="22">
        <f>O10+O22</f>
        <v>1065.6987014514102</v>
      </c>
      <c r="R23" s="22">
        <v>1063.3</v>
      </c>
    </row>
    <row r="24" spans="1:18">
      <c r="A24" s="22" t="s">
        <v>69</v>
      </c>
    </row>
    <row r="25" spans="1:18">
      <c r="A25" s="22" t="s">
        <v>70</v>
      </c>
    </row>
    <row r="26" spans="1:18">
      <c r="A26" s="22" t="s">
        <v>71</v>
      </c>
      <c r="B26" s="22" t="s">
        <v>71</v>
      </c>
    </row>
    <row r="27" spans="1:18">
      <c r="A27" s="22" t="s">
        <v>68</v>
      </c>
      <c r="B27" s="22" t="s">
        <v>68</v>
      </c>
      <c r="C27" s="22">
        <v>700</v>
      </c>
      <c r="D27" s="22">
        <v>700</v>
      </c>
      <c r="E27" s="22">
        <v>700</v>
      </c>
      <c r="F27" s="22">
        <v>700</v>
      </c>
      <c r="G27" s="22">
        <v>700</v>
      </c>
    </row>
    <row r="28" spans="1:18">
      <c r="A28" s="22" t="s">
        <v>139</v>
      </c>
      <c r="B28" s="22" t="s">
        <v>139</v>
      </c>
      <c r="C28" s="22">
        <v>45</v>
      </c>
      <c r="D28" s="22">
        <v>45</v>
      </c>
      <c r="E28" s="22">
        <v>45</v>
      </c>
      <c r="F28" s="22">
        <v>45</v>
      </c>
      <c r="G28" s="22">
        <v>45</v>
      </c>
    </row>
    <row r="29" spans="1:18">
      <c r="A29" s="22" t="s">
        <v>140</v>
      </c>
      <c r="B29" s="22" t="s">
        <v>140</v>
      </c>
      <c r="C29" s="22">
        <v>2.2999999999999998</v>
      </c>
      <c r="D29" s="22">
        <v>2.2999999999999998</v>
      </c>
      <c r="E29" s="22">
        <v>2.2999999999999998</v>
      </c>
      <c r="F29" s="22">
        <v>2.2999999999999998</v>
      </c>
      <c r="G29" s="22">
        <v>2.2999999999999998</v>
      </c>
    </row>
    <row r="30" spans="1:18">
      <c r="A30" s="22" t="s">
        <v>1752</v>
      </c>
      <c r="B30" s="22" t="s">
        <v>1752</v>
      </c>
    </row>
    <row r="31" spans="1:18">
      <c r="A31" s="22" t="s">
        <v>1753</v>
      </c>
      <c r="B31" s="22" t="s">
        <v>1753</v>
      </c>
    </row>
    <row r="33" spans="1:7" ht="24">
      <c r="A33" s="49"/>
      <c r="C33" s="48"/>
      <c r="D33" s="48"/>
      <c r="E33" s="48"/>
      <c r="F33" s="48"/>
      <c r="G33" s="48"/>
    </row>
    <row r="35" spans="1:7" ht="24">
      <c r="A35" s="49"/>
      <c r="B35"/>
    </row>
    <row r="37" spans="1:7" ht="24">
      <c r="A37" s="49"/>
    </row>
    <row r="39" spans="1:7" ht="24">
      <c r="A39" s="49"/>
    </row>
    <row r="41" spans="1:7" ht="24">
      <c r="A41" s="49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AF7D-F7CF-4D42-9A7D-95BF2DFEC5DE}">
  <dimension ref="A1:L41"/>
  <sheetViews>
    <sheetView topLeftCell="A16" workbookViewId="0">
      <selection activeCell="E30" sqref="E30:E31"/>
    </sheetView>
  </sheetViews>
  <sheetFormatPr baseColWidth="10" defaultRowHeight="20"/>
  <cols>
    <col min="1" max="1" width="31.5" style="22" bestFit="1" customWidth="1"/>
    <col min="2" max="2" width="20.83203125" style="22" bestFit="1" customWidth="1"/>
    <col min="3" max="8" width="10.83203125" style="22"/>
    <col min="9" max="11" width="19.6640625" style="22" customWidth="1"/>
    <col min="12" max="12" width="27" style="22" customWidth="1"/>
    <col min="13" max="16384" width="10.83203125" style="22"/>
  </cols>
  <sheetData>
    <row r="1" spans="1:12">
      <c r="A1" s="22" t="s">
        <v>2412</v>
      </c>
      <c r="B1" s="22" t="s">
        <v>2812</v>
      </c>
    </row>
    <row r="2" spans="1:12">
      <c r="A2" s="22" t="s">
        <v>2423</v>
      </c>
      <c r="B2" s="22">
        <v>2025</v>
      </c>
    </row>
    <row r="3" spans="1:12">
      <c r="A3" s="22" t="s">
        <v>2424</v>
      </c>
      <c r="B3" s="114">
        <v>45818</v>
      </c>
      <c r="L3" s="114"/>
    </row>
    <row r="4" spans="1:12">
      <c r="A4" s="22" t="s">
        <v>2414</v>
      </c>
      <c r="B4" s="22" t="s">
        <v>2813</v>
      </c>
    </row>
    <row r="5" spans="1:12">
      <c r="A5" s="22" t="s">
        <v>2415</v>
      </c>
      <c r="B5" s="22" t="s">
        <v>2474</v>
      </c>
    </row>
    <row r="6" spans="1:12">
      <c r="A6" s="22" t="s">
        <v>72</v>
      </c>
      <c r="B6"/>
      <c r="C6" s="22" t="s">
        <v>220</v>
      </c>
      <c r="D6" s="22" t="s">
        <v>221</v>
      </c>
      <c r="E6" s="22" t="s">
        <v>2821</v>
      </c>
      <c r="F6" s="22" t="s">
        <v>223</v>
      </c>
      <c r="G6" s="22" t="s">
        <v>20</v>
      </c>
      <c r="L6"/>
    </row>
    <row r="7" spans="1:12">
      <c r="A7" s="22" t="s">
        <v>54</v>
      </c>
      <c r="B7" s="22" t="s">
        <v>39</v>
      </c>
      <c r="C7" s="22">
        <v>543</v>
      </c>
      <c r="D7" s="22">
        <v>588</v>
      </c>
      <c r="E7" s="22">
        <v>607</v>
      </c>
      <c r="F7" s="22">
        <v>623</v>
      </c>
      <c r="G7" s="22">
        <v>660</v>
      </c>
    </row>
    <row r="8" spans="1:12">
      <c r="A8" s="22" t="s">
        <v>55</v>
      </c>
      <c r="B8" s="22" t="s">
        <v>40</v>
      </c>
      <c r="C8" s="22">
        <v>347</v>
      </c>
      <c r="D8" s="22">
        <v>365</v>
      </c>
      <c r="E8" s="22">
        <v>386</v>
      </c>
      <c r="F8" s="22">
        <v>406</v>
      </c>
      <c r="G8" s="22">
        <v>421</v>
      </c>
    </row>
    <row r="9" spans="1:12">
      <c r="A9" s="22" t="s">
        <v>73</v>
      </c>
      <c r="B9" s="22" t="s">
        <v>2822</v>
      </c>
      <c r="C9" s="22">
        <v>507</v>
      </c>
      <c r="D9" s="22">
        <v>539</v>
      </c>
      <c r="E9" s="22">
        <v>542</v>
      </c>
      <c r="F9" s="22">
        <v>568</v>
      </c>
      <c r="G9" s="22">
        <v>616</v>
      </c>
    </row>
    <row r="10" spans="1:12">
      <c r="A10" s="22" t="s">
        <v>134</v>
      </c>
      <c r="B10" s="22" t="s">
        <v>566</v>
      </c>
      <c r="C10" s="22">
        <v>585</v>
      </c>
      <c r="D10" s="22">
        <v>615</v>
      </c>
      <c r="E10" s="22">
        <v>646</v>
      </c>
      <c r="F10" s="22">
        <v>665</v>
      </c>
      <c r="G10" s="22">
        <v>705</v>
      </c>
    </row>
    <row r="11" spans="1:12">
      <c r="A11" s="22" t="s">
        <v>137</v>
      </c>
      <c r="B11" s="22" t="s">
        <v>2823</v>
      </c>
      <c r="C11" s="22">
        <v>287</v>
      </c>
      <c r="D11" s="22">
        <v>287</v>
      </c>
      <c r="E11" s="22">
        <v>287</v>
      </c>
      <c r="F11" s="22">
        <v>287</v>
      </c>
      <c r="G11" s="22">
        <v>287</v>
      </c>
    </row>
    <row r="12" spans="1:12">
      <c r="A12" s="22" t="s">
        <v>62</v>
      </c>
      <c r="B12" s="22" t="s">
        <v>34</v>
      </c>
      <c r="C12" s="22">
        <v>69.5</v>
      </c>
      <c r="D12" s="22">
        <v>70</v>
      </c>
      <c r="E12" s="22">
        <v>70.5</v>
      </c>
      <c r="F12" s="22">
        <v>70.5</v>
      </c>
      <c r="G12" s="22">
        <v>70.5</v>
      </c>
    </row>
    <row r="13" spans="1:12">
      <c r="A13" s="22" t="s">
        <v>63</v>
      </c>
      <c r="B13" s="22" t="s">
        <v>2824</v>
      </c>
      <c r="C13" s="22">
        <v>73.5</v>
      </c>
      <c r="D13" s="22">
        <v>73.5</v>
      </c>
      <c r="E13" s="22">
        <v>73.5</v>
      </c>
      <c r="F13" s="22">
        <v>73.5</v>
      </c>
      <c r="G13" s="22">
        <v>73.5</v>
      </c>
    </row>
    <row r="14" spans="1:12">
      <c r="A14" s="22" t="s">
        <v>66</v>
      </c>
      <c r="B14" s="22" t="s">
        <v>35</v>
      </c>
      <c r="C14" s="22">
        <v>426</v>
      </c>
      <c r="D14" s="22">
        <v>426</v>
      </c>
      <c r="E14" s="22">
        <v>426</v>
      </c>
      <c r="F14" s="22">
        <v>426</v>
      </c>
      <c r="G14" s="22">
        <v>426</v>
      </c>
    </row>
    <row r="15" spans="1:12">
      <c r="A15" s="22" t="s">
        <v>65</v>
      </c>
      <c r="B15" s="22" t="s">
        <v>184</v>
      </c>
      <c r="C15" s="22">
        <v>73</v>
      </c>
      <c r="D15" s="22">
        <v>73</v>
      </c>
      <c r="E15" s="22">
        <v>73</v>
      </c>
      <c r="F15" s="22">
        <v>73</v>
      </c>
      <c r="G15" s="22">
        <v>73</v>
      </c>
    </row>
    <row r="16" spans="1:12">
      <c r="A16" s="22" t="s">
        <v>495</v>
      </c>
      <c r="B16" s="22" t="s">
        <v>1914</v>
      </c>
      <c r="C16" s="22">
        <v>412</v>
      </c>
      <c r="D16" s="22">
        <v>412</v>
      </c>
      <c r="E16" s="22">
        <v>412</v>
      </c>
      <c r="F16" s="22">
        <v>412</v>
      </c>
      <c r="G16" s="22">
        <v>412</v>
      </c>
    </row>
    <row r="17" spans="1:7">
      <c r="A17" s="22" t="s">
        <v>2818</v>
      </c>
      <c r="B17" s="22" t="s">
        <v>189</v>
      </c>
      <c r="C17" s="22">
        <v>76</v>
      </c>
      <c r="D17" s="22">
        <v>74</v>
      </c>
      <c r="E17" s="22">
        <v>69</v>
      </c>
      <c r="F17" s="22">
        <v>69</v>
      </c>
      <c r="G17" s="22">
        <v>69</v>
      </c>
    </row>
    <row r="18" spans="1:7">
      <c r="A18" s="22" t="s">
        <v>67</v>
      </c>
      <c r="B18" s="22" t="s">
        <v>568</v>
      </c>
      <c r="C18" s="22">
        <v>55</v>
      </c>
      <c r="D18" s="22">
        <v>55</v>
      </c>
      <c r="E18" s="22">
        <v>55</v>
      </c>
      <c r="F18" s="22">
        <v>55</v>
      </c>
      <c r="G18" s="22">
        <v>55</v>
      </c>
    </row>
    <row r="19" spans="1:7">
      <c r="A19" s="22" t="s">
        <v>64</v>
      </c>
      <c r="B19" s="22" t="s">
        <v>29</v>
      </c>
      <c r="C19" s="22">
        <v>100</v>
      </c>
      <c r="D19" s="22">
        <v>148</v>
      </c>
      <c r="E19" s="22">
        <v>166</v>
      </c>
      <c r="F19" s="22">
        <v>187</v>
      </c>
      <c r="G19" s="22">
        <v>222</v>
      </c>
    </row>
    <row r="20" spans="1:7">
      <c r="A20" s="22" t="s">
        <v>60</v>
      </c>
      <c r="B20" s="22" t="s">
        <v>409</v>
      </c>
      <c r="C20" s="22">
        <v>440</v>
      </c>
      <c r="D20" s="22">
        <v>490</v>
      </c>
      <c r="E20" s="22">
        <v>538</v>
      </c>
      <c r="F20" s="22">
        <v>575</v>
      </c>
      <c r="G20" s="22">
        <v>595</v>
      </c>
    </row>
    <row r="21" spans="1:7">
      <c r="A21" s="22" t="s">
        <v>57</v>
      </c>
      <c r="B21" s="22" t="s">
        <v>1825</v>
      </c>
      <c r="C21" s="22">
        <v>735</v>
      </c>
      <c r="D21" s="22">
        <v>776</v>
      </c>
      <c r="E21" s="22">
        <v>822</v>
      </c>
      <c r="F21" s="22">
        <v>850</v>
      </c>
      <c r="G21" s="22">
        <v>870</v>
      </c>
    </row>
    <row r="22" spans="1:7">
      <c r="A22" s="22" t="s">
        <v>56</v>
      </c>
      <c r="B22" s="22" t="s">
        <v>1281</v>
      </c>
    </row>
    <row r="23" spans="1:7">
      <c r="A23" s="22" t="s">
        <v>2410</v>
      </c>
      <c r="B23" s="22" t="s">
        <v>9</v>
      </c>
    </row>
    <row r="24" spans="1:7">
      <c r="A24" s="22" t="s">
        <v>69</v>
      </c>
    </row>
    <row r="25" spans="1:7">
      <c r="A25" s="22" t="s">
        <v>70</v>
      </c>
    </row>
    <row r="26" spans="1:7">
      <c r="A26" s="22" t="s">
        <v>71</v>
      </c>
      <c r="B26" s="22" t="s">
        <v>71</v>
      </c>
    </row>
    <row r="27" spans="1:7">
      <c r="A27" s="22" t="s">
        <v>68</v>
      </c>
      <c r="B27" s="22" t="s">
        <v>68</v>
      </c>
      <c r="C27" s="22">
        <v>700</v>
      </c>
      <c r="D27" s="22">
        <v>700</v>
      </c>
      <c r="E27" s="22">
        <v>700</v>
      </c>
      <c r="F27" s="22">
        <v>700</v>
      </c>
      <c r="G27" s="22">
        <v>700</v>
      </c>
    </row>
    <row r="28" spans="1:7">
      <c r="A28" s="22" t="s">
        <v>139</v>
      </c>
      <c r="B28" s="22" t="s">
        <v>139</v>
      </c>
      <c r="C28" s="22">
        <v>45</v>
      </c>
      <c r="D28" s="22">
        <v>45</v>
      </c>
      <c r="E28" s="22">
        <v>45</v>
      </c>
      <c r="F28" s="22">
        <v>45</v>
      </c>
      <c r="G28" s="22">
        <v>45</v>
      </c>
    </row>
    <row r="29" spans="1:7">
      <c r="A29" s="22" t="s">
        <v>140</v>
      </c>
      <c r="B29" s="22" t="s">
        <v>140</v>
      </c>
      <c r="C29" s="22">
        <v>2.2999999999999998</v>
      </c>
      <c r="D29" s="22">
        <v>2.2999999999999998</v>
      </c>
      <c r="E29" s="22">
        <v>2.2999999999999998</v>
      </c>
      <c r="F29" s="22">
        <v>2.2999999999999998</v>
      </c>
      <c r="G29" s="22">
        <v>2.2999999999999998</v>
      </c>
    </row>
    <row r="30" spans="1:7">
      <c r="A30" s="22" t="s">
        <v>1752</v>
      </c>
      <c r="B30" s="22" t="s">
        <v>1752</v>
      </c>
      <c r="C30" s="22">
        <f>C33</f>
        <v>160.02000000000001</v>
      </c>
      <c r="D30" s="22">
        <f t="shared" ref="D30:G31" si="0">D33</f>
        <v>169.68</v>
      </c>
      <c r="E30" s="22">
        <f t="shared" si="0"/>
        <v>174.76</v>
      </c>
      <c r="F30" s="22">
        <f t="shared" si="0"/>
        <v>179.84</v>
      </c>
      <c r="G30" s="22">
        <f t="shared" si="0"/>
        <v>184.92000000000002</v>
      </c>
    </row>
    <row r="31" spans="1:7">
      <c r="A31" s="22" t="s">
        <v>1753</v>
      </c>
      <c r="B31" s="22" t="s">
        <v>1753</v>
      </c>
      <c r="C31" s="22">
        <f>C34</f>
        <v>169.68</v>
      </c>
      <c r="D31" s="22">
        <f t="shared" si="0"/>
        <v>174.76</v>
      </c>
      <c r="E31" s="22">
        <f t="shared" si="0"/>
        <v>179.84</v>
      </c>
      <c r="F31" s="22">
        <f t="shared" si="0"/>
        <v>184.92000000000002</v>
      </c>
      <c r="G31" s="22">
        <f t="shared" si="0"/>
        <v>195.58</v>
      </c>
    </row>
    <row r="33" spans="1:7" ht="24">
      <c r="A33" s="49"/>
      <c r="C33" s="22">
        <f>C35*2.54</f>
        <v>160.02000000000001</v>
      </c>
      <c r="D33" s="22">
        <f>D35*2.54 - 0.5</f>
        <v>169.68</v>
      </c>
      <c r="E33" s="22">
        <f t="shared" ref="E33:G33" si="1">E35*2.54 - 0.5</f>
        <v>174.76</v>
      </c>
      <c r="F33" s="22">
        <f t="shared" si="1"/>
        <v>179.84</v>
      </c>
      <c r="G33" s="22">
        <f t="shared" si="1"/>
        <v>184.92000000000002</v>
      </c>
    </row>
    <row r="34" spans="1:7">
      <c r="C34" s="22">
        <f>D33</f>
        <v>169.68</v>
      </c>
      <c r="D34" s="22">
        <f>E33</f>
        <v>174.76</v>
      </c>
      <c r="E34" s="22">
        <f>F33</f>
        <v>179.84</v>
      </c>
      <c r="F34" s="22">
        <f>G33</f>
        <v>184.92000000000002</v>
      </c>
      <c r="G34" s="22">
        <f>G36*2.54</f>
        <v>195.58</v>
      </c>
    </row>
    <row r="35" spans="1:7" ht="24">
      <c r="A35" s="49"/>
      <c r="B35" s="22" t="s">
        <v>2128</v>
      </c>
      <c r="C35" s="22">
        <f>D35-4</f>
        <v>63</v>
      </c>
      <c r="D35" s="22">
        <v>67</v>
      </c>
      <c r="E35" s="22">
        <v>69</v>
      </c>
      <c r="F35" s="22">
        <v>71</v>
      </c>
      <c r="G35" s="22">
        <v>73</v>
      </c>
    </row>
    <row r="36" spans="1:7">
      <c r="B36" s="22" t="s">
        <v>2129</v>
      </c>
      <c r="C36" s="22">
        <f>D35</f>
        <v>67</v>
      </c>
      <c r="D36" s="22">
        <f>E35</f>
        <v>69</v>
      </c>
      <c r="E36" s="22">
        <f>F35</f>
        <v>71</v>
      </c>
      <c r="F36" s="22">
        <f>G35</f>
        <v>73</v>
      </c>
      <c r="G36" s="22">
        <f>G35+4</f>
        <v>77</v>
      </c>
    </row>
    <row r="37" spans="1:7" ht="24">
      <c r="A37" s="49"/>
    </row>
    <row r="39" spans="1:7" ht="24">
      <c r="A39" s="49"/>
    </row>
    <row r="41" spans="1:7" ht="24">
      <c r="A41" s="49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4AF0-F2A6-1843-857E-FD603F0C8D29}">
  <dimension ref="A1:L41"/>
  <sheetViews>
    <sheetView topLeftCell="A12" workbookViewId="0">
      <selection activeCell="F12" sqref="F12"/>
    </sheetView>
  </sheetViews>
  <sheetFormatPr baseColWidth="10" defaultRowHeight="20"/>
  <cols>
    <col min="1" max="1" width="31.5" style="22" bestFit="1" customWidth="1"/>
    <col min="2" max="2" width="30.5" style="22" customWidth="1"/>
    <col min="3" max="8" width="10.83203125" style="22"/>
    <col min="9" max="11" width="19.6640625" style="22" customWidth="1"/>
    <col min="12" max="12" width="27" style="22" customWidth="1"/>
    <col min="13" max="16384" width="10.83203125" style="22"/>
  </cols>
  <sheetData>
    <row r="1" spans="1:12">
      <c r="A1" s="22" t="s">
        <v>2412</v>
      </c>
      <c r="B1" s="22" t="s">
        <v>2812</v>
      </c>
    </row>
    <row r="2" spans="1:12">
      <c r="A2" s="22" t="s">
        <v>2423</v>
      </c>
      <c r="B2" s="22">
        <v>2025</v>
      </c>
    </row>
    <row r="3" spans="1:12">
      <c r="A3" s="22" t="s">
        <v>2424</v>
      </c>
      <c r="B3" s="114">
        <v>45818</v>
      </c>
      <c r="L3" s="114"/>
    </row>
    <row r="4" spans="1:12">
      <c r="A4" s="22" t="s">
        <v>2414</v>
      </c>
      <c r="B4" s="22" t="s">
        <v>2813</v>
      </c>
    </row>
    <row r="5" spans="1:12">
      <c r="A5" s="22" t="s">
        <v>2415</v>
      </c>
      <c r="B5" s="22" t="s">
        <v>2474</v>
      </c>
    </row>
    <row r="6" spans="1:12">
      <c r="A6" s="22" t="s">
        <v>72</v>
      </c>
      <c r="B6"/>
      <c r="C6" s="22" t="s">
        <v>2821</v>
      </c>
      <c r="G6"/>
    </row>
    <row r="7" spans="1:12">
      <c r="A7" s="22" t="s">
        <v>54</v>
      </c>
      <c r="B7" s="22" t="s">
        <v>39</v>
      </c>
      <c r="C7" s="22">
        <v>609.4</v>
      </c>
    </row>
    <row r="8" spans="1:12">
      <c r="A8" s="22" t="s">
        <v>55</v>
      </c>
      <c r="B8" s="22" t="s">
        <v>40</v>
      </c>
      <c r="C8" s="22">
        <v>382.2</v>
      </c>
    </row>
    <row r="9" spans="1:12">
      <c r="A9" s="22" t="s">
        <v>73</v>
      </c>
      <c r="B9" s="22" t="s">
        <v>2822</v>
      </c>
      <c r="C9" s="22">
        <v>566.79999999999995</v>
      </c>
    </row>
    <row r="10" spans="1:12">
      <c r="A10" s="22" t="s">
        <v>134</v>
      </c>
      <c r="B10" s="22" t="s">
        <v>566</v>
      </c>
    </row>
    <row r="11" spans="1:12">
      <c r="A11" s="22" t="s">
        <v>137</v>
      </c>
      <c r="B11" s="22" t="s">
        <v>2823</v>
      </c>
    </row>
    <row r="12" spans="1:12">
      <c r="A12" s="22" t="s">
        <v>62</v>
      </c>
      <c r="B12" s="22" t="s">
        <v>34</v>
      </c>
      <c r="C12" s="22">
        <v>70.099999999999994</v>
      </c>
    </row>
    <row r="13" spans="1:12">
      <c r="A13" s="22" t="s">
        <v>63</v>
      </c>
      <c r="B13" s="22" t="s">
        <v>2824</v>
      </c>
      <c r="C13" s="22">
        <v>73.099999999999994</v>
      </c>
    </row>
    <row r="14" spans="1:12">
      <c r="A14" s="22" t="s">
        <v>66</v>
      </c>
      <c r="B14" s="22" t="s">
        <v>35</v>
      </c>
      <c r="C14" s="22">
        <v>425.7</v>
      </c>
    </row>
    <row r="15" spans="1:12">
      <c r="A15" s="22" t="s">
        <v>65</v>
      </c>
      <c r="B15" s="22" t="s">
        <v>184</v>
      </c>
      <c r="C15" s="22">
        <v>75</v>
      </c>
    </row>
    <row r="16" spans="1:12">
      <c r="A16" s="22" t="s">
        <v>495</v>
      </c>
      <c r="B16" s="22" t="s">
        <v>1914</v>
      </c>
      <c r="C16" s="22">
        <v>419.02</v>
      </c>
    </row>
    <row r="17" spans="1:3">
      <c r="A17" s="22" t="s">
        <v>2818</v>
      </c>
      <c r="B17" s="22" t="s">
        <v>189</v>
      </c>
    </row>
    <row r="18" spans="1:3">
      <c r="A18" s="22" t="s">
        <v>67</v>
      </c>
      <c r="B18" s="22" t="s">
        <v>568</v>
      </c>
      <c r="C18" s="22">
        <v>45</v>
      </c>
    </row>
    <row r="19" spans="1:3">
      <c r="A19" s="22" t="s">
        <v>64</v>
      </c>
      <c r="B19" s="22" t="s">
        <v>29</v>
      </c>
      <c r="C19" s="22">
        <v>166</v>
      </c>
    </row>
    <row r="20" spans="1:3">
      <c r="A20" s="22" t="s">
        <v>60</v>
      </c>
      <c r="B20" s="22" t="s">
        <v>409</v>
      </c>
      <c r="C20" s="22">
        <v>538</v>
      </c>
    </row>
    <row r="21" spans="1:3">
      <c r="A21" s="22" t="s">
        <v>57</v>
      </c>
      <c r="B21" s="22" t="s">
        <v>1825</v>
      </c>
    </row>
    <row r="22" spans="1:3">
      <c r="A22" s="22" t="s">
        <v>56</v>
      </c>
      <c r="B22" s="22" t="s">
        <v>1281</v>
      </c>
    </row>
    <row r="23" spans="1:3">
      <c r="A23" s="22" t="s">
        <v>2410</v>
      </c>
      <c r="B23" s="22" t="s">
        <v>9</v>
      </c>
    </row>
    <row r="24" spans="1:3">
      <c r="A24" s="22" t="s">
        <v>69</v>
      </c>
    </row>
    <row r="25" spans="1:3">
      <c r="A25" s="22" t="s">
        <v>70</v>
      </c>
    </row>
    <row r="26" spans="1:3">
      <c r="A26" s="22" t="s">
        <v>71</v>
      </c>
      <c r="B26" s="22" t="s">
        <v>71</v>
      </c>
    </row>
    <row r="27" spans="1:3">
      <c r="A27" s="22" t="s">
        <v>68</v>
      </c>
      <c r="B27" s="22" t="s">
        <v>68</v>
      </c>
      <c r="C27" s="22">
        <v>700</v>
      </c>
    </row>
    <row r="28" spans="1:3">
      <c r="A28" s="22" t="s">
        <v>139</v>
      </c>
      <c r="B28" s="22" t="s">
        <v>139</v>
      </c>
      <c r="C28" s="22">
        <v>45</v>
      </c>
    </row>
    <row r="29" spans="1:3">
      <c r="A29" s="22" t="s">
        <v>140</v>
      </c>
      <c r="B29" s="22" t="s">
        <v>140</v>
      </c>
      <c r="C29" s="22">
        <v>2.2999999999999998</v>
      </c>
    </row>
    <row r="30" spans="1:3">
      <c r="A30" s="22" t="s">
        <v>1752</v>
      </c>
      <c r="B30" s="22" t="s">
        <v>1752</v>
      </c>
      <c r="C30" s="22">
        <v>174.76</v>
      </c>
    </row>
    <row r="31" spans="1:3">
      <c r="A31" s="22" t="s">
        <v>1753</v>
      </c>
      <c r="B31" s="22" t="s">
        <v>1753</v>
      </c>
      <c r="C31" s="22">
        <v>179.84</v>
      </c>
    </row>
    <row r="33" spans="1:7" ht="24">
      <c r="A33" s="49"/>
      <c r="C33" s="48"/>
      <c r="D33" s="48"/>
      <c r="E33" s="48"/>
      <c r="F33" s="48"/>
      <c r="G33" s="48"/>
    </row>
    <row r="35" spans="1:7" ht="24">
      <c r="A35" s="49"/>
      <c r="B35"/>
    </row>
    <row r="37" spans="1:7" ht="24">
      <c r="A37" s="49"/>
    </row>
    <row r="39" spans="1:7" ht="24">
      <c r="A39" s="49"/>
    </row>
    <row r="41" spans="1:7" ht="24">
      <c r="A41" s="49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3FE9-1278-0145-994F-951D46E7C6CC}">
  <dimension ref="A1:I44"/>
  <sheetViews>
    <sheetView workbookViewId="0">
      <selection activeCell="C11" sqref="C11"/>
    </sheetView>
  </sheetViews>
  <sheetFormatPr baseColWidth="10" defaultRowHeight="20"/>
  <cols>
    <col min="1" max="1" width="19.1640625" style="22" bestFit="1" customWidth="1"/>
    <col min="2" max="2" width="24.83203125" style="22" bestFit="1" customWidth="1"/>
    <col min="3" max="3" width="11.33203125" style="22" bestFit="1" customWidth="1"/>
    <col min="4" max="16384" width="10.83203125" style="22"/>
  </cols>
  <sheetData>
    <row r="1" spans="1:7">
      <c r="A1" s="22" t="s">
        <v>72</v>
      </c>
      <c r="B1" s="22" t="s">
        <v>141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7">
      <c r="A2" s="22" t="s">
        <v>55</v>
      </c>
      <c r="B2" s="22" t="s">
        <v>40</v>
      </c>
      <c r="C2" s="22">
        <v>370</v>
      </c>
      <c r="D2" s="22">
        <v>383</v>
      </c>
      <c r="E2" s="22">
        <v>403</v>
      </c>
      <c r="F2" s="22">
        <v>422</v>
      </c>
    </row>
    <row r="3" spans="1:7">
      <c r="A3" s="22" t="s">
        <v>54</v>
      </c>
      <c r="B3" s="22" t="s">
        <v>39</v>
      </c>
      <c r="C3" s="22">
        <v>586</v>
      </c>
      <c r="D3" s="22">
        <v>609</v>
      </c>
      <c r="E3" s="22">
        <v>630</v>
      </c>
      <c r="F3" s="22">
        <v>651</v>
      </c>
    </row>
    <row r="4" spans="1:7">
      <c r="A4" s="22" t="s">
        <v>62</v>
      </c>
      <c r="B4" s="22" t="s">
        <v>34</v>
      </c>
      <c r="C4" s="22">
        <v>70</v>
      </c>
      <c r="D4" s="22">
        <v>70.5</v>
      </c>
      <c r="E4" s="22">
        <v>70.5</v>
      </c>
      <c r="F4" s="22">
        <v>70.5</v>
      </c>
    </row>
    <row r="5" spans="1:7">
      <c r="A5" s="22" t="s">
        <v>65</v>
      </c>
      <c r="B5" s="22" t="s">
        <v>184</v>
      </c>
      <c r="C5" s="22">
        <v>70</v>
      </c>
      <c r="D5" s="22">
        <v>70</v>
      </c>
      <c r="E5" s="22">
        <v>70</v>
      </c>
      <c r="F5" s="22">
        <v>70</v>
      </c>
    </row>
    <row r="6" spans="1:7">
      <c r="A6" s="22" t="s">
        <v>56</v>
      </c>
      <c r="B6" s="22" t="s">
        <v>36</v>
      </c>
      <c r="C6" s="22">
        <v>1029</v>
      </c>
      <c r="D6" s="22">
        <v>1044</v>
      </c>
      <c r="E6" s="22">
        <v>1071</v>
      </c>
      <c r="F6" s="22">
        <v>1097</v>
      </c>
    </row>
    <row r="7" spans="1:7">
      <c r="A7" s="22" t="s">
        <v>66</v>
      </c>
      <c r="B7" s="22" t="s">
        <v>35</v>
      </c>
      <c r="C7" s="22">
        <v>412</v>
      </c>
      <c r="D7" s="22">
        <v>412</v>
      </c>
      <c r="E7" s="22">
        <v>412</v>
      </c>
      <c r="F7" s="22">
        <v>412</v>
      </c>
      <c r="G7" s="22" t="s">
        <v>1260</v>
      </c>
    </row>
    <row r="8" spans="1:7">
      <c r="A8" s="22" t="s">
        <v>63</v>
      </c>
      <c r="B8" s="22" t="s">
        <v>31</v>
      </c>
      <c r="C8" s="22">
        <v>73</v>
      </c>
      <c r="D8" s="22">
        <v>73</v>
      </c>
      <c r="E8" s="22">
        <v>73</v>
      </c>
      <c r="F8" s="22">
        <v>73</v>
      </c>
    </row>
    <row r="9" spans="1:7">
      <c r="A9" s="22" t="s">
        <v>64</v>
      </c>
      <c r="B9" s="22" t="s">
        <v>64</v>
      </c>
      <c r="C9" s="22">
        <f>C37</f>
        <v>155.3373012085905</v>
      </c>
      <c r="D9" s="22">
        <f t="shared" ref="D9:F9" si="0">D37</f>
        <v>177.52643660055793</v>
      </c>
      <c r="E9" s="22">
        <f t="shared" si="0"/>
        <v>199.80425929184287</v>
      </c>
      <c r="F9" s="22">
        <f t="shared" si="0"/>
        <v>222.08208198312781</v>
      </c>
    </row>
    <row r="10" spans="1:7">
      <c r="A10" s="22" t="s">
        <v>60</v>
      </c>
      <c r="B10" s="22" t="s">
        <v>60</v>
      </c>
    </row>
    <row r="11" spans="1:7">
      <c r="A11" s="22" t="s">
        <v>73</v>
      </c>
      <c r="B11" s="22" t="s">
        <v>73</v>
      </c>
      <c r="C11" s="22">
        <f>C44</f>
        <v>549.15817933477501</v>
      </c>
      <c r="D11" s="22">
        <f t="shared" ref="D11:F11" si="1">D44</f>
        <v>569.18998500832413</v>
      </c>
      <c r="E11" s="22">
        <f t="shared" si="1"/>
        <v>595.61032931895602</v>
      </c>
      <c r="F11" s="22">
        <f t="shared" si="1"/>
        <v>621.03067362958791</v>
      </c>
    </row>
    <row r="12" spans="1:7">
      <c r="A12" s="22" t="s">
        <v>67</v>
      </c>
      <c r="B12" s="22" t="s">
        <v>67</v>
      </c>
      <c r="C12" s="22">
        <v>50</v>
      </c>
      <c r="D12" s="22">
        <v>50</v>
      </c>
      <c r="E12" s="22">
        <v>50</v>
      </c>
      <c r="F12" s="22">
        <v>50</v>
      </c>
      <c r="G12" s="22" t="s">
        <v>1213</v>
      </c>
    </row>
    <row r="13" spans="1:7">
      <c r="A13" s="22" t="s">
        <v>1232</v>
      </c>
      <c r="B13" s="22" t="s">
        <v>1232</v>
      </c>
      <c r="C13" s="22">
        <v>415</v>
      </c>
      <c r="D13" s="22">
        <v>415</v>
      </c>
      <c r="E13" s="22">
        <v>415</v>
      </c>
      <c r="F13" s="22">
        <v>415</v>
      </c>
      <c r="G13" s="22" t="s">
        <v>1213</v>
      </c>
    </row>
    <row r="14" spans="1:7">
      <c r="A14" s="22" t="s">
        <v>57</v>
      </c>
      <c r="B14" s="22" t="s">
        <v>57</v>
      </c>
    </row>
    <row r="15" spans="1:7">
      <c r="A15" s="22" t="s">
        <v>69</v>
      </c>
      <c r="B15" s="22" t="s">
        <v>69</v>
      </c>
    </row>
    <row r="16" spans="1:7">
      <c r="A16" s="22" t="s">
        <v>70</v>
      </c>
      <c r="B16" s="22" t="s">
        <v>70</v>
      </c>
    </row>
    <row r="17" spans="1:9">
      <c r="A17" s="22" t="s">
        <v>71</v>
      </c>
      <c r="B17" s="22" t="s">
        <v>71</v>
      </c>
    </row>
    <row r="18" spans="1:9">
      <c r="A18" s="22" t="s">
        <v>68</v>
      </c>
      <c r="B18" s="22" t="s">
        <v>68</v>
      </c>
      <c r="C18" s="22">
        <v>700</v>
      </c>
      <c r="D18" s="22">
        <v>701</v>
      </c>
      <c r="E18" s="22">
        <v>702</v>
      </c>
      <c r="F18" s="22">
        <v>703</v>
      </c>
    </row>
    <row r="19" spans="1:9">
      <c r="A19" s="22" t="s">
        <v>139</v>
      </c>
      <c r="B19" s="22" t="s">
        <v>139</v>
      </c>
      <c r="C19" s="22">
        <f>2.1*25.4</f>
        <v>53.339999999999996</v>
      </c>
      <c r="D19" s="22">
        <f t="shared" ref="D19:F19" si="2">2.1*25.4</f>
        <v>53.339999999999996</v>
      </c>
      <c r="E19" s="22">
        <f t="shared" si="2"/>
        <v>53.339999999999996</v>
      </c>
      <c r="F19" s="22">
        <f t="shared" si="2"/>
        <v>53.339999999999996</v>
      </c>
    </row>
    <row r="20" spans="1:9">
      <c r="A20" s="22" t="s">
        <v>140</v>
      </c>
      <c r="B20" s="22" t="s">
        <v>140</v>
      </c>
      <c r="C20" s="22">
        <f>2.2*25.4</f>
        <v>55.88</v>
      </c>
      <c r="D20" s="22">
        <f t="shared" ref="D20:F20" si="3">2.2*25.4</f>
        <v>55.88</v>
      </c>
      <c r="E20" s="22">
        <f t="shared" si="3"/>
        <v>55.88</v>
      </c>
      <c r="F20" s="22">
        <f t="shared" si="3"/>
        <v>55.88</v>
      </c>
    </row>
    <row r="21" spans="1:9">
      <c r="A21" s="22" t="s">
        <v>1752</v>
      </c>
    </row>
    <row r="22" spans="1:9">
      <c r="A22" s="22" t="s">
        <v>1753</v>
      </c>
    </row>
    <row r="24" spans="1:9">
      <c r="C24" s="46" t="s">
        <v>40</v>
      </c>
      <c r="D24" s="46" t="s">
        <v>39</v>
      </c>
      <c r="E24" s="46" t="s">
        <v>34</v>
      </c>
      <c r="F24" s="46" t="s">
        <v>184</v>
      </c>
      <c r="G24" s="46" t="s">
        <v>36</v>
      </c>
      <c r="H24" s="46" t="s">
        <v>35</v>
      </c>
      <c r="I24" s="46" t="s">
        <v>31</v>
      </c>
    </row>
    <row r="25" spans="1:9">
      <c r="B25" s="46" t="s">
        <v>17</v>
      </c>
      <c r="C25" s="47">
        <v>370</v>
      </c>
      <c r="D25" s="47">
        <v>586</v>
      </c>
      <c r="E25" s="47" t="s">
        <v>579</v>
      </c>
      <c r="F25" s="47">
        <v>70</v>
      </c>
      <c r="G25" s="47">
        <v>1029</v>
      </c>
      <c r="H25" s="47" t="s">
        <v>1212</v>
      </c>
      <c r="I25" s="47" t="s">
        <v>800</v>
      </c>
    </row>
    <row r="26" spans="1:9">
      <c r="B26" s="46" t="s">
        <v>18</v>
      </c>
      <c r="C26" s="47">
        <v>383</v>
      </c>
      <c r="D26" s="47">
        <v>609</v>
      </c>
      <c r="E26" s="47" t="s">
        <v>843</v>
      </c>
      <c r="F26" s="47">
        <v>70</v>
      </c>
      <c r="G26" s="47">
        <v>1044</v>
      </c>
      <c r="H26" s="47" t="s">
        <v>1212</v>
      </c>
      <c r="I26" s="47" t="s">
        <v>800</v>
      </c>
    </row>
    <row r="27" spans="1:9">
      <c r="B27" s="46" t="s">
        <v>19</v>
      </c>
      <c r="C27" s="47">
        <v>403</v>
      </c>
      <c r="D27" s="47">
        <v>630</v>
      </c>
      <c r="E27" s="47" t="s">
        <v>843</v>
      </c>
      <c r="F27" s="47">
        <v>70</v>
      </c>
      <c r="G27" s="47">
        <v>1071</v>
      </c>
      <c r="H27" s="47" t="s">
        <v>1212</v>
      </c>
      <c r="I27" s="47" t="s">
        <v>800</v>
      </c>
    </row>
    <row r="28" spans="1:9">
      <c r="B28" s="46" t="s">
        <v>20</v>
      </c>
      <c r="C28" s="47">
        <v>422</v>
      </c>
      <c r="D28" s="47">
        <v>651</v>
      </c>
      <c r="E28" s="47" t="s">
        <v>843</v>
      </c>
      <c r="F28" s="47">
        <v>70</v>
      </c>
      <c r="G28" s="47">
        <v>1097</v>
      </c>
      <c r="H28" s="47" t="s">
        <v>1212</v>
      </c>
      <c r="I28" s="47" t="s">
        <v>800</v>
      </c>
    </row>
    <row r="31" spans="1:9">
      <c r="A31" s="22" t="s">
        <v>1214</v>
      </c>
      <c r="B31" s="22" t="s">
        <v>1215</v>
      </c>
      <c r="C31" s="22">
        <f>ACOS(C12/C13)*180/PI()</f>
        <v>83.080083196969625</v>
      </c>
      <c r="D31" s="22">
        <f t="shared" ref="D31:F31" si="4">ACOS(D12/D13)*180/PI()</f>
        <v>83.080083196969625</v>
      </c>
      <c r="E31" s="22">
        <f t="shared" si="4"/>
        <v>83.080083196969625</v>
      </c>
      <c r="F31" s="22">
        <f t="shared" si="4"/>
        <v>83.080083196969625</v>
      </c>
      <c r="G31"/>
    </row>
    <row r="32" spans="1:9">
      <c r="A32" s="22" t="s">
        <v>1216</v>
      </c>
      <c r="B32" s="22" t="s">
        <v>1217</v>
      </c>
      <c r="C32" s="22">
        <f>90-C4</f>
        <v>20</v>
      </c>
      <c r="D32" s="22">
        <f t="shared" ref="D32:F32" si="5">90-D4</f>
        <v>19.5</v>
      </c>
      <c r="E32" s="22">
        <f t="shared" si="5"/>
        <v>19.5</v>
      </c>
      <c r="F32" s="22">
        <f t="shared" si="5"/>
        <v>19.5</v>
      </c>
      <c r="G32"/>
    </row>
    <row r="33" spans="1:7">
      <c r="A33" s="22" t="s">
        <v>1218</v>
      </c>
      <c r="B33" s="22" t="s">
        <v>1219</v>
      </c>
      <c r="C33" s="22">
        <f>C31-C32</f>
        <v>63.080083196969625</v>
      </c>
      <c r="D33" s="22">
        <f t="shared" ref="D33:F33" si="6">D31-D32</f>
        <v>63.580083196969625</v>
      </c>
      <c r="E33" s="22">
        <f t="shared" si="6"/>
        <v>63.580083196969625</v>
      </c>
      <c r="F33" s="22">
        <f t="shared" si="6"/>
        <v>63.580083196969625</v>
      </c>
      <c r="G33"/>
    </row>
    <row r="34" spans="1:7">
      <c r="A34" s="22" t="s">
        <v>1220</v>
      </c>
      <c r="B34" s="22" t="s">
        <v>1221</v>
      </c>
      <c r="C34" s="22">
        <f>C13*SIN(C33*PI()/180)</f>
        <v>370.03068432148956</v>
      </c>
      <c r="D34" s="22">
        <f t="shared" ref="D34:F34" si="7">D13*SIN(D33*PI()/180)</f>
        <v>371.65621509456901</v>
      </c>
      <c r="E34" s="22">
        <f t="shared" si="7"/>
        <v>371.65621509456901</v>
      </c>
      <c r="F34" s="22">
        <f t="shared" si="7"/>
        <v>371.65621509456901</v>
      </c>
      <c r="G34"/>
    </row>
    <row r="35" spans="1:7">
      <c r="A35" s="22" t="s">
        <v>1230</v>
      </c>
      <c r="B35" s="22" t="s">
        <v>1231</v>
      </c>
      <c r="C35" s="22">
        <f>C13*COS(C33*PI()/180)</f>
        <v>187.88904348197136</v>
      </c>
      <c r="D35" s="22">
        <f t="shared" ref="D35:F35" si="8">D13*COS(D33*PI()/180)</f>
        <v>184.65280334070067</v>
      </c>
      <c r="E35" s="22">
        <f t="shared" si="8"/>
        <v>184.65280334070067</v>
      </c>
      <c r="F35" s="22">
        <f t="shared" si="8"/>
        <v>184.65280334070067</v>
      </c>
      <c r="G35"/>
    </row>
    <row r="36" spans="1:7">
      <c r="A36" s="22" t="s">
        <v>1222</v>
      </c>
      <c r="B36" s="22" t="s">
        <v>1223</v>
      </c>
      <c r="C36" s="22">
        <f>C3-C5-C34</f>
        <v>145.96931567851044</v>
      </c>
      <c r="D36" s="22">
        <f t="shared" ref="D36:F36" si="9">D3-D5-D34</f>
        <v>167.34378490543099</v>
      </c>
      <c r="E36" s="22">
        <f t="shared" si="9"/>
        <v>188.34378490543099</v>
      </c>
      <c r="F36" s="22">
        <f t="shared" si="9"/>
        <v>209.34378490543099</v>
      </c>
      <c r="G36"/>
    </row>
    <row r="37" spans="1:7">
      <c r="A37" s="22" t="s">
        <v>1226</v>
      </c>
      <c r="B37" s="22" t="s">
        <v>1227</v>
      </c>
      <c r="C37" s="22">
        <f>C36/SIN(C4*PI()/180)</f>
        <v>155.3373012085905</v>
      </c>
      <c r="D37" s="22">
        <f t="shared" ref="D37:F37" si="10">D36/SIN(D4*PI()/180)</f>
        <v>177.52643660055793</v>
      </c>
      <c r="E37" s="22">
        <f t="shared" si="10"/>
        <v>199.80425929184287</v>
      </c>
      <c r="F37" s="22">
        <f t="shared" si="10"/>
        <v>222.08208198312781</v>
      </c>
      <c r="G37"/>
    </row>
    <row r="38" spans="1:7">
      <c r="A38" s="22" t="s">
        <v>1224</v>
      </c>
      <c r="B38" s="22" t="s">
        <v>1225</v>
      </c>
      <c r="C38" s="22">
        <f>C36/TAN(C4*PI()/180)</f>
        <v>53.128486023184713</v>
      </c>
      <c r="D38" s="22">
        <f t="shared" ref="D38:F38" si="11">D36/TAN(D4*PI()/180)</f>
        <v>59.259542232595436</v>
      </c>
      <c r="E38" s="22">
        <f t="shared" si="11"/>
        <v>66.696032255740107</v>
      </c>
      <c r="F38" s="22">
        <f t="shared" si="11"/>
        <v>74.132522278884764</v>
      </c>
    </row>
    <row r="39" spans="1:7">
      <c r="A39" s="22" t="s">
        <v>1228</v>
      </c>
      <c r="C39" s="22">
        <f>SQRT(C7^2+C5^2)</f>
        <v>417.90429526387976</v>
      </c>
      <c r="D39" s="22">
        <f t="shared" ref="D39:F39" si="12">SQRT(D7^2+D5^2)</f>
        <v>417.90429526387976</v>
      </c>
      <c r="E39" s="22">
        <f t="shared" si="12"/>
        <v>417.90429526387976</v>
      </c>
      <c r="F39" s="22">
        <f t="shared" si="12"/>
        <v>417.90429526387976</v>
      </c>
    </row>
    <row r="40" spans="1:7">
      <c r="A40" s="22" t="s">
        <v>1229</v>
      </c>
      <c r="C40" s="22">
        <f>C39+C2+C38+C35</f>
        <v>1028.9218247690358</v>
      </c>
      <c r="D40" s="22">
        <f t="shared" ref="D40:F40" si="13">D39+D2+D38+D35</f>
        <v>1044.8166408371758</v>
      </c>
      <c r="E40" s="22">
        <f t="shared" si="13"/>
        <v>1072.2531308603204</v>
      </c>
      <c r="F40" s="22">
        <f t="shared" si="13"/>
        <v>1098.6896208834651</v>
      </c>
    </row>
    <row r="41" spans="1:7">
      <c r="A41" s="22" t="s">
        <v>1233</v>
      </c>
      <c r="C41" s="22">
        <f>C6</f>
        <v>1029</v>
      </c>
      <c r="D41" s="22">
        <f t="shared" ref="D41:F41" si="14">D6</f>
        <v>1044</v>
      </c>
      <c r="E41" s="22">
        <f t="shared" si="14"/>
        <v>1071</v>
      </c>
      <c r="F41" s="22">
        <f t="shared" si="14"/>
        <v>1097</v>
      </c>
    </row>
    <row r="43" spans="1:7">
      <c r="A43" s="22" t="s">
        <v>1234</v>
      </c>
      <c r="B43" s="22" t="s">
        <v>1223</v>
      </c>
      <c r="C43" s="22">
        <f>C3/TAN(C8*PI()/180)</f>
        <v>179.15817933477499</v>
      </c>
      <c r="D43" s="22">
        <f t="shared" ref="D43:F43" si="15">D3/TAN(D8*PI()/180)</f>
        <v>186.18998500832419</v>
      </c>
      <c r="E43" s="22">
        <f t="shared" si="15"/>
        <v>192.61032931895605</v>
      </c>
      <c r="F43" s="22">
        <f t="shared" si="15"/>
        <v>199.03067362958791</v>
      </c>
    </row>
    <row r="44" spans="1:7">
      <c r="A44" s="22" t="s">
        <v>1235</v>
      </c>
      <c r="B44" s="22" t="s">
        <v>1236</v>
      </c>
      <c r="C44" s="22">
        <f>C43+C2</f>
        <v>549.15817933477501</v>
      </c>
      <c r="D44" s="22">
        <f t="shared" ref="D44:F44" si="16">D43+D2</f>
        <v>569.18998500832413</v>
      </c>
      <c r="E44" s="22">
        <f t="shared" si="16"/>
        <v>595.61032931895602</v>
      </c>
      <c r="F44" s="22">
        <f t="shared" si="16"/>
        <v>621.03067362958791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9649-3F54-574A-90E3-B3904A5E343B}">
  <dimension ref="A1:P63"/>
  <sheetViews>
    <sheetView workbookViewId="0">
      <selection activeCell="M22" sqref="M22"/>
    </sheetView>
  </sheetViews>
  <sheetFormatPr baseColWidth="10" defaultRowHeight="20"/>
  <cols>
    <col min="1" max="1" width="29.33203125" style="22" bestFit="1" customWidth="1"/>
    <col min="2" max="2" width="21.5" style="22" bestFit="1" customWidth="1"/>
    <col min="3" max="11" width="12.33203125" style="22" customWidth="1"/>
    <col min="12" max="13" width="12.83203125" style="22" customWidth="1"/>
    <col min="14" max="14" width="11.33203125" style="22" customWidth="1"/>
    <col min="15" max="16384" width="10.83203125" style="22"/>
  </cols>
  <sheetData>
    <row r="1" spans="1:11">
      <c r="A1" s="22" t="s">
        <v>72</v>
      </c>
      <c r="B1" s="22" t="s">
        <v>141</v>
      </c>
      <c r="C1" s="22">
        <v>46</v>
      </c>
      <c r="D1" s="22">
        <v>50</v>
      </c>
      <c r="E1" s="22">
        <v>52</v>
      </c>
      <c r="F1" s="22">
        <v>54</v>
      </c>
      <c r="G1" s="22">
        <v>56</v>
      </c>
      <c r="H1" s="22">
        <v>58</v>
      </c>
      <c r="I1" s="22">
        <v>60</v>
      </c>
      <c r="J1" s="22">
        <v>62</v>
      </c>
      <c r="K1" s="22">
        <v>66</v>
      </c>
    </row>
    <row r="2" spans="1:11">
      <c r="A2" s="22" t="s">
        <v>60</v>
      </c>
      <c r="B2" s="22" t="s">
        <v>582</v>
      </c>
      <c r="C2" s="22">
        <v>460</v>
      </c>
      <c r="D2" s="22">
        <v>500</v>
      </c>
      <c r="E2" s="22">
        <v>520</v>
      </c>
      <c r="F2" s="22">
        <v>540</v>
      </c>
      <c r="G2" s="22">
        <v>560</v>
      </c>
      <c r="H2" s="22">
        <v>580</v>
      </c>
      <c r="I2" s="22">
        <v>600</v>
      </c>
      <c r="J2" s="22">
        <v>620</v>
      </c>
      <c r="K2" s="22">
        <v>635</v>
      </c>
    </row>
    <row r="3" spans="1:11">
      <c r="A3" s="22" t="s">
        <v>73</v>
      </c>
      <c r="B3" s="22" t="s">
        <v>1874</v>
      </c>
      <c r="C3" s="22">
        <v>531</v>
      </c>
      <c r="D3" s="22">
        <v>546</v>
      </c>
      <c r="E3" s="22">
        <v>555</v>
      </c>
      <c r="F3" s="22">
        <v>566</v>
      </c>
      <c r="G3" s="22">
        <v>575</v>
      </c>
      <c r="H3" s="22">
        <v>587</v>
      </c>
      <c r="I3" s="22">
        <v>600</v>
      </c>
      <c r="J3" s="22">
        <v>615</v>
      </c>
      <c r="K3" s="22">
        <v>630</v>
      </c>
    </row>
    <row r="4" spans="1:11">
      <c r="A4" s="22" t="s">
        <v>62</v>
      </c>
      <c r="B4" s="22" t="s">
        <v>3</v>
      </c>
      <c r="C4" s="22">
        <v>71</v>
      </c>
      <c r="D4" s="22">
        <v>71</v>
      </c>
      <c r="E4" s="22">
        <v>71.5</v>
      </c>
      <c r="F4" s="22">
        <v>72</v>
      </c>
      <c r="G4" s="22">
        <v>72</v>
      </c>
      <c r="H4" s="22">
        <v>72</v>
      </c>
      <c r="I4" s="22">
        <v>72</v>
      </c>
      <c r="J4" s="22">
        <v>72</v>
      </c>
      <c r="K4" s="22">
        <v>72</v>
      </c>
    </row>
    <row r="5" spans="1:11">
      <c r="A5" s="22" t="s">
        <v>63</v>
      </c>
      <c r="B5" s="22" t="s">
        <v>4</v>
      </c>
      <c r="C5" s="22">
        <v>74</v>
      </c>
      <c r="D5" s="22">
        <v>74</v>
      </c>
      <c r="E5" s="22">
        <v>73.5</v>
      </c>
      <c r="F5" s="22">
        <v>73.5</v>
      </c>
      <c r="G5" s="22">
        <v>73.5</v>
      </c>
      <c r="H5" s="22">
        <v>73</v>
      </c>
      <c r="I5" s="22">
        <v>73</v>
      </c>
      <c r="J5" s="22">
        <v>72.5</v>
      </c>
      <c r="K5" s="22">
        <v>72.5</v>
      </c>
    </row>
    <row r="6" spans="1:11">
      <c r="A6" s="22" t="s">
        <v>66</v>
      </c>
      <c r="B6" s="22" t="s">
        <v>7</v>
      </c>
      <c r="C6" s="22">
        <v>427</v>
      </c>
      <c r="D6" s="22">
        <v>427</v>
      </c>
      <c r="E6" s="22">
        <v>427</v>
      </c>
      <c r="F6" s="22">
        <v>427</v>
      </c>
      <c r="G6" s="22">
        <v>427</v>
      </c>
      <c r="H6" s="22">
        <v>427</v>
      </c>
      <c r="I6" s="22">
        <v>427</v>
      </c>
      <c r="J6" s="22">
        <v>427</v>
      </c>
      <c r="K6" s="22">
        <v>427</v>
      </c>
    </row>
    <row r="7" spans="1:11">
      <c r="A7" s="22" t="s">
        <v>64</v>
      </c>
      <c r="B7" s="22" t="s">
        <v>1875</v>
      </c>
      <c r="C7" s="22">
        <v>120</v>
      </c>
      <c r="D7" s="22">
        <v>120</v>
      </c>
      <c r="E7" s="22">
        <v>130</v>
      </c>
      <c r="F7" s="22">
        <v>155</v>
      </c>
      <c r="G7" s="22">
        <v>170</v>
      </c>
      <c r="H7" s="22">
        <v>185</v>
      </c>
      <c r="I7" s="22">
        <v>200</v>
      </c>
      <c r="J7" s="22">
        <v>210</v>
      </c>
      <c r="K7" s="22">
        <v>240</v>
      </c>
    </row>
    <row r="8" spans="1:11">
      <c r="A8" s="22" t="s">
        <v>65</v>
      </c>
      <c r="B8" s="22" t="s">
        <v>6</v>
      </c>
      <c r="C8" s="22">
        <v>66</v>
      </c>
      <c r="D8" s="22">
        <v>70</v>
      </c>
      <c r="E8" s="22">
        <v>70</v>
      </c>
      <c r="F8" s="22">
        <v>70</v>
      </c>
      <c r="G8" s="22">
        <v>70</v>
      </c>
      <c r="H8" s="22">
        <v>70</v>
      </c>
      <c r="I8" s="22">
        <v>70</v>
      </c>
      <c r="J8" s="22">
        <v>70</v>
      </c>
      <c r="K8" s="22">
        <v>66</v>
      </c>
    </row>
    <row r="9" spans="1:11">
      <c r="A9" s="22" t="s">
        <v>2349</v>
      </c>
      <c r="B9" s="22" t="s">
        <v>176</v>
      </c>
      <c r="C9" s="22">
        <v>29.1</v>
      </c>
      <c r="D9" s="22">
        <v>30.2</v>
      </c>
      <c r="E9" s="22">
        <v>30.7</v>
      </c>
      <c r="F9" s="22">
        <v>31.6</v>
      </c>
      <c r="G9" s="22">
        <v>32.299999999999997</v>
      </c>
      <c r="H9" s="22">
        <v>32.9</v>
      </c>
      <c r="I9" s="22">
        <v>33.6</v>
      </c>
      <c r="J9" s="22">
        <v>34.200000000000003</v>
      </c>
      <c r="K9" s="22">
        <v>34.5</v>
      </c>
    </row>
    <row r="10" spans="1:11">
      <c r="A10" s="22" t="s">
        <v>134</v>
      </c>
      <c r="B10" s="22" t="s">
        <v>478</v>
      </c>
      <c r="C10" s="22">
        <v>596</v>
      </c>
      <c r="D10" s="22">
        <v>610</v>
      </c>
      <c r="E10" s="22">
        <v>610</v>
      </c>
      <c r="F10" s="22">
        <v>616</v>
      </c>
      <c r="G10" s="22">
        <v>625</v>
      </c>
      <c r="H10" s="22">
        <v>632</v>
      </c>
      <c r="I10" s="22">
        <v>644</v>
      </c>
      <c r="J10" s="22">
        <v>654</v>
      </c>
      <c r="K10" s="22">
        <v>671</v>
      </c>
    </row>
    <row r="11" spans="1:11">
      <c r="A11" s="22" t="s">
        <v>56</v>
      </c>
      <c r="B11" s="22" t="s">
        <v>9</v>
      </c>
      <c r="C11" s="22">
        <v>1013</v>
      </c>
      <c r="D11" s="22">
        <v>1027</v>
      </c>
      <c r="E11" s="22">
        <v>1029</v>
      </c>
      <c r="F11" s="22">
        <v>1034</v>
      </c>
      <c r="G11" s="22">
        <v>1043</v>
      </c>
      <c r="H11" s="22">
        <v>1050</v>
      </c>
      <c r="I11" s="22">
        <v>1063</v>
      </c>
      <c r="J11" s="22">
        <v>1070</v>
      </c>
      <c r="K11" s="22">
        <v>1089</v>
      </c>
    </row>
    <row r="12" spans="1:11">
      <c r="A12" s="22" t="s">
        <v>54</v>
      </c>
      <c r="B12" s="22" t="s">
        <v>1241</v>
      </c>
      <c r="C12" s="22">
        <v>554</v>
      </c>
      <c r="D12" s="22">
        <v>554</v>
      </c>
      <c r="E12" s="22">
        <v>566</v>
      </c>
      <c r="F12" s="22">
        <v>591</v>
      </c>
      <c r="G12" s="22">
        <v>605</v>
      </c>
      <c r="H12" s="22">
        <v>619</v>
      </c>
      <c r="I12" s="22">
        <v>635</v>
      </c>
      <c r="J12" s="22">
        <v>644</v>
      </c>
      <c r="K12" s="22">
        <v>668</v>
      </c>
    </row>
    <row r="13" spans="1:11">
      <c r="A13" s="22" t="s">
        <v>55</v>
      </c>
      <c r="B13" s="22" t="s">
        <v>1240</v>
      </c>
      <c r="C13" s="22">
        <v>372</v>
      </c>
      <c r="D13" s="22">
        <v>385</v>
      </c>
      <c r="E13" s="22">
        <v>387</v>
      </c>
      <c r="F13" s="22">
        <v>391</v>
      </c>
      <c r="G13" s="22">
        <v>394</v>
      </c>
      <c r="H13" s="22">
        <v>398</v>
      </c>
      <c r="I13" s="22">
        <v>406</v>
      </c>
      <c r="J13" s="22">
        <v>412</v>
      </c>
      <c r="K13" s="22">
        <v>420</v>
      </c>
    </row>
    <row r="14" spans="1:11">
      <c r="A14" s="22" t="s">
        <v>67</v>
      </c>
      <c r="B14" s="22" t="s">
        <v>179</v>
      </c>
      <c r="C14" s="22">
        <v>50</v>
      </c>
      <c r="D14" s="22">
        <v>50</v>
      </c>
      <c r="E14" s="22">
        <v>50</v>
      </c>
      <c r="F14" s="22">
        <v>50</v>
      </c>
      <c r="G14" s="22">
        <v>50</v>
      </c>
      <c r="H14" s="22">
        <v>50</v>
      </c>
      <c r="I14" s="22">
        <v>50</v>
      </c>
      <c r="J14" s="22">
        <v>50</v>
      </c>
      <c r="K14" s="22">
        <v>50</v>
      </c>
    </row>
    <row r="15" spans="1:11">
      <c r="A15" s="22" t="s">
        <v>57</v>
      </c>
      <c r="B15" s="22" t="s">
        <v>2231</v>
      </c>
      <c r="C15" s="22">
        <f>C9*2.54*10</f>
        <v>739.14</v>
      </c>
      <c r="D15" s="22">
        <f t="shared" ref="D15:K15" si="0">D9*2.54*10</f>
        <v>767.07999999999993</v>
      </c>
      <c r="E15" s="22">
        <f t="shared" si="0"/>
        <v>779.78</v>
      </c>
      <c r="F15" s="22">
        <f t="shared" si="0"/>
        <v>802.6400000000001</v>
      </c>
      <c r="G15" s="22">
        <f t="shared" si="0"/>
        <v>820.41999999999985</v>
      </c>
      <c r="H15" s="22">
        <f t="shared" si="0"/>
        <v>835.66000000000008</v>
      </c>
      <c r="I15" s="22">
        <f t="shared" si="0"/>
        <v>853.44</v>
      </c>
      <c r="J15" s="22">
        <f t="shared" si="0"/>
        <v>868.68000000000006</v>
      </c>
      <c r="K15" s="22">
        <f t="shared" si="0"/>
        <v>876.3</v>
      </c>
    </row>
    <row r="16" spans="1:11">
      <c r="A16" s="22" t="s">
        <v>69</v>
      </c>
    </row>
    <row r="17" spans="1:11">
      <c r="A17" s="22" t="s">
        <v>70</v>
      </c>
    </row>
    <row r="18" spans="1:11">
      <c r="A18" s="22" t="s">
        <v>71</v>
      </c>
    </row>
    <row r="19" spans="1:11">
      <c r="A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  <c r="I19" s="22">
        <v>700</v>
      </c>
      <c r="J19" s="22">
        <v>700</v>
      </c>
      <c r="K19" s="22">
        <v>700</v>
      </c>
    </row>
    <row r="20" spans="1:11">
      <c r="A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  <c r="H20" s="22">
        <v>45</v>
      </c>
      <c r="I20" s="22">
        <v>45</v>
      </c>
      <c r="J20" s="22">
        <v>45</v>
      </c>
      <c r="K20" s="22">
        <v>45</v>
      </c>
    </row>
    <row r="21" spans="1:11">
      <c r="A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22">
        <v>45</v>
      </c>
      <c r="I21" s="22">
        <v>45</v>
      </c>
      <c r="J21" s="22">
        <v>45</v>
      </c>
      <c r="K21" s="22">
        <v>45</v>
      </c>
    </row>
    <row r="22" spans="1:11">
      <c r="A22" s="22" t="s">
        <v>1752</v>
      </c>
      <c r="C22" s="22">
        <v>150</v>
      </c>
      <c r="D22" s="22">
        <f>AVERAGE(D24,C25)</f>
        <v>166.5</v>
      </c>
      <c r="E22" s="22">
        <f t="shared" ref="E22:K22" si="1">AVERAGE(E24,D25)</f>
        <v>170.5</v>
      </c>
      <c r="F22" s="22">
        <f t="shared" si="1"/>
        <v>174</v>
      </c>
      <c r="G22" s="22">
        <f t="shared" si="1"/>
        <v>180.5</v>
      </c>
      <c r="H22" s="22">
        <f t="shared" si="1"/>
        <v>182.5</v>
      </c>
      <c r="I22" s="22">
        <f t="shared" si="1"/>
        <v>186.5</v>
      </c>
      <c r="J22" s="22">
        <f t="shared" si="1"/>
        <v>190.5</v>
      </c>
      <c r="K22" s="22">
        <f t="shared" si="1"/>
        <v>197</v>
      </c>
    </row>
    <row r="23" spans="1:11">
      <c r="A23" s="22" t="s">
        <v>1753</v>
      </c>
      <c r="C23" s="22">
        <f>D22</f>
        <v>166.5</v>
      </c>
      <c r="D23" s="22">
        <f t="shared" ref="D23:J23" si="2">E22</f>
        <v>170.5</v>
      </c>
      <c r="E23" s="22">
        <f t="shared" si="2"/>
        <v>174</v>
      </c>
      <c r="F23" s="22">
        <f t="shared" si="2"/>
        <v>180.5</v>
      </c>
      <c r="G23" s="22">
        <f t="shared" si="2"/>
        <v>182.5</v>
      </c>
      <c r="H23" s="22">
        <f t="shared" si="2"/>
        <v>186.5</v>
      </c>
      <c r="I23" s="22">
        <f t="shared" si="2"/>
        <v>190.5</v>
      </c>
      <c r="J23" s="22">
        <f t="shared" si="2"/>
        <v>197</v>
      </c>
      <c r="K23" s="22">
        <v>205</v>
      </c>
    </row>
    <row r="24" spans="1:11">
      <c r="A24" s="22" t="s">
        <v>1752</v>
      </c>
      <c r="C24" s="22">
        <v>150</v>
      </c>
      <c r="D24" s="22">
        <v>165</v>
      </c>
      <c r="E24" s="22">
        <v>168</v>
      </c>
      <c r="F24" s="22">
        <v>173</v>
      </c>
      <c r="G24" s="22">
        <v>178</v>
      </c>
      <c r="H24" s="22">
        <v>180</v>
      </c>
      <c r="I24" s="22">
        <v>185</v>
      </c>
      <c r="J24" s="22">
        <v>188</v>
      </c>
      <c r="K24" s="22">
        <v>196</v>
      </c>
    </row>
    <row r="25" spans="1:11">
      <c r="A25" s="22" t="s">
        <v>1753</v>
      </c>
      <c r="C25" s="22">
        <v>168</v>
      </c>
      <c r="D25" s="22">
        <v>173</v>
      </c>
      <c r="E25" s="22">
        <v>175</v>
      </c>
      <c r="F25" s="22">
        <v>183</v>
      </c>
      <c r="G25" s="22">
        <v>185</v>
      </c>
      <c r="H25" s="22">
        <v>188</v>
      </c>
      <c r="I25" s="22">
        <v>193</v>
      </c>
      <c r="J25" s="22">
        <v>198</v>
      </c>
      <c r="K25" s="22">
        <v>205</v>
      </c>
    </row>
    <row r="62" spans="8:16">
      <c r="H62" s="22">
        <v>150</v>
      </c>
      <c r="I62" s="22">
        <v>165</v>
      </c>
      <c r="J62" s="22">
        <v>168</v>
      </c>
      <c r="K62" s="22">
        <v>173</v>
      </c>
      <c r="L62" s="22">
        <v>178</v>
      </c>
      <c r="M62" s="22">
        <v>180</v>
      </c>
      <c r="N62" s="22">
        <v>185</v>
      </c>
      <c r="O62" s="22">
        <v>188</v>
      </c>
      <c r="P62" s="22">
        <v>196</v>
      </c>
    </row>
    <row r="63" spans="8:16">
      <c r="H63" s="22">
        <v>168</v>
      </c>
      <c r="I63" s="22">
        <v>173</v>
      </c>
      <c r="J63" s="22">
        <v>175</v>
      </c>
      <c r="K63" s="22">
        <v>183</v>
      </c>
      <c r="L63" s="22">
        <v>185</v>
      </c>
      <c r="M63" s="22">
        <v>188</v>
      </c>
      <c r="N63" s="22">
        <v>193</v>
      </c>
      <c r="O63" s="22">
        <v>198</v>
      </c>
      <c r="P63" s="22">
        <v>205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7BE3-55CD-3D43-8929-0380520B8FBE}">
  <dimension ref="A1:F28"/>
  <sheetViews>
    <sheetView workbookViewId="0">
      <selection activeCell="H21" sqref="H21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3" width="8.33203125" style="22" bestFit="1" customWidth="1"/>
    <col min="4" max="4" width="11.5" style="22" bestFit="1" customWidth="1"/>
    <col min="5" max="5" width="8.6640625" style="22" bestFit="1" customWidth="1"/>
    <col min="6" max="6" width="11.1640625" style="22" bestFit="1" customWidth="1"/>
    <col min="7" max="16384" width="10.83203125" style="22"/>
  </cols>
  <sheetData>
    <row r="1" spans="1:6">
      <c r="A1" s="22" t="s">
        <v>72</v>
      </c>
      <c r="B1" s="27" t="s">
        <v>141</v>
      </c>
      <c r="C1" s="27" t="s">
        <v>220</v>
      </c>
      <c r="D1" s="27" t="s">
        <v>221</v>
      </c>
      <c r="E1" s="27" t="s">
        <v>223</v>
      </c>
      <c r="F1" s="27" t="s">
        <v>1272</v>
      </c>
    </row>
    <row r="2" spans="1:6">
      <c r="A2" s="22" t="s">
        <v>60</v>
      </c>
      <c r="B2" s="22" t="s">
        <v>1543</v>
      </c>
      <c r="C2" s="22">
        <v>460</v>
      </c>
      <c r="D2" s="22">
        <v>490</v>
      </c>
      <c r="E2" s="22">
        <v>520</v>
      </c>
      <c r="F2" s="22">
        <v>550</v>
      </c>
    </row>
    <row r="3" spans="1:6">
      <c r="A3" s="22" t="s">
        <v>73</v>
      </c>
      <c r="B3" s="22" t="s">
        <v>1544</v>
      </c>
      <c r="C3" s="22">
        <v>536</v>
      </c>
      <c r="D3" s="22">
        <v>562</v>
      </c>
      <c r="E3" s="22">
        <v>592</v>
      </c>
      <c r="F3" s="22">
        <v>629</v>
      </c>
    </row>
    <row r="4" spans="1:6">
      <c r="A4" s="22" t="s">
        <v>64</v>
      </c>
      <c r="B4" s="22" t="s">
        <v>1545</v>
      </c>
      <c r="C4" s="22">
        <v>150</v>
      </c>
      <c r="D4" s="22">
        <v>170</v>
      </c>
      <c r="E4" s="22">
        <v>190</v>
      </c>
      <c r="F4" s="22">
        <v>210</v>
      </c>
    </row>
    <row r="5" spans="1:6">
      <c r="A5" s="22" t="s">
        <v>62</v>
      </c>
      <c r="B5" s="22" t="s">
        <v>1546</v>
      </c>
      <c r="C5" s="22">
        <v>69</v>
      </c>
      <c r="D5" s="22">
        <v>69</v>
      </c>
      <c r="E5" s="22">
        <v>69</v>
      </c>
      <c r="F5" s="22">
        <v>69</v>
      </c>
    </row>
    <row r="6" spans="1:6">
      <c r="A6" s="22" t="s">
        <v>63</v>
      </c>
      <c r="B6" s="22" t="s">
        <v>1547</v>
      </c>
      <c r="C6" s="22">
        <v>74.5</v>
      </c>
      <c r="D6" s="22">
        <v>74</v>
      </c>
      <c r="E6" s="22">
        <v>74</v>
      </c>
      <c r="F6" s="22">
        <v>73</v>
      </c>
    </row>
    <row r="7" spans="1:6">
      <c r="A7" s="22" t="s">
        <v>66</v>
      </c>
      <c r="B7" s="22" t="s">
        <v>1548</v>
      </c>
      <c r="C7" s="22">
        <v>435</v>
      </c>
      <c r="D7" s="22">
        <v>435</v>
      </c>
      <c r="E7" s="22">
        <v>435</v>
      </c>
      <c r="F7" s="22">
        <v>435</v>
      </c>
    </row>
    <row r="8" spans="1:6">
      <c r="A8" s="22" t="s">
        <v>65</v>
      </c>
      <c r="B8" s="22" t="s">
        <v>1549</v>
      </c>
      <c r="C8" s="22">
        <v>73</v>
      </c>
      <c r="D8" s="22">
        <v>73</v>
      </c>
      <c r="E8" s="22">
        <v>73</v>
      </c>
      <c r="F8" s="22">
        <v>73</v>
      </c>
    </row>
    <row r="9" spans="1:6">
      <c r="A9" s="22" t="s">
        <v>67</v>
      </c>
      <c r="B9" s="22" t="s">
        <v>1550</v>
      </c>
      <c r="C9" s="22">
        <v>50</v>
      </c>
      <c r="D9" s="22">
        <v>50</v>
      </c>
      <c r="E9" s="22">
        <v>50</v>
      </c>
      <c r="F9" s="22">
        <v>50</v>
      </c>
    </row>
    <row r="10" spans="1:6">
      <c r="A10" s="22" t="s">
        <v>56</v>
      </c>
      <c r="B10" s="22" t="s">
        <v>1551</v>
      </c>
      <c r="C10" s="22">
        <v>1051</v>
      </c>
      <c r="D10" s="22">
        <v>1073</v>
      </c>
      <c r="E10" s="22">
        <v>1105</v>
      </c>
      <c r="F10" s="22">
        <v>1132</v>
      </c>
    </row>
    <row r="11" spans="1:6">
      <c r="A11" s="22" t="s">
        <v>57</v>
      </c>
      <c r="B11" s="22" t="s">
        <v>1552</v>
      </c>
      <c r="C11" s="22">
        <v>752</v>
      </c>
      <c r="D11" s="22">
        <v>773</v>
      </c>
      <c r="E11" s="22">
        <v>795</v>
      </c>
      <c r="F11" s="22">
        <v>815</v>
      </c>
    </row>
    <row r="12" spans="1:6">
      <c r="A12" s="22" t="s">
        <v>55</v>
      </c>
      <c r="B12" s="22" t="s">
        <v>1553</v>
      </c>
      <c r="C12" s="22">
        <v>380</v>
      </c>
      <c r="D12" s="22">
        <v>395</v>
      </c>
      <c r="E12" s="22">
        <v>420</v>
      </c>
      <c r="F12" s="22">
        <v>440</v>
      </c>
    </row>
    <row r="13" spans="1:6">
      <c r="A13" s="22" t="s">
        <v>54</v>
      </c>
      <c r="B13" s="22" t="s">
        <v>1554</v>
      </c>
      <c r="C13" s="22">
        <v>563</v>
      </c>
      <c r="D13" s="22">
        <v>582</v>
      </c>
      <c r="E13" s="22">
        <v>600</v>
      </c>
      <c r="F13" s="22">
        <v>619</v>
      </c>
    </row>
    <row r="14" spans="1:6">
      <c r="A14" s="22" t="s">
        <v>69</v>
      </c>
      <c r="B14" s="22" t="s">
        <v>69</v>
      </c>
    </row>
    <row r="15" spans="1:6">
      <c r="A15" s="22" t="s">
        <v>70</v>
      </c>
      <c r="B15" s="22" t="s">
        <v>70</v>
      </c>
    </row>
    <row r="16" spans="1:6">
      <c r="A16" s="22" t="s">
        <v>71</v>
      </c>
      <c r="B16" s="22" t="s">
        <v>71</v>
      </c>
    </row>
    <row r="17" spans="1:6">
      <c r="A17" s="22" t="s">
        <v>68</v>
      </c>
      <c r="B17" s="22" t="s">
        <v>68</v>
      </c>
      <c r="C17" s="22">
        <v>700</v>
      </c>
      <c r="D17" s="22">
        <v>700</v>
      </c>
      <c r="E17" s="22">
        <v>700</v>
      </c>
      <c r="F17" s="22">
        <v>700</v>
      </c>
    </row>
    <row r="18" spans="1:6">
      <c r="A18" s="22" t="s">
        <v>139</v>
      </c>
      <c r="B18" s="22" t="s">
        <v>139</v>
      </c>
      <c r="C18" s="22">
        <v>35</v>
      </c>
      <c r="D18" s="22">
        <v>35</v>
      </c>
      <c r="E18" s="22">
        <v>35</v>
      </c>
      <c r="F18" s="22">
        <v>35</v>
      </c>
    </row>
    <row r="19" spans="1:6">
      <c r="A19" s="22" t="s">
        <v>140</v>
      </c>
      <c r="B19" s="22" t="s">
        <v>140</v>
      </c>
      <c r="C19" s="22">
        <v>50</v>
      </c>
      <c r="D19" s="22">
        <v>50</v>
      </c>
      <c r="E19" s="22">
        <v>50</v>
      </c>
      <c r="F19" s="22">
        <v>50</v>
      </c>
    </row>
    <row r="20" spans="1:6">
      <c r="A20" s="22" t="s">
        <v>1752</v>
      </c>
      <c r="B20" s="22" t="s">
        <v>1752</v>
      </c>
      <c r="C20" s="22">
        <f>C22*2.54</f>
        <v>157.47999999999999</v>
      </c>
      <c r="D20" s="22">
        <f t="shared" ref="D20:F21" si="0">D22*2.54</f>
        <v>167.64000000000001</v>
      </c>
      <c r="E20" s="22">
        <f t="shared" si="0"/>
        <v>175.26</v>
      </c>
      <c r="F20" s="22">
        <f t="shared" si="0"/>
        <v>187.96</v>
      </c>
    </row>
    <row r="21" spans="1:6">
      <c r="A21" s="22" t="s">
        <v>1753</v>
      </c>
      <c r="B21" s="22" t="s">
        <v>1753</v>
      </c>
      <c r="C21" s="22">
        <f>C23*2.54</f>
        <v>170.18</v>
      </c>
      <c r="D21" s="22">
        <f t="shared" si="0"/>
        <v>177.8</v>
      </c>
      <c r="E21" s="22">
        <f t="shared" si="0"/>
        <v>187.96</v>
      </c>
      <c r="F21" s="22">
        <f t="shared" si="0"/>
        <v>200.66</v>
      </c>
    </row>
    <row r="22" spans="1:6">
      <c r="C22" s="22">
        <v>62</v>
      </c>
      <c r="D22" s="22">
        <v>66</v>
      </c>
      <c r="E22" s="22">
        <v>69</v>
      </c>
      <c r="F22" s="22">
        <v>74</v>
      </c>
    </row>
    <row r="23" spans="1:6">
      <c r="C23" s="22">
        <v>67</v>
      </c>
      <c r="D23" s="22">
        <v>70</v>
      </c>
      <c r="E23" s="22">
        <v>74</v>
      </c>
      <c r="F23" s="22">
        <v>79</v>
      </c>
    </row>
    <row r="25" spans="1:6" ht="24">
      <c r="A25" s="60" t="s">
        <v>1555</v>
      </c>
    </row>
    <row r="26" spans="1:6" ht="24">
      <c r="A26" s="60" t="s">
        <v>1556</v>
      </c>
    </row>
    <row r="27" spans="1:6" ht="24">
      <c r="A27" s="60" t="s">
        <v>1557</v>
      </c>
    </row>
    <row r="28" spans="1:6" ht="24">
      <c r="A28" s="60" t="s">
        <v>1558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DD8B-F51C-4D40-9BC3-20F225284E8E}">
  <dimension ref="A1:J57"/>
  <sheetViews>
    <sheetView tabSelected="1" topLeftCell="A38" workbookViewId="0">
      <selection activeCell="A9" sqref="A9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4" width="11.1640625" style="22" bestFit="1" customWidth="1"/>
    <col min="5" max="6" width="11.83203125" style="22" bestFit="1" customWidth="1"/>
    <col min="7" max="9" width="11.1640625" style="22" bestFit="1" customWidth="1"/>
    <col min="10" max="16384" width="10.83203125" style="22"/>
  </cols>
  <sheetData>
    <row r="1" spans="1:8">
      <c r="A1" s="22" t="s">
        <v>2412</v>
      </c>
      <c r="B1" s="22" t="s">
        <v>2550</v>
      </c>
    </row>
    <row r="2" spans="1:8">
      <c r="A2" s="22" t="s">
        <v>2591</v>
      </c>
    </row>
    <row r="3" spans="1:8">
      <c r="A3" s="22" t="s">
        <v>2592</v>
      </c>
      <c r="B3" s="114">
        <v>45105</v>
      </c>
    </row>
    <row r="4" spans="1:8">
      <c r="A4" s="22" t="s">
        <v>2414</v>
      </c>
      <c r="B4" s="22" t="s">
        <v>2551</v>
      </c>
    </row>
    <row r="5" spans="1:8">
      <c r="A5" s="22" t="s">
        <v>2415</v>
      </c>
      <c r="B5" s="22" t="s">
        <v>2552</v>
      </c>
    </row>
    <row r="6" spans="1:8">
      <c r="A6" s="22" t="s">
        <v>72</v>
      </c>
      <c r="B6" s="22" t="str">
        <f>B35</f>
        <v>frame size</v>
      </c>
      <c r="C6" s="22">
        <f>C35</f>
        <v>49</v>
      </c>
      <c r="D6" s="22">
        <f t="shared" ref="D6:H6" si="0">D35</f>
        <v>52</v>
      </c>
      <c r="E6" s="22">
        <f t="shared" si="0"/>
        <v>54</v>
      </c>
      <c r="F6" s="22">
        <f t="shared" si="0"/>
        <v>56</v>
      </c>
      <c r="G6" s="22">
        <f t="shared" si="0"/>
        <v>58</v>
      </c>
      <c r="H6" s="22">
        <f t="shared" si="0"/>
        <v>61</v>
      </c>
    </row>
    <row r="7" spans="1:8">
      <c r="A7" s="22" t="s">
        <v>69</v>
      </c>
      <c r="B7" s="22" t="str">
        <f t="shared" ref="B7:B27" si="1">B36</f>
        <v>Crank Length</v>
      </c>
      <c r="C7" s="22">
        <f>IF(RIGHT(C36,1)="m",VALUE(MID(C36,1,LEN(C36)-2)),VALUE(MID(C36,1,LEN(C36)-1)))</f>
        <v>165</v>
      </c>
      <c r="D7" s="22">
        <f t="shared" ref="D7:H7" si="2">IF(RIGHT(D36,1)="m",VALUE(MID(D36,1,LEN(D36)-2)),VALUE(MID(D36,1,LEN(D36)-1)))</f>
        <v>170</v>
      </c>
      <c r="E7" s="22">
        <f t="shared" si="2"/>
        <v>172.5</v>
      </c>
      <c r="F7" s="22">
        <f t="shared" si="2"/>
        <v>172.5</v>
      </c>
      <c r="G7" s="22">
        <f t="shared" si="2"/>
        <v>175</v>
      </c>
      <c r="H7" s="22">
        <f t="shared" si="2"/>
        <v>175</v>
      </c>
    </row>
    <row r="8" spans="1:8">
      <c r="A8" s="22" t="s">
        <v>70</v>
      </c>
      <c r="B8" s="22" t="str">
        <f t="shared" si="1"/>
        <v>Saddle Width</v>
      </c>
      <c r="C8" s="22">
        <f t="shared" ref="C8:H23" si="3">IF(RIGHT(C37,1)="m",VALUE(MID(C37,1,LEN(C37)-2)),VALUE(MID(C37,1,LEN(C37)-1)))</f>
        <v>155</v>
      </c>
      <c r="D8" s="22">
        <f t="shared" si="3"/>
        <v>155</v>
      </c>
      <c r="E8" s="22">
        <f t="shared" si="3"/>
        <v>143</v>
      </c>
      <c r="F8" s="22">
        <f t="shared" si="3"/>
        <v>143</v>
      </c>
      <c r="G8" s="22">
        <f t="shared" si="3"/>
        <v>143</v>
      </c>
      <c r="H8" s="22">
        <f t="shared" si="3"/>
        <v>143</v>
      </c>
    </row>
    <row r="9" spans="1:8">
      <c r="A9" s="22" t="s">
        <v>1342</v>
      </c>
      <c r="B9" s="22" t="str">
        <f t="shared" si="1"/>
        <v>Seatpost Length</v>
      </c>
      <c r="C9" s="22">
        <f t="shared" si="3"/>
        <v>330</v>
      </c>
      <c r="D9" s="22">
        <f t="shared" si="3"/>
        <v>330</v>
      </c>
      <c r="E9" s="22">
        <f t="shared" si="3"/>
        <v>330</v>
      </c>
      <c r="F9" s="22">
        <f t="shared" si="3"/>
        <v>380</v>
      </c>
      <c r="G9" s="22">
        <f t="shared" si="3"/>
        <v>380</v>
      </c>
      <c r="H9" s="22">
        <f t="shared" si="3"/>
        <v>380</v>
      </c>
    </row>
    <row r="10" spans="1:8">
      <c r="A10" s="22" t="s">
        <v>1341</v>
      </c>
      <c r="B10" s="22" t="str">
        <f t="shared" si="1"/>
        <v>Handlebar Width</v>
      </c>
      <c r="C10" s="22">
        <f t="shared" si="3"/>
        <v>380</v>
      </c>
      <c r="D10" s="22">
        <f t="shared" si="3"/>
        <v>400</v>
      </c>
      <c r="E10" s="22">
        <f t="shared" si="3"/>
        <v>420</v>
      </c>
      <c r="F10" s="22">
        <f t="shared" si="3"/>
        <v>420</v>
      </c>
      <c r="G10" s="22">
        <f t="shared" si="3"/>
        <v>440</v>
      </c>
      <c r="H10" s="22">
        <f t="shared" si="3"/>
        <v>440</v>
      </c>
    </row>
    <row r="11" spans="1:8">
      <c r="A11" s="22" t="s">
        <v>71</v>
      </c>
      <c r="B11" s="22" t="str">
        <f t="shared" si="1"/>
        <v>Stem Length</v>
      </c>
      <c r="C11" s="22">
        <f t="shared" si="3"/>
        <v>70</v>
      </c>
      <c r="D11" s="22">
        <f t="shared" si="3"/>
        <v>80</v>
      </c>
      <c r="E11" s="22">
        <f t="shared" si="3"/>
        <v>90</v>
      </c>
      <c r="F11" s="22">
        <f t="shared" si="3"/>
        <v>100</v>
      </c>
      <c r="G11" s="22">
        <f t="shared" si="3"/>
        <v>110</v>
      </c>
      <c r="H11" s="22">
        <f t="shared" si="3"/>
        <v>110</v>
      </c>
    </row>
    <row r="12" spans="1:8">
      <c r="A12" s="22" t="s">
        <v>54</v>
      </c>
      <c r="B12" s="22" t="str">
        <f t="shared" si="1"/>
        <v>Stack</v>
      </c>
      <c r="C12" s="22">
        <f t="shared" si="3"/>
        <v>530</v>
      </c>
      <c r="D12" s="22">
        <f t="shared" si="3"/>
        <v>547</v>
      </c>
      <c r="E12" s="22">
        <f t="shared" si="3"/>
        <v>560</v>
      </c>
      <c r="F12" s="22">
        <f t="shared" si="3"/>
        <v>578</v>
      </c>
      <c r="G12" s="22">
        <f t="shared" si="3"/>
        <v>598</v>
      </c>
      <c r="H12" s="22">
        <f t="shared" si="3"/>
        <v>621</v>
      </c>
    </row>
    <row r="13" spans="1:8">
      <c r="A13" s="22" t="s">
        <v>55</v>
      </c>
      <c r="B13" s="22" t="str">
        <f t="shared" si="1"/>
        <v>Reach</v>
      </c>
      <c r="C13" s="22">
        <f t="shared" si="3"/>
        <v>375</v>
      </c>
      <c r="D13" s="22">
        <f t="shared" si="3"/>
        <v>382</v>
      </c>
      <c r="E13" s="22">
        <f t="shared" si="3"/>
        <v>388</v>
      </c>
      <c r="F13" s="22">
        <f t="shared" si="3"/>
        <v>397</v>
      </c>
      <c r="G13" s="22">
        <f t="shared" si="3"/>
        <v>405</v>
      </c>
      <c r="H13" s="22">
        <f t="shared" si="3"/>
        <v>415</v>
      </c>
    </row>
    <row r="14" spans="1:8">
      <c r="A14" s="22" t="s">
        <v>64</v>
      </c>
      <c r="B14" s="22" t="str">
        <f t="shared" si="1"/>
        <v>Head Tube Length</v>
      </c>
      <c r="C14" s="22">
        <f t="shared" si="3"/>
        <v>100</v>
      </c>
      <c r="D14" s="22">
        <f t="shared" si="3"/>
        <v>115</v>
      </c>
      <c r="E14" s="22">
        <f t="shared" si="3"/>
        <v>130</v>
      </c>
      <c r="F14" s="22">
        <f t="shared" si="3"/>
        <v>147</v>
      </c>
      <c r="G14" s="22">
        <f t="shared" si="3"/>
        <v>167</v>
      </c>
      <c r="H14" s="22">
        <f t="shared" si="3"/>
        <v>190</v>
      </c>
    </row>
    <row r="15" spans="1:8">
      <c r="A15" s="22" t="s">
        <v>62</v>
      </c>
      <c r="B15" s="22" t="str">
        <f t="shared" si="1"/>
        <v>Head Tube Angle</v>
      </c>
      <c r="C15" s="22">
        <f t="shared" si="3"/>
        <v>70.5</v>
      </c>
      <c r="D15" s="22">
        <f t="shared" si="3"/>
        <v>71.25</v>
      </c>
      <c r="E15" s="22">
        <f t="shared" si="3"/>
        <v>71.5</v>
      </c>
      <c r="F15" s="22">
        <f t="shared" si="3"/>
        <v>72</v>
      </c>
      <c r="G15" s="22">
        <f t="shared" si="3"/>
        <v>72.25</v>
      </c>
      <c r="H15" s="22">
        <f t="shared" si="3"/>
        <v>72.5</v>
      </c>
    </row>
    <row r="16" spans="1:8">
      <c r="A16" s="22" t="s">
        <v>569</v>
      </c>
      <c r="B16" s="22" t="str">
        <f t="shared" si="1"/>
        <v>BB Height</v>
      </c>
      <c r="C16" s="22">
        <f t="shared" si="3"/>
        <v>284</v>
      </c>
      <c r="D16" s="22">
        <f t="shared" si="3"/>
        <v>284</v>
      </c>
      <c r="E16" s="22">
        <f t="shared" si="3"/>
        <v>286</v>
      </c>
      <c r="F16" s="22">
        <f t="shared" si="3"/>
        <v>286</v>
      </c>
      <c r="G16" s="22">
        <f t="shared" si="3"/>
        <v>286</v>
      </c>
      <c r="H16" s="22">
        <f t="shared" si="3"/>
        <v>286</v>
      </c>
    </row>
    <row r="17" spans="1:8">
      <c r="A17" s="22" t="s">
        <v>65</v>
      </c>
      <c r="B17" s="22" t="str">
        <f t="shared" si="1"/>
        <v>BB Drop</v>
      </c>
      <c r="C17" s="22">
        <f t="shared" si="3"/>
        <v>74</v>
      </c>
      <c r="D17" s="22">
        <f t="shared" si="3"/>
        <v>74</v>
      </c>
      <c r="E17" s="22">
        <f t="shared" si="3"/>
        <v>72</v>
      </c>
      <c r="F17" s="22">
        <f t="shared" si="3"/>
        <v>72</v>
      </c>
      <c r="G17" s="22">
        <f t="shared" si="3"/>
        <v>72</v>
      </c>
      <c r="H17" s="22">
        <f t="shared" si="3"/>
        <v>72</v>
      </c>
    </row>
    <row r="18" spans="1:8">
      <c r="A18" s="22" t="s">
        <v>135</v>
      </c>
      <c r="B18" s="22" t="str">
        <f t="shared" si="1"/>
        <v>Trail</v>
      </c>
      <c r="C18" s="22">
        <f t="shared" si="3"/>
        <v>74</v>
      </c>
      <c r="D18" s="22">
        <f t="shared" si="3"/>
        <v>69</v>
      </c>
      <c r="E18" s="22">
        <f t="shared" si="3"/>
        <v>67</v>
      </c>
      <c r="F18" s="22">
        <f t="shared" si="3"/>
        <v>64</v>
      </c>
      <c r="G18" s="22">
        <f t="shared" si="3"/>
        <v>62</v>
      </c>
      <c r="H18" s="22">
        <f t="shared" si="3"/>
        <v>60</v>
      </c>
    </row>
    <row r="19" spans="1:8">
      <c r="A19" s="22" t="s">
        <v>495</v>
      </c>
      <c r="B19" s="22" t="str">
        <f t="shared" si="1"/>
        <v>Fork Length, Full</v>
      </c>
      <c r="C19" s="22">
        <f t="shared" si="3"/>
        <v>401</v>
      </c>
      <c r="D19" s="22">
        <f t="shared" si="3"/>
        <v>401</v>
      </c>
      <c r="E19" s="22">
        <f t="shared" si="3"/>
        <v>401</v>
      </c>
      <c r="F19" s="22">
        <f t="shared" si="3"/>
        <v>401</v>
      </c>
      <c r="G19" s="22">
        <f t="shared" si="3"/>
        <v>401</v>
      </c>
      <c r="H19" s="22">
        <f t="shared" si="3"/>
        <v>401</v>
      </c>
    </row>
    <row r="20" spans="1:8">
      <c r="A20" s="22" t="s">
        <v>67</v>
      </c>
      <c r="B20" s="22" t="str">
        <f t="shared" si="1"/>
        <v>Fork Rake/Offset</v>
      </c>
      <c r="C20" s="22">
        <f t="shared" si="3"/>
        <v>50</v>
      </c>
      <c r="D20" s="22">
        <f t="shared" si="3"/>
        <v>50</v>
      </c>
      <c r="E20" s="22">
        <f t="shared" si="3"/>
        <v>50</v>
      </c>
      <c r="F20" s="22">
        <f t="shared" si="3"/>
        <v>50</v>
      </c>
      <c r="G20" s="22">
        <f t="shared" si="3"/>
        <v>50</v>
      </c>
      <c r="H20" s="22">
        <f t="shared" si="3"/>
        <v>50</v>
      </c>
    </row>
    <row r="21" spans="1:8">
      <c r="A21" s="22" t="s">
        <v>134</v>
      </c>
      <c r="B21" s="22" t="str">
        <f t="shared" si="1"/>
        <v>Front Center</v>
      </c>
      <c r="C21" s="22">
        <f t="shared" si="3"/>
        <v>594</v>
      </c>
      <c r="D21" s="22">
        <f t="shared" si="3"/>
        <v>600</v>
      </c>
      <c r="E21" s="22">
        <f t="shared" si="3"/>
        <v>608</v>
      </c>
      <c r="F21" s="22">
        <f t="shared" si="3"/>
        <v>618</v>
      </c>
      <c r="G21" s="22">
        <f t="shared" si="3"/>
        <v>630</v>
      </c>
      <c r="H21" s="22">
        <f t="shared" si="3"/>
        <v>644</v>
      </c>
    </row>
    <row r="22" spans="1:8">
      <c r="A22" s="22" t="s">
        <v>66</v>
      </c>
      <c r="B22" s="22" t="str">
        <f t="shared" si="1"/>
        <v>Chainstay Length</v>
      </c>
      <c r="C22" s="22">
        <f t="shared" si="3"/>
        <v>425</v>
      </c>
      <c r="D22" s="22">
        <f t="shared" si="3"/>
        <v>425</v>
      </c>
      <c r="E22" s="22">
        <f t="shared" si="3"/>
        <v>425</v>
      </c>
      <c r="F22" s="22">
        <f t="shared" si="3"/>
        <v>425</v>
      </c>
      <c r="G22" s="22">
        <f t="shared" si="3"/>
        <v>425</v>
      </c>
      <c r="H22" s="22">
        <f t="shared" si="3"/>
        <v>425</v>
      </c>
    </row>
    <row r="23" spans="1:8">
      <c r="A23" s="22" t="s">
        <v>56</v>
      </c>
      <c r="B23" s="22" t="str">
        <f t="shared" si="1"/>
        <v>Wheelbase</v>
      </c>
      <c r="C23" s="22">
        <f t="shared" si="3"/>
        <v>1008</v>
      </c>
      <c r="D23" s="22">
        <f t="shared" si="3"/>
        <v>1014</v>
      </c>
      <c r="E23" s="22">
        <f t="shared" si="3"/>
        <v>1023</v>
      </c>
      <c r="F23" s="22">
        <f t="shared" si="3"/>
        <v>1033</v>
      </c>
      <c r="G23" s="22">
        <f t="shared" si="3"/>
        <v>1045</v>
      </c>
      <c r="H23" s="22">
        <f t="shared" si="3"/>
        <v>1059</v>
      </c>
    </row>
    <row r="24" spans="1:8">
      <c r="A24" s="22" t="s">
        <v>73</v>
      </c>
      <c r="B24" s="22" t="str">
        <f t="shared" si="1"/>
        <v>Top Tube Length, Horizontal</v>
      </c>
      <c r="C24" s="22">
        <f t="shared" ref="C24:H27" si="4">IF(RIGHT(C53,1)="m",VALUE(MID(C53,1,LEN(C53)-2)),VALUE(MID(C53,1,LEN(C53)-1)))</f>
        <v>512</v>
      </c>
      <c r="D24" s="22">
        <f t="shared" si="4"/>
        <v>539</v>
      </c>
      <c r="E24" s="22">
        <f t="shared" si="4"/>
        <v>549</v>
      </c>
      <c r="F24" s="22">
        <f t="shared" si="4"/>
        <v>568</v>
      </c>
      <c r="G24" s="22">
        <f t="shared" si="4"/>
        <v>582</v>
      </c>
      <c r="H24" s="22">
        <f t="shared" si="4"/>
        <v>599</v>
      </c>
    </row>
    <row r="25" spans="1:8">
      <c r="A25" s="22" t="s">
        <v>57</v>
      </c>
      <c r="B25" s="22" t="str">
        <f t="shared" si="1"/>
        <v>Bike Standover Height</v>
      </c>
      <c r="C25" s="22">
        <f t="shared" si="4"/>
        <v>749</v>
      </c>
      <c r="D25" s="22">
        <f t="shared" si="4"/>
        <v>772</v>
      </c>
      <c r="E25" s="22">
        <f t="shared" si="4"/>
        <v>794</v>
      </c>
      <c r="F25" s="22">
        <f t="shared" si="4"/>
        <v>816</v>
      </c>
      <c r="G25" s="22">
        <f t="shared" si="4"/>
        <v>841</v>
      </c>
      <c r="H25" s="22">
        <f t="shared" si="4"/>
        <v>866</v>
      </c>
    </row>
    <row r="26" spans="1:8">
      <c r="A26" s="22" t="s">
        <v>60</v>
      </c>
      <c r="B26" s="22" t="str">
        <f t="shared" si="1"/>
        <v>Seat Tube Length</v>
      </c>
      <c r="C26" s="22">
        <f t="shared" si="4"/>
        <v>466</v>
      </c>
      <c r="D26" s="22">
        <f t="shared" si="4"/>
        <v>496</v>
      </c>
      <c r="E26" s="22">
        <f t="shared" si="4"/>
        <v>521</v>
      </c>
      <c r="F26" s="22">
        <f t="shared" si="4"/>
        <v>546</v>
      </c>
      <c r="G26" s="22">
        <f t="shared" si="4"/>
        <v>576</v>
      </c>
      <c r="H26" s="22">
        <f t="shared" si="4"/>
        <v>606</v>
      </c>
    </row>
    <row r="27" spans="1:8">
      <c r="A27" s="22" t="s">
        <v>63</v>
      </c>
      <c r="B27" s="22" t="str">
        <f t="shared" si="1"/>
        <v>Seat Tube Angle</v>
      </c>
      <c r="C27" s="22">
        <f t="shared" si="4"/>
        <v>75.5</v>
      </c>
      <c r="D27" s="22">
        <f t="shared" si="4"/>
        <v>74</v>
      </c>
      <c r="E27" s="22">
        <f t="shared" si="4"/>
        <v>74</v>
      </c>
      <c r="F27" s="22">
        <f t="shared" si="4"/>
        <v>73.5</v>
      </c>
      <c r="G27" s="22">
        <f t="shared" si="4"/>
        <v>73.5</v>
      </c>
      <c r="H27" s="22">
        <f t="shared" si="4"/>
        <v>73.5</v>
      </c>
    </row>
    <row r="28" spans="1:8">
      <c r="A28" s="22" t="s">
        <v>68</v>
      </c>
      <c r="B28" s="22" t="s">
        <v>68</v>
      </c>
      <c r="C28" s="22">
        <v>700</v>
      </c>
      <c r="D28" s="22">
        <v>700</v>
      </c>
      <c r="E28" s="22">
        <v>700</v>
      </c>
      <c r="F28" s="22">
        <v>700</v>
      </c>
      <c r="G28" s="22">
        <v>700</v>
      </c>
      <c r="H28" s="22">
        <v>700</v>
      </c>
    </row>
    <row r="29" spans="1:8">
      <c r="A29" s="22" t="s">
        <v>139</v>
      </c>
      <c r="B29" s="22" t="s">
        <v>139</v>
      </c>
      <c r="C29" s="22">
        <v>38</v>
      </c>
      <c r="D29" s="22">
        <v>38</v>
      </c>
      <c r="E29" s="22">
        <v>38</v>
      </c>
      <c r="F29" s="22">
        <v>38</v>
      </c>
      <c r="G29" s="22">
        <v>38</v>
      </c>
      <c r="H29" s="22">
        <v>38</v>
      </c>
    </row>
    <row r="30" spans="1:8">
      <c r="A30" s="22" t="s">
        <v>140</v>
      </c>
      <c r="B30" s="22" t="s">
        <v>140</v>
      </c>
    </row>
    <row r="31" spans="1:8">
      <c r="A31" s="22" t="s">
        <v>1752</v>
      </c>
      <c r="B31" s="22" t="s">
        <v>1752</v>
      </c>
      <c r="C31" s="22">
        <f>VALUE(LEFT(C34,3))</f>
        <v>155</v>
      </c>
      <c r="D31" s="22">
        <f t="shared" ref="D31:H31" si="5">VALUE(LEFT(D34,3))</f>
        <v>163</v>
      </c>
      <c r="E31" s="22">
        <f t="shared" si="5"/>
        <v>168</v>
      </c>
      <c r="F31" s="22">
        <f t="shared" si="5"/>
        <v>175</v>
      </c>
      <c r="G31" s="22">
        <f t="shared" si="5"/>
        <v>183</v>
      </c>
      <c r="H31" s="22">
        <f t="shared" si="5"/>
        <v>191</v>
      </c>
    </row>
    <row r="32" spans="1:8">
      <c r="A32" s="22" t="s">
        <v>1753</v>
      </c>
      <c r="B32" s="22" t="s">
        <v>1753</v>
      </c>
      <c r="C32" s="22">
        <f>VALUE(RIGHT(C34,3))</f>
        <v>163</v>
      </c>
      <c r="D32" s="22">
        <f t="shared" ref="D32:H32" si="6">VALUE(RIGHT(D34,3))</f>
        <v>168</v>
      </c>
      <c r="E32" s="22">
        <f t="shared" si="6"/>
        <v>175</v>
      </c>
      <c r="F32" s="22">
        <f t="shared" si="6"/>
        <v>183</v>
      </c>
      <c r="G32" s="22">
        <f t="shared" si="6"/>
        <v>191</v>
      </c>
      <c r="H32" s="22">
        <f t="shared" si="6"/>
        <v>198</v>
      </c>
    </row>
    <row r="33" spans="2:10">
      <c r="C33" s="22">
        <v>49</v>
      </c>
      <c r="D33" s="22">
        <v>52</v>
      </c>
      <c r="E33" s="22">
        <v>54</v>
      </c>
      <c r="F33" s="22">
        <v>56</v>
      </c>
      <c r="G33" s="22">
        <v>58</v>
      </c>
      <c r="H33" s="22">
        <v>61</v>
      </c>
    </row>
    <row r="34" spans="2:10">
      <c r="C34" s="22" t="s">
        <v>2585</v>
      </c>
      <c r="D34" s="22" t="s">
        <v>2586</v>
      </c>
      <c r="E34" s="22" t="s">
        <v>2587</v>
      </c>
      <c r="F34" s="22" t="s">
        <v>2588</v>
      </c>
      <c r="G34" s="22" t="s">
        <v>2589</v>
      </c>
      <c r="H34" s="22" t="s">
        <v>2590</v>
      </c>
    </row>
    <row r="35" spans="2:10" ht="22">
      <c r="B35" s="79" t="s">
        <v>2115</v>
      </c>
      <c r="C35" s="79">
        <v>49</v>
      </c>
      <c r="D35" s="79">
        <v>52</v>
      </c>
      <c r="E35" s="79">
        <v>54</v>
      </c>
      <c r="F35" s="79">
        <v>56</v>
      </c>
      <c r="G35" s="79">
        <v>58</v>
      </c>
      <c r="H35" s="79">
        <v>61</v>
      </c>
    </row>
    <row r="36" spans="2:10" ht="22">
      <c r="B36" s="80" t="s">
        <v>58</v>
      </c>
      <c r="C36" s="81" t="s">
        <v>1290</v>
      </c>
      <c r="D36" s="81" t="s">
        <v>1190</v>
      </c>
      <c r="E36" s="81" t="s">
        <v>1033</v>
      </c>
      <c r="F36" s="81" t="s">
        <v>1033</v>
      </c>
      <c r="G36" s="81" t="s">
        <v>243</v>
      </c>
      <c r="H36" s="81" t="s">
        <v>243</v>
      </c>
      <c r="J36"/>
    </row>
    <row r="37" spans="2:10" ht="22">
      <c r="B37" s="80" t="s">
        <v>1296</v>
      </c>
      <c r="C37" s="81" t="s">
        <v>1297</v>
      </c>
      <c r="D37" s="81" t="s">
        <v>1297</v>
      </c>
      <c r="E37" s="81" t="s">
        <v>1298</v>
      </c>
      <c r="F37" s="81" t="s">
        <v>1298</v>
      </c>
      <c r="G37" s="81" t="s">
        <v>1298</v>
      </c>
      <c r="H37" s="81" t="s">
        <v>1298</v>
      </c>
    </row>
    <row r="38" spans="2:10" ht="22">
      <c r="B38" s="80" t="s">
        <v>1294</v>
      </c>
      <c r="C38" s="81" t="s">
        <v>1295</v>
      </c>
      <c r="D38" s="81" t="s">
        <v>1295</v>
      </c>
      <c r="E38" s="81" t="s">
        <v>1295</v>
      </c>
      <c r="F38" s="81" t="s">
        <v>236</v>
      </c>
      <c r="G38" s="81" t="s">
        <v>236</v>
      </c>
      <c r="H38" s="81" t="s">
        <v>236</v>
      </c>
    </row>
    <row r="39" spans="2:10" ht="22">
      <c r="B39" s="80" t="s">
        <v>12</v>
      </c>
      <c r="C39" s="81" t="s">
        <v>236</v>
      </c>
      <c r="D39" s="81" t="s">
        <v>863</v>
      </c>
      <c r="E39" s="81" t="s">
        <v>610</v>
      </c>
      <c r="F39" s="81" t="s">
        <v>610</v>
      </c>
      <c r="G39" s="81" t="s">
        <v>611</v>
      </c>
      <c r="H39" s="81" t="s">
        <v>611</v>
      </c>
    </row>
    <row r="40" spans="2:10" ht="22">
      <c r="B40" s="80" t="s">
        <v>13</v>
      </c>
      <c r="C40" s="81" t="s">
        <v>1204</v>
      </c>
      <c r="D40" s="81" t="s">
        <v>1028</v>
      </c>
      <c r="E40" s="81" t="s">
        <v>1292</v>
      </c>
      <c r="F40" s="81" t="s">
        <v>1251</v>
      </c>
      <c r="G40" s="81" t="s">
        <v>1293</v>
      </c>
      <c r="H40" s="81" t="s">
        <v>1293</v>
      </c>
    </row>
    <row r="41" spans="2:10" ht="22">
      <c r="B41" s="80" t="s">
        <v>0</v>
      </c>
      <c r="C41" s="81" t="s">
        <v>638</v>
      </c>
      <c r="D41" s="81" t="s">
        <v>1575</v>
      </c>
      <c r="E41" s="81" t="s">
        <v>855</v>
      </c>
      <c r="F41" s="81" t="s">
        <v>2556</v>
      </c>
      <c r="G41" s="81" t="s">
        <v>2557</v>
      </c>
      <c r="H41" s="81" t="s">
        <v>2558</v>
      </c>
    </row>
    <row r="42" spans="2:10" ht="22">
      <c r="B42" s="80" t="s">
        <v>1</v>
      </c>
      <c r="C42" s="81" t="s">
        <v>1254</v>
      </c>
      <c r="D42" s="81" t="s">
        <v>259</v>
      </c>
      <c r="E42" s="81" t="s">
        <v>2559</v>
      </c>
      <c r="F42" s="81" t="s">
        <v>2344</v>
      </c>
      <c r="G42" s="81" t="s">
        <v>1972</v>
      </c>
      <c r="H42" s="81" t="s">
        <v>1193</v>
      </c>
    </row>
    <row r="43" spans="2:10" ht="22">
      <c r="B43" s="80" t="s">
        <v>5</v>
      </c>
      <c r="C43" s="81" t="s">
        <v>1251</v>
      </c>
      <c r="D43" s="81" t="s">
        <v>241</v>
      </c>
      <c r="E43" s="81" t="s">
        <v>830</v>
      </c>
      <c r="F43" s="81" t="s">
        <v>2560</v>
      </c>
      <c r="G43" s="81" t="s">
        <v>2561</v>
      </c>
      <c r="H43" s="81" t="s">
        <v>860</v>
      </c>
    </row>
    <row r="44" spans="2:10" ht="22">
      <c r="B44" s="80" t="s">
        <v>3</v>
      </c>
      <c r="C44" s="81" t="s">
        <v>843</v>
      </c>
      <c r="D44" s="81" t="s">
        <v>1312</v>
      </c>
      <c r="E44" s="81" t="s">
        <v>790</v>
      </c>
      <c r="F44" s="81" t="s">
        <v>791</v>
      </c>
      <c r="G44" s="81" t="s">
        <v>1314</v>
      </c>
      <c r="H44" s="81" t="s">
        <v>293</v>
      </c>
    </row>
    <row r="45" spans="2:10" ht="22">
      <c r="B45" s="80" t="s">
        <v>615</v>
      </c>
      <c r="C45" s="81" t="s">
        <v>2562</v>
      </c>
      <c r="D45" s="81" t="s">
        <v>2562</v>
      </c>
      <c r="E45" s="81" t="s">
        <v>2563</v>
      </c>
      <c r="F45" s="81" t="s">
        <v>2563</v>
      </c>
      <c r="G45" s="81" t="s">
        <v>2563</v>
      </c>
      <c r="H45" s="81" t="s">
        <v>2563</v>
      </c>
    </row>
    <row r="46" spans="2:10" ht="22">
      <c r="B46" s="80" t="s">
        <v>174</v>
      </c>
      <c r="C46" s="81" t="s">
        <v>838</v>
      </c>
      <c r="D46" s="81" t="s">
        <v>838</v>
      </c>
      <c r="E46" s="81" t="s">
        <v>846</v>
      </c>
      <c r="F46" s="81" t="s">
        <v>846</v>
      </c>
      <c r="G46" s="81" t="s">
        <v>846</v>
      </c>
      <c r="H46" s="81" t="s">
        <v>846</v>
      </c>
    </row>
    <row r="47" spans="2:10" ht="22">
      <c r="B47" s="80" t="s">
        <v>133</v>
      </c>
      <c r="C47" s="81" t="s">
        <v>838</v>
      </c>
      <c r="D47" s="81" t="s">
        <v>618</v>
      </c>
      <c r="E47" s="81" t="s">
        <v>2564</v>
      </c>
      <c r="F47" s="81" t="s">
        <v>2565</v>
      </c>
      <c r="G47" s="81" t="s">
        <v>2566</v>
      </c>
      <c r="H47" s="81" t="s">
        <v>1291</v>
      </c>
    </row>
    <row r="48" spans="2:10" ht="22">
      <c r="B48" s="80" t="s">
        <v>619</v>
      </c>
      <c r="C48" s="81" t="s">
        <v>1307</v>
      </c>
      <c r="D48" s="81" t="s">
        <v>1307</v>
      </c>
      <c r="E48" s="81" t="s">
        <v>1307</v>
      </c>
      <c r="F48" s="81" t="s">
        <v>1307</v>
      </c>
      <c r="G48" s="81" t="s">
        <v>1307</v>
      </c>
      <c r="H48" s="81" t="s">
        <v>1307</v>
      </c>
    </row>
    <row r="49" spans="2:8" ht="22">
      <c r="B49" s="80" t="s">
        <v>621</v>
      </c>
      <c r="C49" s="81" t="s">
        <v>1504</v>
      </c>
      <c r="D49" s="81" t="s">
        <v>1504</v>
      </c>
      <c r="E49" s="81" t="s">
        <v>1504</v>
      </c>
      <c r="F49" s="81" t="s">
        <v>1504</v>
      </c>
      <c r="G49" s="81" t="s">
        <v>1504</v>
      </c>
      <c r="H49" s="81" t="s">
        <v>1504</v>
      </c>
    </row>
    <row r="50" spans="2:8" ht="22">
      <c r="B50" s="80" t="s">
        <v>478</v>
      </c>
      <c r="C50" s="81" t="s">
        <v>2183</v>
      </c>
      <c r="D50" s="81" t="s">
        <v>630</v>
      </c>
      <c r="E50" s="81" t="s">
        <v>1178</v>
      </c>
      <c r="F50" s="81" t="s">
        <v>858</v>
      </c>
      <c r="G50" s="81" t="s">
        <v>254</v>
      </c>
      <c r="H50" s="81" t="s">
        <v>2567</v>
      </c>
    </row>
    <row r="51" spans="2:8" ht="22">
      <c r="B51" s="80" t="s">
        <v>7</v>
      </c>
      <c r="C51" s="81" t="s">
        <v>1160</v>
      </c>
      <c r="D51" s="81" t="s">
        <v>1160</v>
      </c>
      <c r="E51" s="81" t="s">
        <v>1160</v>
      </c>
      <c r="F51" s="81" t="s">
        <v>1160</v>
      </c>
      <c r="G51" s="81" t="s">
        <v>1160</v>
      </c>
      <c r="H51" s="81" t="s">
        <v>1160</v>
      </c>
    </row>
    <row r="52" spans="2:8" ht="22">
      <c r="B52" s="80" t="s">
        <v>9</v>
      </c>
      <c r="C52" s="81" t="s">
        <v>2568</v>
      </c>
      <c r="D52" s="81" t="s">
        <v>2569</v>
      </c>
      <c r="E52" s="81" t="s">
        <v>2059</v>
      </c>
      <c r="F52" s="81" t="s">
        <v>2570</v>
      </c>
      <c r="G52" s="81" t="s">
        <v>2571</v>
      </c>
      <c r="H52" s="81" t="s">
        <v>861</v>
      </c>
    </row>
    <row r="53" spans="2:8" ht="22">
      <c r="B53" s="80" t="s">
        <v>628</v>
      </c>
      <c r="C53" s="81" t="s">
        <v>2572</v>
      </c>
      <c r="D53" s="81" t="s">
        <v>2573</v>
      </c>
      <c r="E53" s="81" t="s">
        <v>1693</v>
      </c>
      <c r="F53" s="81" t="s">
        <v>2574</v>
      </c>
      <c r="G53" s="81" t="s">
        <v>854</v>
      </c>
      <c r="H53" s="81" t="s">
        <v>2575</v>
      </c>
    </row>
    <row r="54" spans="2:8" ht="22">
      <c r="B54" s="80" t="s">
        <v>632</v>
      </c>
      <c r="C54" s="81" t="s">
        <v>2576</v>
      </c>
      <c r="D54" s="81" t="s">
        <v>2577</v>
      </c>
      <c r="E54" s="81" t="s">
        <v>2578</v>
      </c>
      <c r="F54" s="81" t="s">
        <v>2579</v>
      </c>
      <c r="G54" s="81" t="s">
        <v>2580</v>
      </c>
      <c r="H54" s="81" t="s">
        <v>1607</v>
      </c>
    </row>
    <row r="55" spans="2:8" ht="22">
      <c r="B55" s="80" t="s">
        <v>173</v>
      </c>
      <c r="C55" s="81" t="s">
        <v>2581</v>
      </c>
      <c r="D55" s="81" t="s">
        <v>2582</v>
      </c>
      <c r="E55" s="81" t="s">
        <v>2583</v>
      </c>
      <c r="F55" s="81" t="s">
        <v>1960</v>
      </c>
      <c r="G55" s="81" t="s">
        <v>2051</v>
      </c>
      <c r="H55" s="81" t="s">
        <v>852</v>
      </c>
    </row>
    <row r="56" spans="2:8" ht="22">
      <c r="B56" s="80" t="s">
        <v>4</v>
      </c>
      <c r="C56" s="81" t="s">
        <v>2584</v>
      </c>
      <c r="D56" s="81" t="s">
        <v>32</v>
      </c>
      <c r="E56" s="81" t="s">
        <v>32</v>
      </c>
      <c r="F56" s="81" t="s">
        <v>33</v>
      </c>
      <c r="G56" s="81" t="s">
        <v>33</v>
      </c>
      <c r="H56" s="81" t="s">
        <v>33</v>
      </c>
    </row>
    <row r="57" spans="2:8" ht="22">
      <c r="B57" s="80"/>
      <c r="C57" s="81"/>
      <c r="D57" s="81"/>
      <c r="E57" s="81"/>
      <c r="F57" s="81"/>
      <c r="G57" s="81"/>
      <c r="H57" s="81"/>
    </row>
  </sheetData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6E47-ADAC-4441-862A-73F6A47C36C3}">
  <dimension ref="A1:I52"/>
  <sheetViews>
    <sheetView topLeftCell="A12" workbookViewId="0">
      <selection activeCell="E27" sqref="E27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4" width="11.1640625" style="22" bestFit="1" customWidth="1"/>
    <col min="5" max="6" width="11.83203125" style="22" bestFit="1" customWidth="1"/>
    <col min="7" max="9" width="11.1640625" style="22" bestFit="1" customWidth="1"/>
    <col min="10" max="16384" width="10.83203125" style="22"/>
  </cols>
  <sheetData>
    <row r="1" spans="1:9">
      <c r="A1" s="22" t="s">
        <v>72</v>
      </c>
      <c r="B1" s="22" t="s">
        <v>15</v>
      </c>
      <c r="C1" s="22">
        <v>49</v>
      </c>
      <c r="D1" s="22">
        <v>52</v>
      </c>
      <c r="E1" s="22">
        <v>54</v>
      </c>
      <c r="F1" s="22">
        <v>56</v>
      </c>
      <c r="G1" s="22">
        <v>58</v>
      </c>
      <c r="H1" s="22">
        <v>61</v>
      </c>
      <c r="I1" s="22">
        <v>64</v>
      </c>
    </row>
    <row r="2" spans="1:9">
      <c r="A2" s="22" t="s">
        <v>69</v>
      </c>
      <c r="B2" s="22" t="s">
        <v>58</v>
      </c>
      <c r="C2" s="22">
        <f>VALUE(LEFT(C31,3))</f>
        <v>165</v>
      </c>
      <c r="D2" s="22">
        <f t="shared" ref="D2:I2" si="0">VALUE(LEFT(D31,3))</f>
        <v>170</v>
      </c>
      <c r="E2" s="22">
        <f>VALUE(LEFT(E31,5))</f>
        <v>172.5</v>
      </c>
      <c r="F2" s="22">
        <f>VALUE(LEFT(F31,5))</f>
        <v>172.5</v>
      </c>
      <c r="G2" s="22">
        <f t="shared" si="0"/>
        <v>175</v>
      </c>
      <c r="H2" s="22">
        <f t="shared" si="0"/>
        <v>175</v>
      </c>
      <c r="I2" s="22">
        <f t="shared" si="0"/>
        <v>175</v>
      </c>
    </row>
    <row r="3" spans="1:9">
      <c r="A3" s="22" t="s">
        <v>71</v>
      </c>
      <c r="B3" s="22" t="s">
        <v>13</v>
      </c>
      <c r="C3" s="22">
        <f>VALUE(LEFT(C32,2))</f>
        <v>60</v>
      </c>
      <c r="D3" s="22">
        <f t="shared" ref="D3:F3" si="1">VALUE(LEFT(D32,2))</f>
        <v>70</v>
      </c>
      <c r="E3" s="22">
        <f t="shared" si="1"/>
        <v>80</v>
      </c>
      <c r="F3" s="22">
        <f t="shared" si="1"/>
        <v>90</v>
      </c>
      <c r="G3" s="22">
        <f>VALUE(LEFT(G32,3))</f>
        <v>100</v>
      </c>
      <c r="H3" s="22">
        <f t="shared" ref="H3:I3" si="2">VALUE(LEFT(H32,3))</f>
        <v>100</v>
      </c>
      <c r="I3" s="22">
        <f t="shared" si="2"/>
        <v>110</v>
      </c>
    </row>
    <row r="4" spans="1:9">
      <c r="A4" s="22" t="s">
        <v>70</v>
      </c>
      <c r="B4" s="22" t="s">
        <v>12</v>
      </c>
      <c r="C4" s="22">
        <f t="shared" ref="C4:I21" si="3">VALUE(LEFT(C33,3))</f>
        <v>380</v>
      </c>
      <c r="D4" s="22">
        <f t="shared" si="3"/>
        <v>400</v>
      </c>
      <c r="E4" s="22">
        <f t="shared" si="3"/>
        <v>420</v>
      </c>
      <c r="F4" s="22">
        <f t="shared" si="3"/>
        <v>420</v>
      </c>
      <c r="G4" s="22">
        <f t="shared" si="3"/>
        <v>440</v>
      </c>
      <c r="H4" s="22">
        <f t="shared" si="3"/>
        <v>440</v>
      </c>
      <c r="I4" s="22">
        <f t="shared" si="3"/>
        <v>440</v>
      </c>
    </row>
    <row r="5" spans="1:9">
      <c r="A5" s="22" t="s">
        <v>1342</v>
      </c>
      <c r="B5" s="22" t="s">
        <v>1294</v>
      </c>
      <c r="C5" s="22">
        <f t="shared" si="3"/>
        <v>330</v>
      </c>
      <c r="D5" s="22">
        <f t="shared" si="3"/>
        <v>330</v>
      </c>
      <c r="E5" s="22">
        <f t="shared" si="3"/>
        <v>380</v>
      </c>
      <c r="F5" s="22">
        <f t="shared" si="3"/>
        <v>380</v>
      </c>
      <c r="G5" s="22">
        <f t="shared" si="3"/>
        <v>380</v>
      </c>
      <c r="H5" s="22">
        <f t="shared" si="3"/>
        <v>380</v>
      </c>
      <c r="I5" s="22">
        <f t="shared" si="3"/>
        <v>380</v>
      </c>
    </row>
    <row r="6" spans="1:9">
      <c r="A6" s="22" t="s">
        <v>1341</v>
      </c>
      <c r="B6" s="22" t="s">
        <v>1296</v>
      </c>
      <c r="C6" s="22">
        <f t="shared" si="3"/>
        <v>155</v>
      </c>
      <c r="D6" s="22">
        <f t="shared" si="3"/>
        <v>155</v>
      </c>
      <c r="E6" s="22">
        <f t="shared" si="3"/>
        <v>143</v>
      </c>
      <c r="F6" s="22">
        <f t="shared" si="3"/>
        <v>143</v>
      </c>
      <c r="G6" s="22">
        <f t="shared" si="3"/>
        <v>143</v>
      </c>
      <c r="H6" s="22">
        <f t="shared" si="3"/>
        <v>143</v>
      </c>
      <c r="I6" s="22">
        <f t="shared" si="3"/>
        <v>143</v>
      </c>
    </row>
    <row r="7" spans="1:9">
      <c r="A7" s="22" t="s">
        <v>54</v>
      </c>
      <c r="B7" s="22" t="s">
        <v>0</v>
      </c>
      <c r="C7" s="22">
        <f t="shared" si="3"/>
        <v>571</v>
      </c>
      <c r="D7" s="22">
        <f t="shared" si="3"/>
        <v>577</v>
      </c>
      <c r="E7" s="22">
        <f t="shared" si="3"/>
        <v>592</v>
      </c>
      <c r="F7" s="22">
        <f t="shared" si="3"/>
        <v>610</v>
      </c>
      <c r="G7" s="22">
        <f t="shared" si="3"/>
        <v>634</v>
      </c>
      <c r="H7" s="22">
        <f t="shared" si="3"/>
        <v>659</v>
      </c>
      <c r="I7" s="22">
        <f t="shared" si="3"/>
        <v>684</v>
      </c>
    </row>
    <row r="8" spans="1:9">
      <c r="A8" s="22" t="s">
        <v>55</v>
      </c>
      <c r="B8" s="22" t="s">
        <v>1</v>
      </c>
      <c r="C8" s="22">
        <f t="shared" si="3"/>
        <v>365</v>
      </c>
      <c r="D8" s="22">
        <f t="shared" si="3"/>
        <v>374</v>
      </c>
      <c r="E8" s="22">
        <f t="shared" si="3"/>
        <v>383</v>
      </c>
      <c r="F8" s="22">
        <f t="shared" si="3"/>
        <v>392</v>
      </c>
      <c r="G8" s="22">
        <f t="shared" si="3"/>
        <v>401</v>
      </c>
      <c r="H8" s="22">
        <f t="shared" si="3"/>
        <v>410</v>
      </c>
      <c r="I8" s="22">
        <f t="shared" si="3"/>
        <v>419</v>
      </c>
    </row>
    <row r="9" spans="1:9">
      <c r="A9" s="22" t="s">
        <v>64</v>
      </c>
      <c r="B9" s="22" t="s">
        <v>5</v>
      </c>
      <c r="C9" s="22">
        <f>VALUE(LEFT(C38,2))</f>
        <v>99</v>
      </c>
      <c r="D9" s="22">
        <f t="shared" ref="D9:I9" si="4">VALUE(LEFT(D38,3))</f>
        <v>104</v>
      </c>
      <c r="E9" s="22">
        <f t="shared" si="4"/>
        <v>116</v>
      </c>
      <c r="F9" s="22">
        <f t="shared" si="4"/>
        <v>133</v>
      </c>
      <c r="G9" s="22">
        <f t="shared" si="4"/>
        <v>159</v>
      </c>
      <c r="H9" s="22">
        <f t="shared" si="4"/>
        <v>185</v>
      </c>
      <c r="I9" s="22">
        <f t="shared" si="4"/>
        <v>209</v>
      </c>
    </row>
    <row r="10" spans="1:9">
      <c r="A10" s="22" t="s">
        <v>62</v>
      </c>
      <c r="B10" s="22" t="s">
        <v>3</v>
      </c>
      <c r="C10" s="22">
        <f>VALUE(LEFT(C39,2))</f>
        <v>70</v>
      </c>
      <c r="D10" s="22">
        <f t="shared" ref="D10" si="5">VALUE(LEFT(D39,4))</f>
        <v>70.5</v>
      </c>
      <c r="E10" s="22">
        <f>VALUE(LEFT(E39,5))</f>
        <v>71.25</v>
      </c>
      <c r="F10" s="22">
        <f t="shared" ref="F10:I10" si="6">VALUE(LEFT(F39,5))</f>
        <v>71.75</v>
      </c>
      <c r="G10" s="22">
        <f t="shared" si="6"/>
        <v>71.75</v>
      </c>
      <c r="H10" s="22">
        <f t="shared" si="6"/>
        <v>71.75</v>
      </c>
      <c r="I10" s="22">
        <f t="shared" si="6"/>
        <v>72.25</v>
      </c>
    </row>
    <row r="11" spans="1:9">
      <c r="A11" s="22" t="s">
        <v>137</v>
      </c>
      <c r="B11" s="22" t="s">
        <v>615</v>
      </c>
      <c r="C11" s="22">
        <f t="shared" si="3"/>
        <v>270</v>
      </c>
      <c r="D11" s="22">
        <f t="shared" si="3"/>
        <v>270</v>
      </c>
      <c r="E11" s="22">
        <f t="shared" si="3"/>
        <v>270</v>
      </c>
      <c r="F11" s="22">
        <f t="shared" si="3"/>
        <v>270</v>
      </c>
      <c r="G11" s="22">
        <f t="shared" si="3"/>
        <v>270</v>
      </c>
      <c r="H11" s="22">
        <f t="shared" si="3"/>
        <v>270</v>
      </c>
      <c r="I11" s="22">
        <f t="shared" si="3"/>
        <v>270</v>
      </c>
    </row>
    <row r="12" spans="1:9">
      <c r="A12" s="22" t="s">
        <v>65</v>
      </c>
      <c r="B12" s="22" t="s">
        <v>174</v>
      </c>
      <c r="C12" s="22">
        <f>VALUE(LEFT(C41,2))</f>
        <v>80</v>
      </c>
      <c r="D12" s="22">
        <f t="shared" ref="D12:I12" si="7">VALUE(LEFT(D41,2))</f>
        <v>80</v>
      </c>
      <c r="E12" s="22">
        <f t="shared" si="7"/>
        <v>80</v>
      </c>
      <c r="F12" s="22">
        <f t="shared" si="7"/>
        <v>80</v>
      </c>
      <c r="G12" s="22">
        <f t="shared" si="7"/>
        <v>80</v>
      </c>
      <c r="H12" s="22">
        <f t="shared" si="7"/>
        <v>80</v>
      </c>
      <c r="I12" s="22">
        <f t="shared" si="7"/>
        <v>80</v>
      </c>
    </row>
    <row r="13" spans="1:9">
      <c r="A13" s="22" t="s">
        <v>135</v>
      </c>
      <c r="B13" s="22" t="s">
        <v>133</v>
      </c>
      <c r="C13" s="22">
        <f>VALUE(LEFT(C42,2))</f>
        <v>69</v>
      </c>
      <c r="D13" s="22">
        <f t="shared" ref="D13:I13" si="8">VALUE(LEFT(D42,2))</f>
        <v>66</v>
      </c>
      <c r="E13" s="22">
        <f t="shared" si="8"/>
        <v>61</v>
      </c>
      <c r="F13" s="22">
        <f t="shared" si="8"/>
        <v>57</v>
      </c>
      <c r="G13" s="22">
        <f t="shared" si="8"/>
        <v>57</v>
      </c>
      <c r="H13" s="22">
        <f t="shared" si="8"/>
        <v>57</v>
      </c>
      <c r="I13" s="22">
        <f t="shared" si="8"/>
        <v>54</v>
      </c>
    </row>
    <row r="14" spans="1:9">
      <c r="A14" s="22" t="s">
        <v>136</v>
      </c>
      <c r="B14" s="22" t="s">
        <v>619</v>
      </c>
      <c r="C14" s="22">
        <f>VALUE(LEFT(C43,3))</f>
        <v>389</v>
      </c>
      <c r="D14" s="22">
        <f t="shared" ref="D14:I14" si="9">VALUE(LEFT(D43,3))</f>
        <v>389</v>
      </c>
      <c r="E14" s="22">
        <f t="shared" si="9"/>
        <v>389</v>
      </c>
      <c r="F14" s="22">
        <f t="shared" si="9"/>
        <v>389</v>
      </c>
      <c r="G14" s="22">
        <f t="shared" si="9"/>
        <v>389</v>
      </c>
      <c r="H14" s="22">
        <f t="shared" si="9"/>
        <v>389</v>
      </c>
      <c r="I14" s="22">
        <f t="shared" si="9"/>
        <v>389</v>
      </c>
    </row>
    <row r="15" spans="1:9">
      <c r="A15" s="22" t="s">
        <v>67</v>
      </c>
      <c r="B15" s="22" t="s">
        <v>621</v>
      </c>
      <c r="C15" s="22">
        <f>VALUE(LEFT(C44,2))</f>
        <v>55</v>
      </c>
      <c r="D15" s="22">
        <f t="shared" ref="D15:I15" si="10">VALUE(LEFT(D44,2))</f>
        <v>55</v>
      </c>
      <c r="E15" s="22">
        <f t="shared" si="10"/>
        <v>55</v>
      </c>
      <c r="F15" s="22">
        <f t="shared" si="10"/>
        <v>55</v>
      </c>
      <c r="G15" s="22">
        <f t="shared" si="10"/>
        <v>55</v>
      </c>
      <c r="H15" s="22">
        <f t="shared" si="10"/>
        <v>55</v>
      </c>
      <c r="I15" s="22">
        <f t="shared" si="10"/>
        <v>55</v>
      </c>
    </row>
    <row r="16" spans="1:9">
      <c r="A16" s="22" t="s">
        <v>134</v>
      </c>
      <c r="B16" s="22" t="s">
        <v>478</v>
      </c>
      <c r="C16" s="22">
        <f t="shared" si="3"/>
        <v>607</v>
      </c>
      <c r="D16" s="22">
        <f t="shared" si="3"/>
        <v>614</v>
      </c>
      <c r="E16" s="22">
        <f t="shared" si="3"/>
        <v>620</v>
      </c>
      <c r="F16" s="22">
        <f t="shared" si="3"/>
        <v>630</v>
      </c>
      <c r="G16" s="22">
        <f t="shared" si="3"/>
        <v>647</v>
      </c>
      <c r="H16" s="22">
        <f t="shared" si="3"/>
        <v>664</v>
      </c>
      <c r="I16" s="22">
        <f t="shared" si="3"/>
        <v>675</v>
      </c>
    </row>
    <row r="17" spans="1:9">
      <c r="A17" s="22" t="s">
        <v>66</v>
      </c>
      <c r="B17" s="22" t="s">
        <v>7</v>
      </c>
      <c r="C17" s="22">
        <f t="shared" si="3"/>
        <v>425</v>
      </c>
      <c r="D17" s="22">
        <f t="shared" si="3"/>
        <v>425</v>
      </c>
      <c r="E17" s="22">
        <f t="shared" si="3"/>
        <v>425</v>
      </c>
      <c r="F17" s="22">
        <f t="shared" si="3"/>
        <v>425</v>
      </c>
      <c r="G17" s="22">
        <f t="shared" si="3"/>
        <v>425</v>
      </c>
      <c r="H17" s="22">
        <f t="shared" si="3"/>
        <v>425</v>
      </c>
      <c r="I17" s="22">
        <f t="shared" si="3"/>
        <v>425</v>
      </c>
    </row>
    <row r="18" spans="1:9">
      <c r="A18" s="22" t="s">
        <v>56</v>
      </c>
      <c r="B18" s="22" t="s">
        <v>9</v>
      </c>
      <c r="C18" s="22">
        <f>VALUE(LEFT(C47,4))</f>
        <v>1019</v>
      </c>
      <c r="D18" s="22">
        <f t="shared" ref="D18:I18" si="11">VALUE(LEFT(D47,4))</f>
        <v>1026</v>
      </c>
      <c r="E18" s="22">
        <f t="shared" si="11"/>
        <v>1032</v>
      </c>
      <c r="F18" s="22">
        <f t="shared" si="11"/>
        <v>1042</v>
      </c>
      <c r="G18" s="22">
        <f t="shared" si="11"/>
        <v>1059</v>
      </c>
      <c r="H18" s="22">
        <f t="shared" si="11"/>
        <v>1076</v>
      </c>
      <c r="I18" s="22">
        <f t="shared" si="11"/>
        <v>1088</v>
      </c>
    </row>
    <row r="19" spans="1:9">
      <c r="A19" s="22" t="s">
        <v>73</v>
      </c>
      <c r="B19" s="22" t="s">
        <v>628</v>
      </c>
      <c r="C19" s="22">
        <f t="shared" si="3"/>
        <v>529</v>
      </c>
      <c r="D19" s="22">
        <f t="shared" si="3"/>
        <v>542</v>
      </c>
      <c r="E19" s="22">
        <f t="shared" si="3"/>
        <v>558</v>
      </c>
      <c r="F19" s="22">
        <f t="shared" si="3"/>
        <v>573</v>
      </c>
      <c r="G19" s="22">
        <f t="shared" si="3"/>
        <v>589</v>
      </c>
      <c r="H19" s="22">
        <f t="shared" si="3"/>
        <v>605</v>
      </c>
      <c r="I19" s="22">
        <f t="shared" si="3"/>
        <v>628</v>
      </c>
    </row>
    <row r="20" spans="1:9">
      <c r="A20" s="22" t="s">
        <v>57</v>
      </c>
      <c r="B20" s="22" t="s">
        <v>632</v>
      </c>
      <c r="C20" s="22">
        <f t="shared" si="3"/>
        <v>700</v>
      </c>
      <c r="D20" s="22">
        <f t="shared" si="3"/>
        <v>725</v>
      </c>
      <c r="E20" s="22">
        <f t="shared" si="3"/>
        <v>754</v>
      </c>
      <c r="F20" s="22">
        <f t="shared" si="3"/>
        <v>779</v>
      </c>
      <c r="G20" s="22">
        <f t="shared" si="3"/>
        <v>805</v>
      </c>
      <c r="H20" s="22">
        <f t="shared" si="3"/>
        <v>832</v>
      </c>
      <c r="I20" s="22">
        <f t="shared" si="3"/>
        <v>859</v>
      </c>
    </row>
    <row r="21" spans="1:9">
      <c r="A21" s="22" t="s">
        <v>60</v>
      </c>
      <c r="B21" s="22" t="s">
        <v>173</v>
      </c>
      <c r="C21" s="22">
        <f t="shared" si="3"/>
        <v>390</v>
      </c>
      <c r="D21" s="22">
        <f t="shared" si="3"/>
        <v>430</v>
      </c>
      <c r="E21" s="22">
        <f t="shared" si="3"/>
        <v>470</v>
      </c>
      <c r="F21" s="22">
        <f t="shared" si="3"/>
        <v>500</v>
      </c>
      <c r="G21" s="22">
        <f t="shared" si="3"/>
        <v>530</v>
      </c>
      <c r="H21" s="22">
        <f t="shared" si="3"/>
        <v>560</v>
      </c>
      <c r="I21" s="22">
        <f t="shared" si="3"/>
        <v>590</v>
      </c>
    </row>
    <row r="22" spans="1:9">
      <c r="A22" s="22" t="s">
        <v>63</v>
      </c>
      <c r="B22" s="22" t="s">
        <v>4</v>
      </c>
      <c r="C22" s="22">
        <f>VALUE(LEFT(C51,2))</f>
        <v>74</v>
      </c>
      <c r="D22" s="22">
        <f>VALUE(LEFT(D51,5))</f>
        <v>73.75</v>
      </c>
      <c r="E22" s="22">
        <f t="shared" ref="E22:H22" si="12">VALUE(LEFT(E51,4))</f>
        <v>73.5</v>
      </c>
      <c r="F22" s="22">
        <f t="shared" si="12"/>
        <v>73.5</v>
      </c>
      <c r="G22" s="22">
        <f t="shared" si="12"/>
        <v>73.5</v>
      </c>
      <c r="H22" s="22">
        <f t="shared" si="12"/>
        <v>73.5</v>
      </c>
      <c r="I22" s="22">
        <f>VALUE(LEFT(I51,2))</f>
        <v>73</v>
      </c>
    </row>
    <row r="23" spans="1:9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  <c r="I23" s="22">
        <v>700</v>
      </c>
    </row>
    <row r="24" spans="1:9">
      <c r="A24" s="22" t="s">
        <v>139</v>
      </c>
      <c r="B24" s="22" t="s">
        <v>139</v>
      </c>
      <c r="C24" s="22">
        <v>42</v>
      </c>
      <c r="D24" s="22">
        <v>42</v>
      </c>
      <c r="E24" s="22">
        <v>42</v>
      </c>
      <c r="F24" s="22">
        <v>42</v>
      </c>
      <c r="G24" s="22">
        <v>42</v>
      </c>
      <c r="H24" s="22">
        <v>42</v>
      </c>
      <c r="I24" s="22">
        <v>42</v>
      </c>
    </row>
    <row r="25" spans="1:9">
      <c r="A25" s="22" t="s">
        <v>140</v>
      </c>
      <c r="B25" s="22" t="s">
        <v>140</v>
      </c>
      <c r="C25" s="22">
        <v>47</v>
      </c>
      <c r="D25" s="22">
        <v>47</v>
      </c>
      <c r="E25" s="22">
        <v>47</v>
      </c>
      <c r="F25" s="22">
        <v>47</v>
      </c>
      <c r="G25" s="22">
        <v>47</v>
      </c>
      <c r="H25" s="22">
        <v>47</v>
      </c>
      <c r="I25" s="22">
        <v>47</v>
      </c>
    </row>
    <row r="26" spans="1:9">
      <c r="A26" s="22" t="s">
        <v>1752</v>
      </c>
      <c r="B26" s="22" t="s">
        <v>1752</v>
      </c>
      <c r="C26" s="22">
        <v>152</v>
      </c>
      <c r="D26" s="22">
        <v>163</v>
      </c>
      <c r="E26" s="22">
        <v>170</v>
      </c>
      <c r="F26" s="22">
        <v>175</v>
      </c>
      <c r="G26" s="22">
        <v>180</v>
      </c>
      <c r="H26" s="22">
        <v>188</v>
      </c>
      <c r="I26" s="22">
        <v>196</v>
      </c>
    </row>
    <row r="27" spans="1:9">
      <c r="A27" s="22" t="s">
        <v>1753</v>
      </c>
      <c r="B27" s="22" t="s">
        <v>1753</v>
      </c>
      <c r="C27" s="22">
        <v>163</v>
      </c>
      <c r="D27" s="22">
        <v>170</v>
      </c>
      <c r="E27" s="22">
        <v>175</v>
      </c>
      <c r="F27" s="22">
        <v>180</v>
      </c>
      <c r="G27" s="22">
        <v>188</v>
      </c>
      <c r="H27" s="22">
        <v>196</v>
      </c>
      <c r="I27" s="22">
        <v>205</v>
      </c>
    </row>
    <row r="30" spans="1:9">
      <c r="C30" s="22">
        <v>49</v>
      </c>
      <c r="D30" s="22">
        <v>52</v>
      </c>
      <c r="E30" s="22">
        <v>54</v>
      </c>
      <c r="F30" s="22">
        <v>56</v>
      </c>
      <c r="G30" s="22">
        <v>58</v>
      </c>
      <c r="H30" s="22">
        <v>61</v>
      </c>
      <c r="I30" s="22">
        <v>64</v>
      </c>
    </row>
    <row r="31" spans="1:9">
      <c r="B31" s="22" t="s">
        <v>58</v>
      </c>
      <c r="C31" s="22" t="s">
        <v>1290</v>
      </c>
      <c r="D31" s="22" t="s">
        <v>1190</v>
      </c>
      <c r="E31" s="22" t="s">
        <v>1033</v>
      </c>
      <c r="F31" s="22" t="s">
        <v>1033</v>
      </c>
      <c r="G31" s="22" t="s">
        <v>243</v>
      </c>
      <c r="H31" s="22" t="s">
        <v>243</v>
      </c>
      <c r="I31" s="22" t="s">
        <v>243</v>
      </c>
    </row>
    <row r="32" spans="1:9">
      <c r="B32" s="22" t="s">
        <v>13</v>
      </c>
      <c r="C32" s="22" t="s">
        <v>1291</v>
      </c>
      <c r="D32" s="22" t="s">
        <v>1204</v>
      </c>
      <c r="E32" s="22" t="s">
        <v>1028</v>
      </c>
      <c r="F32" s="22" t="s">
        <v>1292</v>
      </c>
      <c r="G32" s="22" t="s">
        <v>1251</v>
      </c>
      <c r="H32" s="22" t="s">
        <v>1251</v>
      </c>
      <c r="I32" s="22" t="s">
        <v>1293</v>
      </c>
    </row>
    <row r="33" spans="2:9">
      <c r="B33" s="22" t="s">
        <v>12</v>
      </c>
      <c r="C33" s="22" t="s">
        <v>236</v>
      </c>
      <c r="D33" s="22" t="s">
        <v>863</v>
      </c>
      <c r="E33" s="22" t="s">
        <v>610</v>
      </c>
      <c r="F33" s="22" t="s">
        <v>610</v>
      </c>
      <c r="G33" s="22" t="s">
        <v>611</v>
      </c>
      <c r="H33" s="22" t="s">
        <v>611</v>
      </c>
      <c r="I33" s="22" t="s">
        <v>611</v>
      </c>
    </row>
    <row r="34" spans="2:9">
      <c r="B34" s="22" t="s">
        <v>1294</v>
      </c>
      <c r="C34" s="22" t="s">
        <v>1295</v>
      </c>
      <c r="D34" s="22" t="s">
        <v>1295</v>
      </c>
      <c r="E34" s="22" t="s">
        <v>236</v>
      </c>
      <c r="F34" s="22" t="s">
        <v>236</v>
      </c>
      <c r="G34" s="22" t="s">
        <v>236</v>
      </c>
      <c r="H34" s="22" t="s">
        <v>236</v>
      </c>
      <c r="I34" s="22" t="s">
        <v>236</v>
      </c>
    </row>
    <row r="35" spans="2:9">
      <c r="B35" s="22" t="s">
        <v>1296</v>
      </c>
      <c r="C35" s="22" t="s">
        <v>1297</v>
      </c>
      <c r="D35" s="22" t="s">
        <v>1297</v>
      </c>
      <c r="E35" s="22" t="s">
        <v>1298</v>
      </c>
      <c r="F35" s="22" t="s">
        <v>1298</v>
      </c>
      <c r="G35" s="22" t="s">
        <v>1298</v>
      </c>
      <c r="H35" s="22" t="s">
        <v>1298</v>
      </c>
      <c r="I35" s="22" t="s">
        <v>1298</v>
      </c>
    </row>
    <row r="36" spans="2:9">
      <c r="B36" s="22" t="s">
        <v>0</v>
      </c>
      <c r="C36" s="22" t="s">
        <v>1176</v>
      </c>
      <c r="D36" s="22" t="s">
        <v>1299</v>
      </c>
      <c r="E36" s="22" t="s">
        <v>859</v>
      </c>
      <c r="F36" s="22" t="s">
        <v>1300</v>
      </c>
      <c r="G36" s="22" t="s">
        <v>1301</v>
      </c>
      <c r="H36" s="22" t="s">
        <v>1302</v>
      </c>
      <c r="I36" s="22" t="s">
        <v>1303</v>
      </c>
    </row>
    <row r="37" spans="2:9">
      <c r="B37" s="22" t="s">
        <v>1</v>
      </c>
      <c r="C37" s="22" t="s">
        <v>257</v>
      </c>
      <c r="D37" s="22" t="s">
        <v>1304</v>
      </c>
      <c r="E37" s="22" t="s">
        <v>1305</v>
      </c>
      <c r="F37" s="22" t="s">
        <v>1306</v>
      </c>
      <c r="G37" s="22" t="s">
        <v>1307</v>
      </c>
      <c r="H37" s="22" t="s">
        <v>1262</v>
      </c>
      <c r="I37" s="22" t="s">
        <v>1308</v>
      </c>
    </row>
    <row r="38" spans="2:9">
      <c r="B38" s="22" t="s">
        <v>5</v>
      </c>
      <c r="C38" s="22" t="s">
        <v>1309</v>
      </c>
      <c r="D38" s="22" t="s">
        <v>612</v>
      </c>
      <c r="E38" s="22" t="s">
        <v>1310</v>
      </c>
      <c r="F38" s="22" t="s">
        <v>613</v>
      </c>
      <c r="G38" s="22" t="s">
        <v>614</v>
      </c>
      <c r="H38" s="22" t="s">
        <v>1191</v>
      </c>
      <c r="I38" s="22" t="s">
        <v>1311</v>
      </c>
    </row>
    <row r="39" spans="2:9">
      <c r="B39" s="22" t="s">
        <v>3</v>
      </c>
      <c r="C39" s="22" t="s">
        <v>579</v>
      </c>
      <c r="D39" s="22" t="s">
        <v>843</v>
      </c>
      <c r="E39" s="22" t="s">
        <v>1312</v>
      </c>
      <c r="F39" s="22" t="s">
        <v>1313</v>
      </c>
      <c r="G39" s="22" t="s">
        <v>1313</v>
      </c>
      <c r="H39" s="22" t="s">
        <v>1313</v>
      </c>
      <c r="I39" s="22" t="s">
        <v>1314</v>
      </c>
    </row>
    <row r="40" spans="2:9">
      <c r="B40" s="22" t="s">
        <v>615</v>
      </c>
      <c r="C40" s="22" t="s">
        <v>1315</v>
      </c>
      <c r="D40" s="22" t="s">
        <v>1315</v>
      </c>
      <c r="E40" s="22" t="s">
        <v>1315</v>
      </c>
      <c r="F40" s="22" t="s">
        <v>1315</v>
      </c>
      <c r="G40" s="22" t="s">
        <v>1315</v>
      </c>
      <c r="H40" s="22" t="s">
        <v>1315</v>
      </c>
      <c r="I40" s="22" t="s">
        <v>1315</v>
      </c>
    </row>
    <row r="41" spans="2:9">
      <c r="B41" s="22" t="s">
        <v>174</v>
      </c>
      <c r="C41" s="22" t="s">
        <v>1028</v>
      </c>
      <c r="D41" s="22" t="s">
        <v>1028</v>
      </c>
      <c r="E41" s="22" t="s">
        <v>1028</v>
      </c>
      <c r="F41" s="22" t="s">
        <v>1028</v>
      </c>
      <c r="G41" s="22" t="s">
        <v>1028</v>
      </c>
      <c r="H41" s="22" t="s">
        <v>1028</v>
      </c>
      <c r="I41" s="22" t="s">
        <v>1028</v>
      </c>
    </row>
    <row r="42" spans="2:9">
      <c r="B42" s="22" t="s">
        <v>133</v>
      </c>
      <c r="C42" s="22" t="s">
        <v>618</v>
      </c>
      <c r="D42" s="22" t="s">
        <v>853</v>
      </c>
      <c r="E42" s="22" t="s">
        <v>1316</v>
      </c>
      <c r="F42" s="22" t="s">
        <v>1317</v>
      </c>
      <c r="G42" s="22" t="s">
        <v>1317</v>
      </c>
      <c r="H42" s="22" t="s">
        <v>1317</v>
      </c>
      <c r="I42" s="22" t="s">
        <v>1318</v>
      </c>
    </row>
    <row r="43" spans="2:9">
      <c r="B43" s="22" t="s">
        <v>619</v>
      </c>
      <c r="C43" s="22" t="s">
        <v>260</v>
      </c>
      <c r="D43" s="22" t="s">
        <v>260</v>
      </c>
      <c r="E43" s="22" t="s">
        <v>260</v>
      </c>
      <c r="F43" s="22" t="s">
        <v>260</v>
      </c>
      <c r="G43" s="22" t="s">
        <v>260</v>
      </c>
      <c r="H43" s="22" t="s">
        <v>260</v>
      </c>
      <c r="I43" s="22" t="s">
        <v>260</v>
      </c>
    </row>
    <row r="44" spans="2:9">
      <c r="B44" s="22" t="s">
        <v>621</v>
      </c>
      <c r="C44" s="22" t="s">
        <v>248</v>
      </c>
      <c r="D44" s="22" t="s">
        <v>248</v>
      </c>
      <c r="E44" s="22" t="s">
        <v>248</v>
      </c>
      <c r="F44" s="22" t="s">
        <v>248</v>
      </c>
      <c r="G44" s="22" t="s">
        <v>248</v>
      </c>
      <c r="H44" s="22" t="s">
        <v>248</v>
      </c>
      <c r="I44" s="22" t="s">
        <v>248</v>
      </c>
    </row>
    <row r="45" spans="2:9">
      <c r="B45" s="22" t="s">
        <v>478</v>
      </c>
      <c r="C45" s="22" t="s">
        <v>607</v>
      </c>
      <c r="D45" s="22" t="s">
        <v>1261</v>
      </c>
      <c r="E45" s="22" t="s">
        <v>1319</v>
      </c>
      <c r="F45" s="22" t="s">
        <v>254</v>
      </c>
      <c r="G45" s="22" t="s">
        <v>1320</v>
      </c>
      <c r="H45" s="22" t="s">
        <v>1321</v>
      </c>
      <c r="I45" s="22" t="s">
        <v>1322</v>
      </c>
    </row>
    <row r="46" spans="2:9">
      <c r="B46" s="22" t="s">
        <v>7</v>
      </c>
      <c r="C46" s="22" t="s">
        <v>1160</v>
      </c>
      <c r="D46" s="22" t="s">
        <v>1160</v>
      </c>
      <c r="E46" s="22" t="s">
        <v>1160</v>
      </c>
      <c r="F46" s="22" t="s">
        <v>1160</v>
      </c>
      <c r="G46" s="22" t="s">
        <v>1160</v>
      </c>
      <c r="H46" s="22" t="s">
        <v>1160</v>
      </c>
      <c r="I46" s="22" t="s">
        <v>1160</v>
      </c>
    </row>
    <row r="47" spans="2:9">
      <c r="B47" s="22" t="s">
        <v>9</v>
      </c>
      <c r="C47" s="22" t="s">
        <v>1323</v>
      </c>
      <c r="D47" s="22" t="s">
        <v>1324</v>
      </c>
      <c r="E47" s="22" t="s">
        <v>1325</v>
      </c>
      <c r="F47" s="22" t="s">
        <v>1326</v>
      </c>
      <c r="G47" s="22" t="s">
        <v>861</v>
      </c>
      <c r="H47" s="22" t="s">
        <v>1327</v>
      </c>
      <c r="I47" s="22" t="s">
        <v>1328</v>
      </c>
    </row>
    <row r="48" spans="2:9">
      <c r="B48" s="22" t="s">
        <v>628</v>
      </c>
      <c r="C48" s="22" t="s">
        <v>1166</v>
      </c>
      <c r="D48" s="22" t="s">
        <v>1329</v>
      </c>
      <c r="E48" s="22" t="s">
        <v>842</v>
      </c>
      <c r="F48" s="22" t="s">
        <v>1330</v>
      </c>
      <c r="G48" s="22" t="s">
        <v>1242</v>
      </c>
      <c r="H48" s="22" t="s">
        <v>1331</v>
      </c>
      <c r="I48" s="22" t="s">
        <v>1332</v>
      </c>
    </row>
    <row r="49" spans="2:9">
      <c r="B49" s="22" t="s">
        <v>632</v>
      </c>
      <c r="C49" s="22" t="s">
        <v>1333</v>
      </c>
      <c r="D49" s="22" t="s">
        <v>1334</v>
      </c>
      <c r="E49" s="22" t="s">
        <v>634</v>
      </c>
      <c r="F49" s="22" t="s">
        <v>1335</v>
      </c>
      <c r="G49" s="22" t="s">
        <v>1336</v>
      </c>
      <c r="H49" s="22" t="s">
        <v>1337</v>
      </c>
      <c r="I49" s="22" t="s">
        <v>1338</v>
      </c>
    </row>
    <row r="50" spans="2:9">
      <c r="B50" s="22" t="s">
        <v>173</v>
      </c>
      <c r="C50" s="22" t="s">
        <v>620</v>
      </c>
      <c r="D50" s="22" t="s">
        <v>237</v>
      </c>
      <c r="E50" s="22" t="s">
        <v>636</v>
      </c>
      <c r="F50" s="22" t="s">
        <v>637</v>
      </c>
      <c r="G50" s="22" t="s">
        <v>638</v>
      </c>
      <c r="H50" s="22" t="s">
        <v>855</v>
      </c>
      <c r="I50" s="22" t="s">
        <v>834</v>
      </c>
    </row>
    <row r="51" spans="2:9">
      <c r="B51" s="22" t="s">
        <v>4</v>
      </c>
      <c r="C51" s="22" t="s">
        <v>32</v>
      </c>
      <c r="D51" s="22" t="s">
        <v>1339</v>
      </c>
      <c r="E51" s="22" t="s">
        <v>33</v>
      </c>
      <c r="F51" s="22" t="s">
        <v>33</v>
      </c>
      <c r="G51" s="22" t="s">
        <v>33</v>
      </c>
      <c r="H51" s="22" t="s">
        <v>33</v>
      </c>
      <c r="I51" s="22" t="s">
        <v>800</v>
      </c>
    </row>
    <row r="52" spans="2:9">
      <c r="B52" s="22" t="s">
        <v>1340</v>
      </c>
    </row>
  </sheetData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8C1-56F6-2343-B8F4-34135E5861EF}">
  <dimension ref="A1:F54"/>
  <sheetViews>
    <sheetView topLeftCell="A14" workbookViewId="0">
      <selection activeCell="C25" sqref="C25:D25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3" width="18.5" style="22" bestFit="1" customWidth="1"/>
    <col min="4" max="5" width="11.1640625" style="22" bestFit="1" customWidth="1"/>
    <col min="6" max="16384" width="10.83203125" style="22"/>
  </cols>
  <sheetData>
    <row r="1" spans="1:6">
      <c r="A1" s="22" t="s">
        <v>72</v>
      </c>
      <c r="B1" s="25" t="s">
        <v>141</v>
      </c>
      <c r="C1" s="25" t="s">
        <v>17</v>
      </c>
      <c r="D1" s="25" t="s">
        <v>18</v>
      </c>
      <c r="E1" s="25" t="s">
        <v>19</v>
      </c>
    </row>
    <row r="2" spans="1:6">
      <c r="A2" s="22" t="s">
        <v>54</v>
      </c>
      <c r="B2" s="26" t="s">
        <v>0</v>
      </c>
      <c r="C2" s="26">
        <f>VALUE(LEFT(C28,3))</f>
        <v>580</v>
      </c>
      <c r="D2" s="26">
        <f t="shared" ref="D2:E2" si="0">VALUE(LEFT(D28,3))</f>
        <v>607</v>
      </c>
      <c r="E2" s="26">
        <f t="shared" si="0"/>
        <v>632</v>
      </c>
    </row>
    <row r="3" spans="1:6">
      <c r="A3" s="22" t="s">
        <v>55</v>
      </c>
      <c r="B3" s="26" t="s">
        <v>1</v>
      </c>
      <c r="C3" s="26">
        <f t="shared" ref="C3:C17" si="1">VALUE(LEFT(C29,3))</f>
        <v>395</v>
      </c>
      <c r="D3" s="26">
        <f t="shared" ref="D3:E3" si="2">VALUE(LEFT(D29,3))</f>
        <v>420</v>
      </c>
      <c r="E3" s="26">
        <f t="shared" si="2"/>
        <v>440</v>
      </c>
    </row>
    <row r="4" spans="1:6">
      <c r="A4" s="22" t="s">
        <v>64</v>
      </c>
      <c r="B4" s="26" t="s">
        <v>5</v>
      </c>
      <c r="C4" s="26">
        <f t="shared" si="1"/>
        <v>104</v>
      </c>
      <c r="D4" s="26">
        <f t="shared" ref="D4:E4" si="3">VALUE(LEFT(D30,3))</f>
        <v>133</v>
      </c>
      <c r="E4" s="26">
        <f t="shared" si="3"/>
        <v>159</v>
      </c>
    </row>
    <row r="5" spans="1:6">
      <c r="A5" s="22" t="s">
        <v>62</v>
      </c>
      <c r="B5" s="26" t="s">
        <v>3</v>
      </c>
      <c r="C5" s="26">
        <f>VALUE(LEFT(C31,2))</f>
        <v>70</v>
      </c>
      <c r="D5" s="26">
        <f t="shared" ref="D5:E5" si="4">VALUE(LEFT(D31,2))</f>
        <v>70</v>
      </c>
      <c r="E5" s="26">
        <f t="shared" si="4"/>
        <v>70</v>
      </c>
    </row>
    <row r="6" spans="1:6">
      <c r="A6" s="22" t="s">
        <v>640</v>
      </c>
      <c r="B6" s="26" t="s">
        <v>615</v>
      </c>
      <c r="C6" s="26">
        <f t="shared" si="1"/>
        <v>265</v>
      </c>
      <c r="D6" s="26">
        <f t="shared" ref="D6:E6" si="5">VALUE(LEFT(D32,3))</f>
        <v>265</v>
      </c>
      <c r="E6" s="26">
        <f t="shared" si="5"/>
        <v>265</v>
      </c>
    </row>
    <row r="7" spans="1:6">
      <c r="A7" s="22" t="s">
        <v>65</v>
      </c>
      <c r="B7" s="26" t="s">
        <v>174</v>
      </c>
      <c r="C7" s="26">
        <f>VALUE(LEFT(C33,2))</f>
        <v>85</v>
      </c>
      <c r="D7" s="26">
        <f t="shared" ref="D7:E7" si="6">VALUE(LEFT(D33,2))</f>
        <v>85</v>
      </c>
      <c r="E7" s="26">
        <f t="shared" si="6"/>
        <v>85</v>
      </c>
    </row>
    <row r="8" spans="1:6">
      <c r="A8" s="22" t="s">
        <v>494</v>
      </c>
      <c r="B8" s="26" t="s">
        <v>133</v>
      </c>
      <c r="C8" s="26">
        <f>VALUE(LEFT(C34,2))</f>
        <v>69</v>
      </c>
      <c r="D8" s="26">
        <f t="shared" ref="D8:E8" si="7">VALUE(LEFT(D34,2))</f>
        <v>69</v>
      </c>
      <c r="E8" s="26">
        <f t="shared" si="7"/>
        <v>69</v>
      </c>
    </row>
    <row r="9" spans="1:6">
      <c r="A9" s="22" t="s">
        <v>639</v>
      </c>
      <c r="B9" s="26" t="s">
        <v>619</v>
      </c>
      <c r="C9" s="26">
        <f t="shared" si="1"/>
        <v>390</v>
      </c>
      <c r="D9" s="26">
        <f t="shared" ref="D9:E9" si="8">VALUE(LEFT(D35,3))</f>
        <v>390</v>
      </c>
      <c r="E9" s="26">
        <f t="shared" si="8"/>
        <v>390</v>
      </c>
    </row>
    <row r="10" spans="1:6">
      <c r="A10" s="22" t="s">
        <v>67</v>
      </c>
      <c r="B10" s="26" t="s">
        <v>621</v>
      </c>
      <c r="C10" s="26">
        <f>VALUE(LEFT(C36,2))</f>
        <v>55</v>
      </c>
      <c r="D10" s="26">
        <f t="shared" ref="D10:E10" si="9">VALUE(LEFT(D36,2))</f>
        <v>55</v>
      </c>
      <c r="E10" s="26">
        <f t="shared" si="9"/>
        <v>55</v>
      </c>
    </row>
    <row r="11" spans="1:6">
      <c r="A11" s="22" t="s">
        <v>480</v>
      </c>
      <c r="B11" s="26" t="s">
        <v>478</v>
      </c>
      <c r="C11" s="26">
        <f t="shared" si="1"/>
        <v>639</v>
      </c>
      <c r="D11" s="26">
        <f t="shared" ref="D11:E11" si="10">VALUE(LEFT(D37,3))</f>
        <v>674</v>
      </c>
      <c r="E11" s="26">
        <f t="shared" si="10"/>
        <v>703</v>
      </c>
    </row>
    <row r="12" spans="1:6">
      <c r="A12" s="22" t="s">
        <v>66</v>
      </c>
      <c r="B12" s="26" t="s">
        <v>7</v>
      </c>
      <c r="C12" s="26">
        <f t="shared" si="1"/>
        <v>432</v>
      </c>
      <c r="D12" s="26">
        <f t="shared" ref="D12:E12" si="11">VALUE(LEFT(D38,3))</f>
        <v>432</v>
      </c>
      <c r="E12" s="26">
        <f t="shared" si="11"/>
        <v>432</v>
      </c>
    </row>
    <row r="13" spans="1:6">
      <c r="A13" s="22" t="s">
        <v>56</v>
      </c>
      <c r="B13" s="26" t="s">
        <v>9</v>
      </c>
      <c r="C13" s="26">
        <f>VALUE(LEFT(C39,3))*10</f>
        <v>1050</v>
      </c>
      <c r="D13" s="26">
        <f t="shared" ref="D13:E13" si="12">VALUE(LEFT(D39,3))*10</f>
        <v>1090</v>
      </c>
      <c r="E13" s="26">
        <f t="shared" si="12"/>
        <v>1120</v>
      </c>
    </row>
    <row r="14" spans="1:6">
      <c r="A14" s="22" t="s">
        <v>73</v>
      </c>
      <c r="B14" s="26" t="s">
        <v>628</v>
      </c>
      <c r="C14" s="26">
        <f>C53</f>
        <v>567.38853863708255</v>
      </c>
      <c r="D14" s="26">
        <f t="shared" ref="D14:E14" si="13">VALUE(LEFT(D40,3))</f>
        <v>600</v>
      </c>
      <c r="E14" s="26">
        <f t="shared" si="13"/>
        <v>627</v>
      </c>
      <c r="F14" s="22" t="s">
        <v>1018</v>
      </c>
    </row>
    <row r="15" spans="1:6">
      <c r="A15" s="22" t="s">
        <v>57</v>
      </c>
      <c r="B15" s="26" t="s">
        <v>632</v>
      </c>
      <c r="C15" s="26">
        <f t="shared" si="1"/>
        <v>732</v>
      </c>
      <c r="D15" s="26">
        <f t="shared" ref="D15:E15" si="14">VALUE(LEFT(D41,3))</f>
        <v>754</v>
      </c>
      <c r="E15" s="26">
        <f t="shared" si="14"/>
        <v>774</v>
      </c>
    </row>
    <row r="16" spans="1:6">
      <c r="A16" s="22" t="s">
        <v>60</v>
      </c>
      <c r="B16" s="26" t="s">
        <v>173</v>
      </c>
      <c r="C16" s="26">
        <f t="shared" si="1"/>
        <v>470</v>
      </c>
      <c r="D16" s="26">
        <f t="shared" ref="D16:E16" si="15">VALUE(LEFT(D42,3))</f>
        <v>500</v>
      </c>
      <c r="E16" s="26">
        <f t="shared" si="15"/>
        <v>530</v>
      </c>
    </row>
    <row r="17" spans="1:5">
      <c r="A17" s="22" t="s">
        <v>63</v>
      </c>
      <c r="B17" s="26" t="s">
        <v>4</v>
      </c>
      <c r="C17" s="26">
        <f t="shared" si="1"/>
        <v>73</v>
      </c>
      <c r="D17" s="26">
        <f t="shared" ref="D17:E17" si="16">VALUE(LEFT(D43,3))</f>
        <v>73</v>
      </c>
      <c r="E17" s="26">
        <f t="shared" si="16"/>
        <v>73</v>
      </c>
    </row>
    <row r="18" spans="1:5">
      <c r="A18" s="22" t="s">
        <v>69</v>
      </c>
      <c r="B18" s="22" t="s">
        <v>69</v>
      </c>
    </row>
    <row r="19" spans="1:5">
      <c r="A19" s="22" t="s">
        <v>70</v>
      </c>
      <c r="B19" s="22" t="s">
        <v>70</v>
      </c>
    </row>
    <row r="20" spans="1:5">
      <c r="A20" s="22" t="s">
        <v>71</v>
      </c>
      <c r="B20" s="22" t="s">
        <v>71</v>
      </c>
    </row>
    <row r="21" spans="1:5">
      <c r="A21" s="22" t="s">
        <v>68</v>
      </c>
      <c r="B21" s="22" t="s">
        <v>68</v>
      </c>
      <c r="C21" s="22">
        <v>700</v>
      </c>
      <c r="D21" s="22">
        <v>700</v>
      </c>
      <c r="E21" s="22">
        <v>700</v>
      </c>
    </row>
    <row r="22" spans="1:5">
      <c r="A22" s="22" t="s">
        <v>139</v>
      </c>
      <c r="B22" s="22" t="s">
        <v>139</v>
      </c>
      <c r="C22" s="22">
        <v>42</v>
      </c>
      <c r="D22" s="22">
        <v>42</v>
      </c>
      <c r="E22" s="22">
        <v>42</v>
      </c>
    </row>
    <row r="23" spans="1:5">
      <c r="A23" s="22" t="s">
        <v>140</v>
      </c>
      <c r="B23" s="22" t="s">
        <v>140</v>
      </c>
      <c r="C23" s="22">
        <v>47</v>
      </c>
      <c r="D23" s="22">
        <v>47</v>
      </c>
      <c r="E23" s="22">
        <v>47</v>
      </c>
    </row>
    <row r="24" spans="1:5">
      <c r="A24" s="22" t="s">
        <v>1752</v>
      </c>
      <c r="B24" s="22" t="s">
        <v>1752</v>
      </c>
      <c r="C24" s="22">
        <v>154</v>
      </c>
      <c r="D24" s="22">
        <f>AVERAGE(D26,C27)</f>
        <v>168.5</v>
      </c>
      <c r="E24" s="22">
        <f>AVERAGE(E26,D27)</f>
        <v>179.5</v>
      </c>
    </row>
    <row r="25" spans="1:5">
      <c r="A25" s="22" t="s">
        <v>1753</v>
      </c>
      <c r="B25" s="22" t="s">
        <v>1753</v>
      </c>
      <c r="C25" s="22">
        <f>D24</f>
        <v>168.5</v>
      </c>
      <c r="D25" s="22">
        <f>E24</f>
        <v>179.5</v>
      </c>
      <c r="E25" s="22">
        <v>215</v>
      </c>
    </row>
    <row r="26" spans="1:5">
      <c r="C26" s="22">
        <v>154</v>
      </c>
      <c r="D26" s="22">
        <v>168</v>
      </c>
      <c r="E26" s="22">
        <v>179</v>
      </c>
    </row>
    <row r="27" spans="1:5">
      <c r="C27" s="22">
        <v>169</v>
      </c>
      <c r="D27" s="22">
        <v>180</v>
      </c>
      <c r="E27" s="22">
        <v>215</v>
      </c>
    </row>
    <row r="28" spans="1:5">
      <c r="C28" s="26" t="s">
        <v>606</v>
      </c>
      <c r="D28" s="26" t="s">
        <v>607</v>
      </c>
      <c r="E28" s="26" t="s">
        <v>608</v>
      </c>
    </row>
    <row r="29" spans="1:5">
      <c r="C29" s="26" t="s">
        <v>609</v>
      </c>
      <c r="D29" s="26" t="s">
        <v>610</v>
      </c>
      <c r="E29" s="26" t="s">
        <v>611</v>
      </c>
    </row>
    <row r="30" spans="1:5">
      <c r="C30" s="26" t="s">
        <v>612</v>
      </c>
      <c r="D30" s="26" t="s">
        <v>613</v>
      </c>
      <c r="E30" s="26" t="s">
        <v>614</v>
      </c>
    </row>
    <row r="31" spans="1:5">
      <c r="C31" s="26" t="s">
        <v>579</v>
      </c>
      <c r="D31" s="26" t="s">
        <v>579</v>
      </c>
      <c r="E31" s="26" t="s">
        <v>579</v>
      </c>
    </row>
    <row r="32" spans="1:5">
      <c r="C32" s="26" t="s">
        <v>616</v>
      </c>
      <c r="D32" s="26" t="s">
        <v>616</v>
      </c>
      <c r="E32" s="26" t="s">
        <v>616</v>
      </c>
    </row>
    <row r="33" spans="2:5">
      <c r="C33" s="26" t="s">
        <v>617</v>
      </c>
      <c r="D33" s="26" t="s">
        <v>617</v>
      </c>
      <c r="E33" s="26" t="s">
        <v>617</v>
      </c>
    </row>
    <row r="34" spans="2:5">
      <c r="C34" s="26" t="s">
        <v>618</v>
      </c>
      <c r="D34" s="26" t="s">
        <v>618</v>
      </c>
      <c r="E34" s="26" t="s">
        <v>618</v>
      </c>
    </row>
    <row r="35" spans="2:5">
      <c r="C35" s="26" t="s">
        <v>620</v>
      </c>
      <c r="D35" s="26" t="s">
        <v>620</v>
      </c>
      <c r="E35" s="26" t="s">
        <v>620</v>
      </c>
    </row>
    <row r="36" spans="2:5">
      <c r="C36" s="26" t="s">
        <v>248</v>
      </c>
      <c r="D36" s="26" t="s">
        <v>248</v>
      </c>
      <c r="E36" s="26" t="s">
        <v>248</v>
      </c>
    </row>
    <row r="37" spans="2:5">
      <c r="C37" s="26" t="s">
        <v>622</v>
      </c>
      <c r="D37" s="26" t="s">
        <v>623</v>
      </c>
      <c r="E37" s="26" t="s">
        <v>408</v>
      </c>
    </row>
    <row r="38" spans="2:5">
      <c r="C38" s="26" t="s">
        <v>624</v>
      </c>
      <c r="D38" s="26" t="s">
        <v>624</v>
      </c>
      <c r="E38" s="26" t="s">
        <v>624</v>
      </c>
    </row>
    <row r="39" spans="2:5">
      <c r="C39" s="26" t="s">
        <v>625</v>
      </c>
      <c r="D39" s="26" t="s">
        <v>626</v>
      </c>
      <c r="E39" s="26" t="s">
        <v>627</v>
      </c>
    </row>
    <row r="40" spans="2:5">
      <c r="C40" s="26" t="s">
        <v>629</v>
      </c>
      <c r="D40" s="26" t="s">
        <v>630</v>
      </c>
      <c r="E40" s="26" t="s">
        <v>631</v>
      </c>
    </row>
    <row r="41" spans="2:5">
      <c r="C41" s="26" t="s">
        <v>633</v>
      </c>
      <c r="D41" s="26" t="s">
        <v>634</v>
      </c>
      <c r="E41" s="26" t="s">
        <v>635</v>
      </c>
    </row>
    <row r="42" spans="2:5">
      <c r="C42" s="26" t="s">
        <v>636</v>
      </c>
      <c r="D42" s="26" t="s">
        <v>637</v>
      </c>
      <c r="E42" s="26" t="s">
        <v>638</v>
      </c>
    </row>
    <row r="43" spans="2:5">
      <c r="C43" s="26" t="s">
        <v>33</v>
      </c>
      <c r="D43" s="26" t="s">
        <v>33</v>
      </c>
      <c r="E43" s="26" t="s">
        <v>33</v>
      </c>
    </row>
    <row r="44" spans="2:5">
      <c r="B44" s="22" t="s">
        <v>1010</v>
      </c>
    </row>
    <row r="45" spans="2:5">
      <c r="B45" s="22" t="s">
        <v>1009</v>
      </c>
      <c r="C45" s="22">
        <f>C16*SIN(C17*PI()/180)</f>
        <v>449.46323530262663</v>
      </c>
      <c r="D45" s="22">
        <f>D16*SIN(D17*PI()/180)</f>
        <v>478.1523779815177</v>
      </c>
      <c r="E45" s="22">
        <f>E16*SIN(E17*PI()/180)</f>
        <v>506.84152066040878</v>
      </c>
    </row>
    <row r="46" spans="2:5">
      <c r="B46" s="22" t="s">
        <v>1012</v>
      </c>
      <c r="C46" s="22">
        <f>-C16*COS(C17*PI()/180)</f>
        <v>-137.41470121968629</v>
      </c>
      <c r="D46" s="22">
        <f>-D16*COS(D17*PI()/180)</f>
        <v>-146.18585236136838</v>
      </c>
      <c r="E46" s="22">
        <f>-E16*COS(E17*PI()/180)</f>
        <v>-154.95700350305049</v>
      </c>
    </row>
    <row r="47" spans="2:5">
      <c r="B47" s="22" t="s">
        <v>1011</v>
      </c>
      <c r="C47" s="22">
        <f t="shared" ref="C47:E48" si="17">C2</f>
        <v>580</v>
      </c>
      <c r="D47" s="22">
        <f t="shared" si="17"/>
        <v>607</v>
      </c>
      <c r="E47" s="22">
        <f t="shared" si="17"/>
        <v>632</v>
      </c>
    </row>
    <row r="48" spans="2:5">
      <c r="B48" s="22" t="s">
        <v>1013</v>
      </c>
      <c r="C48" s="22">
        <f t="shared" si="17"/>
        <v>395</v>
      </c>
      <c r="D48" s="22">
        <f t="shared" si="17"/>
        <v>420</v>
      </c>
      <c r="E48" s="22">
        <f t="shared" si="17"/>
        <v>440</v>
      </c>
    </row>
    <row r="49" spans="2:5">
      <c r="B49" s="22" t="s">
        <v>1014</v>
      </c>
      <c r="C49" s="22">
        <f>SQRT((C48-C46)^2 + (C47-C45)^2)</f>
        <v>548.18360155380901</v>
      </c>
      <c r="D49" s="22">
        <f t="shared" ref="D49:E49" si="18">SQRT((D48-D46)^2 + (D47-D45)^2)</f>
        <v>580.66180269928805</v>
      </c>
      <c r="E49" s="22">
        <f t="shared" si="18"/>
        <v>607.97901359169271</v>
      </c>
    </row>
    <row r="50" spans="2:5">
      <c r="B50" s="22" t="s">
        <v>1015</v>
      </c>
      <c r="C50" s="22">
        <f>C2/TAN(C17*PI()/180)</f>
        <v>177.32379524602302</v>
      </c>
      <c r="D50" s="22">
        <f>D2/TAN(D17*PI()/180)</f>
        <v>185.57852364540685</v>
      </c>
      <c r="E50" s="22">
        <f>E2/TAN(E17*PI()/180)</f>
        <v>193.22179068187336</v>
      </c>
    </row>
    <row r="51" spans="2:5">
      <c r="B51" s="22" t="s">
        <v>1016</v>
      </c>
      <c r="C51" s="22">
        <f>C50+C3</f>
        <v>572.323795246023</v>
      </c>
      <c r="D51" s="22">
        <f>D50+D3</f>
        <v>605.5785236454069</v>
      </c>
      <c r="E51" s="22">
        <f>E50+E3</f>
        <v>633.22179068187336</v>
      </c>
    </row>
    <row r="52" spans="2:5">
      <c r="B52" s="22" t="s">
        <v>1017</v>
      </c>
      <c r="C52" s="22">
        <f>C51-C14</f>
        <v>4.935256608940449</v>
      </c>
      <c r="D52" s="22">
        <f>D51-D14</f>
        <v>5.5785236454069036</v>
      </c>
      <c r="E52" s="22">
        <f>E51-E14</f>
        <v>6.2217906818733582</v>
      </c>
    </row>
    <row r="53" spans="2:5">
      <c r="C53" s="22">
        <f>C51-(D52-(E52-D52))</f>
        <v>567.38853863708255</v>
      </c>
    </row>
    <row r="54" spans="2:5">
      <c r="C54" s="22">
        <f>C51-C53</f>
        <v>4.935256608940449</v>
      </c>
    </row>
  </sheetData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6E30-0495-9847-BA0F-4A9716CD5C18}">
  <dimension ref="A1:J52"/>
  <sheetViews>
    <sheetView topLeftCell="A11" workbookViewId="0">
      <selection activeCell="E29" sqref="E29"/>
    </sheetView>
  </sheetViews>
  <sheetFormatPr baseColWidth="10" defaultRowHeight="20"/>
  <cols>
    <col min="1" max="1" width="29.33203125" style="22" bestFit="1" customWidth="1"/>
    <col min="2" max="2" width="31.5" style="22" bestFit="1" customWidth="1"/>
    <col min="3" max="4" width="11.1640625" style="22" bestFit="1" customWidth="1"/>
    <col min="5" max="6" width="11.83203125" style="22" bestFit="1" customWidth="1"/>
    <col min="7" max="9" width="11.1640625" style="22" bestFit="1" customWidth="1"/>
    <col min="10" max="16384" width="10.83203125" style="22"/>
  </cols>
  <sheetData>
    <row r="1" spans="1:8">
      <c r="A1" s="22" t="s">
        <v>72</v>
      </c>
      <c r="B1" s="22" t="s">
        <v>15</v>
      </c>
      <c r="C1" s="22">
        <f>C30</f>
        <v>49</v>
      </c>
      <c r="D1" s="22">
        <f t="shared" ref="D1:H1" si="0">D30</f>
        <v>52</v>
      </c>
      <c r="E1" s="22">
        <f t="shared" si="0"/>
        <v>54</v>
      </c>
      <c r="F1" s="22">
        <f t="shared" si="0"/>
        <v>56</v>
      </c>
      <c r="G1" s="22">
        <f t="shared" si="0"/>
        <v>58</v>
      </c>
      <c r="H1" s="22">
        <f t="shared" si="0"/>
        <v>61</v>
      </c>
    </row>
    <row r="2" spans="1:8" ht="22">
      <c r="A2" s="22" t="s">
        <v>69</v>
      </c>
      <c r="B2" s="80" t="s">
        <v>58</v>
      </c>
      <c r="C2" s="51">
        <f>VALUE(LEFT(C31,3))</f>
        <v>165</v>
      </c>
      <c r="D2" s="51">
        <f t="shared" ref="D2:H2" si="1">VALUE(LEFT(D31,3))</f>
        <v>170</v>
      </c>
      <c r="E2" s="51">
        <f t="shared" si="1"/>
        <v>172</v>
      </c>
      <c r="F2" s="51">
        <f t="shared" si="1"/>
        <v>172</v>
      </c>
      <c r="G2" s="51">
        <f t="shared" si="1"/>
        <v>175</v>
      </c>
      <c r="H2" s="51">
        <f t="shared" si="1"/>
        <v>175</v>
      </c>
    </row>
    <row r="3" spans="1:8" ht="22">
      <c r="A3" s="22" t="s">
        <v>70</v>
      </c>
      <c r="B3" s="80" t="s">
        <v>12</v>
      </c>
      <c r="C3" s="51">
        <f t="shared" ref="C3:H3" si="2">VALUE(LEFT(C32,3))</f>
        <v>380</v>
      </c>
      <c r="D3" s="51">
        <f t="shared" si="2"/>
        <v>400</v>
      </c>
      <c r="E3" s="51">
        <f t="shared" si="2"/>
        <v>420</v>
      </c>
      <c r="F3" s="51">
        <f t="shared" si="2"/>
        <v>420</v>
      </c>
      <c r="G3" s="51">
        <f t="shared" si="2"/>
        <v>440</v>
      </c>
      <c r="H3" s="51">
        <f t="shared" si="2"/>
        <v>440</v>
      </c>
    </row>
    <row r="4" spans="1:8" ht="22">
      <c r="A4" s="22" t="s">
        <v>71</v>
      </c>
      <c r="B4" s="80" t="s">
        <v>13</v>
      </c>
      <c r="C4" s="51">
        <f>VALUE(LEFT(C33,2))</f>
        <v>60</v>
      </c>
      <c r="D4" s="51">
        <f t="shared" ref="D4:F4" si="3">VALUE(LEFT(D33,2))</f>
        <v>70</v>
      </c>
      <c r="E4" s="51">
        <f t="shared" si="3"/>
        <v>80</v>
      </c>
      <c r="F4" s="51">
        <f t="shared" si="3"/>
        <v>90</v>
      </c>
      <c r="G4" s="51">
        <f t="shared" ref="G4:H4" si="4">VALUE(LEFT(G33,3))</f>
        <v>100</v>
      </c>
      <c r="H4" s="51">
        <f t="shared" si="4"/>
        <v>100</v>
      </c>
    </row>
    <row r="5" spans="1:8" ht="22">
      <c r="A5" s="22" t="s">
        <v>1341</v>
      </c>
      <c r="B5" s="80" t="s">
        <v>1296</v>
      </c>
      <c r="C5" s="51">
        <f t="shared" ref="C5:H5" si="5">VALUE(LEFT(C34,3))</f>
        <v>155</v>
      </c>
      <c r="D5" s="51">
        <f t="shared" si="5"/>
        <v>155</v>
      </c>
      <c r="E5" s="51">
        <f t="shared" si="5"/>
        <v>143</v>
      </c>
      <c r="F5" s="51">
        <f t="shared" si="5"/>
        <v>143</v>
      </c>
      <c r="G5" s="51">
        <f t="shared" si="5"/>
        <v>143</v>
      </c>
      <c r="H5" s="51">
        <f t="shared" si="5"/>
        <v>143</v>
      </c>
    </row>
    <row r="6" spans="1:8" ht="22">
      <c r="A6" s="22" t="s">
        <v>1342</v>
      </c>
      <c r="B6" s="80" t="s">
        <v>1294</v>
      </c>
      <c r="C6" s="51">
        <f t="shared" ref="C6:H6" si="6">VALUE(LEFT(C35,3))</f>
        <v>350</v>
      </c>
      <c r="D6" s="51">
        <f t="shared" si="6"/>
        <v>350</v>
      </c>
      <c r="E6" s="51">
        <f t="shared" si="6"/>
        <v>350</v>
      </c>
      <c r="F6" s="51">
        <f t="shared" si="6"/>
        <v>350</v>
      </c>
      <c r="G6" s="51">
        <f t="shared" si="6"/>
        <v>350</v>
      </c>
      <c r="H6" s="51">
        <f t="shared" si="6"/>
        <v>350</v>
      </c>
    </row>
    <row r="7" spans="1:8" ht="22">
      <c r="A7" s="22" t="s">
        <v>54</v>
      </c>
      <c r="B7" s="80" t="s">
        <v>0</v>
      </c>
      <c r="C7" s="51">
        <f t="shared" ref="C7:H7" si="7">VALUE(LEFT(C36,3))</f>
        <v>569</v>
      </c>
      <c r="D7" s="51">
        <f t="shared" si="7"/>
        <v>576</v>
      </c>
      <c r="E7" s="51">
        <f t="shared" si="7"/>
        <v>593</v>
      </c>
      <c r="F7" s="51">
        <f t="shared" si="7"/>
        <v>609</v>
      </c>
      <c r="G7" s="51">
        <f t="shared" si="7"/>
        <v>633</v>
      </c>
      <c r="H7" s="51">
        <f t="shared" si="7"/>
        <v>659</v>
      </c>
    </row>
    <row r="8" spans="1:8" ht="22">
      <c r="A8" s="22" t="s">
        <v>55</v>
      </c>
      <c r="B8" s="80" t="s">
        <v>1</v>
      </c>
      <c r="C8" s="51">
        <f t="shared" ref="C8:H8" si="8">VALUE(LEFT(C37,3))</f>
        <v>365</v>
      </c>
      <c r="D8" s="51">
        <f t="shared" si="8"/>
        <v>374</v>
      </c>
      <c r="E8" s="51">
        <f t="shared" si="8"/>
        <v>383</v>
      </c>
      <c r="F8" s="51">
        <f t="shared" si="8"/>
        <v>392</v>
      </c>
      <c r="G8" s="51">
        <f t="shared" si="8"/>
        <v>401</v>
      </c>
      <c r="H8" s="51">
        <f t="shared" si="8"/>
        <v>410</v>
      </c>
    </row>
    <row r="9" spans="1:8" ht="22">
      <c r="A9" s="22" t="s">
        <v>64</v>
      </c>
      <c r="B9" s="80" t="s">
        <v>5</v>
      </c>
      <c r="C9" s="51">
        <f t="shared" ref="C9:H9" si="9">VALUE(LEFT(C38,3))</f>
        <v>100</v>
      </c>
      <c r="D9" s="51">
        <f t="shared" si="9"/>
        <v>100</v>
      </c>
      <c r="E9" s="51">
        <f t="shared" si="9"/>
        <v>115</v>
      </c>
      <c r="F9" s="51">
        <f t="shared" si="9"/>
        <v>130</v>
      </c>
      <c r="G9" s="51">
        <f t="shared" si="9"/>
        <v>155</v>
      </c>
      <c r="H9" s="51">
        <f t="shared" si="9"/>
        <v>182</v>
      </c>
    </row>
    <row r="10" spans="1:8" ht="22">
      <c r="A10" s="22" t="s">
        <v>62</v>
      </c>
      <c r="B10" s="80" t="s">
        <v>3</v>
      </c>
      <c r="C10" s="51">
        <f>VALUE(LEFT(C39,2))</f>
        <v>70</v>
      </c>
      <c r="D10" s="51">
        <f>VALUE(LEFT(D39,4))</f>
        <v>70.5</v>
      </c>
      <c r="E10" s="51">
        <f>VALUE(LEFT(E39,5))</f>
        <v>71.25</v>
      </c>
      <c r="F10" s="51">
        <f t="shared" ref="F10:H10" si="10">VALUE(LEFT(F39,5))</f>
        <v>71.75</v>
      </c>
      <c r="G10" s="51">
        <f t="shared" si="10"/>
        <v>71.75</v>
      </c>
      <c r="H10" s="51">
        <f t="shared" si="10"/>
        <v>71.75</v>
      </c>
    </row>
    <row r="11" spans="1:8" ht="22">
      <c r="A11" s="22" t="s">
        <v>137</v>
      </c>
      <c r="B11" s="80" t="s">
        <v>615</v>
      </c>
      <c r="C11" s="51">
        <f t="shared" ref="C11:H11" si="11">VALUE(LEFT(C40,3))</f>
        <v>270</v>
      </c>
      <c r="D11" s="51">
        <f t="shared" si="11"/>
        <v>265</v>
      </c>
      <c r="E11" s="51">
        <f t="shared" si="11"/>
        <v>265</v>
      </c>
      <c r="F11" s="51">
        <f t="shared" si="11"/>
        <v>265</v>
      </c>
      <c r="G11" s="51">
        <f t="shared" si="11"/>
        <v>265</v>
      </c>
      <c r="H11" s="51">
        <f t="shared" si="11"/>
        <v>265</v>
      </c>
    </row>
    <row r="12" spans="1:8" ht="22">
      <c r="A12" s="22" t="s">
        <v>65</v>
      </c>
      <c r="B12" s="80" t="s">
        <v>174</v>
      </c>
      <c r="C12" s="51">
        <f>VALUE(LEFT(C41,2))</f>
        <v>80</v>
      </c>
      <c r="D12" s="51">
        <f t="shared" ref="D12:H13" si="12">VALUE(LEFT(D41,2))</f>
        <v>85</v>
      </c>
      <c r="E12" s="51">
        <f t="shared" si="12"/>
        <v>85</v>
      </c>
      <c r="F12" s="51">
        <f t="shared" si="12"/>
        <v>85</v>
      </c>
      <c r="G12" s="51">
        <f t="shared" si="12"/>
        <v>85</v>
      </c>
      <c r="H12" s="51">
        <f t="shared" si="12"/>
        <v>85</v>
      </c>
    </row>
    <row r="13" spans="1:8" ht="22">
      <c r="A13" s="22" t="s">
        <v>135</v>
      </c>
      <c r="B13" s="80" t="s">
        <v>133</v>
      </c>
      <c r="C13" s="51">
        <f>VALUE(LEFT(C42,2))</f>
        <v>69</v>
      </c>
      <c r="D13" s="51">
        <f t="shared" si="12"/>
        <v>66</v>
      </c>
      <c r="E13" s="51">
        <f t="shared" si="12"/>
        <v>61</v>
      </c>
      <c r="F13" s="51">
        <f t="shared" si="12"/>
        <v>57</v>
      </c>
      <c r="G13" s="51">
        <f t="shared" si="12"/>
        <v>57</v>
      </c>
      <c r="H13" s="51">
        <f t="shared" si="12"/>
        <v>57</v>
      </c>
    </row>
    <row r="14" spans="1:8" ht="22">
      <c r="A14" s="22" t="s">
        <v>495</v>
      </c>
      <c r="B14" s="80" t="s">
        <v>619</v>
      </c>
      <c r="C14" s="51">
        <f t="shared" ref="C14:H14" si="13">VALUE(LEFT(C43,3))</f>
        <v>390</v>
      </c>
      <c r="D14" s="51">
        <f t="shared" si="13"/>
        <v>390</v>
      </c>
      <c r="E14" s="51">
        <f t="shared" si="13"/>
        <v>390</v>
      </c>
      <c r="F14" s="51">
        <f t="shared" si="13"/>
        <v>390</v>
      </c>
      <c r="G14" s="51">
        <f t="shared" si="13"/>
        <v>390</v>
      </c>
      <c r="H14" s="51">
        <f t="shared" si="13"/>
        <v>390</v>
      </c>
    </row>
    <row r="15" spans="1:8" ht="22">
      <c r="A15" s="22" t="s">
        <v>67</v>
      </c>
      <c r="B15" s="80" t="s">
        <v>621</v>
      </c>
      <c r="C15" s="51">
        <f>VALUE(LEFT(C44,2))</f>
        <v>55</v>
      </c>
      <c r="D15" s="51">
        <f t="shared" ref="D15:H15" si="14">VALUE(LEFT(D44,2))</f>
        <v>55</v>
      </c>
      <c r="E15" s="51">
        <f t="shared" si="14"/>
        <v>55</v>
      </c>
      <c r="F15" s="51">
        <f t="shared" si="14"/>
        <v>55</v>
      </c>
      <c r="G15" s="51">
        <f t="shared" si="14"/>
        <v>55</v>
      </c>
      <c r="H15" s="51">
        <f t="shared" si="14"/>
        <v>55</v>
      </c>
    </row>
    <row r="16" spans="1:8" ht="22">
      <c r="A16" s="22" t="s">
        <v>363</v>
      </c>
      <c r="B16" s="80" t="s">
        <v>478</v>
      </c>
      <c r="C16" s="51">
        <f t="shared" ref="C16:H16" si="15">VALUE(LEFT(C45,3))</f>
        <v>607</v>
      </c>
      <c r="D16" s="51">
        <f t="shared" si="15"/>
        <v>612</v>
      </c>
      <c r="E16" s="51">
        <f t="shared" si="15"/>
        <v>619</v>
      </c>
      <c r="F16" s="51">
        <f t="shared" si="15"/>
        <v>629</v>
      </c>
      <c r="G16" s="51">
        <f t="shared" si="15"/>
        <v>645</v>
      </c>
      <c r="H16" s="51">
        <f t="shared" si="15"/>
        <v>663</v>
      </c>
    </row>
    <row r="17" spans="1:10" ht="22">
      <c r="A17" s="22" t="s">
        <v>66</v>
      </c>
      <c r="B17" s="80" t="s">
        <v>7</v>
      </c>
      <c r="C17" s="51">
        <f t="shared" ref="C17:H17" si="16">VALUE(LEFT(C46,3))</f>
        <v>429</v>
      </c>
      <c r="D17" s="51">
        <f t="shared" si="16"/>
        <v>429</v>
      </c>
      <c r="E17" s="51">
        <f t="shared" si="16"/>
        <v>429</v>
      </c>
      <c r="F17" s="51">
        <f t="shared" si="16"/>
        <v>429</v>
      </c>
      <c r="G17" s="51">
        <f t="shared" si="16"/>
        <v>429</v>
      </c>
      <c r="H17" s="51">
        <f t="shared" si="16"/>
        <v>429</v>
      </c>
    </row>
    <row r="18" spans="1:10" ht="22">
      <c r="A18" s="22" t="s">
        <v>56</v>
      </c>
      <c r="B18" s="80" t="s">
        <v>9</v>
      </c>
      <c r="C18" s="51">
        <f>VALUE(LEFT(C47,4))</f>
        <v>1023</v>
      </c>
      <c r="D18" s="51">
        <f t="shared" ref="D18:H18" si="17">VALUE(LEFT(D47,4))</f>
        <v>1027</v>
      </c>
      <c r="E18" s="51">
        <f t="shared" si="17"/>
        <v>1034</v>
      </c>
      <c r="F18" s="51">
        <f t="shared" si="17"/>
        <v>1044</v>
      </c>
      <c r="G18" s="51">
        <f t="shared" si="17"/>
        <v>1060</v>
      </c>
      <c r="H18" s="51">
        <f t="shared" si="17"/>
        <v>1078</v>
      </c>
    </row>
    <row r="19" spans="1:10" ht="22">
      <c r="A19" s="22" t="s">
        <v>73</v>
      </c>
      <c r="B19" s="80" t="s">
        <v>628</v>
      </c>
      <c r="C19" s="51">
        <f t="shared" ref="C19:H19" si="18">VALUE(LEFT(C48,3))</f>
        <v>527</v>
      </c>
      <c r="D19" s="51">
        <f t="shared" si="18"/>
        <v>540</v>
      </c>
      <c r="E19" s="51">
        <f t="shared" si="18"/>
        <v>556</v>
      </c>
      <c r="F19" s="51">
        <f t="shared" si="18"/>
        <v>570</v>
      </c>
      <c r="G19" s="51">
        <f t="shared" si="18"/>
        <v>586</v>
      </c>
      <c r="H19" s="51">
        <f t="shared" si="18"/>
        <v>602</v>
      </c>
    </row>
    <row r="20" spans="1:10" ht="22">
      <c r="A20" s="22" t="s">
        <v>57</v>
      </c>
      <c r="B20" s="80" t="s">
        <v>632</v>
      </c>
      <c r="C20" s="51">
        <f t="shared" ref="C20:H20" si="19">VALUE(LEFT(C49,3))</f>
        <v>704</v>
      </c>
      <c r="D20" s="51">
        <f t="shared" si="19"/>
        <v>730</v>
      </c>
      <c r="E20" s="51">
        <f t="shared" si="19"/>
        <v>753</v>
      </c>
      <c r="F20" s="51">
        <f t="shared" si="19"/>
        <v>778</v>
      </c>
      <c r="G20" s="51">
        <f t="shared" si="19"/>
        <v>804</v>
      </c>
      <c r="H20" s="51">
        <f t="shared" si="19"/>
        <v>833</v>
      </c>
    </row>
    <row r="21" spans="1:10" ht="22">
      <c r="A21" s="22" t="s">
        <v>60</v>
      </c>
      <c r="B21" s="80" t="s">
        <v>173</v>
      </c>
      <c r="C21" s="51">
        <f t="shared" ref="C21:H21" si="20">VALUE(LEFT(C50,3))</f>
        <v>390</v>
      </c>
      <c r="D21" s="51">
        <f t="shared" si="20"/>
        <v>430</v>
      </c>
      <c r="E21" s="51">
        <f t="shared" si="20"/>
        <v>470</v>
      </c>
      <c r="F21" s="51">
        <f t="shared" si="20"/>
        <v>500</v>
      </c>
      <c r="G21" s="51">
        <f t="shared" si="20"/>
        <v>530</v>
      </c>
      <c r="H21" s="51">
        <f t="shared" si="20"/>
        <v>560</v>
      </c>
    </row>
    <row r="22" spans="1:10" ht="22">
      <c r="A22" s="22" t="s">
        <v>63</v>
      </c>
      <c r="B22" s="80" t="s">
        <v>4</v>
      </c>
      <c r="C22" s="51">
        <f>VALUE(LEFT(C51,4))</f>
        <v>74.5</v>
      </c>
      <c r="D22" s="51">
        <f>VALUE(LEFT(D51,5))</f>
        <v>74.25</v>
      </c>
      <c r="E22" s="51">
        <f>VALUE(LEFT(E51,2))</f>
        <v>74</v>
      </c>
      <c r="F22" s="51">
        <f t="shared" ref="F22:H22" si="21">VALUE(LEFT(F51,2))</f>
        <v>74</v>
      </c>
      <c r="G22" s="51">
        <f t="shared" si="21"/>
        <v>74</v>
      </c>
      <c r="H22" s="51">
        <f t="shared" si="21"/>
        <v>74</v>
      </c>
    </row>
    <row r="23" spans="1:10">
      <c r="A23" s="22" t="s">
        <v>68</v>
      </c>
      <c r="B23" s="22" t="s">
        <v>68</v>
      </c>
      <c r="C23" s="22">
        <v>700</v>
      </c>
      <c r="D23" s="22">
        <v>700</v>
      </c>
      <c r="E23" s="22">
        <v>700</v>
      </c>
      <c r="F23" s="22">
        <v>700</v>
      </c>
      <c r="G23" s="22">
        <v>700</v>
      </c>
      <c r="H23" s="22">
        <v>700</v>
      </c>
    </row>
    <row r="24" spans="1:10">
      <c r="A24" s="22" t="s">
        <v>139</v>
      </c>
      <c r="B24" s="22" t="s">
        <v>139</v>
      </c>
      <c r="C24" s="22">
        <v>42</v>
      </c>
      <c r="D24" s="22">
        <v>42</v>
      </c>
      <c r="E24" s="22">
        <v>42</v>
      </c>
      <c r="F24" s="22">
        <v>42</v>
      </c>
      <c r="G24" s="22">
        <v>42</v>
      </c>
      <c r="H24" s="22">
        <v>42</v>
      </c>
    </row>
    <row r="25" spans="1:10">
      <c r="A25" s="22" t="s">
        <v>140</v>
      </c>
      <c r="B25" s="22" t="s">
        <v>140</v>
      </c>
      <c r="C25" s="22">
        <v>47</v>
      </c>
      <c r="D25" s="22">
        <v>47</v>
      </c>
      <c r="E25" s="22">
        <v>47</v>
      </c>
      <c r="F25" s="22">
        <v>47</v>
      </c>
      <c r="G25" s="22">
        <v>47</v>
      </c>
      <c r="H25" s="22">
        <v>47</v>
      </c>
    </row>
    <row r="26" spans="1:10">
      <c r="A26" s="22" t="s">
        <v>1752</v>
      </c>
      <c r="B26" s="22" t="s">
        <v>1752</v>
      </c>
      <c r="C26" s="22">
        <v>152</v>
      </c>
      <c r="D26" s="22">
        <v>163</v>
      </c>
      <c r="E26" s="22">
        <v>170</v>
      </c>
      <c r="F26" s="22">
        <v>175</v>
      </c>
      <c r="G26" s="22">
        <v>180</v>
      </c>
      <c r="H26" s="22">
        <v>188</v>
      </c>
    </row>
    <row r="27" spans="1:10">
      <c r="A27" s="22" t="s">
        <v>1753</v>
      </c>
      <c r="B27" s="22" t="s">
        <v>1753</v>
      </c>
      <c r="C27" s="22">
        <v>163</v>
      </c>
      <c r="D27" s="22">
        <v>170</v>
      </c>
      <c r="E27" s="22">
        <v>175</v>
      </c>
      <c r="F27" s="22">
        <v>180</v>
      </c>
      <c r="G27" s="22">
        <v>188</v>
      </c>
      <c r="H27" s="22">
        <v>196</v>
      </c>
    </row>
    <row r="30" spans="1:10" ht="22">
      <c r="C30" s="79">
        <v>49</v>
      </c>
      <c r="D30" s="79">
        <v>52</v>
      </c>
      <c r="E30" s="79">
        <v>54</v>
      </c>
      <c r="F30" s="79">
        <v>56</v>
      </c>
      <c r="G30" s="79">
        <v>58</v>
      </c>
      <c r="H30" s="79">
        <v>61</v>
      </c>
      <c r="J30"/>
    </row>
    <row r="31" spans="1:10" ht="22">
      <c r="B31" s="80" t="s">
        <v>58</v>
      </c>
      <c r="C31" s="81" t="s">
        <v>1290</v>
      </c>
      <c r="D31" s="81" t="s">
        <v>1190</v>
      </c>
      <c r="E31" s="81" t="s">
        <v>1033</v>
      </c>
      <c r="F31" s="81" t="s">
        <v>1033</v>
      </c>
      <c r="G31" s="81" t="s">
        <v>243</v>
      </c>
      <c r="H31" s="81" t="s">
        <v>243</v>
      </c>
    </row>
    <row r="32" spans="1:10" ht="22">
      <c r="B32" s="80" t="s">
        <v>12</v>
      </c>
      <c r="C32" s="81" t="s">
        <v>236</v>
      </c>
      <c r="D32" s="81" t="s">
        <v>863</v>
      </c>
      <c r="E32" s="81" t="s">
        <v>610</v>
      </c>
      <c r="F32" s="81" t="s">
        <v>610</v>
      </c>
      <c r="G32" s="81" t="s">
        <v>611</v>
      </c>
      <c r="H32" s="81" t="s">
        <v>611</v>
      </c>
    </row>
    <row r="33" spans="2:8" ht="22">
      <c r="B33" s="80" t="s">
        <v>13</v>
      </c>
      <c r="C33" s="81" t="s">
        <v>1291</v>
      </c>
      <c r="D33" s="81" t="s">
        <v>1204</v>
      </c>
      <c r="E33" s="81" t="s">
        <v>1028</v>
      </c>
      <c r="F33" s="81" t="s">
        <v>1292</v>
      </c>
      <c r="G33" s="81" t="s">
        <v>1251</v>
      </c>
      <c r="H33" s="81" t="s">
        <v>1251</v>
      </c>
    </row>
    <row r="34" spans="2:8" ht="22">
      <c r="B34" s="80" t="s">
        <v>1296</v>
      </c>
      <c r="C34" s="81" t="s">
        <v>1297</v>
      </c>
      <c r="D34" s="81" t="s">
        <v>1297</v>
      </c>
      <c r="E34" s="81" t="s">
        <v>1298</v>
      </c>
      <c r="F34" s="81" t="s">
        <v>1298</v>
      </c>
      <c r="G34" s="81" t="s">
        <v>1298</v>
      </c>
      <c r="H34" s="81" t="s">
        <v>1298</v>
      </c>
    </row>
    <row r="35" spans="2:8" ht="22">
      <c r="B35" s="80" t="s">
        <v>1294</v>
      </c>
      <c r="C35" s="81" t="s">
        <v>2049</v>
      </c>
      <c r="D35" s="81" t="s">
        <v>2049</v>
      </c>
      <c r="E35" s="81" t="s">
        <v>2049</v>
      </c>
      <c r="F35" s="81" t="s">
        <v>2049</v>
      </c>
      <c r="G35" s="81" t="s">
        <v>2049</v>
      </c>
      <c r="H35" s="81" t="s">
        <v>2049</v>
      </c>
    </row>
    <row r="36" spans="2:8" ht="22">
      <c r="B36" s="80" t="s">
        <v>0</v>
      </c>
      <c r="C36" s="81" t="s">
        <v>2050</v>
      </c>
      <c r="D36" s="81" t="s">
        <v>2051</v>
      </c>
      <c r="E36" s="81" t="s">
        <v>1257</v>
      </c>
      <c r="F36" s="81" t="s">
        <v>2052</v>
      </c>
      <c r="G36" s="81" t="s">
        <v>1467</v>
      </c>
      <c r="H36" s="81" t="s">
        <v>1302</v>
      </c>
    </row>
    <row r="37" spans="2:8" ht="22">
      <c r="B37" s="80" t="s">
        <v>1</v>
      </c>
      <c r="C37" s="81" t="s">
        <v>257</v>
      </c>
      <c r="D37" s="81" t="s">
        <v>1304</v>
      </c>
      <c r="E37" s="81" t="s">
        <v>1305</v>
      </c>
      <c r="F37" s="81" t="s">
        <v>1306</v>
      </c>
      <c r="G37" s="81" t="s">
        <v>1307</v>
      </c>
      <c r="H37" s="81" t="s">
        <v>1262</v>
      </c>
    </row>
    <row r="38" spans="2:8" ht="22">
      <c r="B38" s="80" t="s">
        <v>5</v>
      </c>
      <c r="C38" s="81" t="s">
        <v>1251</v>
      </c>
      <c r="D38" s="81" t="s">
        <v>1251</v>
      </c>
      <c r="E38" s="81" t="s">
        <v>241</v>
      </c>
      <c r="F38" s="81" t="s">
        <v>830</v>
      </c>
      <c r="G38" s="81" t="s">
        <v>1297</v>
      </c>
      <c r="H38" s="81" t="s">
        <v>2053</v>
      </c>
    </row>
    <row r="39" spans="2:8" ht="22">
      <c r="B39" s="80" t="s">
        <v>3</v>
      </c>
      <c r="C39" s="81" t="s">
        <v>579</v>
      </c>
      <c r="D39" s="81" t="s">
        <v>843</v>
      </c>
      <c r="E39" s="81" t="s">
        <v>1312</v>
      </c>
      <c r="F39" s="81" t="s">
        <v>1313</v>
      </c>
      <c r="G39" s="81" t="s">
        <v>1313</v>
      </c>
      <c r="H39" s="81" t="s">
        <v>1313</v>
      </c>
    </row>
    <row r="40" spans="2:8" ht="22">
      <c r="B40" s="80" t="s">
        <v>615</v>
      </c>
      <c r="C40" s="81" t="s">
        <v>1315</v>
      </c>
      <c r="D40" s="81" t="s">
        <v>616</v>
      </c>
      <c r="E40" s="81" t="s">
        <v>616</v>
      </c>
      <c r="F40" s="81" t="s">
        <v>616</v>
      </c>
      <c r="G40" s="81" t="s">
        <v>616</v>
      </c>
      <c r="H40" s="81" t="s">
        <v>616</v>
      </c>
    </row>
    <row r="41" spans="2:8" ht="22">
      <c r="B41" s="80" t="s">
        <v>174</v>
      </c>
      <c r="C41" s="81" t="s">
        <v>1028</v>
      </c>
      <c r="D41" s="81" t="s">
        <v>617</v>
      </c>
      <c r="E41" s="81" t="s">
        <v>617</v>
      </c>
      <c r="F41" s="81" t="s">
        <v>617</v>
      </c>
      <c r="G41" s="81" t="s">
        <v>617</v>
      </c>
      <c r="H41" s="81" t="s">
        <v>617</v>
      </c>
    </row>
    <row r="42" spans="2:8" ht="22">
      <c r="B42" s="80" t="s">
        <v>133</v>
      </c>
      <c r="C42" s="81" t="s">
        <v>618</v>
      </c>
      <c r="D42" s="81" t="s">
        <v>853</v>
      </c>
      <c r="E42" s="81" t="s">
        <v>1316</v>
      </c>
      <c r="F42" s="81" t="s">
        <v>1317</v>
      </c>
      <c r="G42" s="81" t="s">
        <v>1317</v>
      </c>
      <c r="H42" s="81" t="s">
        <v>1317</v>
      </c>
    </row>
    <row r="43" spans="2:8" ht="22">
      <c r="B43" s="80" t="s">
        <v>619</v>
      </c>
      <c r="C43" s="81" t="s">
        <v>620</v>
      </c>
      <c r="D43" s="81" t="s">
        <v>620</v>
      </c>
      <c r="E43" s="81" t="s">
        <v>620</v>
      </c>
      <c r="F43" s="81" t="s">
        <v>620</v>
      </c>
      <c r="G43" s="81" t="s">
        <v>620</v>
      </c>
      <c r="H43" s="81" t="s">
        <v>620</v>
      </c>
    </row>
    <row r="44" spans="2:8" ht="22">
      <c r="B44" s="80" t="s">
        <v>621</v>
      </c>
      <c r="C44" s="81" t="s">
        <v>248</v>
      </c>
      <c r="D44" s="81" t="s">
        <v>248</v>
      </c>
      <c r="E44" s="81" t="s">
        <v>248</v>
      </c>
      <c r="F44" s="81" t="s">
        <v>248</v>
      </c>
      <c r="G44" s="81" t="s">
        <v>248</v>
      </c>
      <c r="H44" s="81" t="s">
        <v>248</v>
      </c>
    </row>
    <row r="45" spans="2:8" ht="22">
      <c r="B45" s="80" t="s">
        <v>478</v>
      </c>
      <c r="C45" s="81" t="s">
        <v>607</v>
      </c>
      <c r="D45" s="81" t="s">
        <v>2054</v>
      </c>
      <c r="E45" s="81" t="s">
        <v>864</v>
      </c>
      <c r="F45" s="81" t="s">
        <v>2055</v>
      </c>
      <c r="G45" s="81" t="s">
        <v>2056</v>
      </c>
      <c r="H45" s="81" t="s">
        <v>2057</v>
      </c>
    </row>
    <row r="46" spans="2:8" ht="22">
      <c r="B46" s="80" t="s">
        <v>7</v>
      </c>
      <c r="C46" s="81" t="s">
        <v>2058</v>
      </c>
      <c r="D46" s="81" t="s">
        <v>2058</v>
      </c>
      <c r="E46" s="81" t="s">
        <v>2058</v>
      </c>
      <c r="F46" s="81" t="s">
        <v>2058</v>
      </c>
      <c r="G46" s="81" t="s">
        <v>2058</v>
      </c>
      <c r="H46" s="81" t="s">
        <v>2058</v>
      </c>
    </row>
    <row r="47" spans="2:8" ht="22">
      <c r="B47" s="80" t="s">
        <v>9</v>
      </c>
      <c r="C47" s="81" t="s">
        <v>2059</v>
      </c>
      <c r="D47" s="81" t="s">
        <v>851</v>
      </c>
      <c r="E47" s="81" t="s">
        <v>2060</v>
      </c>
      <c r="F47" s="81" t="s">
        <v>2061</v>
      </c>
      <c r="G47" s="81" t="s">
        <v>1199</v>
      </c>
      <c r="H47" s="81" t="s">
        <v>2062</v>
      </c>
    </row>
    <row r="48" spans="2:8" ht="22">
      <c r="B48" s="80" t="s">
        <v>628</v>
      </c>
      <c r="C48" s="81" t="s">
        <v>2063</v>
      </c>
      <c r="D48" s="81" t="s">
        <v>849</v>
      </c>
      <c r="E48" s="81" t="s">
        <v>2064</v>
      </c>
      <c r="F48" s="81" t="s">
        <v>848</v>
      </c>
      <c r="G48" s="81" t="s">
        <v>2065</v>
      </c>
      <c r="H48" s="81" t="s">
        <v>2066</v>
      </c>
    </row>
    <row r="49" spans="2:8" ht="22">
      <c r="B49" s="80" t="s">
        <v>632</v>
      </c>
      <c r="C49" s="81" t="s">
        <v>2067</v>
      </c>
      <c r="D49" s="81" t="s">
        <v>2068</v>
      </c>
      <c r="E49" s="81" t="s">
        <v>2069</v>
      </c>
      <c r="F49" s="81" t="s">
        <v>2070</v>
      </c>
      <c r="G49" s="81" t="s">
        <v>2071</v>
      </c>
      <c r="H49" s="81" t="s">
        <v>2072</v>
      </c>
    </row>
    <row r="50" spans="2:8" ht="22">
      <c r="B50" s="80" t="s">
        <v>173</v>
      </c>
      <c r="C50" s="81" t="s">
        <v>620</v>
      </c>
      <c r="D50" s="81" t="s">
        <v>237</v>
      </c>
      <c r="E50" s="81" t="s">
        <v>636</v>
      </c>
      <c r="F50" s="81" t="s">
        <v>637</v>
      </c>
      <c r="G50" s="81" t="s">
        <v>638</v>
      </c>
      <c r="H50" s="81" t="s">
        <v>855</v>
      </c>
    </row>
    <row r="51" spans="2:8" ht="22">
      <c r="B51" s="80" t="s">
        <v>4</v>
      </c>
      <c r="C51" s="81" t="s">
        <v>799</v>
      </c>
      <c r="D51" s="81" t="s">
        <v>1182</v>
      </c>
      <c r="E51" s="81" t="s">
        <v>32</v>
      </c>
      <c r="F51" s="81" t="s">
        <v>32</v>
      </c>
      <c r="G51" s="81" t="s">
        <v>32</v>
      </c>
      <c r="H51" s="81" t="s">
        <v>32</v>
      </c>
    </row>
    <row r="52" spans="2:8">
      <c r="B52" s="22" t="s">
        <v>1340</v>
      </c>
    </row>
  </sheetData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D492-25A0-AC46-AEEC-CAD97533905E}">
  <dimension ref="A1:H23"/>
  <sheetViews>
    <sheetView workbookViewId="0">
      <selection activeCell="A12" sqref="A12"/>
    </sheetView>
  </sheetViews>
  <sheetFormatPr baseColWidth="10" defaultRowHeight="20"/>
  <cols>
    <col min="1" max="1" width="19.83203125" style="22" bestFit="1" customWidth="1"/>
    <col min="2" max="2" width="20.83203125" style="22" bestFit="1" customWidth="1"/>
    <col min="3" max="16384" width="10.83203125" style="22"/>
  </cols>
  <sheetData>
    <row r="1" spans="1:8">
      <c r="A1" s="22" t="s">
        <v>72</v>
      </c>
      <c r="B1" s="22" t="s">
        <v>141</v>
      </c>
      <c r="C1" s="22" t="s">
        <v>16</v>
      </c>
      <c r="D1" s="22" t="s">
        <v>17</v>
      </c>
      <c r="E1" s="22" t="s">
        <v>771</v>
      </c>
      <c r="F1" s="22" t="s">
        <v>1350</v>
      </c>
      <c r="G1" s="22" t="s">
        <v>20</v>
      </c>
      <c r="H1" s="22" t="s">
        <v>1289</v>
      </c>
    </row>
    <row r="2" spans="1:8">
      <c r="A2" s="22" t="s">
        <v>60</v>
      </c>
      <c r="B2" s="22" t="s">
        <v>582</v>
      </c>
      <c r="C2" s="22">
        <v>420</v>
      </c>
      <c r="D2" s="22">
        <v>475</v>
      </c>
      <c r="E2" s="22">
        <v>490</v>
      </c>
      <c r="F2" s="22">
        <v>530</v>
      </c>
      <c r="G2" s="22">
        <v>560</v>
      </c>
      <c r="H2" s="22">
        <v>580</v>
      </c>
    </row>
    <row r="3" spans="1:8">
      <c r="A3" s="22" t="s">
        <v>73</v>
      </c>
      <c r="B3" s="22" t="s">
        <v>1347</v>
      </c>
      <c r="C3" s="22">
        <v>505</v>
      </c>
      <c r="D3" s="22">
        <v>519</v>
      </c>
      <c r="E3" s="22">
        <v>535</v>
      </c>
      <c r="F3" s="22">
        <v>550</v>
      </c>
      <c r="G3" s="22">
        <v>565</v>
      </c>
      <c r="H3" s="22">
        <v>585</v>
      </c>
    </row>
    <row r="4" spans="1:8">
      <c r="A4" s="22" t="s">
        <v>64</v>
      </c>
      <c r="B4" s="22" t="s">
        <v>1348</v>
      </c>
      <c r="C4" s="22">
        <v>80</v>
      </c>
      <c r="D4" s="22">
        <v>85</v>
      </c>
      <c r="E4" s="22">
        <v>101</v>
      </c>
      <c r="F4" s="22">
        <v>120</v>
      </c>
      <c r="G4" s="22">
        <v>140</v>
      </c>
      <c r="H4" s="22">
        <v>159</v>
      </c>
    </row>
    <row r="5" spans="1:8">
      <c r="A5" s="22" t="s">
        <v>62</v>
      </c>
      <c r="B5" s="22" t="s">
        <v>487</v>
      </c>
      <c r="C5" s="22">
        <v>69</v>
      </c>
      <c r="D5" s="22">
        <v>69.5</v>
      </c>
      <c r="E5" s="22">
        <v>70</v>
      </c>
      <c r="F5" s="22">
        <v>70.5</v>
      </c>
      <c r="G5" s="22">
        <v>71</v>
      </c>
      <c r="H5" s="22">
        <v>71.5</v>
      </c>
    </row>
    <row r="6" spans="1:8">
      <c r="A6" s="22" t="s">
        <v>63</v>
      </c>
      <c r="B6" s="22" t="s">
        <v>485</v>
      </c>
      <c r="C6" s="22">
        <v>74.5</v>
      </c>
      <c r="D6" s="22">
        <v>74</v>
      </c>
      <c r="E6" s="22">
        <v>73.5</v>
      </c>
      <c r="F6" s="22">
        <v>73</v>
      </c>
      <c r="G6" s="22">
        <v>72.5</v>
      </c>
      <c r="H6" s="22">
        <v>72.5</v>
      </c>
    </row>
    <row r="7" spans="1:8">
      <c r="A7" s="22" t="s">
        <v>134</v>
      </c>
      <c r="B7" s="22" t="s">
        <v>478</v>
      </c>
      <c r="C7" s="22">
        <v>592</v>
      </c>
      <c r="D7" s="22">
        <v>597</v>
      </c>
      <c r="E7" s="22">
        <v>604</v>
      </c>
      <c r="F7" s="22">
        <v>610</v>
      </c>
      <c r="G7" s="22">
        <v>615</v>
      </c>
      <c r="H7" s="22">
        <v>630</v>
      </c>
    </row>
    <row r="8" spans="1:8">
      <c r="A8" s="22" t="s">
        <v>55</v>
      </c>
      <c r="B8" s="22" t="s">
        <v>1</v>
      </c>
      <c r="C8" s="22">
        <v>359</v>
      </c>
      <c r="D8" s="22">
        <v>366</v>
      </c>
      <c r="E8" s="22">
        <v>372</v>
      </c>
      <c r="F8" s="22">
        <v>376</v>
      </c>
      <c r="G8" s="22">
        <v>379</v>
      </c>
      <c r="H8" s="22">
        <v>392</v>
      </c>
    </row>
    <row r="9" spans="1:8">
      <c r="A9" s="22" t="s">
        <v>54</v>
      </c>
      <c r="B9" s="22" t="s">
        <v>0</v>
      </c>
      <c r="C9" s="22">
        <v>526</v>
      </c>
      <c r="D9" s="22">
        <v>533</v>
      </c>
      <c r="E9" s="22">
        <v>550</v>
      </c>
      <c r="F9" s="22">
        <v>570</v>
      </c>
      <c r="G9" s="22">
        <v>591</v>
      </c>
      <c r="H9" s="22">
        <v>611</v>
      </c>
    </row>
    <row r="10" spans="1:8">
      <c r="A10" s="22" t="s">
        <v>65</v>
      </c>
      <c r="B10" s="22" t="s">
        <v>354</v>
      </c>
      <c r="C10" s="22">
        <v>70</v>
      </c>
      <c r="D10" s="22">
        <v>70</v>
      </c>
      <c r="E10" s="22">
        <v>70</v>
      </c>
      <c r="F10" s="22">
        <v>70</v>
      </c>
      <c r="G10" s="22">
        <v>70</v>
      </c>
      <c r="H10" s="22">
        <v>70</v>
      </c>
    </row>
    <row r="11" spans="1:8">
      <c r="A11" s="22" t="s">
        <v>66</v>
      </c>
      <c r="B11" s="22" t="s">
        <v>1349</v>
      </c>
      <c r="C11" s="22">
        <v>420</v>
      </c>
      <c r="D11" s="22">
        <v>420</v>
      </c>
      <c r="E11" s="22">
        <v>420</v>
      </c>
      <c r="F11" s="22">
        <v>420</v>
      </c>
      <c r="G11" s="22">
        <v>420</v>
      </c>
      <c r="H11" s="22">
        <v>420</v>
      </c>
    </row>
    <row r="12" spans="1:8">
      <c r="A12" s="22" t="s">
        <v>57</v>
      </c>
      <c r="B12" s="22" t="s">
        <v>14</v>
      </c>
      <c r="C12" s="22">
        <v>718</v>
      </c>
      <c r="D12" s="22">
        <v>750</v>
      </c>
      <c r="E12" s="22">
        <v>764</v>
      </c>
      <c r="F12" s="22">
        <v>791</v>
      </c>
      <c r="G12" s="22">
        <v>818</v>
      </c>
      <c r="H12" s="22">
        <v>838</v>
      </c>
    </row>
    <row r="13" spans="1:8">
      <c r="A13" s="22" t="s">
        <v>56</v>
      </c>
      <c r="B13" s="22" t="s">
        <v>56</v>
      </c>
      <c r="C13" s="22">
        <f>SQRT(C11^2+C10^2) + SQRT(C7^2 + C10^2)</f>
        <v>1021.9175252645318</v>
      </c>
      <c r="D13" s="22">
        <f t="shared" ref="D13:H13" si="0">SQRT(D11^2+D10^2) + SQRT(D7^2 + D10^2)</f>
        <v>1026.8832206551012</v>
      </c>
      <c r="E13" s="22">
        <f t="shared" si="0"/>
        <v>1033.8361387750208</v>
      </c>
      <c r="F13" s="22">
        <f t="shared" si="0"/>
        <v>1039.7966344412255</v>
      </c>
      <c r="G13" s="22">
        <f t="shared" si="0"/>
        <v>1044.7642972778729</v>
      </c>
      <c r="H13" s="22">
        <f t="shared" si="0"/>
        <v>1059.6703367904945</v>
      </c>
    </row>
    <row r="14" spans="1:8">
      <c r="A14" s="22" t="s">
        <v>136</v>
      </c>
      <c r="C14" s="22">
        <v>415</v>
      </c>
      <c r="D14" s="22">
        <v>415</v>
      </c>
      <c r="E14" s="22">
        <v>415</v>
      </c>
      <c r="F14" s="22">
        <v>415</v>
      </c>
      <c r="G14" s="22">
        <v>415</v>
      </c>
      <c r="H14" s="22">
        <v>415</v>
      </c>
    </row>
    <row r="15" spans="1:8">
      <c r="A15" s="22" t="s">
        <v>67</v>
      </c>
      <c r="B15" s="22" t="s">
        <v>67</v>
      </c>
      <c r="C15" s="22">
        <v>50</v>
      </c>
      <c r="D15" s="22">
        <v>50</v>
      </c>
      <c r="E15" s="22">
        <v>50</v>
      </c>
      <c r="F15" s="22">
        <v>50</v>
      </c>
      <c r="G15" s="22">
        <v>50</v>
      </c>
      <c r="H15" s="22">
        <v>50</v>
      </c>
    </row>
    <row r="16" spans="1:8">
      <c r="A16" s="22" t="s">
        <v>69</v>
      </c>
      <c r="B16" s="22" t="s">
        <v>69</v>
      </c>
    </row>
    <row r="17" spans="1:8">
      <c r="A17" s="22" t="s">
        <v>70</v>
      </c>
      <c r="B17" s="22" t="s">
        <v>70</v>
      </c>
    </row>
    <row r="18" spans="1:8">
      <c r="A18" s="22" t="s">
        <v>71</v>
      </c>
      <c r="B18" s="22" t="s">
        <v>71</v>
      </c>
    </row>
    <row r="19" spans="1:8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  <c r="H19" s="22">
        <v>700</v>
      </c>
    </row>
    <row r="20" spans="1:8">
      <c r="A20" s="22" t="s">
        <v>139</v>
      </c>
      <c r="B20" s="22" t="s">
        <v>139</v>
      </c>
      <c r="C20" s="22">
        <v>40</v>
      </c>
      <c r="D20" s="22">
        <v>40</v>
      </c>
      <c r="E20" s="22">
        <v>40</v>
      </c>
      <c r="F20" s="22">
        <v>40</v>
      </c>
      <c r="G20" s="22">
        <v>40</v>
      </c>
      <c r="H20" s="22">
        <v>40</v>
      </c>
    </row>
    <row r="21" spans="1:8">
      <c r="A21" s="22" t="s">
        <v>140</v>
      </c>
      <c r="B21" s="22" t="s">
        <v>140</v>
      </c>
      <c r="C21" s="22">
        <v>40</v>
      </c>
      <c r="D21" s="22">
        <v>40</v>
      </c>
      <c r="E21" s="22">
        <v>40</v>
      </c>
      <c r="F21" s="22">
        <v>40</v>
      </c>
      <c r="G21" s="22">
        <v>40</v>
      </c>
      <c r="H21" s="22">
        <v>40</v>
      </c>
    </row>
    <row r="22" spans="1:8">
      <c r="A22" s="22" t="s">
        <v>2128</v>
      </c>
    </row>
    <row r="23" spans="1:8">
      <c r="A23" s="22" t="s">
        <v>2129</v>
      </c>
    </row>
  </sheetData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4E87-BB9A-E346-B4E1-059BA23C6868}">
  <dimension ref="A1:G46"/>
  <sheetViews>
    <sheetView zoomScale="134" zoomScaleNormal="134" workbookViewId="0">
      <selection activeCell="B22" sqref="B22:B23"/>
    </sheetView>
  </sheetViews>
  <sheetFormatPr baseColWidth="10" defaultRowHeight="19"/>
  <cols>
    <col min="1" max="1" width="23.1640625" style="2" bestFit="1" customWidth="1"/>
    <col min="2" max="2" width="23.83203125" style="2" bestFit="1" customWidth="1"/>
    <col min="3" max="16384" width="10.83203125" style="2"/>
  </cols>
  <sheetData>
    <row r="1" spans="1:7">
      <c r="A1" s="2" t="s">
        <v>72</v>
      </c>
      <c r="B1" s="99" t="s">
        <v>167</v>
      </c>
      <c r="C1" s="99" t="s">
        <v>16</v>
      </c>
      <c r="D1" s="99" t="s">
        <v>168</v>
      </c>
      <c r="E1" s="99" t="s">
        <v>169</v>
      </c>
      <c r="F1" s="99" t="s">
        <v>170</v>
      </c>
      <c r="G1" s="99" t="s">
        <v>20</v>
      </c>
    </row>
    <row r="2" spans="1:7">
      <c r="A2" s="2" t="s">
        <v>55</v>
      </c>
      <c r="B2" s="99" t="s">
        <v>1</v>
      </c>
      <c r="C2" s="100">
        <v>381</v>
      </c>
      <c r="D2" s="100">
        <v>405</v>
      </c>
      <c r="E2" s="100">
        <v>420</v>
      </c>
      <c r="F2" s="100">
        <v>444</v>
      </c>
      <c r="G2" s="100">
        <v>458</v>
      </c>
    </row>
    <row r="3" spans="1:7">
      <c r="A3" s="2" t="s">
        <v>54</v>
      </c>
      <c r="B3" s="99" t="s">
        <v>0</v>
      </c>
      <c r="C3" s="100">
        <v>585</v>
      </c>
      <c r="D3" s="100">
        <v>604</v>
      </c>
      <c r="E3" s="100">
        <v>623</v>
      </c>
      <c r="F3" s="100">
        <v>641</v>
      </c>
      <c r="G3" s="100">
        <v>660</v>
      </c>
    </row>
    <row r="4" spans="1:7">
      <c r="A4" s="2" t="s">
        <v>62</v>
      </c>
      <c r="B4" s="99" t="s">
        <v>3</v>
      </c>
      <c r="C4" s="100">
        <v>69.5</v>
      </c>
      <c r="D4" s="100">
        <v>69.5</v>
      </c>
      <c r="E4" s="100">
        <v>69.5</v>
      </c>
      <c r="F4" s="100">
        <v>69.5</v>
      </c>
      <c r="G4" s="100">
        <v>69.5</v>
      </c>
    </row>
    <row r="5" spans="1:7">
      <c r="A5" s="2" t="s">
        <v>64</v>
      </c>
      <c r="B5" s="99" t="s">
        <v>5</v>
      </c>
      <c r="C5" s="100">
        <v>160</v>
      </c>
      <c r="D5" s="100">
        <v>180</v>
      </c>
      <c r="E5" s="100">
        <v>200</v>
      </c>
      <c r="F5" s="100">
        <v>220</v>
      </c>
      <c r="G5" s="100">
        <v>240</v>
      </c>
    </row>
    <row r="6" spans="1:7">
      <c r="A6" s="2" t="s">
        <v>60</v>
      </c>
      <c r="B6" s="99" t="s">
        <v>173</v>
      </c>
      <c r="C6" s="100">
        <v>316</v>
      </c>
      <c r="D6" s="100">
        <v>386</v>
      </c>
      <c r="E6" s="100">
        <v>437.2</v>
      </c>
      <c r="F6" s="100">
        <v>488</v>
      </c>
      <c r="G6" s="100">
        <v>539</v>
      </c>
    </row>
    <row r="7" spans="1:7">
      <c r="A7" s="2" t="s">
        <v>65</v>
      </c>
      <c r="B7" s="99" t="s">
        <v>174</v>
      </c>
      <c r="C7" s="100">
        <v>50</v>
      </c>
      <c r="D7" s="100">
        <v>50</v>
      </c>
      <c r="E7" s="100">
        <v>50</v>
      </c>
      <c r="F7" s="100">
        <v>50</v>
      </c>
      <c r="G7" s="100">
        <v>50</v>
      </c>
    </row>
    <row r="8" spans="1:7">
      <c r="A8" s="2" t="s">
        <v>56</v>
      </c>
      <c r="B8" s="99" t="s">
        <v>9</v>
      </c>
      <c r="C8" s="100">
        <v>1057</v>
      </c>
      <c r="D8" s="100">
        <v>1088</v>
      </c>
      <c r="E8" s="100">
        <v>1109</v>
      </c>
      <c r="F8" s="100">
        <v>1140</v>
      </c>
      <c r="G8" s="100">
        <v>1162</v>
      </c>
    </row>
    <row r="9" spans="1:7">
      <c r="A9" s="2" t="s">
        <v>66</v>
      </c>
      <c r="B9" s="99" t="s">
        <v>7</v>
      </c>
      <c r="C9" s="100">
        <v>425</v>
      </c>
      <c r="D9" s="100">
        <v>425</v>
      </c>
      <c r="E9" s="100">
        <v>425</v>
      </c>
      <c r="F9" s="100">
        <v>425</v>
      </c>
      <c r="G9" s="100">
        <v>425</v>
      </c>
    </row>
    <row r="10" spans="1:7">
      <c r="A10" s="2" t="s">
        <v>73</v>
      </c>
      <c r="B10" s="99" t="s">
        <v>175</v>
      </c>
      <c r="C10" s="100">
        <v>560</v>
      </c>
      <c r="D10" s="100">
        <v>590</v>
      </c>
      <c r="E10" s="100">
        <v>610</v>
      </c>
      <c r="F10" s="100">
        <v>640</v>
      </c>
      <c r="G10" s="100">
        <v>660</v>
      </c>
    </row>
    <row r="11" spans="1:7">
      <c r="A11" s="2" t="s">
        <v>63</v>
      </c>
      <c r="B11" s="99" t="s">
        <v>4</v>
      </c>
      <c r="C11" s="100">
        <v>73</v>
      </c>
      <c r="D11" s="100">
        <v>73</v>
      </c>
      <c r="E11" s="100">
        <v>73</v>
      </c>
      <c r="F11" s="100">
        <v>73</v>
      </c>
      <c r="G11" s="100">
        <v>73</v>
      </c>
    </row>
    <row r="12" spans="1:7">
      <c r="A12" s="2" t="s">
        <v>57</v>
      </c>
      <c r="B12" s="99" t="s">
        <v>176</v>
      </c>
      <c r="C12" s="100">
        <v>719</v>
      </c>
      <c r="D12" s="100">
        <v>762</v>
      </c>
      <c r="E12" s="100">
        <v>796</v>
      </c>
      <c r="F12" s="100">
        <v>830</v>
      </c>
      <c r="G12" s="100">
        <v>863</v>
      </c>
    </row>
    <row r="13" spans="1:7">
      <c r="A13" s="2" t="s">
        <v>71</v>
      </c>
      <c r="B13" s="99" t="s">
        <v>13</v>
      </c>
      <c r="C13" s="100">
        <v>60</v>
      </c>
      <c r="D13" s="100">
        <v>60</v>
      </c>
      <c r="E13" s="100">
        <v>60</v>
      </c>
      <c r="F13" s="100">
        <v>60</v>
      </c>
      <c r="G13" s="100">
        <v>60</v>
      </c>
    </row>
    <row r="14" spans="1:7">
      <c r="A14" s="2" t="s">
        <v>181</v>
      </c>
      <c r="B14" s="99" t="s">
        <v>177</v>
      </c>
      <c r="C14" s="100">
        <v>6</v>
      </c>
      <c r="D14" s="100">
        <v>6</v>
      </c>
      <c r="E14" s="100">
        <v>6</v>
      </c>
      <c r="F14" s="100">
        <v>6</v>
      </c>
      <c r="G14" s="100">
        <v>6</v>
      </c>
    </row>
    <row r="15" spans="1:7">
      <c r="A15" s="2" t="s">
        <v>70</v>
      </c>
      <c r="B15" s="99" t="s">
        <v>12</v>
      </c>
      <c r="C15" s="100">
        <v>400</v>
      </c>
      <c r="D15" s="100">
        <v>420</v>
      </c>
      <c r="E15" s="100">
        <v>440</v>
      </c>
      <c r="F15" s="100">
        <v>460</v>
      </c>
      <c r="G15" s="100">
        <v>480</v>
      </c>
    </row>
    <row r="16" spans="1:7">
      <c r="A16" s="2" t="s">
        <v>69</v>
      </c>
      <c r="B16" s="99" t="s">
        <v>58</v>
      </c>
      <c r="C16" s="100">
        <v>170</v>
      </c>
      <c r="D16" s="100">
        <v>170</v>
      </c>
      <c r="E16" s="100">
        <v>175</v>
      </c>
      <c r="F16" s="100">
        <v>175</v>
      </c>
      <c r="G16" s="100">
        <v>175</v>
      </c>
    </row>
    <row r="17" spans="1:7">
      <c r="A17" s="2" t="s">
        <v>163</v>
      </c>
      <c r="B17" s="99" t="s">
        <v>178</v>
      </c>
      <c r="C17" s="100">
        <v>420</v>
      </c>
      <c r="D17" s="100">
        <v>420</v>
      </c>
      <c r="E17" s="100">
        <v>420</v>
      </c>
      <c r="F17" s="100">
        <v>420</v>
      </c>
      <c r="G17" s="100">
        <v>420</v>
      </c>
    </row>
    <row r="18" spans="1:7">
      <c r="A18" s="2" t="s">
        <v>67</v>
      </c>
      <c r="B18" s="99" t="s">
        <v>179</v>
      </c>
      <c r="C18" s="100">
        <v>50</v>
      </c>
      <c r="D18" s="100">
        <v>50</v>
      </c>
      <c r="E18" s="100">
        <v>50</v>
      </c>
      <c r="F18" s="100">
        <v>50</v>
      </c>
      <c r="G18" s="100">
        <v>50</v>
      </c>
    </row>
    <row r="19" spans="1:7">
      <c r="A19" s="2" t="s">
        <v>68</v>
      </c>
      <c r="B19" s="2" t="s">
        <v>68</v>
      </c>
      <c r="C19" s="100">
        <v>650</v>
      </c>
      <c r="D19" s="100">
        <v>651</v>
      </c>
      <c r="E19" s="100">
        <v>652</v>
      </c>
      <c r="F19" s="100">
        <v>653</v>
      </c>
      <c r="G19" s="100">
        <v>654</v>
      </c>
    </row>
    <row r="20" spans="1:7">
      <c r="A20" s="2" t="s">
        <v>139</v>
      </c>
      <c r="B20" s="2" t="s">
        <v>139</v>
      </c>
      <c r="C20" s="2">
        <f>2.5*25.4</f>
        <v>63.5</v>
      </c>
      <c r="D20" s="2">
        <f t="shared" ref="D20:G21" si="0">2.5*25.4</f>
        <v>63.5</v>
      </c>
      <c r="E20" s="2">
        <f t="shared" si="0"/>
        <v>63.5</v>
      </c>
      <c r="F20" s="2">
        <f t="shared" si="0"/>
        <v>63.5</v>
      </c>
      <c r="G20" s="2">
        <f t="shared" si="0"/>
        <v>63.5</v>
      </c>
    </row>
    <row r="21" spans="1:7">
      <c r="A21" s="2" t="s">
        <v>140</v>
      </c>
      <c r="B21" s="99" t="s">
        <v>140</v>
      </c>
      <c r="C21" s="2">
        <f>2.5*25.4</f>
        <v>63.5</v>
      </c>
      <c r="D21" s="2">
        <f t="shared" si="0"/>
        <v>63.5</v>
      </c>
      <c r="E21" s="2">
        <f t="shared" si="0"/>
        <v>63.5</v>
      </c>
      <c r="F21" s="2">
        <f t="shared" si="0"/>
        <v>63.5</v>
      </c>
      <c r="G21" s="2">
        <f t="shared" si="0"/>
        <v>63.5</v>
      </c>
    </row>
    <row r="22" spans="1:7" ht="20">
      <c r="A22" s="22" t="s">
        <v>1752</v>
      </c>
      <c r="B22" s="22" t="s">
        <v>2128</v>
      </c>
      <c r="C22" s="2">
        <f>VALUE(LEFT(C28,4)*100)</f>
        <v>142</v>
      </c>
      <c r="D22" s="2">
        <f t="shared" ref="D22:G22" si="1">VALUE(LEFT(D28,4)*100)</f>
        <v>152</v>
      </c>
      <c r="E22" s="2">
        <f t="shared" si="1"/>
        <v>165</v>
      </c>
      <c r="F22" s="2">
        <f t="shared" si="1"/>
        <v>175</v>
      </c>
      <c r="G22" s="2">
        <f t="shared" si="1"/>
        <v>185</v>
      </c>
    </row>
    <row r="23" spans="1:7" ht="20">
      <c r="A23" s="22" t="s">
        <v>1753</v>
      </c>
      <c r="B23" s="22" t="s">
        <v>2129</v>
      </c>
      <c r="C23" s="2">
        <f>D22</f>
        <v>152</v>
      </c>
      <c r="D23" s="2">
        <f t="shared" ref="D23:F23" si="2">E22</f>
        <v>165</v>
      </c>
      <c r="E23" s="2">
        <f t="shared" si="2"/>
        <v>175</v>
      </c>
      <c r="F23" s="2">
        <f t="shared" si="2"/>
        <v>185</v>
      </c>
      <c r="G23" s="2">
        <f>G22+10</f>
        <v>195</v>
      </c>
    </row>
    <row r="25" spans="1:7">
      <c r="A25" s="2" t="s">
        <v>132</v>
      </c>
      <c r="B25" s="2" t="s">
        <v>132</v>
      </c>
      <c r="C25" s="2" t="s">
        <v>76</v>
      </c>
      <c r="D25" s="2" t="s">
        <v>76</v>
      </c>
      <c r="E25" s="2" t="s">
        <v>76</v>
      </c>
      <c r="F25" s="2" t="s">
        <v>76</v>
      </c>
      <c r="G25" s="2" t="s">
        <v>76</v>
      </c>
    </row>
    <row r="26" spans="1:7" ht="20">
      <c r="A26" s="22"/>
      <c r="B26" s="22"/>
    </row>
    <row r="27" spans="1:7">
      <c r="B27" s="101" t="s">
        <v>167</v>
      </c>
      <c r="C27" s="101" t="s">
        <v>16</v>
      </c>
      <c r="D27" s="101" t="s">
        <v>168</v>
      </c>
      <c r="E27" s="101" t="s">
        <v>169</v>
      </c>
      <c r="F27" s="101" t="s">
        <v>170</v>
      </c>
      <c r="G27" s="101" t="s">
        <v>20</v>
      </c>
    </row>
    <row r="28" spans="1:7">
      <c r="B28" s="101" t="s">
        <v>171</v>
      </c>
      <c r="C28" s="102" t="s">
        <v>1101</v>
      </c>
      <c r="D28" s="102" t="s">
        <v>1102</v>
      </c>
      <c r="E28" s="102" t="s">
        <v>1103</v>
      </c>
      <c r="F28" s="102" t="s">
        <v>1104</v>
      </c>
      <c r="G28" s="102" t="s">
        <v>1105</v>
      </c>
    </row>
    <row r="29" spans="1:7">
      <c r="B29" s="101" t="s">
        <v>1</v>
      </c>
      <c r="C29" s="102">
        <v>381</v>
      </c>
      <c r="D29" s="102">
        <v>405</v>
      </c>
      <c r="E29" s="102">
        <v>420</v>
      </c>
      <c r="F29" s="102">
        <v>444</v>
      </c>
      <c r="G29" s="102">
        <v>458</v>
      </c>
    </row>
    <row r="30" spans="1:7">
      <c r="B30" s="101" t="s">
        <v>0</v>
      </c>
      <c r="C30" s="102">
        <v>585</v>
      </c>
      <c r="D30" s="102">
        <v>604</v>
      </c>
      <c r="E30" s="102">
        <v>623</v>
      </c>
      <c r="F30" s="102">
        <v>641</v>
      </c>
      <c r="G30" s="102">
        <v>660</v>
      </c>
    </row>
    <row r="31" spans="1:7">
      <c r="B31" s="101" t="s">
        <v>3</v>
      </c>
      <c r="C31" s="102" t="s">
        <v>172</v>
      </c>
      <c r="D31" s="102" t="s">
        <v>172</v>
      </c>
      <c r="E31" s="102" t="s">
        <v>172</v>
      </c>
      <c r="F31" s="102" t="s">
        <v>172</v>
      </c>
      <c r="G31" s="102" t="s">
        <v>172</v>
      </c>
    </row>
    <row r="32" spans="1:7">
      <c r="B32" s="101" t="s">
        <v>5</v>
      </c>
      <c r="C32" s="102">
        <v>160</v>
      </c>
      <c r="D32" s="102">
        <v>180</v>
      </c>
      <c r="E32" s="102">
        <v>200</v>
      </c>
      <c r="F32" s="102">
        <v>220</v>
      </c>
      <c r="G32" s="102">
        <v>240</v>
      </c>
    </row>
    <row r="33" spans="2:7">
      <c r="B33" s="101" t="s">
        <v>173</v>
      </c>
      <c r="C33" s="102">
        <v>316</v>
      </c>
      <c r="D33" s="102">
        <v>386</v>
      </c>
      <c r="E33" s="102">
        <v>437.2</v>
      </c>
      <c r="F33" s="102">
        <v>488</v>
      </c>
      <c r="G33" s="102">
        <v>539</v>
      </c>
    </row>
    <row r="34" spans="2:7">
      <c r="B34" s="101" t="s">
        <v>174</v>
      </c>
      <c r="C34" s="102">
        <v>50</v>
      </c>
      <c r="D34" s="102">
        <v>50</v>
      </c>
      <c r="E34" s="102">
        <v>50</v>
      </c>
      <c r="F34" s="102">
        <v>50</v>
      </c>
      <c r="G34" s="102">
        <v>50</v>
      </c>
    </row>
    <row r="35" spans="2:7">
      <c r="B35" s="101" t="s">
        <v>9</v>
      </c>
      <c r="C35" s="102">
        <v>1057</v>
      </c>
      <c r="D35" s="102">
        <v>1088</v>
      </c>
      <c r="E35" s="102">
        <v>1109</v>
      </c>
      <c r="F35" s="102">
        <v>1140</v>
      </c>
      <c r="G35" s="102">
        <v>1162</v>
      </c>
    </row>
    <row r="36" spans="2:7">
      <c r="B36" s="101" t="s">
        <v>7</v>
      </c>
      <c r="C36" s="102">
        <v>425</v>
      </c>
      <c r="D36" s="102">
        <v>425</v>
      </c>
      <c r="E36" s="102">
        <v>425</v>
      </c>
      <c r="F36" s="102">
        <v>425</v>
      </c>
      <c r="G36" s="102">
        <v>425</v>
      </c>
    </row>
    <row r="37" spans="2:7">
      <c r="B37" s="101" t="s">
        <v>175</v>
      </c>
      <c r="C37" s="102">
        <v>560</v>
      </c>
      <c r="D37" s="102">
        <v>590</v>
      </c>
      <c r="E37" s="102">
        <v>610</v>
      </c>
      <c r="F37" s="102">
        <v>640</v>
      </c>
      <c r="G37" s="102">
        <v>660</v>
      </c>
    </row>
    <row r="38" spans="2:7">
      <c r="B38" s="101" t="s">
        <v>4</v>
      </c>
      <c r="C38" s="102" t="s">
        <v>1106</v>
      </c>
      <c r="D38" s="102" t="s">
        <v>1106</v>
      </c>
      <c r="E38" s="102" t="s">
        <v>1106</v>
      </c>
      <c r="F38" s="102" t="s">
        <v>1106</v>
      </c>
      <c r="G38" s="102" t="s">
        <v>1106</v>
      </c>
    </row>
    <row r="39" spans="2:7">
      <c r="B39" s="101" t="s">
        <v>176</v>
      </c>
      <c r="C39" s="102">
        <v>719</v>
      </c>
      <c r="D39" s="102">
        <v>762</v>
      </c>
      <c r="E39" s="102">
        <v>796</v>
      </c>
      <c r="F39" s="102">
        <v>830</v>
      </c>
      <c r="G39" s="102">
        <v>863</v>
      </c>
    </row>
    <row r="40" spans="2:7">
      <c r="B40" s="101" t="s">
        <v>13</v>
      </c>
      <c r="C40" s="102" t="s">
        <v>1107</v>
      </c>
      <c r="D40" s="102" t="s">
        <v>1107</v>
      </c>
      <c r="E40" s="102" t="s">
        <v>1107</v>
      </c>
      <c r="F40" s="102" t="s">
        <v>1107</v>
      </c>
      <c r="G40" s="102" t="s">
        <v>1107</v>
      </c>
    </row>
    <row r="41" spans="2:7">
      <c r="B41" s="101" t="s">
        <v>177</v>
      </c>
      <c r="C41" s="102" t="s">
        <v>1108</v>
      </c>
      <c r="D41" s="102" t="s">
        <v>1108</v>
      </c>
      <c r="E41" s="102" t="s">
        <v>1108</v>
      </c>
      <c r="F41" s="102" t="s">
        <v>1108</v>
      </c>
      <c r="G41" s="102" t="s">
        <v>1108</v>
      </c>
    </row>
    <row r="42" spans="2:7">
      <c r="B42" s="101" t="s">
        <v>12</v>
      </c>
      <c r="C42" s="102">
        <v>400</v>
      </c>
      <c r="D42" s="102">
        <v>420</v>
      </c>
      <c r="E42" s="102">
        <v>440</v>
      </c>
      <c r="F42" s="102">
        <v>460</v>
      </c>
      <c r="G42" s="102">
        <v>480</v>
      </c>
    </row>
    <row r="43" spans="2:7">
      <c r="B43" s="101" t="s">
        <v>58</v>
      </c>
      <c r="C43" s="102">
        <v>170</v>
      </c>
      <c r="D43" s="102">
        <v>170</v>
      </c>
      <c r="E43" s="102">
        <v>175</v>
      </c>
      <c r="F43" s="102">
        <v>175</v>
      </c>
      <c r="G43" s="102">
        <v>175</v>
      </c>
    </row>
    <row r="44" spans="2:7">
      <c r="B44" s="101" t="s">
        <v>178</v>
      </c>
      <c r="C44" s="102">
        <v>420</v>
      </c>
      <c r="D44" s="102">
        <v>420</v>
      </c>
      <c r="E44" s="102">
        <v>420</v>
      </c>
      <c r="F44" s="102">
        <v>420</v>
      </c>
      <c r="G44" s="102">
        <v>420</v>
      </c>
    </row>
    <row r="45" spans="2:7">
      <c r="B45" s="101" t="s">
        <v>179</v>
      </c>
      <c r="C45" s="102">
        <v>50</v>
      </c>
      <c r="D45" s="102">
        <v>50</v>
      </c>
      <c r="E45" s="102">
        <v>50</v>
      </c>
      <c r="F45" s="102">
        <v>50</v>
      </c>
      <c r="G45" s="102">
        <v>50</v>
      </c>
    </row>
    <row r="46" spans="2:7">
      <c r="B46" s="2" t="s">
        <v>1109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6E97-03F4-0147-AFB4-B96F068519B7}">
  <dimension ref="A1:J42"/>
  <sheetViews>
    <sheetView topLeftCell="A8" workbookViewId="0">
      <selection activeCell="I25" sqref="I25"/>
    </sheetView>
  </sheetViews>
  <sheetFormatPr baseColWidth="10" defaultRowHeight="16"/>
  <cols>
    <col min="1" max="1" width="26.83203125" bestFit="1" customWidth="1"/>
    <col min="2" max="2" width="26.6640625" bestFit="1" customWidth="1"/>
  </cols>
  <sheetData>
    <row r="1" spans="1:10" ht="19">
      <c r="A1" s="2" t="s">
        <v>72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"/>
      <c r="I1" s="2"/>
      <c r="J1" s="2"/>
    </row>
    <row r="2" spans="1:10" ht="19">
      <c r="A2" s="2" t="s">
        <v>55</v>
      </c>
      <c r="B2" s="20" t="s">
        <v>1</v>
      </c>
      <c r="C2" s="20">
        <v>356</v>
      </c>
      <c r="D2" s="20">
        <v>363</v>
      </c>
      <c r="E2" s="20">
        <v>378</v>
      </c>
      <c r="F2" s="20">
        <v>388</v>
      </c>
      <c r="G2" s="20">
        <v>403</v>
      </c>
      <c r="H2" s="2"/>
      <c r="I2" s="2"/>
      <c r="J2" s="2"/>
    </row>
    <row r="3" spans="1:10" ht="19">
      <c r="A3" s="2" t="s">
        <v>54</v>
      </c>
      <c r="B3" s="20" t="s">
        <v>0</v>
      </c>
      <c r="C3" s="20">
        <v>521</v>
      </c>
      <c r="D3" s="20">
        <v>551</v>
      </c>
      <c r="E3" s="20">
        <v>571</v>
      </c>
      <c r="F3" s="20">
        <v>595</v>
      </c>
      <c r="G3" s="20">
        <v>614</v>
      </c>
      <c r="H3" s="2"/>
      <c r="I3" s="2"/>
      <c r="J3" s="2"/>
    </row>
    <row r="4" spans="1:10" ht="19">
      <c r="A4" s="2" t="s">
        <v>64</v>
      </c>
      <c r="B4" s="21" t="s">
        <v>576</v>
      </c>
      <c r="C4" s="21">
        <v>110</v>
      </c>
      <c r="D4" s="21">
        <v>138</v>
      </c>
      <c r="E4" s="21">
        <v>155</v>
      </c>
      <c r="F4" s="21">
        <v>180</v>
      </c>
      <c r="G4" s="21">
        <v>200</v>
      </c>
      <c r="H4" s="2"/>
      <c r="I4" s="2"/>
      <c r="J4" s="2"/>
    </row>
    <row r="5" spans="1:10" ht="19">
      <c r="A5" s="2" t="s">
        <v>73</v>
      </c>
      <c r="B5" s="21" t="s">
        <v>577</v>
      </c>
      <c r="C5" s="21">
        <v>515</v>
      </c>
      <c r="D5" s="21">
        <v>531</v>
      </c>
      <c r="E5" s="21">
        <v>547</v>
      </c>
      <c r="F5" s="21">
        <v>570</v>
      </c>
      <c r="G5" s="21">
        <v>591</v>
      </c>
      <c r="H5" s="2"/>
      <c r="I5" s="2"/>
      <c r="J5" s="2"/>
    </row>
    <row r="6" spans="1:10" ht="19">
      <c r="A6" s="2" t="s">
        <v>56</v>
      </c>
      <c r="B6" s="21" t="s">
        <v>9</v>
      </c>
      <c r="C6" s="21">
        <v>987</v>
      </c>
      <c r="D6" s="21">
        <v>995</v>
      </c>
      <c r="E6" s="21">
        <v>1007</v>
      </c>
      <c r="F6" s="21">
        <v>1025</v>
      </c>
      <c r="G6" s="21">
        <v>1046</v>
      </c>
      <c r="H6" s="2"/>
      <c r="I6" s="2"/>
      <c r="J6" s="2"/>
    </row>
    <row r="7" spans="1:10" ht="19">
      <c r="A7" s="2" t="s">
        <v>480</v>
      </c>
      <c r="B7" s="21" t="s">
        <v>8</v>
      </c>
      <c r="C7" s="21">
        <v>578</v>
      </c>
      <c r="D7" s="21">
        <v>586</v>
      </c>
      <c r="E7" s="21">
        <v>598</v>
      </c>
      <c r="F7" s="21">
        <v>616</v>
      </c>
      <c r="G7" s="21">
        <v>637</v>
      </c>
      <c r="H7" s="2"/>
      <c r="I7" s="2"/>
      <c r="J7" s="2"/>
    </row>
    <row r="8" spans="1:10" ht="19">
      <c r="A8" s="2" t="s">
        <v>62</v>
      </c>
      <c r="B8" s="21" t="s">
        <v>3</v>
      </c>
      <c r="C8" s="21">
        <v>70</v>
      </c>
      <c r="D8" s="21">
        <v>71</v>
      </c>
      <c r="E8" s="21">
        <v>72</v>
      </c>
      <c r="F8" s="21">
        <v>72</v>
      </c>
      <c r="G8" s="21">
        <v>72</v>
      </c>
      <c r="H8" s="2"/>
      <c r="I8" s="2"/>
      <c r="J8" s="2"/>
    </row>
    <row r="9" spans="1:10" ht="19">
      <c r="A9" s="2" t="s">
        <v>67</v>
      </c>
      <c r="B9" s="21" t="s">
        <v>247</v>
      </c>
      <c r="C9" s="21">
        <v>51</v>
      </c>
      <c r="D9" s="21">
        <v>51</v>
      </c>
      <c r="E9" s="21">
        <v>51</v>
      </c>
      <c r="F9" s="21">
        <v>51</v>
      </c>
      <c r="G9" s="21">
        <v>51</v>
      </c>
      <c r="H9" s="2"/>
      <c r="I9" s="2"/>
      <c r="J9" s="2"/>
    </row>
    <row r="10" spans="1:10" ht="19">
      <c r="A10" s="2" t="s">
        <v>495</v>
      </c>
      <c r="B10" s="21" t="s">
        <v>580</v>
      </c>
      <c r="C10" s="21">
        <v>385</v>
      </c>
      <c r="D10" s="21">
        <v>385</v>
      </c>
      <c r="E10" s="21">
        <v>385</v>
      </c>
      <c r="F10" s="21">
        <v>385</v>
      </c>
      <c r="G10" s="21">
        <v>385</v>
      </c>
      <c r="H10" s="2"/>
      <c r="I10" s="2"/>
      <c r="J10" s="2"/>
    </row>
    <row r="11" spans="1:10" ht="19">
      <c r="A11" s="2" t="s">
        <v>65</v>
      </c>
      <c r="B11" s="21" t="s">
        <v>174</v>
      </c>
      <c r="C11" s="21">
        <v>73</v>
      </c>
      <c r="D11" s="21">
        <v>73</v>
      </c>
      <c r="E11" s="21">
        <v>73</v>
      </c>
      <c r="F11" s="21">
        <v>73</v>
      </c>
      <c r="G11" s="21">
        <v>73</v>
      </c>
      <c r="H11" s="2"/>
      <c r="I11" s="2"/>
      <c r="J11" s="2"/>
    </row>
    <row r="12" spans="1:10" ht="19">
      <c r="A12" s="2" t="s">
        <v>66</v>
      </c>
      <c r="B12" s="21" t="s">
        <v>581</v>
      </c>
      <c r="C12" s="21">
        <v>420</v>
      </c>
      <c r="D12" s="21">
        <v>420</v>
      </c>
      <c r="E12" s="21">
        <v>420</v>
      </c>
      <c r="F12" s="21">
        <v>420</v>
      </c>
      <c r="G12" s="21">
        <v>420</v>
      </c>
      <c r="H12" s="2"/>
      <c r="I12" s="2"/>
      <c r="J12" s="2"/>
    </row>
    <row r="13" spans="1:10" ht="19">
      <c r="A13" s="2" t="s">
        <v>63</v>
      </c>
      <c r="B13" s="21" t="s">
        <v>4</v>
      </c>
      <c r="C13" s="21">
        <v>73</v>
      </c>
      <c r="D13" s="21">
        <v>73</v>
      </c>
      <c r="E13" s="21">
        <v>73</v>
      </c>
      <c r="F13" s="21">
        <v>73</v>
      </c>
      <c r="G13" s="21">
        <v>73</v>
      </c>
      <c r="H13" s="2"/>
      <c r="I13" s="2"/>
      <c r="J13" s="2"/>
    </row>
    <row r="14" spans="1:10" ht="19">
      <c r="A14" s="2" t="s">
        <v>60</v>
      </c>
      <c r="B14" s="21" t="s">
        <v>582</v>
      </c>
      <c r="C14" s="21">
        <v>440</v>
      </c>
      <c r="D14" s="21">
        <v>470</v>
      </c>
      <c r="E14" s="21">
        <v>500</v>
      </c>
      <c r="F14" s="21">
        <v>530</v>
      </c>
      <c r="G14" s="21">
        <v>560</v>
      </c>
      <c r="H14" s="2"/>
      <c r="I14" s="2"/>
      <c r="J14" s="2"/>
    </row>
    <row r="15" spans="1:10" ht="19">
      <c r="A15" s="2" t="s">
        <v>57</v>
      </c>
      <c r="B15" s="21" t="s">
        <v>583</v>
      </c>
      <c r="C15" s="21">
        <v>720</v>
      </c>
      <c r="D15" s="21">
        <v>750</v>
      </c>
      <c r="E15" s="21">
        <v>775</v>
      </c>
      <c r="F15" s="21">
        <v>805</v>
      </c>
      <c r="G15" s="21">
        <v>835</v>
      </c>
      <c r="H15" s="2"/>
      <c r="I15" s="2"/>
      <c r="J15" s="2"/>
    </row>
    <row r="16" spans="1:10" ht="19">
      <c r="A16" s="2" t="s">
        <v>70</v>
      </c>
      <c r="B16" s="21" t="s">
        <v>584</v>
      </c>
      <c r="C16" s="21">
        <v>380</v>
      </c>
      <c r="D16" s="21">
        <v>400</v>
      </c>
      <c r="E16" s="21">
        <v>420</v>
      </c>
      <c r="F16" s="21">
        <v>420</v>
      </c>
      <c r="G16" s="21">
        <v>440</v>
      </c>
      <c r="H16" s="2"/>
      <c r="I16" s="2"/>
      <c r="J16" s="2"/>
    </row>
    <row r="17" spans="1:10" ht="19">
      <c r="A17" s="2" t="s">
        <v>71</v>
      </c>
      <c r="B17" s="21" t="s">
        <v>585</v>
      </c>
      <c r="C17" s="21">
        <v>70</v>
      </c>
      <c r="D17" s="21">
        <v>80</v>
      </c>
      <c r="E17" s="21">
        <v>90</v>
      </c>
      <c r="F17" s="21">
        <v>100</v>
      </c>
      <c r="G17" s="21">
        <v>110</v>
      </c>
      <c r="H17" s="2"/>
      <c r="I17" s="2"/>
      <c r="J17" s="2"/>
    </row>
    <row r="18" spans="1:10" ht="19">
      <c r="A18" s="2" t="s">
        <v>69</v>
      </c>
      <c r="B18" s="21" t="s">
        <v>586</v>
      </c>
      <c r="C18" s="21">
        <v>155</v>
      </c>
      <c r="D18" s="21">
        <v>160</v>
      </c>
      <c r="E18" s="21">
        <v>165</v>
      </c>
      <c r="F18" s="21">
        <v>170</v>
      </c>
      <c r="G18" s="21">
        <v>175</v>
      </c>
      <c r="H18" s="2"/>
      <c r="I18" s="2"/>
      <c r="J18" s="2"/>
    </row>
    <row r="19" spans="1:10" ht="19">
      <c r="A19" s="2" t="s">
        <v>166</v>
      </c>
      <c r="B19" s="21" t="s">
        <v>587</v>
      </c>
      <c r="C19" s="21">
        <v>350</v>
      </c>
      <c r="D19" s="21">
        <v>350</v>
      </c>
      <c r="E19" s="21">
        <v>400</v>
      </c>
      <c r="F19" s="21">
        <v>400</v>
      </c>
      <c r="G19" s="21">
        <v>400</v>
      </c>
      <c r="H19" s="2"/>
      <c r="I19" s="2"/>
      <c r="J19" s="2"/>
    </row>
    <row r="20" spans="1:10" ht="19">
      <c r="A20" s="2" t="s">
        <v>68</v>
      </c>
      <c r="B20" s="2" t="s">
        <v>68</v>
      </c>
      <c r="C20" s="2">
        <v>700</v>
      </c>
      <c r="D20" s="2">
        <v>700</v>
      </c>
      <c r="E20" s="2">
        <v>700</v>
      </c>
      <c r="F20" s="2">
        <v>700</v>
      </c>
      <c r="G20" s="2">
        <v>700</v>
      </c>
      <c r="H20" s="2"/>
      <c r="I20" s="2"/>
      <c r="J20" s="2"/>
    </row>
    <row r="21" spans="1:10" ht="19">
      <c r="A21" s="2" t="s">
        <v>139</v>
      </c>
      <c r="B21" s="2" t="s">
        <v>139</v>
      </c>
      <c r="C21" s="21">
        <v>30</v>
      </c>
      <c r="D21" s="21">
        <v>30</v>
      </c>
      <c r="E21" s="21">
        <v>30</v>
      </c>
      <c r="F21" s="21">
        <v>30</v>
      </c>
      <c r="G21" s="21">
        <v>30</v>
      </c>
      <c r="H21" s="2"/>
      <c r="I21" s="2"/>
      <c r="J21" s="2"/>
    </row>
    <row r="22" spans="1:10" ht="19">
      <c r="A22" s="2" t="s">
        <v>140</v>
      </c>
      <c r="B22" s="2" t="s">
        <v>140</v>
      </c>
      <c r="C22" s="2">
        <v>40</v>
      </c>
      <c r="D22" s="2">
        <v>40</v>
      </c>
      <c r="E22" s="2">
        <v>40</v>
      </c>
      <c r="F22" s="2">
        <v>40</v>
      </c>
      <c r="G22" s="2">
        <v>40</v>
      </c>
      <c r="H22" s="2"/>
      <c r="I22" s="2"/>
      <c r="J22" s="2"/>
    </row>
    <row r="23" spans="1:10" ht="20">
      <c r="A23" s="22" t="s">
        <v>1752</v>
      </c>
      <c r="B23" s="22" t="s">
        <v>2128</v>
      </c>
      <c r="C23" s="2">
        <f>C25*2.54</f>
        <v>154.94</v>
      </c>
      <c r="D23" s="2">
        <f>AVERAGE(D25,C26)*2.54</f>
        <v>163.83000000000001</v>
      </c>
      <c r="E23" s="2">
        <f t="shared" ref="E23:G23" si="0">AVERAGE(E25,D26)*2.54</f>
        <v>170.18</v>
      </c>
      <c r="F23" s="2">
        <f t="shared" si="0"/>
        <v>179.07</v>
      </c>
      <c r="G23" s="2">
        <f t="shared" si="0"/>
        <v>186.69</v>
      </c>
      <c r="H23" s="2"/>
      <c r="I23" s="2"/>
      <c r="J23" s="2"/>
    </row>
    <row r="24" spans="1:10" ht="20">
      <c r="A24" s="22" t="s">
        <v>1753</v>
      </c>
      <c r="B24" s="22" t="s">
        <v>2129</v>
      </c>
      <c r="C24" s="2">
        <f>D23</f>
        <v>163.83000000000001</v>
      </c>
      <c r="D24" s="2">
        <f t="shared" ref="D24:F24" si="1">E23</f>
        <v>170.18</v>
      </c>
      <c r="E24" s="2">
        <f t="shared" si="1"/>
        <v>179.07</v>
      </c>
      <c r="F24" s="2">
        <f t="shared" si="1"/>
        <v>186.69</v>
      </c>
      <c r="G24" s="2">
        <f t="shared" ref="G24" si="2">G26*2.54</f>
        <v>195.58</v>
      </c>
      <c r="H24" s="2"/>
      <c r="I24" s="2"/>
      <c r="J24" s="2"/>
    </row>
    <row r="25" spans="1:10" ht="19">
      <c r="A25" s="2"/>
      <c r="B25" s="2"/>
      <c r="C25" s="2">
        <f>5*12+1</f>
        <v>61</v>
      </c>
      <c r="D25" s="2">
        <v>64</v>
      </c>
      <c r="E25" s="2">
        <v>66</v>
      </c>
      <c r="F25" s="2">
        <v>70</v>
      </c>
      <c r="G25" s="2">
        <v>73</v>
      </c>
      <c r="H25" s="2"/>
      <c r="I25" s="2"/>
      <c r="J25" s="2"/>
    </row>
    <row r="26" spans="1:10" ht="19">
      <c r="A26" s="2"/>
      <c r="C26">
        <v>65</v>
      </c>
      <c r="D26" s="2">
        <v>68</v>
      </c>
      <c r="E26" s="2">
        <v>71</v>
      </c>
      <c r="F26" s="2">
        <v>74</v>
      </c>
      <c r="G26" s="2">
        <v>77</v>
      </c>
      <c r="H26" s="2"/>
      <c r="I26" s="2"/>
      <c r="J26" s="2"/>
    </row>
    <row r="27" spans="1:10" ht="19">
      <c r="A27" s="2"/>
      <c r="B27" s="21" t="s">
        <v>570</v>
      </c>
      <c r="C27" s="21" t="s">
        <v>571</v>
      </c>
      <c r="D27" s="21" t="s">
        <v>572</v>
      </c>
      <c r="E27" s="21" t="s">
        <v>573</v>
      </c>
      <c r="F27" s="21" t="s">
        <v>574</v>
      </c>
      <c r="G27" s="21" t="s">
        <v>575</v>
      </c>
      <c r="H27" s="2"/>
      <c r="I27" s="2"/>
      <c r="J27" s="2"/>
    </row>
    <row r="28" spans="1:10" ht="19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9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9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9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9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9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9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9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9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9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9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9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9">
      <c r="A42" s="2"/>
      <c r="B42" s="2"/>
      <c r="C42" s="2"/>
      <c r="D42" s="2"/>
      <c r="E42" s="2"/>
      <c r="F42" s="2"/>
      <c r="G42" s="2"/>
      <c r="H42" s="2"/>
      <c r="I42" s="2"/>
      <c r="J42" s="2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6504-6E2D-644C-8E2F-AEC1826652A1}">
  <dimension ref="A1:G22"/>
  <sheetViews>
    <sheetView topLeftCell="A3" workbookViewId="0">
      <selection activeCell="C25" sqref="C25"/>
    </sheetView>
  </sheetViews>
  <sheetFormatPr baseColWidth="10" defaultRowHeight="16"/>
  <cols>
    <col min="1" max="3" width="23.1640625" bestFit="1" customWidth="1"/>
  </cols>
  <sheetData>
    <row r="1" spans="1:7">
      <c r="A1" t="s">
        <v>72</v>
      </c>
      <c r="B1" t="s">
        <v>72</v>
      </c>
      <c r="C1" t="s">
        <v>141</v>
      </c>
      <c r="D1" t="s">
        <v>18</v>
      </c>
      <c r="E1" t="s">
        <v>19</v>
      </c>
      <c r="F1" t="s">
        <v>20</v>
      </c>
    </row>
    <row r="2" spans="1:7">
      <c r="A2" t="s">
        <v>54</v>
      </c>
      <c r="B2" t="s">
        <v>60</v>
      </c>
      <c r="C2" t="s">
        <v>371</v>
      </c>
      <c r="D2">
        <v>510</v>
      </c>
      <c r="E2">
        <v>550</v>
      </c>
      <c r="F2">
        <v>590</v>
      </c>
    </row>
    <row r="3" spans="1:7">
      <c r="A3" t="s">
        <v>55</v>
      </c>
      <c r="B3" t="s">
        <v>370</v>
      </c>
      <c r="C3" t="s">
        <v>370</v>
      </c>
      <c r="D3">
        <v>449</v>
      </c>
      <c r="E3">
        <v>489</v>
      </c>
      <c r="F3">
        <v>530</v>
      </c>
    </row>
    <row r="4" spans="1:7">
      <c r="A4" t="s">
        <v>60</v>
      </c>
      <c r="B4" t="s">
        <v>73</v>
      </c>
      <c r="C4" t="s">
        <v>73</v>
      </c>
      <c r="D4">
        <v>565</v>
      </c>
      <c r="E4">
        <v>585</v>
      </c>
      <c r="F4">
        <v>605</v>
      </c>
    </row>
    <row r="5" spans="1:7">
      <c r="A5" t="s">
        <v>73</v>
      </c>
      <c r="B5" t="s">
        <v>64</v>
      </c>
      <c r="C5" t="s">
        <v>64</v>
      </c>
      <c r="D5">
        <v>155</v>
      </c>
      <c r="E5">
        <v>185</v>
      </c>
      <c r="F5">
        <v>205</v>
      </c>
    </row>
    <row r="6" spans="1:7">
      <c r="A6" t="s">
        <v>62</v>
      </c>
      <c r="B6" t="s">
        <v>66</v>
      </c>
      <c r="C6" t="s">
        <v>66</v>
      </c>
      <c r="D6">
        <v>455</v>
      </c>
      <c r="E6">
        <v>455</v>
      </c>
      <c r="F6">
        <v>455</v>
      </c>
    </row>
    <row r="7" spans="1:7">
      <c r="A7" t="s">
        <v>63</v>
      </c>
      <c r="B7" t="s">
        <v>56</v>
      </c>
      <c r="C7" t="s">
        <v>56</v>
      </c>
      <c r="D7">
        <v>1063</v>
      </c>
      <c r="E7">
        <v>1084</v>
      </c>
      <c r="F7">
        <v>1093</v>
      </c>
    </row>
    <row r="8" spans="1:7">
      <c r="A8" t="s">
        <v>64</v>
      </c>
      <c r="B8" t="s">
        <v>65</v>
      </c>
      <c r="C8" t="s">
        <v>65</v>
      </c>
      <c r="D8">
        <v>65</v>
      </c>
      <c r="E8">
        <v>65</v>
      </c>
      <c r="F8">
        <v>65</v>
      </c>
    </row>
    <row r="9" spans="1:7">
      <c r="A9" t="s">
        <v>65</v>
      </c>
      <c r="B9" t="s">
        <v>62</v>
      </c>
      <c r="C9" t="s">
        <v>62</v>
      </c>
      <c r="D9">
        <v>71</v>
      </c>
      <c r="E9">
        <v>71</v>
      </c>
      <c r="F9">
        <v>71.5</v>
      </c>
    </row>
    <row r="10" spans="1:7">
      <c r="A10" t="s">
        <v>66</v>
      </c>
      <c r="B10" t="s">
        <v>63</v>
      </c>
      <c r="C10" t="s">
        <v>63</v>
      </c>
      <c r="D10">
        <v>73</v>
      </c>
      <c r="E10">
        <v>73</v>
      </c>
      <c r="F10">
        <v>72.5</v>
      </c>
    </row>
    <row r="11" spans="1:7">
      <c r="A11" t="s">
        <v>56</v>
      </c>
      <c r="B11" t="s">
        <v>54</v>
      </c>
      <c r="C11" t="s">
        <v>54</v>
      </c>
      <c r="D11">
        <v>585</v>
      </c>
      <c r="E11">
        <v>613</v>
      </c>
      <c r="F11">
        <v>634</v>
      </c>
    </row>
    <row r="12" spans="1:7">
      <c r="A12" t="s">
        <v>67</v>
      </c>
      <c r="B12" t="s">
        <v>55</v>
      </c>
      <c r="C12" t="s">
        <v>55</v>
      </c>
      <c r="D12">
        <v>386</v>
      </c>
      <c r="E12">
        <v>398</v>
      </c>
      <c r="F12">
        <v>405</v>
      </c>
    </row>
    <row r="13" spans="1:7">
      <c r="A13" t="s">
        <v>57</v>
      </c>
      <c r="B13" t="s">
        <v>57</v>
      </c>
      <c r="C13" t="s">
        <v>57</v>
      </c>
      <c r="D13">
        <v>798</v>
      </c>
      <c r="E13">
        <v>831</v>
      </c>
      <c r="F13">
        <v>860</v>
      </c>
    </row>
    <row r="14" spans="1:7">
      <c r="A14" t="s">
        <v>69</v>
      </c>
      <c r="B14" t="s">
        <v>67</v>
      </c>
      <c r="C14" t="s">
        <v>67</v>
      </c>
      <c r="D14">
        <v>49</v>
      </c>
      <c r="E14">
        <v>49</v>
      </c>
      <c r="F14">
        <v>49</v>
      </c>
      <c r="G14" t="s">
        <v>372</v>
      </c>
    </row>
    <row r="15" spans="1:7">
      <c r="A15" t="s">
        <v>70</v>
      </c>
      <c r="B15" t="s">
        <v>69</v>
      </c>
      <c r="C15" t="s">
        <v>69</v>
      </c>
      <c r="D15">
        <v>170</v>
      </c>
      <c r="E15">
        <v>170</v>
      </c>
      <c r="F15">
        <v>170</v>
      </c>
      <c r="G15" t="s">
        <v>372</v>
      </c>
    </row>
    <row r="16" spans="1:7">
      <c r="A16" t="s">
        <v>71</v>
      </c>
      <c r="B16" t="s">
        <v>70</v>
      </c>
      <c r="C16" t="s">
        <v>70</v>
      </c>
      <c r="D16">
        <v>440</v>
      </c>
      <c r="E16">
        <v>440</v>
      </c>
      <c r="F16">
        <v>440</v>
      </c>
    </row>
    <row r="17" spans="1:6">
      <c r="A17" t="s">
        <v>68</v>
      </c>
      <c r="B17" t="s">
        <v>71</v>
      </c>
      <c r="C17" t="s">
        <v>71</v>
      </c>
      <c r="D17">
        <v>75</v>
      </c>
      <c r="E17">
        <v>75</v>
      </c>
      <c r="F17">
        <v>75</v>
      </c>
    </row>
    <row r="18" spans="1:6">
      <c r="A18" t="s">
        <v>139</v>
      </c>
      <c r="B18" t="s">
        <v>68</v>
      </c>
      <c r="C18" t="s">
        <v>68</v>
      </c>
      <c r="D18">
        <v>700</v>
      </c>
      <c r="E18">
        <v>700</v>
      </c>
      <c r="F18">
        <v>700</v>
      </c>
    </row>
    <row r="19" spans="1:6">
      <c r="A19" t="s">
        <v>140</v>
      </c>
      <c r="B19" t="s">
        <v>139</v>
      </c>
      <c r="C19" t="s">
        <v>139</v>
      </c>
      <c r="D19">
        <v>40</v>
      </c>
      <c r="E19">
        <v>40</v>
      </c>
      <c r="F19">
        <v>40</v>
      </c>
    </row>
    <row r="20" spans="1:6">
      <c r="B20" t="s">
        <v>140</v>
      </c>
      <c r="C20" t="s">
        <v>140</v>
      </c>
      <c r="D20">
        <v>50</v>
      </c>
      <c r="E20">
        <v>50</v>
      </c>
      <c r="F20">
        <v>50</v>
      </c>
    </row>
    <row r="21" spans="1:6" ht="20">
      <c r="B21" s="22" t="s">
        <v>1752</v>
      </c>
      <c r="C21" s="22" t="s">
        <v>2128</v>
      </c>
    </row>
    <row r="22" spans="1:6" ht="20">
      <c r="B22" s="22" t="s">
        <v>1753</v>
      </c>
      <c r="C22" s="22" t="s">
        <v>2129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5396-4B7F-1849-9938-BE3CFB155514}">
  <dimension ref="A1:Q53"/>
  <sheetViews>
    <sheetView workbookViewId="0">
      <selection sqref="A1:A22"/>
    </sheetView>
  </sheetViews>
  <sheetFormatPr baseColWidth="10" defaultRowHeight="16"/>
  <cols>
    <col min="1" max="1" width="23.1640625" bestFit="1" customWidth="1"/>
    <col min="2" max="2" width="25.1640625" customWidth="1"/>
    <col min="10" max="10" width="24.1640625" bestFit="1" customWidth="1"/>
  </cols>
  <sheetData>
    <row r="1" spans="1:11">
      <c r="A1" t="s">
        <v>72</v>
      </c>
      <c r="B1" t="str">
        <f>B24</f>
        <v>Frame size number</v>
      </c>
      <c r="C1" t="str">
        <f t="shared" ref="C1:H1" si="0">C24</f>
        <v>49 cm</v>
      </c>
      <c r="D1" t="str">
        <f t="shared" si="0"/>
        <v>52 cm</v>
      </c>
      <c r="E1" t="str">
        <f t="shared" si="0"/>
        <v>54 cm</v>
      </c>
      <c r="F1" t="str">
        <f t="shared" si="0"/>
        <v>56 cm</v>
      </c>
      <c r="G1" t="str">
        <f t="shared" si="0"/>
        <v>58 cm</v>
      </c>
      <c r="H1" t="str">
        <f t="shared" si="0"/>
        <v>61 cm</v>
      </c>
    </row>
    <row r="2" spans="1:11" ht="18">
      <c r="A2" t="s">
        <v>68</v>
      </c>
      <c r="B2" t="str">
        <f>B25</f>
        <v>Wheel size</v>
      </c>
      <c r="C2">
        <f>VALUE(LEFT(C25,3))</f>
        <v>700</v>
      </c>
      <c r="D2">
        <f t="shared" ref="D2:H2" si="1">VALUE(LEFT(D25,3))</f>
        <v>700</v>
      </c>
      <c r="E2">
        <f t="shared" si="1"/>
        <v>700</v>
      </c>
      <c r="F2">
        <f t="shared" si="1"/>
        <v>700</v>
      </c>
      <c r="G2">
        <f t="shared" si="1"/>
        <v>700</v>
      </c>
      <c r="H2">
        <f t="shared" si="1"/>
        <v>700</v>
      </c>
      <c r="J2" s="44" t="s">
        <v>1110</v>
      </c>
      <c r="K2" s="44" t="s">
        <v>1111</v>
      </c>
    </row>
    <row r="3" spans="1:11" ht="18">
      <c r="A3" t="s">
        <v>60</v>
      </c>
      <c r="B3" t="str">
        <f t="shared" ref="B3:B15" si="2">B26</f>
        <v>A — Seat tube</v>
      </c>
      <c r="C3">
        <f>C26*10</f>
        <v>490</v>
      </c>
      <c r="D3">
        <f t="shared" ref="D3:H3" si="3">D26*10</f>
        <v>520</v>
      </c>
      <c r="E3">
        <f t="shared" si="3"/>
        <v>540</v>
      </c>
      <c r="F3">
        <f t="shared" si="3"/>
        <v>560</v>
      </c>
      <c r="G3">
        <f t="shared" si="3"/>
        <v>580</v>
      </c>
      <c r="H3">
        <f t="shared" si="3"/>
        <v>610</v>
      </c>
      <c r="J3" s="8" t="s">
        <v>1112</v>
      </c>
      <c r="K3" s="8" t="s">
        <v>1114</v>
      </c>
    </row>
    <row r="4" spans="1:11" ht="18">
      <c r="A4" t="s">
        <v>63</v>
      </c>
      <c r="B4" t="str">
        <f t="shared" si="2"/>
        <v>B — Seat tube angle</v>
      </c>
      <c r="C4">
        <f>C27</f>
        <v>74.099999999999994</v>
      </c>
      <c r="D4">
        <f t="shared" ref="D4:H4" si="4">D27</f>
        <v>73.7</v>
      </c>
      <c r="E4">
        <f t="shared" si="4"/>
        <v>73.2</v>
      </c>
      <c r="F4">
        <f t="shared" si="4"/>
        <v>72.8</v>
      </c>
      <c r="G4">
        <f t="shared" si="4"/>
        <v>72.5</v>
      </c>
      <c r="H4">
        <f t="shared" si="4"/>
        <v>72.099999999999994</v>
      </c>
      <c r="J4" s="8" t="s">
        <v>1113</v>
      </c>
      <c r="K4" s="8" t="s">
        <v>1115</v>
      </c>
    </row>
    <row r="5" spans="1:11" ht="18">
      <c r="A5" t="s">
        <v>64</v>
      </c>
      <c r="B5" t="str">
        <f t="shared" si="2"/>
        <v>C — Head tube length</v>
      </c>
      <c r="C5">
        <f t="shared" ref="C5:H15" si="5">C28*10</f>
        <v>90</v>
      </c>
      <c r="D5">
        <f t="shared" si="5"/>
        <v>105</v>
      </c>
      <c r="E5">
        <f t="shared" si="5"/>
        <v>125</v>
      </c>
      <c r="F5">
        <f t="shared" si="5"/>
        <v>145</v>
      </c>
      <c r="G5">
        <f t="shared" si="5"/>
        <v>165</v>
      </c>
      <c r="H5">
        <f t="shared" si="5"/>
        <v>195</v>
      </c>
      <c r="J5" s="8" t="s">
        <v>1116</v>
      </c>
      <c r="K5" s="8" t="s">
        <v>1118</v>
      </c>
    </row>
    <row r="6" spans="1:11" ht="18">
      <c r="A6" t="s">
        <v>62</v>
      </c>
      <c r="B6" t="str">
        <f t="shared" si="2"/>
        <v>D — Head angle</v>
      </c>
      <c r="C6">
        <f>C29</f>
        <v>71.2</v>
      </c>
      <c r="D6">
        <f t="shared" ref="D6:H6" si="6">D29</f>
        <v>71.599999999999994</v>
      </c>
      <c r="E6">
        <f t="shared" si="6"/>
        <v>71.8</v>
      </c>
      <c r="F6">
        <f t="shared" si="6"/>
        <v>72.2</v>
      </c>
      <c r="G6">
        <f t="shared" si="6"/>
        <v>72.3</v>
      </c>
      <c r="H6">
        <f t="shared" si="6"/>
        <v>72.599999999999994</v>
      </c>
      <c r="J6" s="8" t="s">
        <v>1117</v>
      </c>
      <c r="K6" s="8" t="s">
        <v>1119</v>
      </c>
    </row>
    <row r="7" spans="1:11" ht="18">
      <c r="A7" t="s">
        <v>73</v>
      </c>
      <c r="B7" t="str">
        <f t="shared" si="2"/>
        <v>E — Effective top tube</v>
      </c>
      <c r="C7">
        <f t="shared" si="5"/>
        <v>541</v>
      </c>
      <c r="D7">
        <f t="shared" si="5"/>
        <v>555</v>
      </c>
      <c r="E7">
        <f t="shared" si="5"/>
        <v>570</v>
      </c>
      <c r="F7">
        <f t="shared" si="5"/>
        <v>584</v>
      </c>
      <c r="G7">
        <f t="shared" si="5"/>
        <v>597</v>
      </c>
      <c r="H7">
        <f t="shared" si="5"/>
        <v>617</v>
      </c>
      <c r="J7" s="8" t="s">
        <v>1120</v>
      </c>
      <c r="K7" s="8" t="s">
        <v>1122</v>
      </c>
    </row>
    <row r="8" spans="1:11" ht="18">
      <c r="A8" t="s">
        <v>65</v>
      </c>
      <c r="B8" t="str">
        <f t="shared" si="2"/>
        <v>G — Bottom bracket drop</v>
      </c>
      <c r="C8">
        <f t="shared" si="5"/>
        <v>78</v>
      </c>
      <c r="D8">
        <f t="shared" si="5"/>
        <v>78</v>
      </c>
      <c r="E8">
        <f t="shared" si="5"/>
        <v>76</v>
      </c>
      <c r="F8">
        <f t="shared" si="5"/>
        <v>76</v>
      </c>
      <c r="G8">
        <f t="shared" si="5"/>
        <v>74</v>
      </c>
      <c r="H8">
        <f t="shared" si="5"/>
        <v>74</v>
      </c>
      <c r="J8" s="8" t="s">
        <v>1121</v>
      </c>
      <c r="K8" s="8" t="s">
        <v>1123</v>
      </c>
    </row>
    <row r="9" spans="1:11" ht="18">
      <c r="A9" t="s">
        <v>66</v>
      </c>
      <c r="B9" t="str">
        <f t="shared" si="2"/>
        <v>H — Chainstay length</v>
      </c>
      <c r="C9">
        <f t="shared" si="5"/>
        <v>435</v>
      </c>
      <c r="D9">
        <f t="shared" si="5"/>
        <v>435</v>
      </c>
      <c r="E9">
        <f t="shared" si="5"/>
        <v>435</v>
      </c>
      <c r="F9">
        <f t="shared" si="5"/>
        <v>435</v>
      </c>
      <c r="G9">
        <f t="shared" si="5"/>
        <v>435</v>
      </c>
      <c r="H9">
        <f t="shared" si="5"/>
        <v>435</v>
      </c>
      <c r="J9" s="8" t="s">
        <v>1124</v>
      </c>
      <c r="K9" s="8" t="s">
        <v>1126</v>
      </c>
    </row>
    <row r="10" spans="1:11" ht="18">
      <c r="A10" t="s">
        <v>67</v>
      </c>
      <c r="B10" t="str">
        <f t="shared" si="2"/>
        <v>I — Offset</v>
      </c>
      <c r="C10">
        <f t="shared" si="5"/>
        <v>45</v>
      </c>
      <c r="D10">
        <f t="shared" si="5"/>
        <v>45</v>
      </c>
      <c r="E10">
        <f t="shared" si="5"/>
        <v>45</v>
      </c>
      <c r="F10">
        <f t="shared" si="5"/>
        <v>45</v>
      </c>
      <c r="G10">
        <f t="shared" si="5"/>
        <v>45</v>
      </c>
      <c r="H10">
        <f t="shared" si="5"/>
        <v>45</v>
      </c>
      <c r="J10" s="8" t="s">
        <v>1125</v>
      </c>
      <c r="K10" s="8" t="s">
        <v>1127</v>
      </c>
    </row>
    <row r="11" spans="1:11" ht="18">
      <c r="A11" t="s">
        <v>135</v>
      </c>
      <c r="B11" t="str">
        <f t="shared" si="2"/>
        <v>J — Trail</v>
      </c>
      <c r="C11">
        <f t="shared" si="5"/>
        <v>74</v>
      </c>
      <c r="D11">
        <f t="shared" si="5"/>
        <v>71</v>
      </c>
      <c r="E11">
        <f t="shared" si="5"/>
        <v>70</v>
      </c>
      <c r="F11">
        <f t="shared" si="5"/>
        <v>67</v>
      </c>
      <c r="G11">
        <f t="shared" si="5"/>
        <v>66</v>
      </c>
      <c r="H11">
        <f t="shared" si="5"/>
        <v>65</v>
      </c>
      <c r="J11" s="8" t="s">
        <v>1128</v>
      </c>
      <c r="K11" s="8" t="s">
        <v>1130</v>
      </c>
    </row>
    <row r="12" spans="1:11" ht="18">
      <c r="A12" t="s">
        <v>56</v>
      </c>
      <c r="B12" t="str">
        <f t="shared" si="2"/>
        <v>K — Wheelbase</v>
      </c>
      <c r="C12">
        <f t="shared" si="5"/>
        <v>1025</v>
      </c>
      <c r="D12">
        <f t="shared" si="5"/>
        <v>1033</v>
      </c>
      <c r="E12">
        <f t="shared" si="5"/>
        <v>1041</v>
      </c>
      <c r="F12">
        <f t="shared" si="5"/>
        <v>1048</v>
      </c>
      <c r="G12">
        <f t="shared" si="5"/>
        <v>1058</v>
      </c>
      <c r="H12">
        <f t="shared" si="5"/>
        <v>1070</v>
      </c>
      <c r="J12" s="8" t="s">
        <v>1129</v>
      </c>
      <c r="K12" s="8" t="s">
        <v>1131</v>
      </c>
    </row>
    <row r="13" spans="1:11" ht="18">
      <c r="A13" t="s">
        <v>57</v>
      </c>
      <c r="B13" t="str">
        <f t="shared" si="2"/>
        <v>L — Standover</v>
      </c>
      <c r="C13">
        <f t="shared" si="5"/>
        <v>735</v>
      </c>
      <c r="D13">
        <f t="shared" si="5"/>
        <v>765</v>
      </c>
      <c r="E13">
        <f t="shared" si="5"/>
        <v>789</v>
      </c>
      <c r="F13">
        <f t="shared" si="5"/>
        <v>809</v>
      </c>
      <c r="G13">
        <f t="shared" si="5"/>
        <v>829</v>
      </c>
      <c r="H13">
        <f t="shared" si="5"/>
        <v>859</v>
      </c>
      <c r="J13" s="8" t="s">
        <v>1132</v>
      </c>
      <c r="K13" s="8" t="s">
        <v>1134</v>
      </c>
    </row>
    <row r="14" spans="1:11" ht="18">
      <c r="A14" t="s">
        <v>55</v>
      </c>
      <c r="B14" t="str">
        <f t="shared" si="2"/>
        <v>M — Frame reach</v>
      </c>
      <c r="C14">
        <f t="shared" si="5"/>
        <v>393</v>
      </c>
      <c r="D14">
        <f t="shared" si="5"/>
        <v>399</v>
      </c>
      <c r="E14">
        <f t="shared" si="5"/>
        <v>403</v>
      </c>
      <c r="F14">
        <f t="shared" si="5"/>
        <v>407</v>
      </c>
      <c r="G14">
        <f t="shared" si="5"/>
        <v>411</v>
      </c>
      <c r="H14">
        <f t="shared" si="5"/>
        <v>417</v>
      </c>
      <c r="J14" s="8" t="s">
        <v>1133</v>
      </c>
      <c r="K14" s="8" t="s">
        <v>1135</v>
      </c>
    </row>
    <row r="15" spans="1:11">
      <c r="A15" t="s">
        <v>54</v>
      </c>
      <c r="B15" t="str">
        <f t="shared" si="2"/>
        <v>N — Frame stack</v>
      </c>
      <c r="C15">
        <f t="shared" si="5"/>
        <v>538</v>
      </c>
      <c r="D15">
        <f t="shared" si="5"/>
        <v>553</v>
      </c>
      <c r="E15">
        <f t="shared" si="5"/>
        <v>571</v>
      </c>
      <c r="F15">
        <f t="shared" si="5"/>
        <v>592</v>
      </c>
      <c r="G15">
        <f t="shared" si="5"/>
        <v>609</v>
      </c>
      <c r="H15">
        <f t="shared" si="5"/>
        <v>639</v>
      </c>
    </row>
    <row r="16" spans="1:11">
      <c r="A16" t="s">
        <v>71</v>
      </c>
      <c r="B16" t="str">
        <f>B39</f>
        <v>Stem length</v>
      </c>
      <c r="C16">
        <f>C39</f>
        <v>70</v>
      </c>
      <c r="D16">
        <f t="shared" ref="D16:H16" si="7">D39</f>
        <v>80</v>
      </c>
      <c r="E16">
        <f t="shared" si="7"/>
        <v>80</v>
      </c>
      <c r="F16">
        <f t="shared" si="7"/>
        <v>90</v>
      </c>
      <c r="G16">
        <f t="shared" si="7"/>
        <v>90</v>
      </c>
      <c r="H16">
        <f t="shared" si="7"/>
        <v>100</v>
      </c>
    </row>
    <row r="17" spans="1:8">
      <c r="A17" t="s">
        <v>69</v>
      </c>
      <c r="B17" t="s">
        <v>69</v>
      </c>
      <c r="C17">
        <v>165</v>
      </c>
      <c r="D17">
        <v>170</v>
      </c>
      <c r="E17">
        <v>172.5</v>
      </c>
      <c r="F17">
        <v>172.5</v>
      </c>
      <c r="G17">
        <v>175</v>
      </c>
      <c r="H17">
        <v>175</v>
      </c>
    </row>
    <row r="18" spans="1:8">
      <c r="A18" t="s">
        <v>70</v>
      </c>
      <c r="B18" t="s">
        <v>70</v>
      </c>
      <c r="C18">
        <v>380</v>
      </c>
      <c r="D18">
        <v>400</v>
      </c>
      <c r="E18">
        <v>420</v>
      </c>
      <c r="F18">
        <v>420</v>
      </c>
      <c r="G18">
        <v>440</v>
      </c>
      <c r="H18">
        <v>440</v>
      </c>
    </row>
    <row r="19" spans="1:8">
      <c r="A19" t="s">
        <v>139</v>
      </c>
      <c r="B19" t="s">
        <v>139</v>
      </c>
      <c r="C19">
        <v>40</v>
      </c>
      <c r="D19">
        <v>40</v>
      </c>
      <c r="E19">
        <v>40</v>
      </c>
      <c r="F19">
        <v>40</v>
      </c>
      <c r="G19">
        <v>40</v>
      </c>
      <c r="H19">
        <v>40</v>
      </c>
    </row>
    <row r="20" spans="1:8">
      <c r="A20" t="s">
        <v>140</v>
      </c>
      <c r="B20" t="s">
        <v>140</v>
      </c>
      <c r="C20">
        <v>45</v>
      </c>
      <c r="D20">
        <v>45</v>
      </c>
      <c r="E20">
        <v>45</v>
      </c>
      <c r="F20">
        <v>45</v>
      </c>
      <c r="G20">
        <v>45</v>
      </c>
      <c r="H20">
        <v>45</v>
      </c>
    </row>
    <row r="21" spans="1:8" ht="20">
      <c r="A21" s="22" t="s">
        <v>1752</v>
      </c>
      <c r="B21" s="22" t="s">
        <v>2128</v>
      </c>
      <c r="C21">
        <v>156</v>
      </c>
      <c r="D21">
        <v>163</v>
      </c>
      <c r="E21">
        <v>168</v>
      </c>
      <c r="F21">
        <v>174</v>
      </c>
      <c r="G21">
        <v>180</v>
      </c>
      <c r="H21">
        <v>185</v>
      </c>
    </row>
    <row r="22" spans="1:8" ht="20">
      <c r="A22" s="22" t="s">
        <v>1753</v>
      </c>
      <c r="B22" s="22" t="s">
        <v>2129</v>
      </c>
      <c r="C22">
        <v>163</v>
      </c>
      <c r="D22">
        <v>168</v>
      </c>
      <c r="E22">
        <v>174</v>
      </c>
      <c r="F22">
        <v>180</v>
      </c>
      <c r="G22">
        <v>185</v>
      </c>
      <c r="H22">
        <v>191</v>
      </c>
    </row>
    <row r="23" spans="1:8" ht="20">
      <c r="A23" s="22"/>
      <c r="B23" s="22"/>
    </row>
    <row r="24" spans="1:8">
      <c r="B24" t="s">
        <v>269</v>
      </c>
      <c r="C24" t="s">
        <v>285</v>
      </c>
      <c r="D24" t="s">
        <v>287</v>
      </c>
      <c r="E24" t="s">
        <v>288</v>
      </c>
      <c r="F24" t="s">
        <v>289</v>
      </c>
      <c r="G24" t="s">
        <v>290</v>
      </c>
      <c r="H24" t="s">
        <v>291</v>
      </c>
    </row>
    <row r="25" spans="1:8">
      <c r="B25" t="s">
        <v>270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</row>
    <row r="26" spans="1:8">
      <c r="B26" t="s">
        <v>271</v>
      </c>
      <c r="C26">
        <v>49</v>
      </c>
      <c r="D26">
        <v>52</v>
      </c>
      <c r="E26">
        <v>54</v>
      </c>
      <c r="F26">
        <v>56</v>
      </c>
      <c r="G26">
        <v>58</v>
      </c>
      <c r="H26">
        <v>61</v>
      </c>
    </row>
    <row r="27" spans="1:8">
      <c r="B27" t="s">
        <v>272</v>
      </c>
      <c r="C27">
        <v>74.099999999999994</v>
      </c>
      <c r="D27">
        <v>73.7</v>
      </c>
      <c r="E27">
        <v>73.2</v>
      </c>
      <c r="F27">
        <v>72.8</v>
      </c>
      <c r="G27">
        <v>72.5</v>
      </c>
      <c r="H27">
        <v>72.099999999999994</v>
      </c>
    </row>
    <row r="28" spans="1:8">
      <c r="B28" t="s">
        <v>273</v>
      </c>
      <c r="C28">
        <v>9</v>
      </c>
      <c r="D28">
        <v>10.5</v>
      </c>
      <c r="E28">
        <v>12.5</v>
      </c>
      <c r="F28">
        <v>14.5</v>
      </c>
      <c r="G28">
        <v>16.5</v>
      </c>
      <c r="H28">
        <v>19.5</v>
      </c>
    </row>
    <row r="29" spans="1:8">
      <c r="B29" t="s">
        <v>274</v>
      </c>
      <c r="C29">
        <v>71.2</v>
      </c>
      <c r="D29">
        <v>71.599999999999994</v>
      </c>
      <c r="E29">
        <v>71.8</v>
      </c>
      <c r="F29">
        <v>72.2</v>
      </c>
      <c r="G29">
        <v>72.3</v>
      </c>
      <c r="H29">
        <v>72.599999999999994</v>
      </c>
    </row>
    <row r="30" spans="1:8">
      <c r="B30" t="s">
        <v>275</v>
      </c>
      <c r="C30">
        <v>54.1</v>
      </c>
      <c r="D30">
        <v>55.5</v>
      </c>
      <c r="E30">
        <v>57</v>
      </c>
      <c r="F30">
        <v>58.4</v>
      </c>
      <c r="G30">
        <v>59.7</v>
      </c>
      <c r="H30">
        <v>61.7</v>
      </c>
    </row>
    <row r="31" spans="1:8">
      <c r="B31" t="s">
        <v>276</v>
      </c>
      <c r="C31">
        <v>7.8</v>
      </c>
      <c r="D31">
        <v>7.8</v>
      </c>
      <c r="E31">
        <v>7.6</v>
      </c>
      <c r="F31">
        <v>7.6</v>
      </c>
      <c r="G31">
        <v>7.4</v>
      </c>
      <c r="H31">
        <v>7.4</v>
      </c>
    </row>
    <row r="32" spans="1:8">
      <c r="B32" t="s">
        <v>277</v>
      </c>
      <c r="C32">
        <v>43.5</v>
      </c>
      <c r="D32">
        <v>43.5</v>
      </c>
      <c r="E32">
        <v>43.5</v>
      </c>
      <c r="F32">
        <v>43.5</v>
      </c>
      <c r="G32">
        <v>43.5</v>
      </c>
      <c r="H32">
        <v>43.5</v>
      </c>
    </row>
    <row r="33" spans="2:17">
      <c r="B33" t="s">
        <v>278</v>
      </c>
      <c r="C33">
        <v>4.5</v>
      </c>
      <c r="D33">
        <v>4.5</v>
      </c>
      <c r="E33">
        <v>4.5</v>
      </c>
      <c r="F33">
        <v>4.5</v>
      </c>
      <c r="G33">
        <v>4.5</v>
      </c>
      <c r="H33">
        <v>4.5</v>
      </c>
    </row>
    <row r="34" spans="2:17">
      <c r="B34" t="s">
        <v>279</v>
      </c>
      <c r="C34">
        <v>7.4</v>
      </c>
      <c r="D34">
        <v>7.1</v>
      </c>
      <c r="E34">
        <v>7</v>
      </c>
      <c r="F34">
        <v>6.7</v>
      </c>
      <c r="G34">
        <v>6.6</v>
      </c>
      <c r="H34">
        <v>6.5</v>
      </c>
    </row>
    <row r="35" spans="2:17">
      <c r="B35" t="s">
        <v>280</v>
      </c>
      <c r="C35">
        <v>102.5</v>
      </c>
      <c r="D35">
        <v>103.3</v>
      </c>
      <c r="E35">
        <v>104.1</v>
      </c>
      <c r="F35">
        <v>104.8</v>
      </c>
      <c r="G35">
        <v>105.8</v>
      </c>
      <c r="H35">
        <v>107</v>
      </c>
    </row>
    <row r="36" spans="2:17">
      <c r="B36" t="s">
        <v>281</v>
      </c>
      <c r="C36">
        <v>73.5</v>
      </c>
      <c r="D36">
        <v>76.5</v>
      </c>
      <c r="E36">
        <v>78.900000000000006</v>
      </c>
      <c r="F36">
        <v>80.900000000000006</v>
      </c>
      <c r="G36">
        <v>82.9</v>
      </c>
      <c r="H36">
        <v>85.9</v>
      </c>
    </row>
    <row r="37" spans="2:17">
      <c r="B37" t="s">
        <v>282</v>
      </c>
      <c r="C37">
        <v>39.299999999999997</v>
      </c>
      <c r="D37">
        <v>39.9</v>
      </c>
      <c r="E37">
        <v>40.299999999999997</v>
      </c>
      <c r="F37">
        <v>40.700000000000003</v>
      </c>
      <c r="G37">
        <v>41.1</v>
      </c>
      <c r="H37">
        <v>41.7</v>
      </c>
    </row>
    <row r="38" spans="2:17">
      <c r="B38" t="s">
        <v>283</v>
      </c>
      <c r="C38">
        <v>53.8</v>
      </c>
      <c r="D38">
        <v>55.3</v>
      </c>
      <c r="E38">
        <v>57.1</v>
      </c>
      <c r="F38">
        <v>59.2</v>
      </c>
      <c r="G38">
        <v>60.9</v>
      </c>
      <c r="H38">
        <v>63.9</v>
      </c>
    </row>
    <row r="39" spans="2:17">
      <c r="B39" t="s">
        <v>284</v>
      </c>
      <c r="C39">
        <v>70</v>
      </c>
      <c r="D39">
        <v>80</v>
      </c>
      <c r="E39">
        <v>80</v>
      </c>
      <c r="F39">
        <v>90</v>
      </c>
      <c r="G39">
        <v>90</v>
      </c>
      <c r="H39">
        <v>100</v>
      </c>
    </row>
    <row r="46" spans="2:17" ht="18">
      <c r="B46" s="10" t="s">
        <v>292</v>
      </c>
    </row>
    <row r="47" spans="2:17" ht="18">
      <c r="B47" s="8" t="s">
        <v>269</v>
      </c>
      <c r="C47" s="8" t="s">
        <v>270</v>
      </c>
      <c r="D47" s="8" t="s">
        <v>271</v>
      </c>
      <c r="E47" s="8" t="s">
        <v>272</v>
      </c>
      <c r="F47" s="8" t="s">
        <v>273</v>
      </c>
      <c r="G47" s="8" t="s">
        <v>274</v>
      </c>
      <c r="H47" s="8" t="s">
        <v>275</v>
      </c>
      <c r="I47" s="8" t="s">
        <v>276</v>
      </c>
      <c r="J47" s="8" t="s">
        <v>277</v>
      </c>
      <c r="K47" s="8" t="s">
        <v>278</v>
      </c>
      <c r="L47" s="8" t="s">
        <v>279</v>
      </c>
      <c r="M47" s="8" t="s">
        <v>280</v>
      </c>
      <c r="N47" s="8" t="s">
        <v>281</v>
      </c>
      <c r="O47" s="8" t="s">
        <v>282</v>
      </c>
      <c r="P47" s="8" t="s">
        <v>283</v>
      </c>
      <c r="Q47" s="8" t="s">
        <v>284</v>
      </c>
    </row>
    <row r="48" spans="2:17" ht="18">
      <c r="B48" s="9" t="s">
        <v>285</v>
      </c>
      <c r="C48" s="9" t="s">
        <v>46</v>
      </c>
      <c r="D48" s="9">
        <v>49</v>
      </c>
      <c r="E48" s="9">
        <v>74.099999999999994</v>
      </c>
      <c r="F48" s="9">
        <v>9</v>
      </c>
      <c r="G48" s="9">
        <v>71.2</v>
      </c>
      <c r="H48" s="9">
        <v>54.1</v>
      </c>
      <c r="I48" s="9">
        <v>7.8</v>
      </c>
      <c r="J48" s="9">
        <v>43.5</v>
      </c>
      <c r="K48" s="9">
        <v>4.5</v>
      </c>
      <c r="L48" s="9">
        <v>7.4</v>
      </c>
      <c r="M48" s="9">
        <v>102.5</v>
      </c>
      <c r="N48" s="9">
        <v>73.5</v>
      </c>
      <c r="O48" s="9">
        <v>39.299999999999997</v>
      </c>
      <c r="P48" s="9">
        <v>53.8</v>
      </c>
      <c r="Q48" s="9">
        <v>70</v>
      </c>
    </row>
    <row r="49" spans="2:17" ht="18">
      <c r="B49" s="9" t="s">
        <v>287</v>
      </c>
      <c r="C49" s="9" t="s">
        <v>46</v>
      </c>
      <c r="D49" s="9">
        <v>52</v>
      </c>
      <c r="E49" s="9">
        <v>73.7</v>
      </c>
      <c r="F49" s="9">
        <v>10.5</v>
      </c>
      <c r="G49" s="9">
        <v>71.599999999999994</v>
      </c>
      <c r="H49" s="9">
        <v>55.5</v>
      </c>
      <c r="I49" s="9">
        <v>7.8</v>
      </c>
      <c r="J49" s="9">
        <v>43.5</v>
      </c>
      <c r="K49" s="9">
        <v>4.5</v>
      </c>
      <c r="L49" s="9">
        <v>7.1</v>
      </c>
      <c r="M49" s="9">
        <v>103.3</v>
      </c>
      <c r="N49" s="9">
        <v>76.5</v>
      </c>
      <c r="O49" s="9">
        <v>39.9</v>
      </c>
      <c r="P49" s="9">
        <v>55.3</v>
      </c>
      <c r="Q49" s="9">
        <v>80</v>
      </c>
    </row>
    <row r="50" spans="2:17" ht="18">
      <c r="B50" s="9" t="s">
        <v>288</v>
      </c>
      <c r="C50" s="9" t="s">
        <v>46</v>
      </c>
      <c r="D50" s="9">
        <v>54</v>
      </c>
      <c r="E50" s="9">
        <v>73.2</v>
      </c>
      <c r="F50" s="9">
        <v>12.5</v>
      </c>
      <c r="G50" s="9">
        <v>71.8</v>
      </c>
      <c r="H50" s="9">
        <v>57</v>
      </c>
      <c r="I50" s="9">
        <v>7.6</v>
      </c>
      <c r="J50" s="9">
        <v>43.5</v>
      </c>
      <c r="K50" s="9">
        <v>4.5</v>
      </c>
      <c r="L50" s="9">
        <v>7</v>
      </c>
      <c r="M50" s="9">
        <v>104.1</v>
      </c>
      <c r="N50" s="9">
        <v>78.900000000000006</v>
      </c>
      <c r="O50" s="9">
        <v>40.299999999999997</v>
      </c>
      <c r="P50" s="9">
        <v>57.1</v>
      </c>
      <c r="Q50" s="9">
        <v>80</v>
      </c>
    </row>
    <row r="51" spans="2:17" ht="18">
      <c r="B51" s="9" t="s">
        <v>289</v>
      </c>
      <c r="C51" s="9" t="s">
        <v>46</v>
      </c>
      <c r="D51" s="9">
        <v>56</v>
      </c>
      <c r="E51" s="9">
        <v>72.8</v>
      </c>
      <c r="F51" s="9">
        <v>14.5</v>
      </c>
      <c r="G51" s="9">
        <v>72.2</v>
      </c>
      <c r="H51" s="9">
        <v>58.4</v>
      </c>
      <c r="I51" s="9">
        <v>7.6</v>
      </c>
      <c r="J51" s="9">
        <v>43.5</v>
      </c>
      <c r="K51" s="9">
        <v>4.5</v>
      </c>
      <c r="L51" s="9">
        <v>6.7</v>
      </c>
      <c r="M51" s="9">
        <v>104.8</v>
      </c>
      <c r="N51" s="9">
        <v>80.900000000000006</v>
      </c>
      <c r="O51" s="9">
        <v>40.700000000000003</v>
      </c>
      <c r="P51" s="9">
        <v>59.2</v>
      </c>
      <c r="Q51" s="9">
        <v>90</v>
      </c>
    </row>
    <row r="52" spans="2:17" ht="18">
      <c r="B52" s="9" t="s">
        <v>290</v>
      </c>
      <c r="C52" s="9" t="s">
        <v>46</v>
      </c>
      <c r="D52" s="9">
        <v>58</v>
      </c>
      <c r="E52" s="9">
        <v>72.5</v>
      </c>
      <c r="F52" s="9">
        <v>16.5</v>
      </c>
      <c r="G52" s="9">
        <v>72.3</v>
      </c>
      <c r="H52" s="9">
        <v>59.7</v>
      </c>
      <c r="I52" s="9">
        <v>7.4</v>
      </c>
      <c r="J52" s="9">
        <v>43.5</v>
      </c>
      <c r="K52" s="9">
        <v>4.5</v>
      </c>
      <c r="L52" s="9">
        <v>6.6</v>
      </c>
      <c r="M52" s="9">
        <v>105.8</v>
      </c>
      <c r="N52" s="9">
        <v>82.9</v>
      </c>
      <c r="O52" s="9">
        <v>41.1</v>
      </c>
      <c r="P52" s="9">
        <v>60.9</v>
      </c>
      <c r="Q52" s="9">
        <v>90</v>
      </c>
    </row>
    <row r="53" spans="2:17" ht="18">
      <c r="B53" s="9" t="s">
        <v>291</v>
      </c>
      <c r="C53" s="9" t="s">
        <v>46</v>
      </c>
      <c r="D53" s="9">
        <v>61</v>
      </c>
      <c r="E53" s="9">
        <v>72.099999999999994</v>
      </c>
      <c r="F53" s="9">
        <v>19.5</v>
      </c>
      <c r="G53" s="9">
        <v>72.599999999999994</v>
      </c>
      <c r="H53" s="9">
        <v>61.7</v>
      </c>
      <c r="I53" s="9">
        <v>7.4</v>
      </c>
      <c r="J53" s="9">
        <v>43.5</v>
      </c>
      <c r="K53" s="9">
        <v>4.5</v>
      </c>
      <c r="L53" s="9">
        <v>6.5</v>
      </c>
      <c r="M53" s="9">
        <v>107</v>
      </c>
      <c r="N53" s="9">
        <v>85.9</v>
      </c>
      <c r="O53" s="9">
        <v>41.7</v>
      </c>
      <c r="P53" s="9">
        <v>63.9</v>
      </c>
      <c r="Q53" s="9">
        <v>100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B046-990E-F041-A7CD-7C9412870B50}">
  <dimension ref="A1:H35"/>
  <sheetViews>
    <sheetView workbookViewId="0">
      <selection sqref="A1:A1048576"/>
    </sheetView>
  </sheetViews>
  <sheetFormatPr baseColWidth="10" defaultRowHeight="20"/>
  <cols>
    <col min="1" max="1" width="23.1640625" style="22" bestFit="1" customWidth="1"/>
    <col min="2" max="2" width="30.83203125" style="22" bestFit="1" customWidth="1"/>
    <col min="3" max="16384" width="10.83203125" style="22"/>
  </cols>
  <sheetData>
    <row r="1" spans="1:8">
      <c r="A1" s="22" t="s">
        <v>72</v>
      </c>
      <c r="B1" s="74" t="s">
        <v>219</v>
      </c>
      <c r="C1" s="74" t="s">
        <v>220</v>
      </c>
      <c r="D1" s="74" t="s">
        <v>221</v>
      </c>
      <c r="E1" s="74" t="s">
        <v>222</v>
      </c>
      <c r="F1" s="74" t="s">
        <v>223</v>
      </c>
      <c r="G1" s="74" t="s">
        <v>224</v>
      </c>
    </row>
    <row r="2" spans="1:8">
      <c r="A2" s="22" t="s">
        <v>73</v>
      </c>
      <c r="B2" s="75" t="s">
        <v>225</v>
      </c>
      <c r="C2" s="22">
        <f>VALUE(LEFT(C24,3))</f>
        <v>535</v>
      </c>
      <c r="D2" s="22">
        <f>VALUE(LEFT(D24,3))</f>
        <v>555</v>
      </c>
      <c r="E2" s="22">
        <f>VALUE(LEFT(E24,3))</f>
        <v>575</v>
      </c>
      <c r="F2" s="22">
        <f>VALUE(LEFT(F24,3))</f>
        <v>595</v>
      </c>
      <c r="G2" s="22">
        <f>VALUE(LEFT(G24,3))</f>
        <v>615</v>
      </c>
    </row>
    <row r="3" spans="1:8">
      <c r="A3" s="22" t="s">
        <v>63</v>
      </c>
      <c r="B3" s="75" t="s">
        <v>4</v>
      </c>
      <c r="C3" s="22">
        <f>VALUE(LEFT(C25,4))</f>
        <v>73.5</v>
      </c>
      <c r="D3" s="22">
        <f>VALUE(LEFT(D25,2))</f>
        <v>73</v>
      </c>
      <c r="E3" s="22">
        <f>VALUE(LEFT(E25,2))</f>
        <v>73</v>
      </c>
      <c r="F3" s="22">
        <f>VALUE(LEFT(F25,4))</f>
        <v>72.5</v>
      </c>
      <c r="G3" s="22">
        <f>VALUE(LEFT(G25,4))</f>
        <v>72.5</v>
      </c>
    </row>
    <row r="4" spans="1:8">
      <c r="A4" s="22" t="s">
        <v>60</v>
      </c>
      <c r="B4" s="75" t="s">
        <v>235</v>
      </c>
      <c r="C4" s="22">
        <f t="shared" ref="C4:G6" si="0">VALUE(LEFT(C26,3))</f>
        <v>380</v>
      </c>
      <c r="D4" s="22">
        <f t="shared" si="0"/>
        <v>430</v>
      </c>
      <c r="E4" s="22">
        <f t="shared" si="0"/>
        <v>460</v>
      </c>
      <c r="F4" s="22">
        <f t="shared" si="0"/>
        <v>490</v>
      </c>
      <c r="G4" s="22">
        <f t="shared" si="0"/>
        <v>545</v>
      </c>
    </row>
    <row r="5" spans="1:8">
      <c r="A5" s="22" t="s">
        <v>64</v>
      </c>
      <c r="B5" s="75" t="s">
        <v>5</v>
      </c>
      <c r="C5" s="22">
        <f t="shared" si="0"/>
        <v>115</v>
      </c>
      <c r="D5" s="22">
        <f t="shared" si="0"/>
        <v>140</v>
      </c>
      <c r="E5" s="22">
        <f t="shared" si="0"/>
        <v>175</v>
      </c>
      <c r="F5" s="22">
        <f t="shared" si="0"/>
        <v>200</v>
      </c>
      <c r="G5" s="22">
        <f t="shared" si="0"/>
        <v>220</v>
      </c>
    </row>
    <row r="6" spans="1:8">
      <c r="A6" s="22" t="s">
        <v>62</v>
      </c>
      <c r="B6" s="75" t="s">
        <v>3</v>
      </c>
      <c r="C6" s="22">
        <f t="shared" si="0"/>
        <v>69</v>
      </c>
      <c r="D6" s="22">
        <f t="shared" si="0"/>
        <v>69</v>
      </c>
      <c r="E6" s="22">
        <f t="shared" si="0"/>
        <v>69</v>
      </c>
      <c r="F6" s="22">
        <f t="shared" si="0"/>
        <v>69</v>
      </c>
      <c r="G6" s="22">
        <f t="shared" si="0"/>
        <v>69</v>
      </c>
    </row>
    <row r="7" spans="1:8">
      <c r="A7" s="22" t="s">
        <v>67</v>
      </c>
      <c r="B7" s="75" t="s">
        <v>247</v>
      </c>
      <c r="C7" s="22">
        <f>VALUE(LEFT(C29,2))</f>
        <v>55</v>
      </c>
      <c r="D7" s="22">
        <f>VALUE(LEFT(D29,2))</f>
        <v>55</v>
      </c>
      <c r="E7" s="22">
        <f>VALUE(LEFT(E29,2))</f>
        <v>55</v>
      </c>
      <c r="F7" s="22">
        <f>VALUE(LEFT(F29,2))</f>
        <v>55</v>
      </c>
      <c r="G7" s="22">
        <f>VALUE(LEFT(G29,2))</f>
        <v>55</v>
      </c>
    </row>
    <row r="8" spans="1:8">
      <c r="A8" s="22" t="s">
        <v>66</v>
      </c>
      <c r="B8" s="75" t="s">
        <v>7</v>
      </c>
      <c r="C8" s="22">
        <f>VALUE(LEFT(C30,3))</f>
        <v>450</v>
      </c>
      <c r="D8" s="22">
        <f>VALUE(LEFT(D30,3))</f>
        <v>450</v>
      </c>
      <c r="E8" s="22">
        <f>VALUE(LEFT(E30,3))</f>
        <v>450</v>
      </c>
      <c r="F8" s="22">
        <f>VALUE(LEFT(F30,3))</f>
        <v>450</v>
      </c>
      <c r="G8" s="22">
        <f>VALUE(LEFT(G30,3))</f>
        <v>450</v>
      </c>
    </row>
    <row r="9" spans="1:8">
      <c r="A9" s="22" t="s">
        <v>65</v>
      </c>
      <c r="B9" s="75" t="s">
        <v>250</v>
      </c>
      <c r="C9" s="22">
        <f>VALUE(LEFT(C31,4))</f>
        <v>63.5</v>
      </c>
      <c r="D9" s="22">
        <f>VALUE(LEFT(D31,4))</f>
        <v>63.5</v>
      </c>
      <c r="E9" s="22">
        <f>VALUE(LEFT(E31,4))</f>
        <v>63.5</v>
      </c>
      <c r="F9" s="22">
        <f>VALUE(LEFT(F31,4))</f>
        <v>63.5</v>
      </c>
      <c r="G9" s="22">
        <f>VALUE(LEFT(G31,4))</f>
        <v>63.5</v>
      </c>
    </row>
    <row r="10" spans="1:8">
      <c r="A10" s="22" t="s">
        <v>54</v>
      </c>
      <c r="B10" s="75" t="s">
        <v>0</v>
      </c>
      <c r="C10" s="22">
        <f t="shared" ref="C10:G12" si="1">VALUE(LEFT(C32,3))</f>
        <v>574</v>
      </c>
      <c r="D10" s="22">
        <f t="shared" si="1"/>
        <v>597</v>
      </c>
      <c r="E10" s="22">
        <f t="shared" si="1"/>
        <v>630</v>
      </c>
      <c r="F10" s="22">
        <f t="shared" si="1"/>
        <v>653</v>
      </c>
      <c r="G10" s="22">
        <f t="shared" si="1"/>
        <v>672</v>
      </c>
    </row>
    <row r="11" spans="1:8">
      <c r="A11" s="22" t="s">
        <v>55</v>
      </c>
      <c r="B11" s="75" t="s">
        <v>1</v>
      </c>
      <c r="C11" s="22">
        <f t="shared" si="1"/>
        <v>365</v>
      </c>
      <c r="D11" s="22">
        <f t="shared" si="1"/>
        <v>372</v>
      </c>
      <c r="E11" s="22">
        <f t="shared" si="1"/>
        <v>382</v>
      </c>
      <c r="F11" s="22">
        <f t="shared" si="1"/>
        <v>389</v>
      </c>
      <c r="G11" s="22">
        <f t="shared" si="1"/>
        <v>403</v>
      </c>
    </row>
    <row r="12" spans="1:8">
      <c r="A12" s="22" t="s">
        <v>57</v>
      </c>
      <c r="B12" s="75" t="s">
        <v>262</v>
      </c>
      <c r="C12" s="22">
        <f t="shared" si="1"/>
        <v>750</v>
      </c>
      <c r="D12" s="22">
        <f t="shared" si="1"/>
        <v>784</v>
      </c>
      <c r="E12" s="22">
        <f t="shared" si="1"/>
        <v>815</v>
      </c>
      <c r="F12" s="22">
        <f t="shared" si="1"/>
        <v>840</v>
      </c>
      <c r="G12" s="22">
        <f t="shared" si="1"/>
        <v>875</v>
      </c>
    </row>
    <row r="13" spans="1:8">
      <c r="A13" s="22" t="s">
        <v>56</v>
      </c>
      <c r="B13" s="27" t="s">
        <v>9</v>
      </c>
      <c r="C13" s="22">
        <f>VALUE(LEFT(C35,6))</f>
        <v>1065.4000000000001</v>
      </c>
      <c r="D13" s="22">
        <f>VALUE(LEFT(D35,6))</f>
        <v>1081.2</v>
      </c>
      <c r="E13" s="22">
        <f>VALUE(LEFT(E35,6))</f>
        <v>1103.9000000000001</v>
      </c>
      <c r="F13" s="22">
        <f>VALUE(LEFT(F35,6))</f>
        <v>1119.7</v>
      </c>
      <c r="G13" s="22">
        <f>VALUE(LEFT(G35,4))</f>
        <v>1141</v>
      </c>
    </row>
    <row r="14" spans="1:8">
      <c r="A14" s="22" t="s">
        <v>69</v>
      </c>
      <c r="B14" s="22" t="s">
        <v>69</v>
      </c>
      <c r="C14" s="22">
        <v>170</v>
      </c>
      <c r="D14" s="22">
        <v>170</v>
      </c>
      <c r="E14" s="22">
        <v>170</v>
      </c>
      <c r="F14" s="22">
        <v>170</v>
      </c>
      <c r="G14" s="22">
        <v>170</v>
      </c>
      <c r="H14" s="22" t="s">
        <v>268</v>
      </c>
    </row>
    <row r="15" spans="1:8">
      <c r="A15" s="22" t="s">
        <v>70</v>
      </c>
      <c r="B15" s="22" t="s">
        <v>70</v>
      </c>
      <c r="C15" s="22">
        <v>520</v>
      </c>
      <c r="D15" s="22">
        <v>520</v>
      </c>
      <c r="E15" s="22">
        <v>520</v>
      </c>
      <c r="F15" s="22">
        <v>520</v>
      </c>
      <c r="G15" s="22">
        <v>520</v>
      </c>
    </row>
    <row r="16" spans="1:8">
      <c r="A16" s="22" t="s">
        <v>71</v>
      </c>
      <c r="B16" s="22" t="s">
        <v>71</v>
      </c>
      <c r="C16" s="22">
        <v>80</v>
      </c>
      <c r="D16" s="22">
        <v>80</v>
      </c>
      <c r="E16" s="22">
        <v>80</v>
      </c>
      <c r="F16" s="22">
        <v>80</v>
      </c>
      <c r="G16" s="22">
        <v>80</v>
      </c>
      <c r="H16" s="22" t="s">
        <v>268</v>
      </c>
    </row>
    <row r="17" spans="1:7">
      <c r="A17" s="22" t="s">
        <v>68</v>
      </c>
      <c r="B17" s="22" t="s">
        <v>68</v>
      </c>
      <c r="C17" s="22">
        <v>29</v>
      </c>
      <c r="D17" s="22">
        <v>29</v>
      </c>
      <c r="E17" s="22">
        <v>29</v>
      </c>
      <c r="F17" s="22">
        <v>29</v>
      </c>
      <c r="G17" s="22">
        <v>29</v>
      </c>
    </row>
    <row r="18" spans="1:7">
      <c r="A18" s="22" t="s">
        <v>139</v>
      </c>
      <c r="B18" s="22" t="s">
        <v>139</v>
      </c>
      <c r="C18" s="22">
        <f>2.35*25.4</f>
        <v>59.69</v>
      </c>
      <c r="D18" s="22">
        <f t="shared" ref="D18:G18" si="2">2.35*25.4</f>
        <v>59.69</v>
      </c>
      <c r="E18" s="22">
        <f t="shared" si="2"/>
        <v>59.69</v>
      </c>
      <c r="F18" s="22">
        <f t="shared" si="2"/>
        <v>59.69</v>
      </c>
      <c r="G18" s="22">
        <f t="shared" si="2"/>
        <v>59.69</v>
      </c>
    </row>
    <row r="19" spans="1:7">
      <c r="A19" s="22" t="s">
        <v>140</v>
      </c>
      <c r="B19" s="22" t="s">
        <v>140</v>
      </c>
      <c r="C19" s="22">
        <f>2.5*25.4</f>
        <v>63.5</v>
      </c>
      <c r="D19" s="22">
        <f t="shared" ref="D19:G19" si="3">2.5*25.4</f>
        <v>63.5</v>
      </c>
      <c r="E19" s="22">
        <f t="shared" si="3"/>
        <v>63.5</v>
      </c>
      <c r="F19" s="22">
        <f t="shared" si="3"/>
        <v>63.5</v>
      </c>
      <c r="G19" s="22">
        <f t="shared" si="3"/>
        <v>63.5</v>
      </c>
    </row>
    <row r="20" spans="1:7">
      <c r="A20" s="22" t="s">
        <v>1752</v>
      </c>
      <c r="B20" s="22" t="s">
        <v>2128</v>
      </c>
    </row>
    <row r="21" spans="1:7">
      <c r="A21" s="22" t="s">
        <v>1753</v>
      </c>
      <c r="B21" s="22" t="s">
        <v>2129</v>
      </c>
    </row>
    <row r="23" spans="1:7">
      <c r="B23" s="74" t="s">
        <v>219</v>
      </c>
      <c r="C23" s="74" t="s">
        <v>220</v>
      </c>
      <c r="D23" s="74" t="s">
        <v>221</v>
      </c>
      <c r="E23" s="74" t="s">
        <v>222</v>
      </c>
      <c r="F23" s="74" t="s">
        <v>223</v>
      </c>
      <c r="G23" s="74" t="s">
        <v>224</v>
      </c>
    </row>
    <row r="24" spans="1:7">
      <c r="B24" s="75" t="s">
        <v>225</v>
      </c>
      <c r="C24" s="76" t="s">
        <v>226</v>
      </c>
      <c r="D24" s="76" t="s">
        <v>227</v>
      </c>
      <c r="E24" s="76" t="s">
        <v>228</v>
      </c>
      <c r="F24" s="76" t="s">
        <v>229</v>
      </c>
      <c r="G24" s="76" t="s">
        <v>230</v>
      </c>
    </row>
    <row r="25" spans="1:7">
      <c r="B25" s="75" t="s">
        <v>4</v>
      </c>
      <c r="C25" s="76" t="s">
        <v>231</v>
      </c>
      <c r="D25" s="76" t="s">
        <v>232</v>
      </c>
      <c r="E25" s="76" t="s">
        <v>232</v>
      </c>
      <c r="F25" s="76" t="s">
        <v>233</v>
      </c>
      <c r="G25" s="76" t="s">
        <v>234</v>
      </c>
    </row>
    <row r="26" spans="1:7">
      <c r="B26" s="75" t="s">
        <v>235</v>
      </c>
      <c r="C26" s="76" t="s">
        <v>236</v>
      </c>
      <c r="D26" s="76" t="s">
        <v>237</v>
      </c>
      <c r="E26" s="76" t="s">
        <v>238</v>
      </c>
      <c r="F26" s="76" t="s">
        <v>239</v>
      </c>
      <c r="G26" s="76" t="s">
        <v>240</v>
      </c>
    </row>
    <row r="27" spans="1:7">
      <c r="B27" s="75" t="s">
        <v>5</v>
      </c>
      <c r="C27" s="76" t="s">
        <v>241</v>
      </c>
      <c r="D27" s="76" t="s">
        <v>242</v>
      </c>
      <c r="E27" s="76" t="s">
        <v>243</v>
      </c>
      <c r="F27" s="76" t="s">
        <v>244</v>
      </c>
      <c r="G27" s="76" t="s">
        <v>245</v>
      </c>
    </row>
    <row r="28" spans="1:7">
      <c r="B28" s="75" t="s">
        <v>3</v>
      </c>
      <c r="C28" s="76" t="s">
        <v>246</v>
      </c>
      <c r="D28" s="76" t="s">
        <v>246</v>
      </c>
      <c r="E28" s="76" t="s">
        <v>246</v>
      </c>
      <c r="F28" s="76" t="s">
        <v>246</v>
      </c>
      <c r="G28" s="76" t="s">
        <v>246</v>
      </c>
    </row>
    <row r="29" spans="1:7">
      <c r="B29" s="75" t="s">
        <v>247</v>
      </c>
      <c r="C29" s="76" t="s">
        <v>248</v>
      </c>
      <c r="D29" s="76" t="s">
        <v>248</v>
      </c>
      <c r="E29" s="76" t="s">
        <v>248</v>
      </c>
      <c r="F29" s="76" t="s">
        <v>248</v>
      </c>
      <c r="G29" s="76" t="s">
        <v>248</v>
      </c>
    </row>
    <row r="30" spans="1:7">
      <c r="B30" s="75" t="s">
        <v>7</v>
      </c>
      <c r="C30" s="76" t="s">
        <v>249</v>
      </c>
      <c r="D30" s="76" t="s">
        <v>249</v>
      </c>
      <c r="E30" s="76" t="s">
        <v>249</v>
      </c>
      <c r="F30" s="76" t="s">
        <v>249</v>
      </c>
      <c r="G30" s="76" t="s">
        <v>249</v>
      </c>
    </row>
    <row r="31" spans="1:7">
      <c r="B31" s="75" t="s">
        <v>250</v>
      </c>
      <c r="C31" s="76" t="s">
        <v>251</v>
      </c>
      <c r="D31" s="76" t="s">
        <v>251</v>
      </c>
      <c r="E31" s="76" t="s">
        <v>251</v>
      </c>
      <c r="F31" s="76" t="s">
        <v>251</v>
      </c>
      <c r="G31" s="76" t="s">
        <v>251</v>
      </c>
    </row>
    <row r="32" spans="1:7">
      <c r="B32" s="75" t="s">
        <v>0</v>
      </c>
      <c r="C32" s="76" t="s">
        <v>252</v>
      </c>
      <c r="D32" s="76" t="s">
        <v>253</v>
      </c>
      <c r="E32" s="76" t="s">
        <v>254</v>
      </c>
      <c r="F32" s="76" t="s">
        <v>255</v>
      </c>
      <c r="G32" s="76" t="s">
        <v>256</v>
      </c>
    </row>
    <row r="33" spans="2:7">
      <c r="B33" s="75" t="s">
        <v>1</v>
      </c>
      <c r="C33" s="76" t="s">
        <v>257</v>
      </c>
      <c r="D33" s="76" t="s">
        <v>258</v>
      </c>
      <c r="E33" s="76" t="s">
        <v>259</v>
      </c>
      <c r="F33" s="76" t="s">
        <v>260</v>
      </c>
      <c r="G33" s="76" t="s">
        <v>261</v>
      </c>
    </row>
    <row r="34" spans="2:7">
      <c r="B34" s="75" t="s">
        <v>262</v>
      </c>
      <c r="C34" s="76" t="s">
        <v>263</v>
      </c>
      <c r="D34" s="76" t="s">
        <v>264</v>
      </c>
      <c r="E34" s="76" t="s">
        <v>265</v>
      </c>
      <c r="F34" s="76" t="s">
        <v>266</v>
      </c>
      <c r="G34" s="76" t="s">
        <v>267</v>
      </c>
    </row>
    <row r="35" spans="2:7">
      <c r="B35" s="27" t="s">
        <v>9</v>
      </c>
      <c r="C35" s="24" t="s">
        <v>1876</v>
      </c>
      <c r="D35" s="24" t="s">
        <v>1877</v>
      </c>
      <c r="E35" s="24" t="s">
        <v>1878</v>
      </c>
      <c r="F35" s="24" t="s">
        <v>1879</v>
      </c>
      <c r="G35" s="24" t="s">
        <v>1436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D221-90A6-FA47-A443-D1045C75DD56}">
  <dimension ref="A1:L46"/>
  <sheetViews>
    <sheetView topLeftCell="A15" workbookViewId="0">
      <selection activeCell="G30" sqref="G30"/>
    </sheetView>
  </sheetViews>
  <sheetFormatPr baseColWidth="10" defaultRowHeight="19"/>
  <cols>
    <col min="1" max="1" width="29.33203125" style="2" bestFit="1" customWidth="1"/>
    <col min="2" max="2" width="36.5" style="2" bestFit="1" customWidth="1"/>
    <col min="3" max="16384" width="10.83203125" style="2"/>
  </cols>
  <sheetData>
    <row r="1" spans="1:8" ht="20">
      <c r="A1" s="22" t="s">
        <v>72</v>
      </c>
      <c r="B1" s="85" t="s">
        <v>757</v>
      </c>
      <c r="C1" s="2" t="str">
        <f>C31</f>
        <v>XS</v>
      </c>
      <c r="D1" s="2" t="str">
        <f t="shared" ref="D1:H1" si="0">D31</f>
        <v>S</v>
      </c>
      <c r="E1" s="2" t="str">
        <f t="shared" si="0"/>
        <v>M</v>
      </c>
      <c r="F1" s="2" t="str">
        <f t="shared" si="0"/>
        <v>M/L</v>
      </c>
      <c r="G1" s="2" t="str">
        <f t="shared" si="0"/>
        <v>L</v>
      </c>
      <c r="H1" s="2" t="str">
        <f t="shared" si="0"/>
        <v>XL</v>
      </c>
    </row>
    <row r="2" spans="1:8" ht="20">
      <c r="A2" s="22" t="s">
        <v>54</v>
      </c>
      <c r="B2" s="86" t="s">
        <v>2214</v>
      </c>
      <c r="C2" s="2">
        <f>IF(RIGHT(C32,1)="m",VALUE(MID(C32,1,LEN(C32)-2)),VALUE(MID(C32,1,LEN(C32)-1)))</f>
        <v>506</v>
      </c>
      <c r="D2" s="2">
        <f t="shared" ref="D2:H2" si="1">IF(RIGHT(D32,1)="m",VALUE(MID(D32,1,LEN(D32)-2)),VALUE(MID(D32,1,LEN(D32)-1)))</f>
        <v>522</v>
      </c>
      <c r="E2" s="2">
        <f t="shared" si="1"/>
        <v>545</v>
      </c>
      <c r="F2" s="2">
        <f t="shared" si="1"/>
        <v>570</v>
      </c>
      <c r="G2" s="2">
        <f t="shared" si="1"/>
        <v>589</v>
      </c>
      <c r="H2" s="2">
        <f t="shared" si="1"/>
        <v>604</v>
      </c>
    </row>
    <row r="3" spans="1:8" ht="20">
      <c r="A3" s="22" t="s">
        <v>55</v>
      </c>
      <c r="B3" s="86" t="s">
        <v>2215</v>
      </c>
      <c r="C3" s="2">
        <f t="shared" ref="C3:H3" si="2">IF(RIGHT(C33,1)="m",VALUE(MID(C33,1,LEN(C33)-2)),VALUE(MID(C33,1,LEN(C33)-1)))</f>
        <v>369</v>
      </c>
      <c r="D3" s="2">
        <f t="shared" si="2"/>
        <v>375</v>
      </c>
      <c r="E3" s="2">
        <f t="shared" si="2"/>
        <v>384</v>
      </c>
      <c r="F3" s="2">
        <f t="shared" si="2"/>
        <v>393</v>
      </c>
      <c r="G3" s="2">
        <f t="shared" si="2"/>
        <v>402</v>
      </c>
      <c r="H3" s="2">
        <f t="shared" si="2"/>
        <v>411</v>
      </c>
    </row>
    <row r="4" spans="1:8" ht="20">
      <c r="A4" s="22" t="s">
        <v>64</v>
      </c>
      <c r="B4" s="86" t="s">
        <v>2216</v>
      </c>
      <c r="C4" s="2">
        <f t="shared" ref="C4:H4" si="3">IF(RIGHT(C34,1)="m",VALUE(MID(C34,1,LEN(C34)-2)),VALUE(MID(C34,1,LEN(C34)-1)))</f>
        <v>90</v>
      </c>
      <c r="D4" s="2">
        <f t="shared" si="3"/>
        <v>105</v>
      </c>
      <c r="E4" s="2">
        <f t="shared" si="3"/>
        <v>128</v>
      </c>
      <c r="F4" s="2">
        <f t="shared" si="3"/>
        <v>150</v>
      </c>
      <c r="G4" s="2">
        <f t="shared" si="3"/>
        <v>166</v>
      </c>
      <c r="H4" s="2">
        <f t="shared" si="3"/>
        <v>180</v>
      </c>
    </row>
    <row r="5" spans="1:8" ht="20">
      <c r="A5" s="22" t="s">
        <v>66</v>
      </c>
      <c r="B5" s="86" t="s">
        <v>2217</v>
      </c>
      <c r="C5" s="2">
        <f t="shared" ref="C5:H5" si="4">IF(RIGHT(C35,1)="m",VALUE(MID(C35,1,LEN(C35)-2)),VALUE(MID(C35,1,LEN(C35)-1)))</f>
        <v>420</v>
      </c>
      <c r="D5" s="2">
        <f t="shared" si="4"/>
        <v>420</v>
      </c>
      <c r="E5" s="2">
        <f t="shared" si="4"/>
        <v>420</v>
      </c>
      <c r="F5" s="2">
        <f t="shared" si="4"/>
        <v>420</v>
      </c>
      <c r="G5" s="2">
        <f t="shared" si="4"/>
        <v>420</v>
      </c>
      <c r="H5" s="2">
        <f t="shared" si="4"/>
        <v>420</v>
      </c>
    </row>
    <row r="6" spans="1:8" ht="20">
      <c r="A6" s="22" t="s">
        <v>134</v>
      </c>
      <c r="B6" s="86" t="s">
        <v>2218</v>
      </c>
      <c r="C6" s="2">
        <f t="shared" ref="C6:H6" si="5">IF(RIGHT(C36,1)="m",VALUE(MID(C36,1,LEN(C36)-2)),VALUE(MID(C36,1,LEN(C36)-1)))</f>
        <v>594</v>
      </c>
      <c r="D6" s="2">
        <f t="shared" si="5"/>
        <v>601</v>
      </c>
      <c r="E6" s="2">
        <f t="shared" si="5"/>
        <v>614</v>
      </c>
      <c r="F6" s="2">
        <f t="shared" si="5"/>
        <v>622</v>
      </c>
      <c r="G6" s="2">
        <f t="shared" si="5"/>
        <v>627</v>
      </c>
      <c r="H6" s="2">
        <f t="shared" si="5"/>
        <v>636</v>
      </c>
    </row>
    <row r="7" spans="1:8" ht="20">
      <c r="A7" s="22" t="s">
        <v>56</v>
      </c>
      <c r="B7" s="86" t="s">
        <v>2219</v>
      </c>
      <c r="C7" s="2">
        <f t="shared" ref="C7:H7" si="6">IF(RIGHT(C37,1)="m",VALUE(MID(C37,1,LEN(C37)-2)),VALUE(MID(C37,1,LEN(C37)-1)))</f>
        <v>1004</v>
      </c>
      <c r="D7" s="2">
        <f t="shared" si="6"/>
        <v>1012</v>
      </c>
      <c r="E7" s="2">
        <f t="shared" si="6"/>
        <v>1024</v>
      </c>
      <c r="F7" s="2">
        <f t="shared" si="6"/>
        <v>1032</v>
      </c>
      <c r="G7" s="2">
        <f t="shared" si="6"/>
        <v>1037</v>
      </c>
      <c r="H7" s="2">
        <f t="shared" si="6"/>
        <v>1046</v>
      </c>
    </row>
    <row r="8" spans="1:8" ht="20">
      <c r="A8" s="22" t="s">
        <v>65</v>
      </c>
      <c r="B8" s="86" t="s">
        <v>2220</v>
      </c>
      <c r="C8" s="2">
        <f t="shared" ref="C8:H8" si="7">IF(RIGHT(C38,1)="m",VALUE(MID(C38,1,LEN(C38)-2)),VALUE(MID(C38,1,LEN(C38)-1)))</f>
        <v>70</v>
      </c>
      <c r="D8" s="2">
        <f t="shared" si="7"/>
        <v>70</v>
      </c>
      <c r="E8" s="2">
        <f t="shared" si="7"/>
        <v>70</v>
      </c>
      <c r="F8" s="2">
        <f t="shared" si="7"/>
        <v>70</v>
      </c>
      <c r="G8" s="2">
        <f t="shared" si="7"/>
        <v>70</v>
      </c>
      <c r="H8" s="2">
        <f t="shared" si="7"/>
        <v>70</v>
      </c>
    </row>
    <row r="9" spans="1:8" ht="20">
      <c r="A9" s="22" t="s">
        <v>63</v>
      </c>
      <c r="B9" s="86" t="s">
        <v>2221</v>
      </c>
      <c r="C9" s="2">
        <f t="shared" ref="C9:H9" si="8">IF(RIGHT(C39,1)="m",VALUE(MID(C39,1,LEN(C39)-2)),VALUE(MID(C39,1,LEN(C39)-1)))</f>
        <v>72.5</v>
      </c>
      <c r="D9" s="2">
        <f t="shared" si="8"/>
        <v>72.5</v>
      </c>
      <c r="E9" s="2">
        <f t="shared" si="8"/>
        <v>72.5</v>
      </c>
      <c r="F9" s="2">
        <f t="shared" si="8"/>
        <v>72.5</v>
      </c>
      <c r="G9" s="2">
        <f t="shared" si="8"/>
        <v>72.5</v>
      </c>
      <c r="H9" s="2">
        <f t="shared" si="8"/>
        <v>72.5</v>
      </c>
    </row>
    <row r="10" spans="1:8" ht="20">
      <c r="A10" s="22" t="s">
        <v>62</v>
      </c>
      <c r="B10" s="86" t="s">
        <v>2222</v>
      </c>
      <c r="C10" s="2">
        <f t="shared" ref="C10:H10" si="9">IF(RIGHT(C40,1)="m",VALUE(MID(C40,1,LEN(C40)-2)),VALUE(MID(C40,1,LEN(C40)-1)))</f>
        <v>69</v>
      </c>
      <c r="D10" s="2">
        <f t="shared" si="9"/>
        <v>69.5</v>
      </c>
      <c r="E10" s="2">
        <f t="shared" si="9"/>
        <v>70</v>
      </c>
      <c r="F10" s="2">
        <f t="shared" si="9"/>
        <v>71</v>
      </c>
      <c r="G10" s="2">
        <f t="shared" si="9"/>
        <v>72</v>
      </c>
      <c r="H10" s="2">
        <f t="shared" si="9"/>
        <v>72.5</v>
      </c>
    </row>
    <row r="11" spans="1:8" ht="20">
      <c r="A11" s="22" t="s">
        <v>73</v>
      </c>
      <c r="B11" s="86" t="s">
        <v>2223</v>
      </c>
      <c r="C11" s="2">
        <f t="shared" ref="C11:H11" si="10">IF(RIGHT(C41,1)="m",VALUE(MID(C41,1,LEN(C41)-2)),VALUE(MID(C41,1,LEN(C41)-1)))</f>
        <v>529</v>
      </c>
      <c r="D11" s="2">
        <f t="shared" si="10"/>
        <v>540</v>
      </c>
      <c r="E11" s="2">
        <f t="shared" si="10"/>
        <v>556</v>
      </c>
      <c r="F11" s="2">
        <f t="shared" si="10"/>
        <v>573</v>
      </c>
      <c r="G11" s="2">
        <f t="shared" si="10"/>
        <v>588</v>
      </c>
      <c r="H11" s="2">
        <f t="shared" si="10"/>
        <v>601</v>
      </c>
    </row>
    <row r="12" spans="1:8" ht="20">
      <c r="A12" s="22" t="s">
        <v>60</v>
      </c>
      <c r="B12" s="86" t="s">
        <v>2224</v>
      </c>
      <c r="C12" s="2">
        <f t="shared" ref="C12:H12" si="11">IF(RIGHT(C42,1)="m",VALUE(MID(C42,1,LEN(C42)-2)),VALUE(MID(C42,1,LEN(C42)-1)))</f>
        <v>485</v>
      </c>
      <c r="D12" s="2">
        <f t="shared" si="11"/>
        <v>502</v>
      </c>
      <c r="E12" s="2">
        <f t="shared" si="11"/>
        <v>525</v>
      </c>
      <c r="F12" s="2">
        <f t="shared" si="11"/>
        <v>550</v>
      </c>
      <c r="G12" s="2">
        <f t="shared" si="11"/>
        <v>569</v>
      </c>
      <c r="H12" s="2">
        <f t="shared" si="11"/>
        <v>584</v>
      </c>
    </row>
    <row r="13" spans="1:8" ht="20">
      <c r="A13" s="22" t="s">
        <v>57</v>
      </c>
      <c r="B13" s="86" t="s">
        <v>2225</v>
      </c>
      <c r="C13" s="2">
        <f t="shared" ref="C13:H13" si="12">IF(RIGHT(C43,1)="m",VALUE(MID(C43,1,LEN(C43)-2)),VALUE(MID(C43,1,LEN(C43)-1)))</f>
        <v>769</v>
      </c>
      <c r="D13" s="2">
        <f t="shared" si="12"/>
        <v>786</v>
      </c>
      <c r="E13" s="2">
        <f t="shared" si="12"/>
        <v>808</v>
      </c>
      <c r="F13" s="2">
        <f t="shared" si="12"/>
        <v>833</v>
      </c>
      <c r="G13" s="2">
        <f t="shared" si="12"/>
        <v>852</v>
      </c>
      <c r="H13" s="2">
        <f t="shared" si="12"/>
        <v>866</v>
      </c>
    </row>
    <row r="14" spans="1:8" ht="20">
      <c r="A14" s="22" t="s">
        <v>2207</v>
      </c>
      <c r="B14" s="86" t="s">
        <v>2226</v>
      </c>
      <c r="C14" s="2">
        <f>VALUE(LEFT(C44,4))</f>
        <v>87.9</v>
      </c>
      <c r="D14" s="2">
        <f>VALUE(LEFT(D44,4))</f>
        <v>84.6</v>
      </c>
      <c r="E14" s="2">
        <f>VALUE(LEFT(E44,4))</f>
        <v>81.2</v>
      </c>
      <c r="F14" s="2">
        <f>VALUE(LEFT(F44,4))</f>
        <v>74.599999999999994</v>
      </c>
      <c r="G14" s="2">
        <f>VALUE(LEFT(G44,2))</f>
        <v>68</v>
      </c>
      <c r="H14" s="2">
        <f>VALUE(LEFT(H44,4))</f>
        <v>64.7</v>
      </c>
    </row>
    <row r="15" spans="1:8" ht="20">
      <c r="A15" s="22" t="s">
        <v>495</v>
      </c>
      <c r="B15" s="86" t="s">
        <v>2227</v>
      </c>
      <c r="C15" s="2">
        <f t="shared" ref="C15:H15" si="13">IF(RIGHT(C45,1)="m",VALUE(MID(C45,1,LEN(C45)-2)),VALUE(MID(C45,1,LEN(C45)-1)))</f>
        <v>395</v>
      </c>
      <c r="D15" s="2">
        <f t="shared" si="13"/>
        <v>395</v>
      </c>
      <c r="E15" s="2">
        <f t="shared" si="13"/>
        <v>395</v>
      </c>
      <c r="F15" s="2">
        <f t="shared" si="13"/>
        <v>395</v>
      </c>
      <c r="G15" s="2">
        <f t="shared" si="13"/>
        <v>395</v>
      </c>
      <c r="H15" s="2">
        <f t="shared" si="13"/>
        <v>395</v>
      </c>
    </row>
    <row r="16" spans="1:8" ht="20">
      <c r="A16" s="22" t="s">
        <v>67</v>
      </c>
      <c r="B16" s="86" t="s">
        <v>2228</v>
      </c>
      <c r="C16" s="2">
        <f>VALUE(LEFT(C46,2))</f>
        <v>45</v>
      </c>
      <c r="D16" s="2">
        <f t="shared" ref="D16:H16" si="14">VALUE(LEFT(D46,2))</f>
        <v>45</v>
      </c>
      <c r="E16" s="2">
        <f t="shared" si="14"/>
        <v>45</v>
      </c>
      <c r="F16" s="2">
        <f t="shared" si="14"/>
        <v>45</v>
      </c>
      <c r="G16" s="2">
        <f t="shared" si="14"/>
        <v>45</v>
      </c>
      <c r="H16" s="2">
        <f t="shared" si="14"/>
        <v>45</v>
      </c>
    </row>
    <row r="17" spans="1:12" ht="20">
      <c r="A17" s="22" t="s">
        <v>2208</v>
      </c>
      <c r="B17" s="86" t="s">
        <v>2205</v>
      </c>
      <c r="C17" s="2">
        <f>VALUE(RIGHT(C44,4))</f>
        <v>83.3</v>
      </c>
      <c r="D17" s="2">
        <f t="shared" ref="D17:H17" si="15">VALUE(RIGHT(D44,4))</f>
        <v>79.900000000000006</v>
      </c>
      <c r="E17" s="2">
        <f t="shared" si="15"/>
        <v>76.5</v>
      </c>
      <c r="F17" s="2">
        <f t="shared" si="15"/>
        <v>69.900000000000006</v>
      </c>
      <c r="G17" s="2">
        <f t="shared" si="15"/>
        <v>63.3</v>
      </c>
      <c r="H17" s="2">
        <f t="shared" si="15"/>
        <v>59.9</v>
      </c>
    </row>
    <row r="18" spans="1:12" ht="20">
      <c r="A18" s="22" t="s">
        <v>2209</v>
      </c>
      <c r="B18" s="86" t="s">
        <v>2206</v>
      </c>
      <c r="C18" s="2">
        <f>VALUE(RIGHT(C46,2))</f>
        <v>50</v>
      </c>
      <c r="D18" s="2">
        <f t="shared" ref="D18:H18" si="16">VALUE(RIGHT(D46,2))</f>
        <v>50</v>
      </c>
      <c r="E18" s="2">
        <f t="shared" si="16"/>
        <v>50</v>
      </c>
      <c r="F18" s="2">
        <f t="shared" si="16"/>
        <v>50</v>
      </c>
      <c r="G18" s="2">
        <f t="shared" si="16"/>
        <v>50</v>
      </c>
      <c r="H18" s="2">
        <f t="shared" si="16"/>
        <v>50</v>
      </c>
    </row>
    <row r="19" spans="1:12" ht="20">
      <c r="A19" s="22" t="s">
        <v>69</v>
      </c>
      <c r="B19" s="22" t="s">
        <v>2210</v>
      </c>
      <c r="C19" s="2">
        <v>165</v>
      </c>
      <c r="D19" s="2">
        <v>165</v>
      </c>
      <c r="E19" s="2">
        <v>170</v>
      </c>
      <c r="F19" s="2">
        <v>172.5</v>
      </c>
      <c r="G19" s="2">
        <v>172.5</v>
      </c>
      <c r="H19" s="2">
        <v>175</v>
      </c>
    </row>
    <row r="20" spans="1:12" ht="20">
      <c r="A20" s="22" t="s">
        <v>70</v>
      </c>
      <c r="B20" s="22" t="s">
        <v>2211</v>
      </c>
    </row>
    <row r="21" spans="1:12" ht="20">
      <c r="A21" s="22" t="s">
        <v>71</v>
      </c>
      <c r="B21" s="22" t="s">
        <v>1641</v>
      </c>
      <c r="C21" s="2">
        <v>90</v>
      </c>
      <c r="D21" s="2">
        <v>90</v>
      </c>
      <c r="E21" s="2">
        <v>90</v>
      </c>
      <c r="F21" s="2">
        <v>90</v>
      </c>
      <c r="G21" s="2">
        <v>100</v>
      </c>
      <c r="H21" s="2">
        <v>100</v>
      </c>
    </row>
    <row r="22" spans="1:12" ht="20">
      <c r="A22" s="22" t="s">
        <v>68</v>
      </c>
      <c r="B22" s="22" t="s">
        <v>977</v>
      </c>
      <c r="C22" s="2">
        <v>700</v>
      </c>
      <c r="D22" s="2">
        <v>700</v>
      </c>
      <c r="E22" s="2">
        <v>700</v>
      </c>
      <c r="F22" s="2">
        <v>700</v>
      </c>
      <c r="G22" s="2">
        <v>700</v>
      </c>
      <c r="H22" s="2">
        <v>700</v>
      </c>
    </row>
    <row r="23" spans="1:12" ht="20">
      <c r="A23" s="22" t="s">
        <v>139</v>
      </c>
      <c r="B23" s="22" t="s">
        <v>2212</v>
      </c>
      <c r="C23" s="2">
        <v>45</v>
      </c>
      <c r="D23" s="2">
        <v>45</v>
      </c>
      <c r="E23" s="2">
        <v>45</v>
      </c>
      <c r="F23" s="2">
        <v>45</v>
      </c>
      <c r="G23" s="2">
        <v>45</v>
      </c>
      <c r="H23" s="2">
        <v>45</v>
      </c>
    </row>
    <row r="24" spans="1:12" ht="20">
      <c r="A24" s="22" t="s">
        <v>140</v>
      </c>
      <c r="B24" s="22" t="s">
        <v>2213</v>
      </c>
      <c r="C24" s="2">
        <v>48</v>
      </c>
      <c r="D24" s="2">
        <v>48</v>
      </c>
      <c r="E24" s="2">
        <v>48</v>
      </c>
      <c r="F24" s="2">
        <v>48</v>
      </c>
      <c r="G24" s="2">
        <v>48</v>
      </c>
      <c r="H24" s="2">
        <v>48</v>
      </c>
    </row>
    <row r="25" spans="1:12" ht="20">
      <c r="A25" s="22" t="s">
        <v>1752</v>
      </c>
      <c r="B25" s="22" t="s">
        <v>2128</v>
      </c>
      <c r="C25" s="2">
        <f>VALUE(LEFT(C27,3))</f>
        <v>150</v>
      </c>
      <c r="D25" s="2">
        <f t="shared" ref="D25:H25" si="17">VALUE(LEFT(D27,3))</f>
        <v>162</v>
      </c>
      <c r="E25" s="2">
        <f t="shared" si="17"/>
        <v>170</v>
      </c>
      <c r="F25" s="2">
        <f t="shared" si="17"/>
        <v>177</v>
      </c>
      <c r="G25" s="2">
        <f t="shared" si="17"/>
        <v>185</v>
      </c>
      <c r="H25" s="2">
        <f t="shared" si="17"/>
        <v>190</v>
      </c>
    </row>
    <row r="26" spans="1:12" ht="20">
      <c r="A26" s="22" t="s">
        <v>1753</v>
      </c>
      <c r="B26" s="22" t="s">
        <v>2129</v>
      </c>
      <c r="C26" s="2">
        <f>VALUE(MID(C27,10,3))</f>
        <v>162</v>
      </c>
      <c r="D26" s="2">
        <f t="shared" ref="D26:H26" si="18">VALUE(MID(D27,10,3))</f>
        <v>170</v>
      </c>
      <c r="E26" s="2">
        <f t="shared" si="18"/>
        <v>177</v>
      </c>
      <c r="F26" s="2">
        <v>185</v>
      </c>
      <c r="G26" s="2">
        <v>190</v>
      </c>
      <c r="H26" s="2">
        <f t="shared" si="18"/>
        <v>198</v>
      </c>
    </row>
    <row r="27" spans="1:12">
      <c r="C27" s="106" t="s">
        <v>2358</v>
      </c>
      <c r="D27" s="106" t="s">
        <v>2361</v>
      </c>
      <c r="E27" s="106" t="s">
        <v>2363</v>
      </c>
      <c r="F27" s="106" t="s">
        <v>2366</v>
      </c>
      <c r="G27" s="106" t="s">
        <v>2369</v>
      </c>
      <c r="H27" s="106" t="s">
        <v>2371</v>
      </c>
    </row>
    <row r="30" spans="1:12">
      <c r="J30" s="2" t="s">
        <v>2373</v>
      </c>
    </row>
    <row r="31" spans="1:12">
      <c r="B31" s="85" t="s">
        <v>757</v>
      </c>
      <c r="C31" s="86" t="s">
        <v>16</v>
      </c>
      <c r="D31" s="86" t="s">
        <v>17</v>
      </c>
      <c r="E31" s="86" t="s">
        <v>18</v>
      </c>
      <c r="F31" s="86" t="s">
        <v>2172</v>
      </c>
      <c r="G31" s="86" t="s">
        <v>19</v>
      </c>
      <c r="H31" s="86" t="s">
        <v>20</v>
      </c>
      <c r="J31" s="106" t="s">
        <v>2355</v>
      </c>
      <c r="K31"/>
      <c r="L31"/>
    </row>
    <row r="32" spans="1:12">
      <c r="B32" s="86" t="s">
        <v>2214</v>
      </c>
      <c r="C32" s="87" t="s">
        <v>2173</v>
      </c>
      <c r="D32" s="87" t="s">
        <v>2174</v>
      </c>
      <c r="E32" s="87" t="s">
        <v>240</v>
      </c>
      <c r="F32" s="87" t="s">
        <v>848</v>
      </c>
      <c r="G32" s="87" t="s">
        <v>1242</v>
      </c>
      <c r="H32" s="87" t="s">
        <v>2175</v>
      </c>
      <c r="J32"/>
      <c r="K32"/>
      <c r="L32"/>
    </row>
    <row r="33" spans="2:12">
      <c r="B33" s="86" t="s">
        <v>2215</v>
      </c>
      <c r="C33" s="87" t="s">
        <v>2176</v>
      </c>
      <c r="D33" s="87" t="s">
        <v>1254</v>
      </c>
      <c r="E33" s="87" t="s">
        <v>1172</v>
      </c>
      <c r="F33" s="87" t="s">
        <v>2177</v>
      </c>
      <c r="G33" s="87" t="s">
        <v>2178</v>
      </c>
      <c r="H33" s="87" t="s">
        <v>2179</v>
      </c>
      <c r="J33" s="106" t="s">
        <v>2356</v>
      </c>
      <c r="K33"/>
      <c r="L33"/>
    </row>
    <row r="34" spans="2:12">
      <c r="B34" s="86" t="s">
        <v>2216</v>
      </c>
      <c r="C34" s="87" t="s">
        <v>1292</v>
      </c>
      <c r="D34" s="87" t="s">
        <v>2180</v>
      </c>
      <c r="E34" s="87" t="s">
        <v>2181</v>
      </c>
      <c r="F34" s="87" t="s">
        <v>850</v>
      </c>
      <c r="G34" s="87" t="s">
        <v>2182</v>
      </c>
      <c r="H34" s="87" t="s">
        <v>1264</v>
      </c>
      <c r="J34" s="106"/>
      <c r="K34"/>
      <c r="L34"/>
    </row>
    <row r="35" spans="2:12">
      <c r="B35" s="86" t="s">
        <v>2217</v>
      </c>
      <c r="C35" s="87" t="s">
        <v>610</v>
      </c>
      <c r="D35" s="87" t="s">
        <v>610</v>
      </c>
      <c r="E35" s="87" t="s">
        <v>610</v>
      </c>
      <c r="F35" s="87" t="s">
        <v>610</v>
      </c>
      <c r="G35" s="87" t="s">
        <v>610</v>
      </c>
      <c r="H35" s="87" t="s">
        <v>610</v>
      </c>
      <c r="J35" s="106" t="s">
        <v>2357</v>
      </c>
      <c r="K35" s="106" t="s">
        <v>2358</v>
      </c>
      <c r="L35" s="106" t="s">
        <v>2359</v>
      </c>
    </row>
    <row r="36" spans="2:12">
      <c r="B36" s="86" t="s">
        <v>2218</v>
      </c>
      <c r="C36" s="87" t="s">
        <v>2183</v>
      </c>
      <c r="D36" s="87" t="s">
        <v>2184</v>
      </c>
      <c r="E36" s="87" t="s">
        <v>1261</v>
      </c>
      <c r="F36" s="87" t="s">
        <v>1179</v>
      </c>
      <c r="G36" s="87" t="s">
        <v>631</v>
      </c>
      <c r="H36" s="87" t="s">
        <v>2185</v>
      </c>
      <c r="J36" s="106" t="s">
        <v>2360</v>
      </c>
      <c r="K36" s="106" t="s">
        <v>2361</v>
      </c>
      <c r="L36" s="106" t="s">
        <v>2362</v>
      </c>
    </row>
    <row r="37" spans="2:12">
      <c r="B37" s="86" t="s">
        <v>2219</v>
      </c>
      <c r="C37" s="87" t="s">
        <v>2186</v>
      </c>
      <c r="D37" s="87" t="s">
        <v>2187</v>
      </c>
      <c r="E37" s="87" t="s">
        <v>2188</v>
      </c>
      <c r="F37" s="87" t="s">
        <v>1325</v>
      </c>
      <c r="G37" s="87" t="s">
        <v>2189</v>
      </c>
      <c r="H37" s="87" t="s">
        <v>1197</v>
      </c>
      <c r="J37" s="106" t="s">
        <v>1537</v>
      </c>
      <c r="K37" s="106" t="s">
        <v>2363</v>
      </c>
      <c r="L37" s="106" t="s">
        <v>2364</v>
      </c>
    </row>
    <row r="38" spans="2:12">
      <c r="B38" s="86" t="s">
        <v>2220</v>
      </c>
      <c r="C38" s="87" t="s">
        <v>1204</v>
      </c>
      <c r="D38" s="87" t="s">
        <v>1204</v>
      </c>
      <c r="E38" s="87" t="s">
        <v>1204</v>
      </c>
      <c r="F38" s="87" t="s">
        <v>1204</v>
      </c>
      <c r="G38" s="87" t="s">
        <v>1204</v>
      </c>
      <c r="H38" s="87" t="s">
        <v>1204</v>
      </c>
      <c r="J38" s="106" t="s">
        <v>2365</v>
      </c>
      <c r="K38" s="106" t="s">
        <v>2366</v>
      </c>
      <c r="L38" s="106" t="s">
        <v>2367</v>
      </c>
    </row>
    <row r="39" spans="2:12">
      <c r="B39" s="86" t="s">
        <v>2221</v>
      </c>
      <c r="C39" s="87" t="s">
        <v>293</v>
      </c>
      <c r="D39" s="87" t="s">
        <v>293</v>
      </c>
      <c r="E39" s="87" t="s">
        <v>293</v>
      </c>
      <c r="F39" s="87" t="s">
        <v>293</v>
      </c>
      <c r="G39" s="87" t="s">
        <v>293</v>
      </c>
      <c r="H39" s="87" t="s">
        <v>293</v>
      </c>
      <c r="J39" s="106" t="s">
        <v>2368</v>
      </c>
      <c r="K39" s="106" t="s">
        <v>2369</v>
      </c>
      <c r="L39" s="106" t="s">
        <v>2370</v>
      </c>
    </row>
    <row r="40" spans="2:12">
      <c r="B40" s="86" t="s">
        <v>2222</v>
      </c>
      <c r="C40" s="87" t="s">
        <v>1186</v>
      </c>
      <c r="D40" s="87" t="s">
        <v>172</v>
      </c>
      <c r="E40" s="87" t="s">
        <v>579</v>
      </c>
      <c r="F40" s="87" t="s">
        <v>309</v>
      </c>
      <c r="G40" s="87" t="s">
        <v>791</v>
      </c>
      <c r="H40" s="87" t="s">
        <v>293</v>
      </c>
      <c r="J40" s="106" t="s">
        <v>1541</v>
      </c>
      <c r="K40" s="106" t="s">
        <v>2371</v>
      </c>
      <c r="L40" s="106" t="s">
        <v>2372</v>
      </c>
    </row>
    <row r="41" spans="2:12">
      <c r="B41" s="86" t="s">
        <v>2223</v>
      </c>
      <c r="C41" s="87" t="s">
        <v>1166</v>
      </c>
      <c r="D41" s="87" t="s">
        <v>849</v>
      </c>
      <c r="E41" s="87" t="s">
        <v>2064</v>
      </c>
      <c r="F41" s="87" t="s">
        <v>1330</v>
      </c>
      <c r="G41" s="87" t="s">
        <v>2190</v>
      </c>
      <c r="H41" s="87" t="s">
        <v>2184</v>
      </c>
    </row>
    <row r="42" spans="2:12">
      <c r="B42" s="86" t="s">
        <v>2224</v>
      </c>
      <c r="C42" s="87" t="s">
        <v>2191</v>
      </c>
      <c r="D42" s="87" t="s">
        <v>2192</v>
      </c>
      <c r="E42" s="87" t="s">
        <v>2193</v>
      </c>
      <c r="F42" s="87" t="s">
        <v>1167</v>
      </c>
      <c r="G42" s="87" t="s">
        <v>2050</v>
      </c>
      <c r="H42" s="87" t="s">
        <v>2194</v>
      </c>
    </row>
    <row r="43" spans="2:12">
      <c r="B43" s="86" t="s">
        <v>2225</v>
      </c>
      <c r="C43" s="87" t="s">
        <v>2195</v>
      </c>
      <c r="D43" s="87" t="s">
        <v>2196</v>
      </c>
      <c r="E43" s="87" t="s">
        <v>2197</v>
      </c>
      <c r="F43" s="87" t="s">
        <v>2072</v>
      </c>
      <c r="G43" s="87" t="s">
        <v>2198</v>
      </c>
      <c r="H43" s="87" t="s">
        <v>1607</v>
      </c>
    </row>
    <row r="44" spans="2:12">
      <c r="B44" s="86" t="s">
        <v>2229</v>
      </c>
      <c r="C44" s="87" t="s">
        <v>2199</v>
      </c>
      <c r="D44" s="87" t="s">
        <v>2200</v>
      </c>
      <c r="E44" s="87" t="s">
        <v>2201</v>
      </c>
      <c r="F44" s="87" t="s">
        <v>2202</v>
      </c>
      <c r="G44" s="87" t="s">
        <v>2203</v>
      </c>
      <c r="H44" s="87" t="s">
        <v>2204</v>
      </c>
    </row>
    <row r="45" spans="2:12">
      <c r="B45" s="86" t="s">
        <v>2227</v>
      </c>
      <c r="C45" s="87" t="s">
        <v>609</v>
      </c>
      <c r="D45" s="87" t="s">
        <v>609</v>
      </c>
      <c r="E45" s="87" t="s">
        <v>609</v>
      </c>
      <c r="F45" s="87" t="s">
        <v>609</v>
      </c>
      <c r="G45" s="87" t="s">
        <v>609</v>
      </c>
      <c r="H45" s="87" t="s">
        <v>609</v>
      </c>
    </row>
    <row r="46" spans="2:12">
      <c r="B46" s="86" t="s">
        <v>2230</v>
      </c>
      <c r="C46" s="87" t="s">
        <v>595</v>
      </c>
      <c r="D46" s="87" t="s">
        <v>595</v>
      </c>
      <c r="E46" s="87" t="s">
        <v>595</v>
      </c>
      <c r="F46" s="87" t="s">
        <v>595</v>
      </c>
      <c r="G46" s="87" t="s">
        <v>595</v>
      </c>
      <c r="H46" s="87" t="s">
        <v>595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840B-7E8D-3A43-83B8-BACC66356ECE}">
  <dimension ref="A1:G43"/>
  <sheetViews>
    <sheetView workbookViewId="0">
      <selection sqref="A1:A1048576"/>
    </sheetView>
  </sheetViews>
  <sheetFormatPr baseColWidth="10" defaultRowHeight="20"/>
  <cols>
    <col min="1" max="2" width="28.83203125" style="22" bestFit="1" customWidth="1"/>
    <col min="3" max="3" width="15.5" style="22" customWidth="1"/>
    <col min="4" max="16384" width="10.83203125" style="22"/>
  </cols>
  <sheetData>
    <row r="1" spans="1:7">
      <c r="A1" s="2" t="s">
        <v>72</v>
      </c>
      <c r="B1" s="22" t="s">
        <v>15</v>
      </c>
      <c r="C1" s="22" t="s">
        <v>17</v>
      </c>
      <c r="D1" s="22" t="s">
        <v>18</v>
      </c>
      <c r="E1" s="22" t="s">
        <v>19</v>
      </c>
      <c r="F1" s="22" t="s">
        <v>20</v>
      </c>
      <c r="G1" s="22" t="s">
        <v>1289</v>
      </c>
    </row>
    <row r="2" spans="1:7">
      <c r="A2" s="2" t="s">
        <v>73</v>
      </c>
      <c r="B2" s="22" t="s">
        <v>225</v>
      </c>
      <c r="C2" s="22">
        <v>540</v>
      </c>
      <c r="D2" s="22">
        <v>557</v>
      </c>
      <c r="E2" s="22">
        <v>570</v>
      </c>
      <c r="F2" s="22">
        <v>583</v>
      </c>
      <c r="G2" s="22">
        <v>600</v>
      </c>
    </row>
    <row r="3" spans="1:7">
      <c r="A3" s="2" t="s">
        <v>60</v>
      </c>
      <c r="B3" s="22" t="s">
        <v>173</v>
      </c>
      <c r="C3" s="22">
        <v>450</v>
      </c>
      <c r="D3" s="22">
        <v>490</v>
      </c>
      <c r="E3" s="22">
        <v>520</v>
      </c>
      <c r="F3" s="22">
        <v>550</v>
      </c>
      <c r="G3" s="22">
        <v>580</v>
      </c>
    </row>
    <row r="4" spans="1:7">
      <c r="A4" s="2" t="s">
        <v>63</v>
      </c>
      <c r="B4" s="22" t="s">
        <v>4</v>
      </c>
      <c r="C4" s="22">
        <v>73</v>
      </c>
      <c r="D4" s="22">
        <v>73</v>
      </c>
      <c r="E4" s="22">
        <v>73</v>
      </c>
      <c r="F4" s="22">
        <v>73</v>
      </c>
      <c r="G4" s="22">
        <v>73</v>
      </c>
    </row>
    <row r="5" spans="1:7">
      <c r="A5" s="2" t="s">
        <v>66</v>
      </c>
      <c r="B5" s="22" t="s">
        <v>7</v>
      </c>
      <c r="C5" s="22">
        <v>420</v>
      </c>
      <c r="D5" s="22">
        <v>420</v>
      </c>
      <c r="E5" s="22">
        <v>420</v>
      </c>
      <c r="F5" s="22">
        <v>420</v>
      </c>
      <c r="G5" s="22">
        <v>420</v>
      </c>
    </row>
    <row r="6" spans="1:7">
      <c r="A6" s="2" t="s">
        <v>65</v>
      </c>
      <c r="B6" s="22" t="s">
        <v>6</v>
      </c>
      <c r="C6" s="22">
        <v>70</v>
      </c>
      <c r="D6" s="22">
        <v>70</v>
      </c>
      <c r="E6" s="22">
        <v>70</v>
      </c>
      <c r="F6" s="22">
        <v>70</v>
      </c>
      <c r="G6" s="22">
        <v>70</v>
      </c>
    </row>
    <row r="7" spans="1:7">
      <c r="A7" s="22" t="s">
        <v>137</v>
      </c>
      <c r="B7" s="22" t="s">
        <v>1271</v>
      </c>
      <c r="C7" s="22">
        <v>285</v>
      </c>
      <c r="D7" s="22">
        <v>285</v>
      </c>
      <c r="E7" s="22">
        <v>285</v>
      </c>
      <c r="F7" s="22">
        <v>285</v>
      </c>
      <c r="G7" s="22">
        <v>285</v>
      </c>
    </row>
    <row r="8" spans="1:7">
      <c r="A8" s="2" t="s">
        <v>62</v>
      </c>
      <c r="B8" s="22" t="s">
        <v>3</v>
      </c>
      <c r="C8" s="22">
        <v>71.5</v>
      </c>
      <c r="D8" s="22">
        <v>71.5</v>
      </c>
      <c r="E8" s="22">
        <v>71.5</v>
      </c>
      <c r="F8" s="22">
        <v>71.5</v>
      </c>
      <c r="G8" s="22">
        <v>71.5</v>
      </c>
    </row>
    <row r="9" spans="1:7">
      <c r="A9" s="2" t="s">
        <v>56</v>
      </c>
      <c r="B9" s="22" t="s">
        <v>9</v>
      </c>
      <c r="C9" s="22">
        <v>1016</v>
      </c>
      <c r="D9" s="22">
        <v>1034</v>
      </c>
      <c r="E9" s="22">
        <v>1049</v>
      </c>
      <c r="F9" s="22">
        <v>1064</v>
      </c>
      <c r="G9" s="22">
        <v>1082</v>
      </c>
    </row>
    <row r="10" spans="1:7">
      <c r="A10" s="2" t="s">
        <v>64</v>
      </c>
      <c r="B10" s="22" t="s">
        <v>5</v>
      </c>
      <c r="C10" s="22">
        <v>110</v>
      </c>
      <c r="D10" s="22">
        <v>136</v>
      </c>
      <c r="E10" s="22">
        <v>157</v>
      </c>
      <c r="F10" s="22">
        <v>178</v>
      </c>
      <c r="G10" s="22">
        <v>205</v>
      </c>
    </row>
    <row r="11" spans="1:7">
      <c r="A11" s="22" t="s">
        <v>495</v>
      </c>
      <c r="B11" s="22" t="s">
        <v>490</v>
      </c>
      <c r="C11" s="22">
        <v>395</v>
      </c>
      <c r="D11" s="22">
        <v>395</v>
      </c>
      <c r="E11" s="22">
        <v>395</v>
      </c>
      <c r="F11" s="22">
        <v>395</v>
      </c>
      <c r="G11" s="22">
        <v>395</v>
      </c>
    </row>
    <row r="12" spans="1:7">
      <c r="A12" s="2" t="s">
        <v>67</v>
      </c>
      <c r="B12" s="22" t="s">
        <v>247</v>
      </c>
      <c r="C12" s="22">
        <v>47</v>
      </c>
      <c r="D12" s="22">
        <v>47</v>
      </c>
      <c r="E12" s="22">
        <v>47</v>
      </c>
      <c r="F12" s="22">
        <v>47</v>
      </c>
      <c r="G12" s="22">
        <v>47</v>
      </c>
    </row>
    <row r="13" spans="1:7">
      <c r="A13" s="2" t="s">
        <v>135</v>
      </c>
      <c r="B13" s="22" t="s">
        <v>133</v>
      </c>
      <c r="C13" s="22">
        <v>69</v>
      </c>
      <c r="D13" s="22">
        <v>69</v>
      </c>
      <c r="E13" s="22">
        <v>69</v>
      </c>
      <c r="F13" s="22">
        <v>69</v>
      </c>
      <c r="G13" s="22">
        <v>69</v>
      </c>
    </row>
    <row r="14" spans="1:7">
      <c r="A14" s="2" t="s">
        <v>54</v>
      </c>
      <c r="B14" s="22" t="s">
        <v>0</v>
      </c>
      <c r="C14" s="22">
        <v>535</v>
      </c>
      <c r="D14" s="22">
        <v>560</v>
      </c>
      <c r="E14" s="22">
        <v>580</v>
      </c>
      <c r="F14" s="22">
        <v>600</v>
      </c>
      <c r="G14" s="22">
        <v>625</v>
      </c>
    </row>
    <row r="15" spans="1:7">
      <c r="A15" s="2" t="s">
        <v>55</v>
      </c>
      <c r="B15" s="22" t="s">
        <v>1</v>
      </c>
      <c r="C15" s="22">
        <v>397</v>
      </c>
      <c r="D15" s="22">
        <v>407</v>
      </c>
      <c r="E15" s="22">
        <v>415</v>
      </c>
      <c r="F15" s="22">
        <v>423</v>
      </c>
      <c r="G15" s="22">
        <v>433</v>
      </c>
    </row>
    <row r="16" spans="1:7">
      <c r="A16" s="2" t="s">
        <v>57</v>
      </c>
      <c r="B16" s="22" t="s">
        <v>57</v>
      </c>
    </row>
    <row r="17" spans="1:7">
      <c r="A17" s="2" t="s">
        <v>69</v>
      </c>
      <c r="B17" s="22" t="s">
        <v>69</v>
      </c>
    </row>
    <row r="18" spans="1:7">
      <c r="A18" s="2" t="s">
        <v>70</v>
      </c>
      <c r="B18" s="22" t="s">
        <v>70</v>
      </c>
    </row>
    <row r="19" spans="1:7">
      <c r="A19" s="2" t="s">
        <v>71</v>
      </c>
      <c r="B19" s="22" t="s">
        <v>71</v>
      </c>
    </row>
    <row r="20" spans="1:7">
      <c r="A20" s="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</row>
    <row r="21" spans="1:7">
      <c r="A21" s="2" t="s">
        <v>139</v>
      </c>
      <c r="B21" s="22" t="s">
        <v>139</v>
      </c>
      <c r="C21" s="22">
        <v>50</v>
      </c>
      <c r="D21" s="22">
        <v>50</v>
      </c>
      <c r="E21" s="22">
        <v>50</v>
      </c>
      <c r="F21" s="22">
        <v>50</v>
      </c>
      <c r="G21" s="22">
        <v>50</v>
      </c>
    </row>
    <row r="22" spans="1:7">
      <c r="A22" s="2" t="s">
        <v>140</v>
      </c>
      <c r="B22" s="22" t="s">
        <v>140</v>
      </c>
      <c r="C22" s="22">
        <v>40</v>
      </c>
      <c r="D22" s="22">
        <v>40</v>
      </c>
      <c r="E22" s="22">
        <v>40</v>
      </c>
      <c r="F22" s="22">
        <v>40</v>
      </c>
      <c r="G22" s="22">
        <v>40</v>
      </c>
    </row>
    <row r="23" spans="1:7">
      <c r="A23" s="22" t="s">
        <v>1752</v>
      </c>
      <c r="B23" s="22" t="s">
        <v>1752</v>
      </c>
      <c r="C23" s="22">
        <f>VALUE(LEFT(B28,3))</f>
        <v>155</v>
      </c>
      <c r="D23" s="22">
        <f t="shared" ref="D23:G23" si="0">VALUE(LEFT(C28,3))</f>
        <v>165</v>
      </c>
      <c r="E23" s="22">
        <f t="shared" si="0"/>
        <v>175</v>
      </c>
      <c r="F23" s="22">
        <f t="shared" si="0"/>
        <v>183</v>
      </c>
      <c r="G23" s="22">
        <f t="shared" si="0"/>
        <v>190</v>
      </c>
    </row>
    <row r="24" spans="1:7">
      <c r="A24" s="22" t="s">
        <v>1753</v>
      </c>
      <c r="B24" s="22" t="s">
        <v>1753</v>
      </c>
      <c r="C24" s="22">
        <f>VALUE(MID(B28,6,3))</f>
        <v>168</v>
      </c>
      <c r="D24" s="22">
        <f>VALUE(MID(C28,7,3))</f>
        <v>178</v>
      </c>
      <c r="E24" s="22">
        <f t="shared" ref="E24:G24" si="1">VALUE(MID(D28,7,3))</f>
        <v>185</v>
      </c>
      <c r="F24" s="22">
        <f t="shared" si="1"/>
        <v>193</v>
      </c>
      <c r="G24" s="22">
        <f t="shared" si="1"/>
        <v>203</v>
      </c>
    </row>
    <row r="26" spans="1:7">
      <c r="C26" s="22" t="s">
        <v>17</v>
      </c>
      <c r="D26" s="22" t="s">
        <v>18</v>
      </c>
      <c r="E26" s="22" t="s">
        <v>19</v>
      </c>
      <c r="F26" s="22" t="s">
        <v>20</v>
      </c>
      <c r="G26" s="22" t="s">
        <v>1289</v>
      </c>
    </row>
    <row r="27" spans="1:7">
      <c r="A27" s="22" t="s">
        <v>2321</v>
      </c>
      <c r="B27" s="22" t="s">
        <v>2322</v>
      </c>
      <c r="C27" s="22" t="s">
        <v>2323</v>
      </c>
      <c r="D27" s="22" t="s">
        <v>2324</v>
      </c>
      <c r="E27" s="22" t="s">
        <v>2325</v>
      </c>
      <c r="F27" s="22" t="s">
        <v>2326</v>
      </c>
    </row>
    <row r="28" spans="1:7">
      <c r="A28" s="22" t="s">
        <v>2327</v>
      </c>
      <c r="B28" s="22" t="s">
        <v>2328</v>
      </c>
      <c r="C28" s="22" t="s">
        <v>2329</v>
      </c>
      <c r="D28" s="22" t="s">
        <v>2330</v>
      </c>
      <c r="E28" s="22" t="s">
        <v>2331</v>
      </c>
      <c r="F28" s="22" t="s">
        <v>2332</v>
      </c>
    </row>
    <row r="29" spans="1:7">
      <c r="A29" s="22" t="s">
        <v>406</v>
      </c>
      <c r="B29" s="22" t="s">
        <v>849</v>
      </c>
      <c r="C29" s="22" t="s">
        <v>1174</v>
      </c>
      <c r="D29" s="22" t="s">
        <v>848</v>
      </c>
      <c r="E29" s="22" t="s">
        <v>1466</v>
      </c>
      <c r="F29" s="22" t="s">
        <v>630</v>
      </c>
    </row>
    <row r="30" spans="1:7">
      <c r="A30" s="22" t="s">
        <v>409</v>
      </c>
      <c r="B30" s="22" t="s">
        <v>249</v>
      </c>
      <c r="C30" s="22" t="s">
        <v>239</v>
      </c>
      <c r="D30" s="22" t="s">
        <v>824</v>
      </c>
      <c r="E30" s="22" t="s">
        <v>1167</v>
      </c>
      <c r="F30" s="22" t="s">
        <v>606</v>
      </c>
    </row>
    <row r="31" spans="1:7">
      <c r="A31" s="22" t="s">
        <v>2333</v>
      </c>
      <c r="B31" s="22" t="s">
        <v>2334</v>
      </c>
      <c r="C31" s="22" t="s">
        <v>2334</v>
      </c>
      <c r="D31" s="22" t="s">
        <v>2334</v>
      </c>
      <c r="E31" s="22" t="s">
        <v>2334</v>
      </c>
      <c r="F31" s="22" t="s">
        <v>2334</v>
      </c>
    </row>
    <row r="32" spans="1:7">
      <c r="A32" s="22" t="s">
        <v>670</v>
      </c>
      <c r="B32" s="22" t="s">
        <v>610</v>
      </c>
      <c r="C32" s="22" t="s">
        <v>610</v>
      </c>
      <c r="D32" s="22" t="s">
        <v>610</v>
      </c>
      <c r="E32" s="22" t="s">
        <v>610</v>
      </c>
      <c r="F32" s="22" t="s">
        <v>610</v>
      </c>
    </row>
    <row r="33" spans="1:6">
      <c r="A33" s="22" t="s">
        <v>37</v>
      </c>
      <c r="B33" s="22" t="s">
        <v>1204</v>
      </c>
      <c r="C33" s="22" t="s">
        <v>1204</v>
      </c>
      <c r="D33" s="22" t="s">
        <v>1204</v>
      </c>
      <c r="E33" s="22" t="s">
        <v>1204</v>
      </c>
      <c r="F33" s="22" t="s">
        <v>1204</v>
      </c>
    </row>
    <row r="34" spans="1:6">
      <c r="A34" s="22" t="s">
        <v>2335</v>
      </c>
      <c r="B34" s="22" t="s">
        <v>2336</v>
      </c>
      <c r="C34" s="22" t="s">
        <v>2336</v>
      </c>
      <c r="D34" s="22" t="s">
        <v>2336</v>
      </c>
      <c r="E34" s="22" t="s">
        <v>2336</v>
      </c>
      <c r="F34" s="22" t="s">
        <v>2336</v>
      </c>
    </row>
    <row r="35" spans="1:6">
      <c r="A35" s="22" t="s">
        <v>34</v>
      </c>
      <c r="B35" s="22" t="s">
        <v>790</v>
      </c>
      <c r="C35" s="22" t="s">
        <v>790</v>
      </c>
      <c r="D35" s="22" t="s">
        <v>790</v>
      </c>
      <c r="E35" s="22" t="s">
        <v>790</v>
      </c>
      <c r="F35" s="22" t="s">
        <v>790</v>
      </c>
    </row>
    <row r="36" spans="1:6">
      <c r="A36" s="22" t="s">
        <v>1351</v>
      </c>
      <c r="B36" s="22" t="s">
        <v>2337</v>
      </c>
      <c r="C36" s="22" t="s">
        <v>2060</v>
      </c>
      <c r="D36" s="22" t="s">
        <v>1198</v>
      </c>
      <c r="E36" s="22" t="s">
        <v>2338</v>
      </c>
      <c r="F36" s="22" t="s">
        <v>2339</v>
      </c>
    </row>
    <row r="37" spans="1:6">
      <c r="A37" s="22" t="s">
        <v>29</v>
      </c>
      <c r="B37" s="22" t="s">
        <v>1293</v>
      </c>
      <c r="C37" s="22" t="s">
        <v>2340</v>
      </c>
      <c r="D37" s="22" t="s">
        <v>2341</v>
      </c>
      <c r="E37" s="22" t="s">
        <v>2342</v>
      </c>
      <c r="F37" s="22" t="s">
        <v>1470</v>
      </c>
    </row>
    <row r="38" spans="1:6">
      <c r="A38" s="22" t="s">
        <v>1914</v>
      </c>
      <c r="B38" s="22" t="s">
        <v>609</v>
      </c>
      <c r="C38" s="22" t="s">
        <v>609</v>
      </c>
      <c r="D38" s="22" t="s">
        <v>609</v>
      </c>
      <c r="E38" s="22" t="s">
        <v>609</v>
      </c>
      <c r="F38" s="22" t="s">
        <v>609</v>
      </c>
    </row>
    <row r="39" spans="1:6">
      <c r="A39" s="22" t="s">
        <v>568</v>
      </c>
      <c r="B39" s="22" t="s">
        <v>836</v>
      </c>
      <c r="C39" s="22" t="s">
        <v>836</v>
      </c>
      <c r="D39" s="22" t="s">
        <v>836</v>
      </c>
      <c r="E39" s="22" t="s">
        <v>836</v>
      </c>
      <c r="F39" s="22" t="s">
        <v>836</v>
      </c>
    </row>
    <row r="40" spans="1:6">
      <c r="A40" s="22" t="s">
        <v>189</v>
      </c>
      <c r="B40" s="22" t="s">
        <v>618</v>
      </c>
      <c r="C40" s="22" t="s">
        <v>618</v>
      </c>
      <c r="D40" s="22" t="s">
        <v>618</v>
      </c>
      <c r="E40" s="22" t="s">
        <v>618</v>
      </c>
      <c r="F40" s="22" t="s">
        <v>618</v>
      </c>
    </row>
    <row r="41" spans="1:6">
      <c r="A41" s="22" t="s">
        <v>39</v>
      </c>
      <c r="B41" s="22" t="s">
        <v>226</v>
      </c>
      <c r="C41" s="22" t="s">
        <v>855</v>
      </c>
      <c r="D41" s="22" t="s">
        <v>606</v>
      </c>
      <c r="E41" s="22" t="s">
        <v>630</v>
      </c>
      <c r="F41" s="22" t="s">
        <v>2343</v>
      </c>
    </row>
    <row r="42" spans="1:6">
      <c r="A42" s="22" t="s">
        <v>40</v>
      </c>
      <c r="B42" s="22" t="s">
        <v>2344</v>
      </c>
      <c r="C42" s="22" t="s">
        <v>2345</v>
      </c>
      <c r="D42" s="22" t="s">
        <v>1193</v>
      </c>
      <c r="E42" s="22" t="s">
        <v>2346</v>
      </c>
      <c r="F42" s="22" t="s">
        <v>2347</v>
      </c>
    </row>
    <row r="43" spans="1:6">
      <c r="A43" s="22" t="s">
        <v>41</v>
      </c>
      <c r="B43" s="22" t="s">
        <v>1496</v>
      </c>
      <c r="C43" s="22" t="s">
        <v>1497</v>
      </c>
      <c r="D43" s="22" t="s">
        <v>1250</v>
      </c>
      <c r="E43" s="22" t="s">
        <v>1498</v>
      </c>
      <c r="F43" s="22" t="s">
        <v>2348</v>
      </c>
    </row>
  </sheetData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0B4F-2998-9C47-8EDB-0C9976498217}">
  <dimension ref="A1:H28"/>
  <sheetViews>
    <sheetView workbookViewId="0">
      <selection activeCell="I23" sqref="I23"/>
    </sheetView>
  </sheetViews>
  <sheetFormatPr baseColWidth="10" defaultRowHeight="20"/>
  <cols>
    <col min="1" max="1" width="29.33203125" style="22" bestFit="1" customWidth="1"/>
    <col min="2" max="2" width="37.5" style="22" bestFit="1" customWidth="1"/>
    <col min="3" max="16384" width="10.83203125" style="22"/>
  </cols>
  <sheetData>
    <row r="1" spans="1:8">
      <c r="A1" s="22" t="s">
        <v>72</v>
      </c>
      <c r="B1" s="28" t="s">
        <v>167</v>
      </c>
      <c r="C1" s="28">
        <v>50</v>
      </c>
      <c r="D1" s="28">
        <v>52</v>
      </c>
      <c r="E1" s="28">
        <v>54</v>
      </c>
      <c r="F1" s="28">
        <v>56</v>
      </c>
      <c r="G1" s="28">
        <v>58</v>
      </c>
    </row>
    <row r="2" spans="1:8">
      <c r="A2" s="22" t="s">
        <v>62</v>
      </c>
      <c r="B2" s="28" t="s">
        <v>34</v>
      </c>
      <c r="C2" s="29">
        <v>70</v>
      </c>
      <c r="D2" s="29">
        <v>70</v>
      </c>
      <c r="E2" s="29">
        <v>70</v>
      </c>
      <c r="F2" s="29">
        <v>70</v>
      </c>
      <c r="G2" s="29">
        <v>70</v>
      </c>
    </row>
    <row r="3" spans="1:8">
      <c r="A3" s="22" t="s">
        <v>63</v>
      </c>
      <c r="B3" s="22" t="s">
        <v>31</v>
      </c>
      <c r="C3" s="29">
        <v>74</v>
      </c>
      <c r="D3" s="29">
        <v>74</v>
      </c>
      <c r="E3" s="29">
        <v>74</v>
      </c>
      <c r="F3" s="29">
        <v>74</v>
      </c>
      <c r="G3" s="29">
        <v>74</v>
      </c>
    </row>
    <row r="4" spans="1:8">
      <c r="A4" s="22" t="s">
        <v>73</v>
      </c>
      <c r="B4" s="28" t="s">
        <v>668</v>
      </c>
      <c r="C4" s="29">
        <v>559</v>
      </c>
      <c r="D4" s="29">
        <v>568</v>
      </c>
      <c r="E4" s="29">
        <v>597</v>
      </c>
      <c r="F4" s="29">
        <v>606</v>
      </c>
      <c r="G4" s="29">
        <v>624</v>
      </c>
    </row>
    <row r="5" spans="1:8">
      <c r="A5" s="22" t="s">
        <v>569</v>
      </c>
      <c r="B5" s="22" t="s">
        <v>669</v>
      </c>
      <c r="C5" s="29">
        <v>277</v>
      </c>
      <c r="D5" s="29">
        <v>277</v>
      </c>
      <c r="E5" s="29">
        <v>277</v>
      </c>
      <c r="F5" s="29">
        <v>277</v>
      </c>
      <c r="G5" s="29">
        <v>277</v>
      </c>
    </row>
    <row r="6" spans="1:8">
      <c r="A6" s="22" t="s">
        <v>57</v>
      </c>
      <c r="B6" s="28" t="s">
        <v>407</v>
      </c>
      <c r="C6" s="29">
        <v>784</v>
      </c>
      <c r="D6" s="29">
        <v>801</v>
      </c>
      <c r="E6" s="29">
        <v>818</v>
      </c>
      <c r="F6" s="29">
        <v>835</v>
      </c>
      <c r="G6" s="29">
        <v>852</v>
      </c>
    </row>
    <row r="7" spans="1:8">
      <c r="A7" s="22" t="s">
        <v>56</v>
      </c>
      <c r="B7" s="22" t="s">
        <v>672</v>
      </c>
      <c r="C7" s="29">
        <v>1032</v>
      </c>
      <c r="D7" s="29">
        <v>1041</v>
      </c>
      <c r="E7" s="29">
        <v>1072</v>
      </c>
      <c r="F7" s="29">
        <v>1071</v>
      </c>
      <c r="G7" s="29">
        <v>1102</v>
      </c>
    </row>
    <row r="8" spans="1:8">
      <c r="A8" s="22" t="s">
        <v>66</v>
      </c>
      <c r="B8" s="28" t="s">
        <v>670</v>
      </c>
      <c r="C8" s="29">
        <v>425</v>
      </c>
      <c r="D8" s="29">
        <v>425</v>
      </c>
      <c r="E8" s="29">
        <v>425</v>
      </c>
      <c r="F8" s="29">
        <v>425</v>
      </c>
      <c r="G8" s="29">
        <v>425</v>
      </c>
    </row>
    <row r="9" spans="1:8">
      <c r="A9" s="22" t="s">
        <v>673</v>
      </c>
      <c r="B9" s="28" t="s">
        <v>671</v>
      </c>
      <c r="C9" s="29">
        <v>30.9</v>
      </c>
      <c r="D9" s="29">
        <v>30.9</v>
      </c>
      <c r="E9" s="29">
        <v>30.9</v>
      </c>
      <c r="F9" s="29">
        <v>30.9</v>
      </c>
      <c r="G9" s="29">
        <v>30.9</v>
      </c>
    </row>
    <row r="10" spans="1:8">
      <c r="A10" s="22" t="s">
        <v>64</v>
      </c>
      <c r="B10" s="28" t="s">
        <v>29</v>
      </c>
      <c r="C10" s="29">
        <v>130</v>
      </c>
      <c r="D10" s="29">
        <v>145</v>
      </c>
      <c r="E10" s="29">
        <v>160</v>
      </c>
      <c r="F10" s="29">
        <v>175</v>
      </c>
      <c r="G10" s="29">
        <v>190</v>
      </c>
    </row>
    <row r="11" spans="1:8">
      <c r="A11" s="22" t="s">
        <v>60</v>
      </c>
      <c r="B11" s="28" t="s">
        <v>409</v>
      </c>
      <c r="C11" s="29">
        <v>500</v>
      </c>
      <c r="D11" s="29">
        <v>520</v>
      </c>
      <c r="E11" s="29">
        <v>540</v>
      </c>
      <c r="F11" s="29">
        <v>560</v>
      </c>
      <c r="G11" s="29">
        <v>580</v>
      </c>
    </row>
    <row r="12" spans="1:8">
      <c r="A12" s="22" t="s">
        <v>54</v>
      </c>
      <c r="B12" s="28" t="s">
        <v>39</v>
      </c>
      <c r="C12" s="29">
        <v>570</v>
      </c>
      <c r="D12" s="29">
        <v>584</v>
      </c>
      <c r="E12" s="29">
        <v>598</v>
      </c>
      <c r="F12" s="29">
        <v>612</v>
      </c>
      <c r="G12" s="29">
        <v>626</v>
      </c>
    </row>
    <row r="13" spans="1:8">
      <c r="A13" s="22" t="s">
        <v>55</v>
      </c>
      <c r="B13" s="28" t="s">
        <v>40</v>
      </c>
      <c r="C13" s="29">
        <v>396</v>
      </c>
      <c r="D13" s="29">
        <v>400.4</v>
      </c>
      <c r="E13" s="29">
        <v>425</v>
      </c>
      <c r="F13" s="29">
        <v>430</v>
      </c>
      <c r="G13" s="29">
        <v>445</v>
      </c>
    </row>
    <row r="14" spans="1:8">
      <c r="A14" s="22" t="s">
        <v>65</v>
      </c>
      <c r="B14" s="22" t="s">
        <v>65</v>
      </c>
      <c r="C14" s="22">
        <v>79</v>
      </c>
      <c r="D14" s="22">
        <v>79</v>
      </c>
      <c r="E14" s="22">
        <v>79</v>
      </c>
      <c r="F14" s="22">
        <v>79</v>
      </c>
      <c r="G14" s="22">
        <v>79</v>
      </c>
      <c r="H14" s="22" t="s">
        <v>674</v>
      </c>
    </row>
    <row r="15" spans="1:8">
      <c r="A15" s="22" t="s">
        <v>67</v>
      </c>
      <c r="B15" s="22" t="s">
        <v>67</v>
      </c>
      <c r="C15" s="22">
        <v>45</v>
      </c>
      <c r="D15" s="22">
        <v>45</v>
      </c>
      <c r="E15" s="22">
        <v>45</v>
      </c>
      <c r="F15" s="22">
        <v>45</v>
      </c>
      <c r="G15" s="22">
        <v>45</v>
      </c>
      <c r="H15" s="22" t="s">
        <v>674</v>
      </c>
    </row>
    <row r="16" spans="1:8">
      <c r="A16" s="22" t="s">
        <v>69</v>
      </c>
      <c r="B16" s="22" t="s">
        <v>69</v>
      </c>
      <c r="C16" s="22">
        <v>170</v>
      </c>
      <c r="D16" s="22">
        <v>170</v>
      </c>
      <c r="E16" s="22">
        <v>172.5</v>
      </c>
      <c r="F16" s="22">
        <v>175</v>
      </c>
      <c r="G16" s="22">
        <v>175</v>
      </c>
    </row>
    <row r="17" spans="1:7">
      <c r="A17" s="22" t="s">
        <v>70</v>
      </c>
      <c r="B17" s="22" t="s">
        <v>70</v>
      </c>
      <c r="C17" s="22">
        <v>500</v>
      </c>
      <c r="D17" s="22">
        <v>500</v>
      </c>
      <c r="E17" s="22">
        <v>500</v>
      </c>
      <c r="F17" s="22">
        <v>500</v>
      </c>
      <c r="G17" s="22">
        <v>500</v>
      </c>
    </row>
    <row r="18" spans="1:7">
      <c r="A18" s="22" t="s">
        <v>71</v>
      </c>
      <c r="B18" s="22" t="s">
        <v>71</v>
      </c>
      <c r="C18" s="22">
        <v>60</v>
      </c>
      <c r="D18" s="22">
        <v>70</v>
      </c>
      <c r="E18" s="22">
        <v>80</v>
      </c>
      <c r="F18" s="22">
        <v>90</v>
      </c>
      <c r="G18" s="22">
        <v>90</v>
      </c>
    </row>
    <row r="19" spans="1:7">
      <c r="A19" s="22" t="s">
        <v>68</v>
      </c>
      <c r="B19" s="22" t="s">
        <v>68</v>
      </c>
      <c r="C19" s="22">
        <v>700</v>
      </c>
      <c r="D19" s="22">
        <v>700</v>
      </c>
      <c r="E19" s="22">
        <v>700</v>
      </c>
      <c r="F19" s="22">
        <v>700</v>
      </c>
      <c r="G19" s="22">
        <v>700</v>
      </c>
    </row>
    <row r="20" spans="1:7">
      <c r="A20" s="22" t="s">
        <v>139</v>
      </c>
      <c r="B20" s="22" t="s">
        <v>139</v>
      </c>
      <c r="C20" s="22">
        <v>45</v>
      </c>
      <c r="D20" s="22">
        <v>45</v>
      </c>
      <c r="E20" s="22">
        <v>45</v>
      </c>
      <c r="F20" s="22">
        <v>45</v>
      </c>
      <c r="G20" s="22">
        <v>45</v>
      </c>
    </row>
    <row r="21" spans="1:7">
      <c r="A21" s="22" t="s">
        <v>140</v>
      </c>
      <c r="B21" s="22" t="s">
        <v>140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</row>
    <row r="22" spans="1:7">
      <c r="A22" s="22" t="s">
        <v>1752</v>
      </c>
      <c r="B22" s="22" t="s">
        <v>1752</v>
      </c>
      <c r="C22" s="22">
        <f>VALUE(LEFT(C27,3))</f>
        <v>157</v>
      </c>
      <c r="D22" s="22">
        <f t="shared" ref="D22:F22" si="0">VALUE(LEFT(D27,3))</f>
        <v>165</v>
      </c>
      <c r="E22" s="22">
        <f t="shared" si="0"/>
        <v>172</v>
      </c>
      <c r="F22" s="22">
        <f t="shared" si="0"/>
        <v>180</v>
      </c>
      <c r="G22" s="22">
        <f t="shared" ref="G22" si="1">VALUE(LEFT(G27,3))</f>
        <v>187</v>
      </c>
    </row>
    <row r="23" spans="1:7">
      <c r="A23" s="22" t="s">
        <v>1753</v>
      </c>
      <c r="B23" s="22" t="s">
        <v>1753</v>
      </c>
      <c r="C23" s="22">
        <f>VALUE(MID(C27,7,3))</f>
        <v>165</v>
      </c>
      <c r="D23" s="22">
        <f t="shared" ref="D23:F23" si="2">VALUE(MID(D27,7,3))</f>
        <v>172</v>
      </c>
      <c r="E23" s="22">
        <f t="shared" si="2"/>
        <v>180</v>
      </c>
      <c r="F23" s="22">
        <f t="shared" si="2"/>
        <v>187</v>
      </c>
      <c r="G23" s="22">
        <f t="shared" ref="G23" si="3">VALUE(MID(G27,7,3))</f>
        <v>195</v>
      </c>
    </row>
    <row r="25" spans="1:7">
      <c r="B25" s="28" t="s">
        <v>1352</v>
      </c>
      <c r="C25" s="28">
        <v>50</v>
      </c>
      <c r="D25" s="28">
        <v>52</v>
      </c>
      <c r="E25" s="28">
        <v>54</v>
      </c>
      <c r="F25" s="28">
        <v>56</v>
      </c>
      <c r="G25" s="28">
        <v>58</v>
      </c>
    </row>
    <row r="26" spans="1:7">
      <c r="B26" s="29"/>
      <c r="C26" s="29" t="s">
        <v>658</v>
      </c>
      <c r="D26" s="29" t="s">
        <v>659</v>
      </c>
      <c r="E26" s="29" t="s">
        <v>660</v>
      </c>
      <c r="F26" s="29" t="s">
        <v>661</v>
      </c>
      <c r="G26" s="29" t="s">
        <v>662</v>
      </c>
    </row>
    <row r="27" spans="1:7">
      <c r="B27" s="29"/>
      <c r="C27" s="29" t="s">
        <v>663</v>
      </c>
      <c r="D27" s="29" t="s">
        <v>664</v>
      </c>
      <c r="E27" s="29" t="s">
        <v>665</v>
      </c>
      <c r="F27" s="29" t="s">
        <v>666</v>
      </c>
      <c r="G27" s="29" t="s">
        <v>667</v>
      </c>
    </row>
    <row r="28" spans="1:7">
      <c r="A28" s="22" t="s">
        <v>1356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C48A-46A4-1242-A0D9-9B0FDF495972}">
  <dimension ref="A1:I30"/>
  <sheetViews>
    <sheetView topLeftCell="A3" workbookViewId="0">
      <selection activeCell="I24" sqref="I24"/>
    </sheetView>
  </sheetViews>
  <sheetFormatPr baseColWidth="10" defaultRowHeight="20"/>
  <cols>
    <col min="1" max="1" width="29.33203125" style="22" bestFit="1" customWidth="1"/>
    <col min="2" max="2" width="38" style="22" bestFit="1" customWidth="1"/>
    <col min="3" max="6" width="19.1640625" style="22" bestFit="1" customWidth="1"/>
    <col min="7" max="7" width="7.5" style="22" bestFit="1" customWidth="1"/>
    <col min="8" max="8" width="7.5" style="22" customWidth="1"/>
    <col min="9" max="16384" width="10.83203125" style="22"/>
  </cols>
  <sheetData>
    <row r="1" spans="1:9">
      <c r="A1" s="22" t="s">
        <v>72</v>
      </c>
      <c r="B1" s="27" t="s">
        <v>167</v>
      </c>
      <c r="C1" s="27">
        <v>50</v>
      </c>
      <c r="D1" s="27">
        <v>52</v>
      </c>
      <c r="E1" s="27">
        <v>54</v>
      </c>
      <c r="F1" s="27">
        <v>56</v>
      </c>
      <c r="G1" s="27">
        <v>58</v>
      </c>
    </row>
    <row r="2" spans="1:9">
      <c r="A2" s="22" t="s">
        <v>62</v>
      </c>
      <c r="B2" s="27" t="s">
        <v>34</v>
      </c>
      <c r="C2" s="22">
        <v>70</v>
      </c>
      <c r="D2" s="22">
        <v>70</v>
      </c>
      <c r="E2" s="22">
        <v>70</v>
      </c>
      <c r="F2" s="22">
        <v>70</v>
      </c>
      <c r="G2" s="22">
        <v>70</v>
      </c>
      <c r="H2" s="51"/>
    </row>
    <row r="3" spans="1:9">
      <c r="A3" s="22" t="s">
        <v>63</v>
      </c>
      <c r="B3" s="27" t="s">
        <v>31</v>
      </c>
      <c r="C3" s="22">
        <v>74</v>
      </c>
      <c r="D3" s="22">
        <v>74</v>
      </c>
      <c r="E3" s="22">
        <v>74</v>
      </c>
      <c r="F3" s="22">
        <v>74</v>
      </c>
      <c r="G3" s="22">
        <v>74</v>
      </c>
      <c r="H3" s="51"/>
    </row>
    <row r="4" spans="1:9">
      <c r="A4" s="22" t="s">
        <v>73</v>
      </c>
      <c r="B4" s="27" t="s">
        <v>668</v>
      </c>
      <c r="C4" s="22">
        <v>559</v>
      </c>
      <c r="D4" s="22">
        <v>568</v>
      </c>
      <c r="E4" s="22">
        <v>597</v>
      </c>
      <c r="F4" s="22">
        <v>606</v>
      </c>
      <c r="G4" s="22">
        <v>624</v>
      </c>
      <c r="H4" s="51"/>
    </row>
    <row r="5" spans="1:9">
      <c r="A5" s="22" t="s">
        <v>1353</v>
      </c>
      <c r="B5" s="27" t="s">
        <v>669</v>
      </c>
      <c r="C5" s="22">
        <v>277</v>
      </c>
      <c r="D5" s="22">
        <v>277</v>
      </c>
      <c r="E5" s="22">
        <v>277</v>
      </c>
      <c r="F5" s="22">
        <v>277</v>
      </c>
      <c r="G5" s="22">
        <v>277</v>
      </c>
      <c r="H5" s="51"/>
    </row>
    <row r="6" spans="1:9">
      <c r="A6" s="22" t="s">
        <v>57</v>
      </c>
      <c r="B6" s="27" t="s">
        <v>407</v>
      </c>
      <c r="C6" s="22">
        <v>784</v>
      </c>
      <c r="D6" s="22">
        <v>801</v>
      </c>
      <c r="E6" s="22">
        <v>818</v>
      </c>
      <c r="F6" s="22">
        <v>835</v>
      </c>
      <c r="G6" s="22">
        <v>852</v>
      </c>
      <c r="H6" s="51"/>
    </row>
    <row r="7" spans="1:9">
      <c r="A7" s="22" t="s">
        <v>56</v>
      </c>
      <c r="B7" s="27" t="s">
        <v>1351</v>
      </c>
      <c r="C7" s="22">
        <v>1032</v>
      </c>
      <c r="D7" s="22">
        <v>1042</v>
      </c>
      <c r="E7" s="22">
        <v>1072</v>
      </c>
      <c r="F7" s="22">
        <v>1081</v>
      </c>
      <c r="G7" s="22">
        <v>1102</v>
      </c>
      <c r="H7" s="51"/>
    </row>
    <row r="8" spans="1:9">
      <c r="A8" s="22" t="s">
        <v>66</v>
      </c>
      <c r="B8" s="27" t="s">
        <v>670</v>
      </c>
      <c r="C8" s="22">
        <v>425</v>
      </c>
      <c r="D8" s="22">
        <v>425</v>
      </c>
      <c r="E8" s="22">
        <v>425</v>
      </c>
      <c r="F8" s="22">
        <v>425</v>
      </c>
      <c r="G8" s="22">
        <v>425</v>
      </c>
      <c r="H8" s="51"/>
    </row>
    <row r="9" spans="1:9">
      <c r="A9" s="22" t="s">
        <v>59</v>
      </c>
      <c r="B9" s="27" t="s">
        <v>671</v>
      </c>
      <c r="C9" s="22">
        <v>30.9</v>
      </c>
      <c r="D9" s="22">
        <v>30.9</v>
      </c>
      <c r="E9" s="22">
        <v>30.9</v>
      </c>
      <c r="F9" s="22">
        <v>30.9</v>
      </c>
      <c r="G9" s="22">
        <v>30.9</v>
      </c>
      <c r="H9" s="51"/>
    </row>
    <row r="10" spans="1:9">
      <c r="A10" s="22" t="s">
        <v>64</v>
      </c>
      <c r="B10" s="27" t="s">
        <v>29</v>
      </c>
      <c r="C10" s="22">
        <v>130</v>
      </c>
      <c r="D10" s="22">
        <v>145</v>
      </c>
      <c r="E10" s="22">
        <v>160</v>
      </c>
      <c r="F10" s="22">
        <v>175</v>
      </c>
      <c r="G10" s="22">
        <v>190</v>
      </c>
      <c r="H10" s="51"/>
    </row>
    <row r="11" spans="1:9">
      <c r="A11" s="22" t="s">
        <v>60</v>
      </c>
      <c r="B11" s="27" t="s">
        <v>409</v>
      </c>
      <c r="C11" s="22">
        <v>500</v>
      </c>
      <c r="D11" s="22">
        <v>520</v>
      </c>
      <c r="E11" s="22">
        <v>540</v>
      </c>
      <c r="F11" s="22">
        <v>560</v>
      </c>
      <c r="G11" s="22">
        <v>580</v>
      </c>
      <c r="H11" s="51"/>
    </row>
    <row r="12" spans="1:9">
      <c r="A12" s="22" t="s">
        <v>54</v>
      </c>
      <c r="B12" s="27" t="s">
        <v>39</v>
      </c>
      <c r="C12" s="22">
        <v>570</v>
      </c>
      <c r="D12" s="22">
        <v>584</v>
      </c>
      <c r="E12" s="22">
        <v>598</v>
      </c>
      <c r="F12" s="22">
        <v>612</v>
      </c>
      <c r="G12" s="22">
        <v>626</v>
      </c>
      <c r="H12" s="51"/>
    </row>
    <row r="13" spans="1:9">
      <c r="A13" s="22" t="s">
        <v>55</v>
      </c>
      <c r="B13" s="27" t="s">
        <v>40</v>
      </c>
      <c r="C13" s="22">
        <v>396</v>
      </c>
      <c r="D13" s="22">
        <v>400.4</v>
      </c>
      <c r="E13" s="22">
        <v>425</v>
      </c>
      <c r="F13" s="22">
        <v>430</v>
      </c>
      <c r="G13" s="22">
        <v>445</v>
      </c>
      <c r="H13" s="51"/>
    </row>
    <row r="14" spans="1:9">
      <c r="A14" s="22" t="s">
        <v>65</v>
      </c>
      <c r="B14" s="22" t="s">
        <v>65</v>
      </c>
      <c r="C14" s="22">
        <v>76</v>
      </c>
      <c r="D14" s="22">
        <v>76</v>
      </c>
      <c r="E14" s="22">
        <v>76</v>
      </c>
      <c r="F14" s="22">
        <v>76</v>
      </c>
      <c r="G14" s="22">
        <v>76</v>
      </c>
      <c r="H14" s="51"/>
      <c r="I14" s="22" t="s">
        <v>1355</v>
      </c>
    </row>
    <row r="15" spans="1:9">
      <c r="A15" s="22" t="s">
        <v>1354</v>
      </c>
      <c r="B15" s="22" t="s">
        <v>1354</v>
      </c>
      <c r="C15" s="22">
        <f>(622+2*C21)/2-C5</f>
        <v>79</v>
      </c>
      <c r="D15" s="22">
        <f>(622+2*D21)/2-D5</f>
        <v>79</v>
      </c>
      <c r="E15" s="22">
        <f>(622+2*E21)/2-E5</f>
        <v>79</v>
      </c>
      <c r="F15" s="22">
        <f>(622+2*F21)/2-F5</f>
        <v>79</v>
      </c>
      <c r="G15" s="22">
        <f>(622+2*G21)/2-G5</f>
        <v>79</v>
      </c>
      <c r="H15" s="51"/>
      <c r="I15" s="22" t="s">
        <v>1357</v>
      </c>
    </row>
    <row r="16" spans="1:9">
      <c r="A16" s="22" t="s">
        <v>67</v>
      </c>
      <c r="B16" s="22" t="s">
        <v>67</v>
      </c>
      <c r="H16" s="51"/>
      <c r="I16" s="22" t="s">
        <v>1358</v>
      </c>
    </row>
    <row r="17" spans="1:8">
      <c r="A17" s="22" t="s">
        <v>69</v>
      </c>
      <c r="B17" s="22" t="s">
        <v>69</v>
      </c>
      <c r="H17" s="51"/>
    </row>
    <row r="18" spans="1:8">
      <c r="A18" s="22" t="s">
        <v>70</v>
      </c>
      <c r="B18" s="22" t="s">
        <v>70</v>
      </c>
      <c r="H18" s="51"/>
    </row>
    <row r="19" spans="1:8">
      <c r="A19" s="22" t="s">
        <v>71</v>
      </c>
      <c r="B19" s="22" t="s">
        <v>71</v>
      </c>
      <c r="C19" s="22">
        <v>60</v>
      </c>
      <c r="D19" s="22">
        <v>70</v>
      </c>
      <c r="E19" s="22">
        <v>80</v>
      </c>
      <c r="F19" s="22">
        <v>90</v>
      </c>
      <c r="G19" s="22">
        <v>90</v>
      </c>
      <c r="H19" s="51"/>
    </row>
    <row r="20" spans="1:8">
      <c r="A20" s="22" t="s">
        <v>68</v>
      </c>
      <c r="B20" s="22" t="s">
        <v>68</v>
      </c>
      <c r="C20" s="22">
        <v>700</v>
      </c>
      <c r="D20" s="22">
        <v>700</v>
      </c>
      <c r="E20" s="22">
        <v>700</v>
      </c>
      <c r="F20" s="22">
        <v>700</v>
      </c>
      <c r="G20" s="22">
        <v>700</v>
      </c>
      <c r="H20" s="51"/>
    </row>
    <row r="21" spans="1:8">
      <c r="A21" s="22" t="s">
        <v>139</v>
      </c>
      <c r="B21" s="22" t="s">
        <v>139</v>
      </c>
      <c r="C21" s="22">
        <v>45</v>
      </c>
      <c r="D21" s="22">
        <v>45</v>
      </c>
      <c r="E21" s="22">
        <v>45</v>
      </c>
      <c r="F21" s="22">
        <v>45</v>
      </c>
      <c r="G21" s="22">
        <v>45</v>
      </c>
      <c r="H21" s="51"/>
    </row>
    <row r="22" spans="1:8">
      <c r="A22" s="22" t="s">
        <v>140</v>
      </c>
      <c r="B22" s="22" t="s">
        <v>140</v>
      </c>
      <c r="C22" s="22">
        <v>45</v>
      </c>
      <c r="D22" s="22">
        <v>45</v>
      </c>
      <c r="E22" s="22">
        <v>45</v>
      </c>
      <c r="F22" s="22">
        <v>45</v>
      </c>
      <c r="G22" s="22">
        <v>45</v>
      </c>
    </row>
    <row r="23" spans="1:8">
      <c r="A23" s="22" t="s">
        <v>1752</v>
      </c>
      <c r="B23" s="22" t="s">
        <v>1752</v>
      </c>
      <c r="C23" s="22">
        <f>VALUE(LEFT(C28,3))</f>
        <v>157</v>
      </c>
      <c r="D23" s="22">
        <f t="shared" ref="D23:F23" si="0">VALUE(LEFT(D28,3))</f>
        <v>165</v>
      </c>
      <c r="E23" s="22">
        <f t="shared" si="0"/>
        <v>172</v>
      </c>
      <c r="F23" s="22">
        <f t="shared" si="0"/>
        <v>180</v>
      </c>
      <c r="G23" s="22">
        <f t="shared" ref="G23" si="1">VALUE(LEFT(G28,3))</f>
        <v>187</v>
      </c>
    </row>
    <row r="24" spans="1:8">
      <c r="A24" s="22" t="s">
        <v>1753</v>
      </c>
      <c r="B24" s="22" t="s">
        <v>1753</v>
      </c>
      <c r="C24" s="22">
        <f>VALUE(MID(C28,7,3))</f>
        <v>165</v>
      </c>
      <c r="D24" s="22">
        <f t="shared" ref="D24:F24" si="2">VALUE(MID(D28,7,3))</f>
        <v>172</v>
      </c>
      <c r="E24" s="22">
        <f t="shared" si="2"/>
        <v>180</v>
      </c>
      <c r="F24" s="22">
        <f t="shared" si="2"/>
        <v>187</v>
      </c>
      <c r="G24" s="22">
        <f t="shared" ref="G24" si="3">VALUE(MID(G28,7,3))</f>
        <v>195</v>
      </c>
    </row>
    <row r="26" spans="1:8">
      <c r="B26" s="28" t="s">
        <v>1352</v>
      </c>
      <c r="C26" s="28">
        <v>50</v>
      </c>
      <c r="D26" s="28">
        <v>52</v>
      </c>
      <c r="E26" s="28">
        <v>54</v>
      </c>
      <c r="F26" s="28">
        <v>56</v>
      </c>
      <c r="G26" s="28">
        <v>58</v>
      </c>
    </row>
    <row r="27" spans="1:8">
      <c r="B27" s="29"/>
      <c r="C27" s="29" t="s">
        <v>658</v>
      </c>
      <c r="D27" s="29" t="s">
        <v>659</v>
      </c>
      <c r="E27" s="29" t="s">
        <v>660</v>
      </c>
      <c r="F27" s="29" t="s">
        <v>661</v>
      </c>
      <c r="G27" s="29" t="s">
        <v>662</v>
      </c>
    </row>
    <row r="28" spans="1:8">
      <c r="B28" s="29"/>
      <c r="C28" s="29" t="s">
        <v>663</v>
      </c>
      <c r="D28" s="29" t="s">
        <v>664</v>
      </c>
      <c r="E28" s="29" t="s">
        <v>665</v>
      </c>
      <c r="F28" s="29" t="s">
        <v>666</v>
      </c>
      <c r="G28" s="29" t="s">
        <v>667</v>
      </c>
    </row>
    <row r="29" spans="1:8">
      <c r="A29" s="22" t="s">
        <v>1356</v>
      </c>
    </row>
    <row r="30" spans="1:8">
      <c r="C30" s="43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EE01-9685-884D-BFC0-E65C084B5ECF}">
  <dimension ref="A1:H32"/>
  <sheetViews>
    <sheetView topLeftCell="A12" workbookViewId="0">
      <selection activeCell="C28" sqref="C28:H29"/>
    </sheetView>
  </sheetViews>
  <sheetFormatPr baseColWidth="10" defaultRowHeight="20"/>
  <cols>
    <col min="1" max="2" width="29.33203125" style="22" bestFit="1" customWidth="1"/>
    <col min="3" max="3" width="12.6640625" style="22" bestFit="1" customWidth="1"/>
    <col min="4" max="16384" width="10.83203125" style="22"/>
  </cols>
  <sheetData>
    <row r="1" spans="1:8">
      <c r="A1" s="22" t="s">
        <v>2412</v>
      </c>
      <c r="B1" s="22" t="s">
        <v>2420</v>
      </c>
    </row>
    <row r="2" spans="1:8">
      <c r="A2" s="22" t="s">
        <v>2423</v>
      </c>
      <c r="B2" s="22">
        <v>2022</v>
      </c>
      <c r="C2" s="114">
        <v>44551</v>
      </c>
    </row>
    <row r="3" spans="1:8">
      <c r="A3" s="22" t="s">
        <v>2424</v>
      </c>
      <c r="B3" s="114">
        <v>45107</v>
      </c>
    </row>
    <row r="4" spans="1:8">
      <c r="A4" s="22" t="s">
        <v>2414</v>
      </c>
      <c r="B4" s="22" t="s">
        <v>2422</v>
      </c>
    </row>
    <row r="5" spans="1:8">
      <c r="A5" s="22" t="s">
        <v>2415</v>
      </c>
      <c r="B5" s="22" t="s">
        <v>76</v>
      </c>
    </row>
    <row r="6" spans="1:8">
      <c r="A6" s="22" t="s">
        <v>72</v>
      </c>
      <c r="B6" s="22" t="s">
        <v>138</v>
      </c>
      <c r="C6" s="22" t="s">
        <v>16</v>
      </c>
      <c r="D6" s="22" t="s">
        <v>17</v>
      </c>
      <c r="E6" s="22" t="s">
        <v>18</v>
      </c>
      <c r="F6" s="22" t="s">
        <v>19</v>
      </c>
      <c r="G6" s="22" t="s">
        <v>20</v>
      </c>
      <c r="H6" s="22" t="s">
        <v>1289</v>
      </c>
    </row>
    <row r="7" spans="1:8">
      <c r="A7" s="22" t="s">
        <v>62</v>
      </c>
      <c r="B7" s="22" t="s">
        <v>62</v>
      </c>
      <c r="C7" s="22">
        <v>71.5</v>
      </c>
      <c r="D7" s="22">
        <v>70.5</v>
      </c>
      <c r="E7" s="22">
        <v>71</v>
      </c>
      <c r="F7" s="22">
        <v>72</v>
      </c>
      <c r="G7" s="22">
        <v>72</v>
      </c>
      <c r="H7" s="22">
        <v>72</v>
      </c>
    </row>
    <row r="8" spans="1:8">
      <c r="A8" s="22" t="s">
        <v>63</v>
      </c>
      <c r="B8" s="22" t="s">
        <v>63</v>
      </c>
      <c r="C8" s="22">
        <v>74</v>
      </c>
      <c r="D8" s="22">
        <v>74</v>
      </c>
      <c r="E8" s="22">
        <v>73.5</v>
      </c>
      <c r="F8" s="22">
        <v>73.5</v>
      </c>
      <c r="G8" s="22">
        <v>73.5</v>
      </c>
      <c r="H8" s="22">
        <v>73.5</v>
      </c>
    </row>
    <row r="9" spans="1:8">
      <c r="A9" s="22" t="s">
        <v>64</v>
      </c>
      <c r="B9" s="22" t="s">
        <v>64</v>
      </c>
      <c r="C9" s="22">
        <v>120</v>
      </c>
      <c r="D9" s="22">
        <v>130</v>
      </c>
      <c r="E9" s="22">
        <v>140</v>
      </c>
      <c r="F9" s="22">
        <v>160</v>
      </c>
      <c r="G9" s="22">
        <v>180</v>
      </c>
      <c r="H9" s="22">
        <v>210</v>
      </c>
    </row>
    <row r="10" spans="1:8">
      <c r="A10" s="22" t="s">
        <v>60</v>
      </c>
      <c r="B10" s="22" t="s">
        <v>60</v>
      </c>
      <c r="C10" s="22">
        <v>430</v>
      </c>
      <c r="D10" s="22">
        <v>460</v>
      </c>
      <c r="E10" s="22">
        <v>480</v>
      </c>
      <c r="F10" s="22">
        <v>510</v>
      </c>
      <c r="G10" s="22">
        <v>530</v>
      </c>
      <c r="H10" s="22">
        <v>555</v>
      </c>
    </row>
    <row r="11" spans="1:8">
      <c r="A11" s="22" t="s">
        <v>73</v>
      </c>
      <c r="B11" s="22" t="s">
        <v>73</v>
      </c>
      <c r="C11" s="22">
        <v>525.5</v>
      </c>
      <c r="D11" s="22">
        <v>540</v>
      </c>
      <c r="E11" s="22">
        <v>550</v>
      </c>
      <c r="F11" s="22">
        <v>560</v>
      </c>
      <c r="G11" s="22">
        <v>580</v>
      </c>
      <c r="H11" s="22">
        <v>600</v>
      </c>
    </row>
    <row r="12" spans="1:8">
      <c r="A12" s="22" t="s">
        <v>54</v>
      </c>
      <c r="B12" s="22" t="s">
        <v>54</v>
      </c>
      <c r="C12" s="22">
        <v>547</v>
      </c>
      <c r="D12" s="22">
        <v>564</v>
      </c>
      <c r="E12" s="22">
        <v>573</v>
      </c>
      <c r="F12" s="22">
        <v>598</v>
      </c>
      <c r="G12" s="22">
        <v>617</v>
      </c>
      <c r="H12" s="22">
        <v>644</v>
      </c>
    </row>
    <row r="13" spans="1:8">
      <c r="A13" s="22" t="s">
        <v>55</v>
      </c>
      <c r="B13" s="22" t="s">
        <v>55</v>
      </c>
      <c r="C13" s="22">
        <v>366</v>
      </c>
      <c r="D13" s="22">
        <v>376</v>
      </c>
      <c r="E13" s="22">
        <v>378</v>
      </c>
      <c r="F13" s="22">
        <v>382</v>
      </c>
      <c r="G13" s="22">
        <v>396</v>
      </c>
      <c r="H13" s="22">
        <v>408</v>
      </c>
    </row>
    <row r="14" spans="1:8">
      <c r="A14" s="22" t="s">
        <v>66</v>
      </c>
      <c r="B14" s="22" t="s">
        <v>66</v>
      </c>
      <c r="C14" s="22">
        <v>430</v>
      </c>
      <c r="D14" s="22">
        <v>435</v>
      </c>
      <c r="E14" s="22">
        <v>438</v>
      </c>
      <c r="F14" s="22">
        <v>438</v>
      </c>
      <c r="G14" s="22">
        <v>438</v>
      </c>
      <c r="H14" s="22">
        <v>438</v>
      </c>
    </row>
    <row r="15" spans="1:8">
      <c r="A15" s="22" t="s">
        <v>495</v>
      </c>
      <c r="B15" s="22" t="s">
        <v>495</v>
      </c>
      <c r="C15" s="22">
        <v>398</v>
      </c>
      <c r="D15" s="22">
        <v>398</v>
      </c>
      <c r="E15" s="22">
        <v>398</v>
      </c>
      <c r="F15" s="22">
        <v>398</v>
      </c>
      <c r="G15" s="22">
        <v>398</v>
      </c>
      <c r="H15" s="22">
        <v>398</v>
      </c>
    </row>
    <row r="16" spans="1:8">
      <c r="A16" s="22" t="s">
        <v>67</v>
      </c>
      <c r="B16" s="22" t="s">
        <v>67</v>
      </c>
      <c r="C16" s="22">
        <v>49</v>
      </c>
      <c r="D16" s="22">
        <v>49</v>
      </c>
      <c r="E16" s="22">
        <v>49</v>
      </c>
      <c r="F16" s="22">
        <v>49</v>
      </c>
      <c r="G16" s="22">
        <v>49</v>
      </c>
      <c r="H16" s="22">
        <v>49</v>
      </c>
    </row>
    <row r="17" spans="1:8">
      <c r="A17" s="113" t="s">
        <v>494</v>
      </c>
      <c r="B17" s="113" t="s">
        <v>494</v>
      </c>
      <c r="C17" s="22">
        <v>69</v>
      </c>
      <c r="D17" s="22">
        <v>73</v>
      </c>
      <c r="E17" s="22">
        <v>70</v>
      </c>
      <c r="F17" s="22">
        <v>63</v>
      </c>
      <c r="G17" s="22">
        <v>63</v>
      </c>
      <c r="H17" s="22">
        <v>63</v>
      </c>
    </row>
    <row r="18" spans="1:8">
      <c r="A18" s="22" t="s">
        <v>57</v>
      </c>
      <c r="B18" s="22" t="s">
        <v>57</v>
      </c>
      <c r="C18" s="22">
        <v>750</v>
      </c>
      <c r="D18" s="22">
        <v>779</v>
      </c>
      <c r="E18" s="22">
        <v>793</v>
      </c>
      <c r="F18" s="22">
        <v>814</v>
      </c>
      <c r="G18" s="22">
        <v>35</v>
      </c>
      <c r="H18" s="22">
        <v>855</v>
      </c>
    </row>
    <row r="19" spans="1:8">
      <c r="A19" s="45" t="s">
        <v>2313</v>
      </c>
      <c r="B19" s="45" t="s">
        <v>2313</v>
      </c>
      <c r="C19" s="22">
        <v>40</v>
      </c>
      <c r="D19" s="22">
        <v>40</v>
      </c>
      <c r="E19" s="22">
        <v>40</v>
      </c>
      <c r="F19" s="22">
        <v>50</v>
      </c>
      <c r="G19" s="22">
        <v>50</v>
      </c>
      <c r="H19" s="22">
        <v>55</v>
      </c>
    </row>
    <row r="20" spans="1:8">
      <c r="A20" s="22" t="s">
        <v>65</v>
      </c>
      <c r="B20" s="22" t="s">
        <v>65</v>
      </c>
      <c r="C20" s="22">
        <v>67</v>
      </c>
      <c r="D20" s="22">
        <v>72</v>
      </c>
      <c r="E20" s="22">
        <v>72</v>
      </c>
      <c r="F20" s="22">
        <v>72</v>
      </c>
      <c r="G20" s="22">
        <v>72</v>
      </c>
      <c r="H20" s="22">
        <v>72</v>
      </c>
    </row>
    <row r="21" spans="1:8">
      <c r="A21" s="22" t="s">
        <v>56</v>
      </c>
      <c r="B21" s="22" t="s">
        <v>56</v>
      </c>
    </row>
    <row r="22" spans="1:8">
      <c r="A22" s="22" t="s">
        <v>70</v>
      </c>
      <c r="B22" s="22" t="s">
        <v>70</v>
      </c>
    </row>
    <row r="23" spans="1:8">
      <c r="A23" s="22" t="s">
        <v>71</v>
      </c>
      <c r="B23" s="22" t="s">
        <v>71</v>
      </c>
      <c r="C23" s="33"/>
      <c r="D23" s="33"/>
      <c r="E23" s="33"/>
    </row>
    <row r="24" spans="1:8">
      <c r="A24" s="22" t="s">
        <v>69</v>
      </c>
      <c r="B24" s="22" t="s">
        <v>69</v>
      </c>
    </row>
    <row r="25" spans="1:8">
      <c r="A25" s="22" t="s">
        <v>68</v>
      </c>
      <c r="B25" s="22" t="s">
        <v>68</v>
      </c>
      <c r="C25" s="22">
        <v>650</v>
      </c>
      <c r="D25" s="22">
        <v>700</v>
      </c>
      <c r="E25" s="22">
        <v>700</v>
      </c>
      <c r="F25" s="22">
        <v>700</v>
      </c>
      <c r="G25" s="22">
        <v>700</v>
      </c>
      <c r="H25" s="22">
        <v>700</v>
      </c>
    </row>
    <row r="26" spans="1:8">
      <c r="A26" s="22" t="s">
        <v>139</v>
      </c>
      <c r="B26" s="22" t="s">
        <v>139</v>
      </c>
      <c r="C26" s="22">
        <v>47</v>
      </c>
      <c r="D26" s="22">
        <v>38</v>
      </c>
      <c r="E26" s="22">
        <v>38</v>
      </c>
      <c r="F26" s="22">
        <v>38</v>
      </c>
      <c r="G26" s="22">
        <v>38</v>
      </c>
      <c r="H26" s="22">
        <v>38</v>
      </c>
    </row>
    <row r="27" spans="1:8">
      <c r="A27" s="22" t="s">
        <v>140</v>
      </c>
      <c r="B27" s="22" t="s">
        <v>140</v>
      </c>
    </row>
    <row r="28" spans="1:8">
      <c r="A28" s="22" t="s">
        <v>1752</v>
      </c>
      <c r="B28" s="22" t="s">
        <v>1752</v>
      </c>
      <c r="C28" s="35">
        <f>C31*2.54</f>
        <v>157.47999999999999</v>
      </c>
      <c r="D28" s="35">
        <f>AVERAGE(D31,C32)*2.54</f>
        <v>165.1</v>
      </c>
      <c r="E28" s="35">
        <f t="shared" ref="E28:H28" si="0">AVERAGE(E31,D32)*2.54</f>
        <v>171.45</v>
      </c>
      <c r="F28" s="35">
        <f t="shared" si="0"/>
        <v>176.53</v>
      </c>
      <c r="G28" s="35">
        <f t="shared" si="0"/>
        <v>181.61</v>
      </c>
      <c r="H28" s="35">
        <f t="shared" si="0"/>
        <v>186.69</v>
      </c>
    </row>
    <row r="29" spans="1:8">
      <c r="A29" s="22" t="s">
        <v>1753</v>
      </c>
      <c r="B29" s="22" t="s">
        <v>1753</v>
      </c>
      <c r="C29" s="35">
        <f>D28</f>
        <v>165.1</v>
      </c>
      <c r="D29" s="35">
        <f t="shared" ref="D29:G29" si="1">E28</f>
        <v>171.45</v>
      </c>
      <c r="E29" s="35">
        <f t="shared" si="1"/>
        <v>176.53</v>
      </c>
      <c r="F29" s="35">
        <f t="shared" si="1"/>
        <v>181.61</v>
      </c>
      <c r="G29" s="35">
        <f t="shared" si="1"/>
        <v>186.69</v>
      </c>
      <c r="H29" s="35">
        <f t="shared" ref="H29" si="2">H32*2.54</f>
        <v>193.04</v>
      </c>
    </row>
    <row r="31" spans="1:8">
      <c r="B31" s="22" t="s">
        <v>2421</v>
      </c>
      <c r="C31" s="22">
        <v>62</v>
      </c>
      <c r="D31" s="22">
        <v>65</v>
      </c>
      <c r="E31" s="22">
        <v>67</v>
      </c>
      <c r="F31" s="22">
        <v>69</v>
      </c>
      <c r="G31" s="22">
        <v>71</v>
      </c>
      <c r="H31" s="22">
        <v>73</v>
      </c>
    </row>
    <row r="32" spans="1:8">
      <c r="C32" s="22">
        <v>65</v>
      </c>
      <c r="D32" s="22">
        <v>68</v>
      </c>
      <c r="E32" s="22">
        <v>70</v>
      </c>
      <c r="F32" s="22">
        <v>72</v>
      </c>
      <c r="G32" s="22">
        <v>74</v>
      </c>
      <c r="H32" s="22">
        <v>76</v>
      </c>
    </row>
  </sheetData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3067-EB14-F646-8980-E6031CDA6200}">
  <dimension ref="A1:H55"/>
  <sheetViews>
    <sheetView topLeftCell="A14" workbookViewId="0">
      <selection activeCell="C29" sqref="C29:E29"/>
    </sheetView>
  </sheetViews>
  <sheetFormatPr baseColWidth="10" defaultRowHeight="20"/>
  <cols>
    <col min="1" max="1" width="43.33203125" style="22" bestFit="1" customWidth="1"/>
    <col min="2" max="2" width="29.33203125" style="22" bestFit="1" customWidth="1"/>
    <col min="3" max="4" width="11.33203125" style="22" bestFit="1" customWidth="1"/>
    <col min="5" max="5" width="11.1640625" style="22" bestFit="1" customWidth="1"/>
    <col min="6" max="16384" width="10.83203125" style="22"/>
  </cols>
  <sheetData>
    <row r="1" spans="1:8">
      <c r="A1" s="22" t="s">
        <v>2412</v>
      </c>
      <c r="B1" s="22" t="s">
        <v>2425</v>
      </c>
    </row>
    <row r="2" spans="1:8">
      <c r="A2" s="22" t="s">
        <v>2423</v>
      </c>
      <c r="B2" s="22">
        <v>2023</v>
      </c>
    </row>
    <row r="3" spans="1:8">
      <c r="A3" s="22" t="s">
        <v>2424</v>
      </c>
    </row>
    <row r="4" spans="1:8">
      <c r="A4" s="22" t="s">
        <v>2414</v>
      </c>
      <c r="B4" s="22" t="s">
        <v>2426</v>
      </c>
    </row>
    <row r="5" spans="1:8">
      <c r="A5" s="22" t="s">
        <v>2415</v>
      </c>
      <c r="B5" s="22" t="s">
        <v>76</v>
      </c>
    </row>
    <row r="6" spans="1:8">
      <c r="A6" s="22" t="s">
        <v>72</v>
      </c>
      <c r="B6" s="22" t="s">
        <v>138</v>
      </c>
      <c r="C6" s="22" t="s">
        <v>17</v>
      </c>
      <c r="D6" s="22" t="s">
        <v>18</v>
      </c>
      <c r="E6" s="22" t="s">
        <v>19</v>
      </c>
      <c r="F6" s="22" t="s">
        <v>20</v>
      </c>
    </row>
    <row r="7" spans="1:8">
      <c r="A7" s="22" t="s">
        <v>62</v>
      </c>
      <c r="B7" s="22" t="s">
        <v>62</v>
      </c>
      <c r="C7" s="22">
        <v>70.5</v>
      </c>
      <c r="D7" s="22">
        <v>71</v>
      </c>
      <c r="E7" s="22">
        <v>72</v>
      </c>
      <c r="F7" s="22">
        <v>72</v>
      </c>
      <c r="G7"/>
    </row>
    <row r="8" spans="1:8">
      <c r="A8" s="22" t="s">
        <v>63</v>
      </c>
      <c r="B8" s="22" t="s">
        <v>63</v>
      </c>
      <c r="C8" s="22">
        <v>74</v>
      </c>
      <c r="D8" s="22">
        <v>73.5</v>
      </c>
      <c r="E8" s="22">
        <v>73.5</v>
      </c>
      <c r="F8" s="22">
        <v>73.5</v>
      </c>
    </row>
    <row r="9" spans="1:8">
      <c r="A9" s="22" t="s">
        <v>64</v>
      </c>
      <c r="B9" s="22" t="s">
        <v>64</v>
      </c>
      <c r="C9" s="22">
        <v>130</v>
      </c>
      <c r="D9" s="22">
        <v>140</v>
      </c>
      <c r="E9" s="22">
        <v>160</v>
      </c>
      <c r="F9" s="22">
        <v>180</v>
      </c>
    </row>
    <row r="10" spans="1:8">
      <c r="A10" s="22" t="s">
        <v>60</v>
      </c>
      <c r="B10" s="22" t="s">
        <v>60</v>
      </c>
      <c r="C10" s="22">
        <v>450</v>
      </c>
      <c r="D10" s="22">
        <v>475</v>
      </c>
      <c r="E10" s="22">
        <v>505</v>
      </c>
      <c r="F10" s="22">
        <v>525</v>
      </c>
    </row>
    <row r="11" spans="1:8">
      <c r="A11" s="22" t="s">
        <v>73</v>
      </c>
      <c r="B11" s="22" t="s">
        <v>73</v>
      </c>
      <c r="C11" s="22">
        <v>538</v>
      </c>
      <c r="D11" s="22">
        <v>549</v>
      </c>
      <c r="E11" s="22">
        <v>560</v>
      </c>
      <c r="F11" s="22">
        <v>580</v>
      </c>
      <c r="H11"/>
    </row>
    <row r="12" spans="1:8">
      <c r="A12" s="22" t="s">
        <v>54</v>
      </c>
      <c r="B12" s="22" t="s">
        <v>54</v>
      </c>
      <c r="C12" s="22">
        <v>565</v>
      </c>
      <c r="D12" s="22">
        <v>576</v>
      </c>
      <c r="E12" s="22">
        <v>599</v>
      </c>
      <c r="F12" s="22">
        <v>618</v>
      </c>
    </row>
    <row r="13" spans="1:8">
      <c r="A13" s="22" t="s">
        <v>55</v>
      </c>
      <c r="B13" s="22" t="s">
        <v>55</v>
      </c>
      <c r="C13" s="22">
        <v>376</v>
      </c>
      <c r="D13" s="22">
        <v>378</v>
      </c>
      <c r="E13" s="22">
        <v>382</v>
      </c>
      <c r="F13" s="22">
        <v>396</v>
      </c>
    </row>
    <row r="14" spans="1:8">
      <c r="A14" s="22" t="s">
        <v>66</v>
      </c>
      <c r="B14" s="22" t="s">
        <v>66</v>
      </c>
      <c r="C14" s="22">
        <v>438</v>
      </c>
      <c r="D14" s="22">
        <v>438</v>
      </c>
      <c r="E14" s="22">
        <v>438</v>
      </c>
      <c r="F14" s="22">
        <v>438</v>
      </c>
    </row>
    <row r="15" spans="1:8">
      <c r="A15" s="22" t="s">
        <v>495</v>
      </c>
      <c r="B15" s="22" t="s">
        <v>495</v>
      </c>
      <c r="C15" s="22">
        <v>398</v>
      </c>
      <c r="D15" s="22">
        <v>398</v>
      </c>
      <c r="E15" s="22">
        <v>398</v>
      </c>
      <c r="F15" s="22">
        <v>398</v>
      </c>
    </row>
    <row r="16" spans="1:8">
      <c r="A16" s="22" t="s">
        <v>67</v>
      </c>
      <c r="B16" s="22" t="s">
        <v>67</v>
      </c>
      <c r="C16" s="22">
        <v>49</v>
      </c>
      <c r="D16" s="22">
        <v>49</v>
      </c>
      <c r="E16" s="22">
        <v>49</v>
      </c>
      <c r="F16" s="22">
        <v>49</v>
      </c>
    </row>
    <row r="17" spans="1:6" ht="22">
      <c r="A17" s="90" t="s">
        <v>494</v>
      </c>
      <c r="B17" s="90" t="s">
        <v>494</v>
      </c>
      <c r="C17" s="22">
        <v>73</v>
      </c>
      <c r="D17" s="22">
        <v>70</v>
      </c>
      <c r="E17" s="22">
        <v>63</v>
      </c>
      <c r="F17" s="22">
        <v>63</v>
      </c>
    </row>
    <row r="18" spans="1:6">
      <c r="A18" s="22" t="s">
        <v>57</v>
      </c>
      <c r="B18" s="22" t="s">
        <v>57</v>
      </c>
      <c r="C18" s="22">
        <v>767</v>
      </c>
      <c r="D18" s="22">
        <v>786</v>
      </c>
      <c r="E18" s="22">
        <v>812</v>
      </c>
      <c r="F18" s="22">
        <v>831</v>
      </c>
    </row>
    <row r="19" spans="1:6" ht="22">
      <c r="A19" s="96" t="s">
        <v>2313</v>
      </c>
      <c r="B19" s="96" t="s">
        <v>2313</v>
      </c>
      <c r="C19" s="22">
        <v>46.8</v>
      </c>
      <c r="D19" s="22">
        <v>47.2</v>
      </c>
      <c r="E19" s="22">
        <v>47.1</v>
      </c>
      <c r="F19" s="22">
        <v>47.3</v>
      </c>
    </row>
    <row r="20" spans="1:6">
      <c r="A20" s="22" t="s">
        <v>65</v>
      </c>
      <c r="B20" s="22" t="s">
        <v>65</v>
      </c>
      <c r="C20" s="22">
        <v>72</v>
      </c>
      <c r="D20" s="22">
        <v>72</v>
      </c>
      <c r="E20" s="22">
        <v>72</v>
      </c>
      <c r="F20" s="22">
        <v>72</v>
      </c>
    </row>
    <row r="21" spans="1:6">
      <c r="A21" s="22" t="s">
        <v>56</v>
      </c>
      <c r="B21" s="22" t="s">
        <v>56</v>
      </c>
    </row>
    <row r="22" spans="1:6">
      <c r="A22" s="22" t="s">
        <v>70</v>
      </c>
      <c r="B22" s="22" t="s">
        <v>70</v>
      </c>
    </row>
    <row r="23" spans="1:6">
      <c r="A23" s="22" t="s">
        <v>71</v>
      </c>
      <c r="B23" s="22" t="s">
        <v>71</v>
      </c>
      <c r="C23" s="97">
        <v>90</v>
      </c>
      <c r="D23" s="97">
        <v>90</v>
      </c>
      <c r="E23" s="97">
        <v>90</v>
      </c>
      <c r="F23" s="22">
        <v>90</v>
      </c>
    </row>
    <row r="24" spans="1:6">
      <c r="A24" s="22" t="s">
        <v>69</v>
      </c>
      <c r="B24" s="22" t="s">
        <v>69</v>
      </c>
    </row>
    <row r="25" spans="1:6">
      <c r="A25" s="22" t="s">
        <v>68</v>
      </c>
      <c r="B25" s="22" t="s">
        <v>68</v>
      </c>
      <c r="C25" s="22">
        <v>700</v>
      </c>
      <c r="D25" s="22">
        <v>700</v>
      </c>
      <c r="E25" s="22">
        <v>700</v>
      </c>
      <c r="F25" s="22">
        <v>700</v>
      </c>
    </row>
    <row r="26" spans="1:6">
      <c r="A26" s="22" t="s">
        <v>139</v>
      </c>
      <c r="B26" s="22" t="s">
        <v>139</v>
      </c>
      <c r="C26" s="22">
        <v>42</v>
      </c>
      <c r="D26" s="22">
        <v>42</v>
      </c>
      <c r="E26" s="22">
        <v>42</v>
      </c>
      <c r="F26" s="22">
        <v>42</v>
      </c>
    </row>
    <row r="27" spans="1:6">
      <c r="A27" s="22" t="s">
        <v>140</v>
      </c>
      <c r="B27" s="22" t="s">
        <v>140</v>
      </c>
      <c r="C27" s="22">
        <f>2.1*2.54*10</f>
        <v>53.34</v>
      </c>
      <c r="D27" s="22">
        <f t="shared" ref="D27:F27" si="0">2.1*2.54*10</f>
        <v>53.34</v>
      </c>
      <c r="E27" s="22">
        <f t="shared" si="0"/>
        <v>53.34</v>
      </c>
      <c r="F27" s="22">
        <f t="shared" si="0"/>
        <v>53.34</v>
      </c>
    </row>
    <row r="28" spans="1:6">
      <c r="A28" s="22" t="s">
        <v>1752</v>
      </c>
      <c r="B28" s="22" t="s">
        <v>1752</v>
      </c>
      <c r="C28" s="35">
        <f>C30*2.54</f>
        <v>162.56</v>
      </c>
      <c r="D28" s="35">
        <f>AVERAGE(D30,C31)*2.54</f>
        <v>170.18</v>
      </c>
      <c r="E28" s="35">
        <f t="shared" ref="E28:F28" si="1">AVERAGE(E30,D31)*2.54</f>
        <v>176.53</v>
      </c>
      <c r="F28" s="35">
        <f t="shared" si="1"/>
        <v>182.88</v>
      </c>
    </row>
    <row r="29" spans="1:6">
      <c r="A29" s="22" t="s">
        <v>1753</v>
      </c>
      <c r="B29" s="22" t="s">
        <v>1753</v>
      </c>
      <c r="C29" s="35">
        <f>D28</f>
        <v>170.18</v>
      </c>
      <c r="D29" s="35">
        <f t="shared" ref="D29:E29" si="2">E28</f>
        <v>176.53</v>
      </c>
      <c r="E29" s="35">
        <f t="shared" si="2"/>
        <v>182.88</v>
      </c>
      <c r="F29" s="35">
        <f t="shared" ref="F29" si="3">F31*2.54</f>
        <v>190.5</v>
      </c>
    </row>
    <row r="30" spans="1:6">
      <c r="C30" s="22">
        <v>64</v>
      </c>
      <c r="D30" s="22">
        <v>67</v>
      </c>
      <c r="E30" s="22">
        <v>69</v>
      </c>
      <c r="F30" s="22">
        <v>72</v>
      </c>
    </row>
    <row r="31" spans="1:6">
      <c r="C31" s="22">
        <v>67</v>
      </c>
      <c r="D31" s="22">
        <v>70</v>
      </c>
      <c r="E31" s="22">
        <v>72</v>
      </c>
      <c r="F31" s="22">
        <v>75</v>
      </c>
    </row>
    <row r="32" spans="1:6">
      <c r="B32" s="92"/>
      <c r="C32" s="92"/>
      <c r="D32" s="92"/>
      <c r="E32" s="92"/>
    </row>
    <row r="33" spans="1:6" ht="22">
      <c r="B33" s="15"/>
      <c r="F33" s="15"/>
    </row>
    <row r="34" spans="1:6" ht="22">
      <c r="B34" s="93"/>
      <c r="F34" s="91"/>
    </row>
    <row r="35" spans="1:6" ht="22">
      <c r="F35" s="15"/>
    </row>
    <row r="38" spans="1:6">
      <c r="A38" s="94"/>
      <c r="B38" s="94"/>
      <c r="C38" s="94"/>
      <c r="D38" s="94"/>
      <c r="E38" s="94"/>
      <c r="F38" s="27"/>
    </row>
    <row r="39" spans="1:6" ht="22">
      <c r="A39" s="96"/>
      <c r="B39" s="97"/>
      <c r="C39" s="97"/>
      <c r="D39" s="97"/>
      <c r="E39" s="97"/>
    </row>
    <row r="40" spans="1:6" ht="22">
      <c r="A40" s="96"/>
      <c r="B40" s="97"/>
      <c r="C40" s="97"/>
      <c r="D40" s="97"/>
      <c r="E40" s="97"/>
    </row>
    <row r="41" spans="1:6" ht="22">
      <c r="A41" s="96"/>
      <c r="B41" s="97"/>
      <c r="C41" s="97"/>
      <c r="D41" s="97"/>
      <c r="E41" s="97"/>
    </row>
    <row r="42" spans="1:6" ht="22">
      <c r="A42" s="96"/>
      <c r="B42" s="97"/>
      <c r="C42" s="97"/>
      <c r="D42" s="97"/>
      <c r="E42" s="97"/>
    </row>
    <row r="43" spans="1:6" ht="22">
      <c r="A43" s="96"/>
      <c r="B43" s="97"/>
      <c r="C43" s="97"/>
      <c r="D43" s="97"/>
      <c r="E43" s="97"/>
    </row>
    <row r="44" spans="1:6" ht="22">
      <c r="A44" s="96"/>
      <c r="B44" s="97"/>
      <c r="C44" s="97"/>
      <c r="D44" s="97"/>
      <c r="E44" s="97"/>
    </row>
    <row r="45" spans="1:6" ht="22">
      <c r="A45" s="96"/>
      <c r="B45" s="97"/>
      <c r="C45" s="97"/>
      <c r="D45" s="97"/>
      <c r="E45" s="97"/>
    </row>
    <row r="46" spans="1:6" ht="22">
      <c r="A46" s="96"/>
      <c r="B46" s="97"/>
      <c r="C46" s="97"/>
      <c r="D46" s="97"/>
      <c r="E46" s="97"/>
    </row>
    <row r="47" spans="1:6" ht="22">
      <c r="A47" s="96"/>
      <c r="B47" s="97"/>
      <c r="C47" s="97"/>
      <c r="D47" s="97"/>
      <c r="E47" s="97"/>
    </row>
    <row r="48" spans="1:6" ht="22">
      <c r="A48" s="96"/>
      <c r="B48" s="97"/>
      <c r="C48" s="97"/>
      <c r="D48" s="97"/>
      <c r="E48" s="97"/>
    </row>
    <row r="49" spans="1:5" ht="22">
      <c r="A49" s="96"/>
      <c r="B49" s="97"/>
      <c r="C49" s="97"/>
      <c r="D49" s="97"/>
      <c r="E49" s="97"/>
    </row>
    <row r="50" spans="1:5" ht="22">
      <c r="A50" s="96"/>
      <c r="B50" s="97"/>
      <c r="C50" s="97"/>
      <c r="D50" s="97"/>
      <c r="E50" s="97"/>
    </row>
    <row r="51" spans="1:5" ht="22">
      <c r="A51" s="96"/>
      <c r="B51" s="97"/>
      <c r="C51" s="97"/>
      <c r="D51" s="97"/>
      <c r="E51" s="97"/>
    </row>
    <row r="52" spans="1:5" ht="22">
      <c r="A52" s="96"/>
      <c r="B52" s="97"/>
      <c r="C52" s="97"/>
      <c r="D52" s="97"/>
      <c r="E52" s="97"/>
    </row>
    <row r="53" spans="1:5" ht="22">
      <c r="A53" s="96"/>
      <c r="B53" s="97"/>
      <c r="C53" s="97"/>
      <c r="D53" s="97"/>
      <c r="E53" s="97"/>
    </row>
    <row r="54" spans="1:5" ht="22">
      <c r="A54" s="96"/>
      <c r="B54" s="97"/>
      <c r="C54" s="97"/>
      <c r="D54" s="97"/>
      <c r="E54" s="97"/>
    </row>
    <row r="55" spans="1:5" ht="22">
      <c r="A55" s="96"/>
      <c r="B55" s="97"/>
      <c r="C55" s="97"/>
      <c r="D55" s="97"/>
      <c r="E55" s="97"/>
    </row>
  </sheetData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C70E0-641B-DC4E-93B1-35D322677FF0}">
  <dimension ref="A1:K39"/>
  <sheetViews>
    <sheetView workbookViewId="0">
      <selection activeCell="B23" sqref="B23"/>
    </sheetView>
  </sheetViews>
  <sheetFormatPr baseColWidth="10" defaultRowHeight="20"/>
  <cols>
    <col min="1" max="1" width="29.33203125" style="22" bestFit="1" customWidth="1"/>
    <col min="2" max="2" width="19.33203125" style="22" bestFit="1" customWidth="1"/>
    <col min="3" max="16384" width="10.83203125" style="22"/>
  </cols>
  <sheetData>
    <row r="1" spans="1:8">
      <c r="A1" s="22" t="s">
        <v>72</v>
      </c>
      <c r="B1" s="22" t="str" cm="1">
        <f t="array" ref="B1:G10">TRANSPOSE(B24:K29)</f>
        <v>Size</v>
      </c>
      <c r="C1" s="22" t="str">
        <v>XS</v>
      </c>
      <c r="D1" s="22" t="str">
        <v>S</v>
      </c>
      <c r="E1" s="22" t="str">
        <v>M</v>
      </c>
      <c r="F1" s="22" t="str">
        <v>L</v>
      </c>
      <c r="G1" s="22" t="str">
        <v>XL</v>
      </c>
    </row>
    <row r="2" spans="1:8">
      <c r="A2" s="22" t="s">
        <v>427</v>
      </c>
      <c r="B2" s="22" t="str">
        <v>C / C</v>
      </c>
      <c r="C2" s="22">
        <v>380</v>
      </c>
      <c r="D2" s="22">
        <v>410</v>
      </c>
      <c r="E2" s="22">
        <v>440</v>
      </c>
      <c r="F2" s="22">
        <v>470</v>
      </c>
      <c r="G2" s="22">
        <v>510</v>
      </c>
    </row>
    <row r="3" spans="1:8">
      <c r="A3" s="22" t="s">
        <v>73</v>
      </c>
      <c r="B3" s="22" t="str">
        <v>L</v>
      </c>
      <c r="C3" s="22">
        <v>508</v>
      </c>
      <c r="D3" s="22">
        <v>531</v>
      </c>
      <c r="E3" s="22">
        <v>554</v>
      </c>
      <c r="F3" s="22">
        <v>577</v>
      </c>
      <c r="G3" s="22">
        <v>600</v>
      </c>
    </row>
    <row r="4" spans="1:8">
      <c r="A4" s="22" t="s">
        <v>60</v>
      </c>
      <c r="B4" s="22" t="str">
        <v>H</v>
      </c>
      <c r="C4" s="22">
        <v>440</v>
      </c>
      <c r="D4" s="22">
        <v>470</v>
      </c>
      <c r="E4" s="22">
        <v>500</v>
      </c>
      <c r="F4" s="22">
        <v>530</v>
      </c>
      <c r="G4" s="22">
        <v>570</v>
      </c>
    </row>
    <row r="5" spans="1:8">
      <c r="A5" s="22" t="s">
        <v>63</v>
      </c>
      <c r="B5" s="22" t="str">
        <v>A</v>
      </c>
      <c r="C5" s="22">
        <v>75</v>
      </c>
      <c r="D5" s="22">
        <v>74.3</v>
      </c>
      <c r="E5" s="22">
        <v>73.7</v>
      </c>
      <c r="F5" s="22">
        <v>73.099999999999994</v>
      </c>
      <c r="G5" s="22">
        <v>72.599999999999994</v>
      </c>
    </row>
    <row r="6" spans="1:8">
      <c r="A6" s="22" t="s">
        <v>64</v>
      </c>
      <c r="B6" s="22" t="str">
        <v>H1</v>
      </c>
      <c r="C6" s="22">
        <v>100</v>
      </c>
      <c r="D6" s="22">
        <v>125</v>
      </c>
      <c r="E6" s="22">
        <v>150</v>
      </c>
      <c r="F6" s="22">
        <v>175</v>
      </c>
      <c r="G6" s="22">
        <v>200</v>
      </c>
    </row>
    <row r="7" spans="1:8">
      <c r="A7" s="22" t="s">
        <v>66</v>
      </c>
      <c r="B7" s="22" t="str">
        <v>L1</v>
      </c>
      <c r="C7" s="22">
        <v>423</v>
      </c>
      <c r="D7" s="22">
        <v>423</v>
      </c>
      <c r="E7" s="22">
        <v>423</v>
      </c>
      <c r="F7" s="22">
        <v>423</v>
      </c>
      <c r="G7" s="22">
        <v>423</v>
      </c>
    </row>
    <row r="8" spans="1:8">
      <c r="A8" s="22" t="s">
        <v>62</v>
      </c>
      <c r="B8" s="22" t="str">
        <v>A1</v>
      </c>
      <c r="C8" s="22">
        <v>70</v>
      </c>
      <c r="D8" s="22">
        <v>70.5</v>
      </c>
      <c r="E8" s="22">
        <v>71</v>
      </c>
      <c r="F8" s="22">
        <v>71.5</v>
      </c>
      <c r="G8" s="22">
        <v>72</v>
      </c>
    </row>
    <row r="9" spans="1:8">
      <c r="A9" s="22" t="s">
        <v>55</v>
      </c>
      <c r="B9" s="22" t="str">
        <v>REACH</v>
      </c>
      <c r="C9" s="22">
        <v>363</v>
      </c>
      <c r="D9" s="22">
        <v>372</v>
      </c>
      <c r="E9" s="22">
        <v>382</v>
      </c>
      <c r="F9" s="22">
        <v>391</v>
      </c>
      <c r="G9" s="22">
        <v>401</v>
      </c>
    </row>
    <row r="10" spans="1:8">
      <c r="A10" s="22" t="s">
        <v>54</v>
      </c>
      <c r="B10" s="22" t="str">
        <v>STACK</v>
      </c>
      <c r="C10" s="22">
        <v>531</v>
      </c>
      <c r="D10" s="22">
        <v>556</v>
      </c>
      <c r="E10" s="22">
        <v>582</v>
      </c>
      <c r="F10" s="22">
        <v>608</v>
      </c>
      <c r="G10" s="22">
        <v>633</v>
      </c>
    </row>
    <row r="11" spans="1:8">
      <c r="A11" s="22" t="s">
        <v>56</v>
      </c>
      <c r="B11" s="22" t="s">
        <v>56</v>
      </c>
      <c r="C11" s="22">
        <v>995</v>
      </c>
      <c r="D11" s="22">
        <v>1009</v>
      </c>
      <c r="E11" s="22">
        <v>1023</v>
      </c>
      <c r="F11" s="22">
        <v>1036</v>
      </c>
      <c r="G11" s="22">
        <v>1048</v>
      </c>
    </row>
    <row r="12" spans="1:8">
      <c r="A12" s="22" t="s">
        <v>65</v>
      </c>
      <c r="B12" s="22" t="s">
        <v>65</v>
      </c>
      <c r="C12" s="22">
        <v>75</v>
      </c>
      <c r="D12" s="22">
        <v>75</v>
      </c>
      <c r="E12" s="22">
        <v>75</v>
      </c>
      <c r="F12" s="22">
        <v>75</v>
      </c>
      <c r="G12" s="22">
        <v>75</v>
      </c>
      <c r="H12" s="22" t="s">
        <v>1793</v>
      </c>
    </row>
    <row r="13" spans="1:8">
      <c r="A13" s="22" t="s">
        <v>67</v>
      </c>
      <c r="B13" s="22" t="s">
        <v>67</v>
      </c>
    </row>
    <row r="14" spans="1:8">
      <c r="A14" s="22" t="s">
        <v>57</v>
      </c>
      <c r="B14" s="22" t="s">
        <v>57</v>
      </c>
    </row>
    <row r="15" spans="1:8">
      <c r="A15" s="22" t="s">
        <v>69</v>
      </c>
      <c r="B15" s="22" t="s">
        <v>69</v>
      </c>
    </row>
    <row r="16" spans="1:8">
      <c r="A16" s="22" t="s">
        <v>70</v>
      </c>
      <c r="B16" s="22" t="s">
        <v>70</v>
      </c>
    </row>
    <row r="17" spans="1:11">
      <c r="A17" s="22" t="s">
        <v>71</v>
      </c>
      <c r="B17" s="22" t="s">
        <v>71</v>
      </c>
    </row>
    <row r="18" spans="1:11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</row>
    <row r="19" spans="1:11">
      <c r="A19" s="22" t="s">
        <v>139</v>
      </c>
      <c r="B19" s="22" t="s">
        <v>139</v>
      </c>
      <c r="C19" s="22">
        <v>40</v>
      </c>
      <c r="D19" s="22">
        <v>40</v>
      </c>
      <c r="E19" s="22">
        <v>40</v>
      </c>
      <c r="F19" s="22">
        <v>40</v>
      </c>
      <c r="G19" s="22">
        <v>40</v>
      </c>
    </row>
    <row r="20" spans="1:11">
      <c r="A20" s="22" t="s">
        <v>140</v>
      </c>
      <c r="B20" s="22" t="s">
        <v>140</v>
      </c>
      <c r="C20" s="22">
        <v>44</v>
      </c>
      <c r="D20" s="22">
        <v>44</v>
      </c>
      <c r="E20" s="22">
        <v>44</v>
      </c>
      <c r="F20" s="22">
        <v>44</v>
      </c>
      <c r="G20" s="22">
        <v>44</v>
      </c>
    </row>
    <row r="21" spans="1:11">
      <c r="A21" s="22" t="s">
        <v>1752</v>
      </c>
      <c r="B21" s="22" t="s">
        <v>1752</v>
      </c>
    </row>
    <row r="22" spans="1:11">
      <c r="A22" s="22" t="s">
        <v>1753</v>
      </c>
      <c r="B22" s="22" t="s">
        <v>1753</v>
      </c>
    </row>
    <row r="24" spans="1:11">
      <c r="B24" s="22" t="s">
        <v>141</v>
      </c>
      <c r="C24" s="22" t="s">
        <v>1786</v>
      </c>
      <c r="D24" s="22" t="s">
        <v>19</v>
      </c>
      <c r="E24" s="22" t="s">
        <v>1276</v>
      </c>
      <c r="F24" s="22" t="s">
        <v>1274</v>
      </c>
      <c r="G24" s="22" t="s">
        <v>1787</v>
      </c>
      <c r="H24" s="22" t="s">
        <v>1788</v>
      </c>
      <c r="I24" s="22" t="s">
        <v>1789</v>
      </c>
      <c r="J24" s="22" t="s">
        <v>40</v>
      </c>
      <c r="K24" s="22" t="s">
        <v>39</v>
      </c>
    </row>
    <row r="25" spans="1:11">
      <c r="B25" s="22" t="s">
        <v>16</v>
      </c>
      <c r="C25" s="22">
        <f>C35*10</f>
        <v>380</v>
      </c>
      <c r="D25" s="22">
        <f t="shared" ref="D25:E25" si="0">D35*10</f>
        <v>508</v>
      </c>
      <c r="E25" s="22">
        <f t="shared" si="0"/>
        <v>440</v>
      </c>
      <c r="F25" s="22">
        <f>F35</f>
        <v>75</v>
      </c>
      <c r="G25" s="22">
        <f t="shared" ref="G25:H25" si="1">G35*10</f>
        <v>100</v>
      </c>
      <c r="H25" s="22">
        <f t="shared" si="1"/>
        <v>423</v>
      </c>
      <c r="I25" s="22">
        <f>I35</f>
        <v>70</v>
      </c>
      <c r="J25" s="22">
        <f>J35</f>
        <v>363</v>
      </c>
      <c r="K25" s="22">
        <f>K35</f>
        <v>531</v>
      </c>
    </row>
    <row r="26" spans="1:11">
      <c r="B26" s="22" t="s">
        <v>17</v>
      </c>
      <c r="C26" s="22">
        <f t="shared" ref="C26:E29" si="2">C36*10</f>
        <v>410</v>
      </c>
      <c r="D26" s="22">
        <f t="shared" si="2"/>
        <v>531</v>
      </c>
      <c r="E26" s="22">
        <f t="shared" si="2"/>
        <v>470</v>
      </c>
      <c r="F26" s="22">
        <f t="shared" ref="F26" si="3">F36</f>
        <v>74.3</v>
      </c>
      <c r="G26" s="22">
        <f t="shared" ref="G26:H26" si="4">G36*10</f>
        <v>125</v>
      </c>
      <c r="H26" s="22">
        <f t="shared" si="4"/>
        <v>423</v>
      </c>
      <c r="I26" s="22">
        <f t="shared" ref="I26" si="5">I36</f>
        <v>70.5</v>
      </c>
      <c r="J26" s="22">
        <f t="shared" ref="J26:K29" si="6">J36</f>
        <v>372</v>
      </c>
      <c r="K26" s="22">
        <f t="shared" si="6"/>
        <v>556</v>
      </c>
    </row>
    <row r="27" spans="1:11">
      <c r="B27" s="22" t="s">
        <v>18</v>
      </c>
      <c r="C27" s="22">
        <f t="shared" si="2"/>
        <v>440</v>
      </c>
      <c r="D27" s="22">
        <f t="shared" si="2"/>
        <v>554</v>
      </c>
      <c r="E27" s="22">
        <f t="shared" si="2"/>
        <v>500</v>
      </c>
      <c r="F27" s="22">
        <f t="shared" ref="F27" si="7">F37</f>
        <v>73.7</v>
      </c>
      <c r="G27" s="22">
        <f t="shared" ref="G27:H27" si="8">G37*10</f>
        <v>150</v>
      </c>
      <c r="H27" s="22">
        <f t="shared" si="8"/>
        <v>423</v>
      </c>
      <c r="I27" s="22">
        <f t="shared" ref="I27" si="9">I37</f>
        <v>71</v>
      </c>
      <c r="J27" s="22">
        <f t="shared" si="6"/>
        <v>382</v>
      </c>
      <c r="K27" s="22">
        <f t="shared" si="6"/>
        <v>582</v>
      </c>
    </row>
    <row r="28" spans="1:11">
      <c r="B28" s="22" t="s">
        <v>19</v>
      </c>
      <c r="C28" s="22">
        <f t="shared" si="2"/>
        <v>470</v>
      </c>
      <c r="D28" s="22">
        <f t="shared" si="2"/>
        <v>577</v>
      </c>
      <c r="E28" s="22">
        <f t="shared" si="2"/>
        <v>530</v>
      </c>
      <c r="F28" s="22">
        <f t="shared" ref="F28" si="10">F38</f>
        <v>73.099999999999994</v>
      </c>
      <c r="G28" s="22">
        <f t="shared" ref="G28:H28" si="11">G38*10</f>
        <v>175</v>
      </c>
      <c r="H28" s="22">
        <f t="shared" si="11"/>
        <v>423</v>
      </c>
      <c r="I28" s="22">
        <f t="shared" ref="I28" si="12">I38</f>
        <v>71.5</v>
      </c>
      <c r="J28" s="22">
        <f t="shared" si="6"/>
        <v>391</v>
      </c>
      <c r="K28" s="22">
        <f t="shared" si="6"/>
        <v>608</v>
      </c>
    </row>
    <row r="29" spans="1:11">
      <c r="B29" s="22" t="s">
        <v>20</v>
      </c>
      <c r="C29" s="22">
        <f t="shared" si="2"/>
        <v>510</v>
      </c>
      <c r="D29" s="22">
        <f t="shared" si="2"/>
        <v>600</v>
      </c>
      <c r="E29" s="22">
        <f t="shared" si="2"/>
        <v>570</v>
      </c>
      <c r="F29" s="22">
        <f t="shared" ref="F29" si="13">F39</f>
        <v>72.599999999999994</v>
      </c>
      <c r="G29" s="22">
        <f t="shared" ref="G29:H29" si="14">G39*10</f>
        <v>200</v>
      </c>
      <c r="H29" s="22">
        <f t="shared" si="14"/>
        <v>423</v>
      </c>
      <c r="I29" s="22">
        <f t="shared" ref="I29" si="15">I39</f>
        <v>72</v>
      </c>
      <c r="J29" s="22">
        <f t="shared" si="6"/>
        <v>401</v>
      </c>
      <c r="K29" s="22">
        <f t="shared" si="6"/>
        <v>633</v>
      </c>
    </row>
    <row r="33" spans="2:11">
      <c r="B33" s="22" t="s">
        <v>1785</v>
      </c>
      <c r="C33" s="22" t="s">
        <v>1786</v>
      </c>
      <c r="D33" s="22" t="s">
        <v>19</v>
      </c>
      <c r="E33" s="22" t="s">
        <v>1276</v>
      </c>
      <c r="F33" s="22" t="s">
        <v>1274</v>
      </c>
      <c r="G33" s="22" t="s">
        <v>1787</v>
      </c>
      <c r="H33" s="22" t="s">
        <v>1788</v>
      </c>
      <c r="I33" s="22" t="s">
        <v>1789</v>
      </c>
      <c r="J33" s="22" t="s">
        <v>40</v>
      </c>
      <c r="K33" s="22" t="s">
        <v>39</v>
      </c>
    </row>
    <row r="34" spans="2:11">
      <c r="B34" s="22" t="s">
        <v>1152</v>
      </c>
      <c r="C34" s="22" t="s">
        <v>1790</v>
      </c>
      <c r="D34" s="22" t="s">
        <v>1790</v>
      </c>
      <c r="E34" s="22" t="s">
        <v>1790</v>
      </c>
      <c r="F34" s="22" t="s">
        <v>1791</v>
      </c>
      <c r="G34" s="22" t="s">
        <v>1790</v>
      </c>
      <c r="H34" s="22" t="s">
        <v>1790</v>
      </c>
      <c r="I34" s="22" t="s">
        <v>1791</v>
      </c>
      <c r="J34" s="22" t="s">
        <v>1792</v>
      </c>
      <c r="K34" s="22" t="s">
        <v>1792</v>
      </c>
    </row>
    <row r="35" spans="2:11">
      <c r="B35" s="22" t="s">
        <v>16</v>
      </c>
      <c r="C35" s="22">
        <v>38</v>
      </c>
      <c r="D35" s="22">
        <v>50.8</v>
      </c>
      <c r="E35" s="22">
        <v>44</v>
      </c>
      <c r="F35" s="22">
        <v>75</v>
      </c>
      <c r="G35" s="22">
        <v>10</v>
      </c>
      <c r="H35" s="22">
        <v>42.3</v>
      </c>
      <c r="I35" s="22">
        <v>70</v>
      </c>
      <c r="J35" s="22">
        <v>363</v>
      </c>
      <c r="K35" s="22">
        <v>531</v>
      </c>
    </row>
    <row r="36" spans="2:11">
      <c r="B36" s="22" t="s">
        <v>17</v>
      </c>
      <c r="C36" s="22">
        <v>41</v>
      </c>
      <c r="D36" s="22">
        <v>53.1</v>
      </c>
      <c r="E36" s="22">
        <v>47</v>
      </c>
      <c r="F36" s="22">
        <v>74.3</v>
      </c>
      <c r="G36" s="22">
        <v>12.5</v>
      </c>
      <c r="H36" s="22">
        <v>42.3</v>
      </c>
      <c r="I36" s="22">
        <v>70.5</v>
      </c>
      <c r="J36" s="22">
        <v>372</v>
      </c>
      <c r="K36" s="22">
        <v>556</v>
      </c>
    </row>
    <row r="37" spans="2:11">
      <c r="B37" s="22" t="s">
        <v>18</v>
      </c>
      <c r="C37" s="22">
        <v>44</v>
      </c>
      <c r="D37" s="22">
        <v>55.4</v>
      </c>
      <c r="E37" s="22">
        <v>50</v>
      </c>
      <c r="F37" s="22">
        <v>73.7</v>
      </c>
      <c r="G37" s="22">
        <v>15</v>
      </c>
      <c r="H37" s="22">
        <v>42.3</v>
      </c>
      <c r="I37" s="22">
        <v>71</v>
      </c>
      <c r="J37" s="22">
        <v>382</v>
      </c>
      <c r="K37" s="22">
        <v>582</v>
      </c>
    </row>
    <row r="38" spans="2:11">
      <c r="B38" s="22" t="s">
        <v>19</v>
      </c>
      <c r="C38" s="22">
        <v>47</v>
      </c>
      <c r="D38" s="22">
        <v>57.7</v>
      </c>
      <c r="E38" s="22">
        <v>53</v>
      </c>
      <c r="F38" s="22">
        <v>73.099999999999994</v>
      </c>
      <c r="G38" s="22">
        <v>17.5</v>
      </c>
      <c r="H38" s="22">
        <v>42.3</v>
      </c>
      <c r="I38" s="22">
        <v>71.5</v>
      </c>
      <c r="J38" s="22">
        <v>391</v>
      </c>
      <c r="K38" s="22">
        <v>608</v>
      </c>
    </row>
    <row r="39" spans="2:11">
      <c r="B39" s="22" t="s">
        <v>20</v>
      </c>
      <c r="C39" s="22">
        <v>51</v>
      </c>
      <c r="D39" s="22">
        <v>60</v>
      </c>
      <c r="E39" s="22">
        <v>57</v>
      </c>
      <c r="F39" s="22">
        <v>72.599999999999994</v>
      </c>
      <c r="G39" s="22">
        <v>20</v>
      </c>
      <c r="H39" s="22">
        <v>42.3</v>
      </c>
      <c r="I39" s="22">
        <v>72</v>
      </c>
      <c r="J39" s="22">
        <v>401</v>
      </c>
      <c r="K39" s="22">
        <v>633</v>
      </c>
    </row>
  </sheetData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E8D7-23F0-1941-A092-43914C9E380D}">
  <dimension ref="A1:L45"/>
  <sheetViews>
    <sheetView workbookViewId="0">
      <selection activeCell="C21" sqref="C21:I22"/>
    </sheetView>
  </sheetViews>
  <sheetFormatPr baseColWidth="10" defaultRowHeight="20"/>
  <cols>
    <col min="1" max="1" width="29.33203125" style="22" bestFit="1" customWidth="1"/>
    <col min="2" max="2" width="20.1640625" style="22" customWidth="1"/>
    <col min="3" max="16384" width="10.83203125" style="22"/>
  </cols>
  <sheetData>
    <row r="1" spans="1:9">
      <c r="A1" s="22" t="s">
        <v>72</v>
      </c>
      <c r="B1" s="22" t="str" cm="1">
        <f t="array" ref="B1:H11">TRANSPOSE(B24:L30)</f>
        <v>SIZE</v>
      </c>
      <c r="C1" s="22" t="str">
        <v>XS</v>
      </c>
      <c r="D1" s="22" t="str">
        <v>S</v>
      </c>
      <c r="E1" s="22" t="str">
        <v>M</v>
      </c>
      <c r="F1" s="22" t="str">
        <v>L</v>
      </c>
      <c r="G1" s="22" t="str">
        <v>XL</v>
      </c>
      <c r="H1" s="22" t="str">
        <v>XXL</v>
      </c>
    </row>
    <row r="2" spans="1:9">
      <c r="A2" s="22" t="s">
        <v>60</v>
      </c>
      <c r="B2" s="22" t="str">
        <v>H</v>
      </c>
      <c r="C2" s="22">
        <v>450</v>
      </c>
      <c r="D2" s="22">
        <v>480</v>
      </c>
      <c r="E2" s="22">
        <v>500</v>
      </c>
      <c r="F2" s="22">
        <v>520</v>
      </c>
      <c r="G2" s="22">
        <v>540</v>
      </c>
      <c r="H2" s="22">
        <v>560</v>
      </c>
      <c r="I2"/>
    </row>
    <row r="3" spans="1:9">
      <c r="A3" s="22" t="s">
        <v>196</v>
      </c>
      <c r="B3" s="22" t="str">
        <v>C/C</v>
      </c>
      <c r="C3" s="22">
        <v>432</v>
      </c>
      <c r="D3" s="22">
        <v>462</v>
      </c>
      <c r="E3" s="22">
        <v>482</v>
      </c>
      <c r="F3" s="22">
        <v>502</v>
      </c>
      <c r="G3" s="22">
        <v>522</v>
      </c>
      <c r="H3" s="22">
        <v>542</v>
      </c>
      <c r="I3"/>
    </row>
    <row r="4" spans="1:9">
      <c r="A4" s="22" t="s">
        <v>73</v>
      </c>
      <c r="B4" s="22" t="str">
        <v>L</v>
      </c>
      <c r="C4" s="22">
        <v>510</v>
      </c>
      <c r="D4" s="22">
        <v>527</v>
      </c>
      <c r="E4" s="22">
        <v>545</v>
      </c>
      <c r="F4" s="22">
        <v>561</v>
      </c>
      <c r="G4" s="22">
        <v>579</v>
      </c>
      <c r="H4" s="22">
        <v>597</v>
      </c>
      <c r="I4"/>
    </row>
    <row r="5" spans="1:9">
      <c r="A5" s="22" t="s">
        <v>63</v>
      </c>
      <c r="B5" s="22" t="str">
        <v>A</v>
      </c>
      <c r="C5" s="22">
        <v>75</v>
      </c>
      <c r="D5" s="22">
        <v>74.5</v>
      </c>
      <c r="E5" s="22">
        <v>74</v>
      </c>
      <c r="F5" s="22">
        <v>73.5</v>
      </c>
      <c r="G5" s="22">
        <v>73</v>
      </c>
      <c r="H5" s="22">
        <v>72.5</v>
      </c>
      <c r="I5"/>
    </row>
    <row r="6" spans="1:9">
      <c r="A6" s="22" t="s">
        <v>64</v>
      </c>
      <c r="B6" s="22" t="str">
        <v>H1</v>
      </c>
      <c r="C6" s="22">
        <v>98</v>
      </c>
      <c r="D6" s="22">
        <v>118</v>
      </c>
      <c r="E6" s="22">
        <v>134</v>
      </c>
      <c r="F6" s="22">
        <v>154</v>
      </c>
      <c r="G6" s="22">
        <v>172</v>
      </c>
      <c r="H6" s="22">
        <v>189</v>
      </c>
      <c r="I6"/>
    </row>
    <row r="7" spans="1:9">
      <c r="A7" s="22" t="s">
        <v>66</v>
      </c>
      <c r="B7" s="22" t="str">
        <v>L1</v>
      </c>
      <c r="C7" s="22">
        <v>421</v>
      </c>
      <c r="D7" s="22">
        <v>422</v>
      </c>
      <c r="E7" s="22">
        <v>423</v>
      </c>
      <c r="F7" s="22">
        <v>423</v>
      </c>
      <c r="G7" s="22">
        <v>425</v>
      </c>
      <c r="H7" s="22">
        <v>427</v>
      </c>
      <c r="I7"/>
    </row>
    <row r="8" spans="1:9">
      <c r="A8" s="22" t="s">
        <v>62</v>
      </c>
      <c r="B8" s="22" t="str">
        <v>A1</v>
      </c>
      <c r="C8" s="22">
        <v>70</v>
      </c>
      <c r="D8" s="22">
        <v>70</v>
      </c>
      <c r="E8" s="22">
        <v>71</v>
      </c>
      <c r="F8" s="22">
        <v>71</v>
      </c>
      <c r="G8" s="22">
        <v>71.5</v>
      </c>
      <c r="H8" s="22">
        <v>72</v>
      </c>
      <c r="I8"/>
    </row>
    <row r="9" spans="1:9">
      <c r="A9" s="22" t="s">
        <v>55</v>
      </c>
      <c r="B9" s="22" t="str">
        <v>REACH</v>
      </c>
      <c r="C9" s="22">
        <v>370</v>
      </c>
      <c r="D9" s="22">
        <v>377</v>
      </c>
      <c r="E9" s="22">
        <v>384</v>
      </c>
      <c r="F9" s="22">
        <v>391</v>
      </c>
      <c r="G9" s="22">
        <v>398</v>
      </c>
      <c r="H9" s="22">
        <v>405</v>
      </c>
      <c r="I9"/>
    </row>
    <row r="10" spans="1:9">
      <c r="A10" s="22" t="s">
        <v>54</v>
      </c>
      <c r="B10" s="22" t="str">
        <v>STACK</v>
      </c>
      <c r="C10" s="22">
        <v>513</v>
      </c>
      <c r="D10" s="22">
        <v>532</v>
      </c>
      <c r="E10" s="22">
        <v>551</v>
      </c>
      <c r="F10" s="22">
        <v>570</v>
      </c>
      <c r="G10" s="22">
        <v>589</v>
      </c>
      <c r="H10" s="22">
        <v>608</v>
      </c>
      <c r="I10"/>
    </row>
    <row r="11" spans="1:9">
      <c r="A11" s="22" t="s">
        <v>56</v>
      </c>
      <c r="B11" s="22" t="str">
        <v>WHEELBASE</v>
      </c>
      <c r="C11" s="22">
        <v>997</v>
      </c>
      <c r="D11" s="22">
        <v>1012</v>
      </c>
      <c r="E11" s="22">
        <v>1017</v>
      </c>
      <c r="F11" s="22">
        <v>1031</v>
      </c>
      <c r="G11" s="22">
        <v>1041</v>
      </c>
      <c r="H11" s="22">
        <v>1051</v>
      </c>
      <c r="I11"/>
    </row>
    <row r="12" spans="1:9">
      <c r="A12" s="22" t="s">
        <v>65</v>
      </c>
      <c r="B12" s="22" t="s">
        <v>65</v>
      </c>
      <c r="C12" s="22">
        <v>75</v>
      </c>
      <c r="D12" s="22">
        <v>75</v>
      </c>
      <c r="E12" s="22">
        <v>75</v>
      </c>
      <c r="F12" s="22">
        <v>75</v>
      </c>
      <c r="G12" s="22">
        <v>75</v>
      </c>
      <c r="H12" s="22">
        <v>75</v>
      </c>
      <c r="I12" s="22" t="s">
        <v>2828</v>
      </c>
    </row>
    <row r="13" spans="1:9">
      <c r="A13" s="22" t="s">
        <v>67</v>
      </c>
      <c r="B13" s="22" t="s">
        <v>67</v>
      </c>
      <c r="C13" s="22">
        <v>50</v>
      </c>
      <c r="D13" s="22">
        <v>50</v>
      </c>
      <c r="E13" s="22">
        <v>50</v>
      </c>
      <c r="F13" s="22">
        <v>50</v>
      </c>
      <c r="G13" s="22">
        <v>50</v>
      </c>
      <c r="H13" s="22">
        <v>50</v>
      </c>
      <c r="I13" s="22" t="s">
        <v>2828</v>
      </c>
    </row>
    <row r="14" spans="1:9">
      <c r="A14" s="22" t="s">
        <v>57</v>
      </c>
      <c r="B14" s="22" t="s">
        <v>57</v>
      </c>
    </row>
    <row r="15" spans="1:9">
      <c r="A15" s="22" t="s">
        <v>69</v>
      </c>
      <c r="B15" s="22" t="s">
        <v>69</v>
      </c>
    </row>
    <row r="16" spans="1:9">
      <c r="A16" s="22" t="s">
        <v>70</v>
      </c>
      <c r="B16" s="22" t="s">
        <v>70</v>
      </c>
      <c r="C16" s="22">
        <v>430</v>
      </c>
      <c r="D16" s="22">
        <v>430</v>
      </c>
      <c r="E16" s="22">
        <v>430</v>
      </c>
      <c r="F16" s="22">
        <v>450</v>
      </c>
      <c r="G16" s="22">
        <v>450</v>
      </c>
      <c r="H16" s="22">
        <v>450</v>
      </c>
    </row>
    <row r="17" spans="1:12">
      <c r="A17" s="22" t="s">
        <v>71</v>
      </c>
      <c r="B17" s="22" t="s">
        <v>71</v>
      </c>
      <c r="C17" s="22">
        <v>95</v>
      </c>
      <c r="D17" s="22">
        <v>95</v>
      </c>
      <c r="E17" s="22">
        <v>95</v>
      </c>
      <c r="F17" s="22">
        <v>115</v>
      </c>
      <c r="G17" s="22">
        <v>115</v>
      </c>
      <c r="H17" s="22">
        <v>115</v>
      </c>
    </row>
    <row r="18" spans="1:12">
      <c r="A18" s="22" t="s">
        <v>68</v>
      </c>
      <c r="B18" s="22" t="s">
        <v>68</v>
      </c>
      <c r="C18" s="22">
        <v>700</v>
      </c>
      <c r="D18" s="22">
        <v>700</v>
      </c>
      <c r="E18" s="22">
        <v>700</v>
      </c>
      <c r="F18" s="22">
        <v>700</v>
      </c>
      <c r="G18" s="22">
        <v>700</v>
      </c>
      <c r="H18" s="22">
        <v>700</v>
      </c>
    </row>
    <row r="19" spans="1:12">
      <c r="A19" s="22" t="s">
        <v>139</v>
      </c>
      <c r="B19" s="22" t="s">
        <v>139</v>
      </c>
      <c r="C19" s="22">
        <v>38</v>
      </c>
      <c r="D19" s="22">
        <v>38</v>
      </c>
      <c r="E19" s="22">
        <v>38</v>
      </c>
      <c r="F19" s="22">
        <v>38</v>
      </c>
      <c r="G19" s="22">
        <v>38</v>
      </c>
      <c r="H19" s="22">
        <v>38</v>
      </c>
    </row>
    <row r="20" spans="1:12">
      <c r="A20" s="22" t="s">
        <v>140</v>
      </c>
      <c r="B20" s="22" t="s">
        <v>140</v>
      </c>
      <c r="C20" s="22">
        <v>42</v>
      </c>
      <c r="D20" s="22">
        <v>42</v>
      </c>
      <c r="E20" s="22">
        <v>42</v>
      </c>
      <c r="F20" s="22">
        <v>42</v>
      </c>
      <c r="G20" s="22">
        <v>42</v>
      </c>
      <c r="H20" s="22">
        <v>42</v>
      </c>
    </row>
    <row r="21" spans="1:12">
      <c r="A21" s="22" t="s">
        <v>1752</v>
      </c>
      <c r="B21" s="22" t="s">
        <v>1752</v>
      </c>
      <c r="C21" s="22">
        <v>150</v>
      </c>
      <c r="D21" s="22">
        <v>162</v>
      </c>
      <c r="E21" s="22">
        <v>169</v>
      </c>
      <c r="F21" s="22">
        <v>176</v>
      </c>
      <c r="G21" s="22">
        <v>184</v>
      </c>
      <c r="H21" s="22">
        <v>191</v>
      </c>
      <c r="I21" s="22" t="s">
        <v>2826</v>
      </c>
    </row>
    <row r="22" spans="1:12">
      <c r="A22" s="22" t="s">
        <v>1753</v>
      </c>
      <c r="B22" s="22" t="s">
        <v>1753</v>
      </c>
      <c r="C22" s="22">
        <v>162</v>
      </c>
      <c r="D22" s="22">
        <v>169</v>
      </c>
      <c r="E22" s="22">
        <v>176</v>
      </c>
      <c r="F22" s="22">
        <v>184</v>
      </c>
      <c r="G22" s="22">
        <v>191</v>
      </c>
      <c r="H22" s="22">
        <v>198</v>
      </c>
    </row>
    <row r="24" spans="1:12">
      <c r="B24" s="22" t="str">
        <f>B32</f>
        <v>SIZE</v>
      </c>
      <c r="C24" s="22" t="str">
        <f t="shared" ref="C24:L24" si="0">C32</f>
        <v>H</v>
      </c>
      <c r="D24" s="22" t="str">
        <f t="shared" si="0"/>
        <v>C/C</v>
      </c>
      <c r="E24" s="22" t="str">
        <f t="shared" si="0"/>
        <v>L</v>
      </c>
      <c r="F24" s="22" t="str">
        <f t="shared" si="0"/>
        <v>A</v>
      </c>
      <c r="G24" s="22" t="str">
        <f t="shared" si="0"/>
        <v>H1</v>
      </c>
      <c r="H24" s="22" t="str">
        <f t="shared" si="0"/>
        <v>L1</v>
      </c>
      <c r="I24" s="22" t="str">
        <f t="shared" si="0"/>
        <v>A1</v>
      </c>
      <c r="J24" s="22" t="str">
        <f t="shared" si="0"/>
        <v>REACH</v>
      </c>
      <c r="K24" s="22" t="str">
        <f t="shared" si="0"/>
        <v>STACK</v>
      </c>
      <c r="L24" s="22" t="str">
        <f t="shared" si="0"/>
        <v>WHEELBASE</v>
      </c>
    </row>
    <row r="25" spans="1:12">
      <c r="B25" s="22" t="str">
        <f t="shared" ref="B25:L29" si="1">B34</f>
        <v>XS</v>
      </c>
      <c r="C25" s="22">
        <f>C34*10</f>
        <v>450</v>
      </c>
      <c r="D25" s="22">
        <f>D34*10</f>
        <v>432</v>
      </c>
      <c r="E25" s="22">
        <f>E34*10</f>
        <v>510</v>
      </c>
      <c r="F25" s="22">
        <f t="shared" si="1"/>
        <v>75</v>
      </c>
      <c r="G25" s="22">
        <f>G34*10</f>
        <v>98</v>
      </c>
      <c r="H25" s="22">
        <f>H34*10</f>
        <v>421</v>
      </c>
      <c r="I25" s="22">
        <f t="shared" si="1"/>
        <v>70</v>
      </c>
      <c r="J25" s="22">
        <f t="shared" si="1"/>
        <v>370</v>
      </c>
      <c r="K25" s="22">
        <f t="shared" si="1"/>
        <v>513</v>
      </c>
      <c r="L25" s="22">
        <f t="shared" si="1"/>
        <v>997</v>
      </c>
    </row>
    <row r="26" spans="1:12">
      <c r="B26" s="22" t="str">
        <f t="shared" si="1"/>
        <v>S</v>
      </c>
      <c r="C26" s="22">
        <f t="shared" ref="C26:D30" si="2">C35*10</f>
        <v>480</v>
      </c>
      <c r="D26" s="22">
        <f t="shared" si="2"/>
        <v>462</v>
      </c>
      <c r="E26" s="22">
        <f t="shared" ref="E26" si="3">E35*10</f>
        <v>527</v>
      </c>
      <c r="F26" s="22">
        <f t="shared" si="1"/>
        <v>74.5</v>
      </c>
      <c r="G26" s="22">
        <f t="shared" ref="G26:H26" si="4">G35*10</f>
        <v>118</v>
      </c>
      <c r="H26" s="22">
        <f t="shared" si="4"/>
        <v>422</v>
      </c>
      <c r="I26" s="22">
        <f t="shared" si="1"/>
        <v>70</v>
      </c>
      <c r="J26" s="22">
        <f t="shared" si="1"/>
        <v>377</v>
      </c>
      <c r="K26" s="22">
        <f t="shared" si="1"/>
        <v>532</v>
      </c>
      <c r="L26" s="22">
        <f t="shared" si="1"/>
        <v>1012</v>
      </c>
    </row>
    <row r="27" spans="1:12">
      <c r="B27" s="22" t="str">
        <f t="shared" si="1"/>
        <v>M</v>
      </c>
      <c r="C27" s="22">
        <f t="shared" si="2"/>
        <v>500</v>
      </c>
      <c r="D27" s="22">
        <f t="shared" si="2"/>
        <v>482</v>
      </c>
      <c r="E27" s="22">
        <f t="shared" ref="E27" si="5">E36*10</f>
        <v>545</v>
      </c>
      <c r="F27" s="22">
        <f t="shared" si="1"/>
        <v>74</v>
      </c>
      <c r="G27" s="22">
        <f t="shared" ref="G27:H27" si="6">G36*10</f>
        <v>134</v>
      </c>
      <c r="H27" s="22">
        <f t="shared" si="6"/>
        <v>423</v>
      </c>
      <c r="I27" s="22">
        <f t="shared" si="1"/>
        <v>71</v>
      </c>
      <c r="J27" s="22">
        <f t="shared" si="1"/>
        <v>384</v>
      </c>
      <c r="K27" s="22">
        <f t="shared" si="1"/>
        <v>551</v>
      </c>
      <c r="L27" s="22">
        <f t="shared" si="1"/>
        <v>1017</v>
      </c>
    </row>
    <row r="28" spans="1:12">
      <c r="B28" s="22" t="str">
        <f t="shared" si="1"/>
        <v>L</v>
      </c>
      <c r="C28" s="22">
        <f t="shared" si="2"/>
        <v>520</v>
      </c>
      <c r="D28" s="22">
        <f t="shared" si="2"/>
        <v>502</v>
      </c>
      <c r="E28" s="22">
        <f t="shared" ref="E28" si="7">E37*10</f>
        <v>561</v>
      </c>
      <c r="F28" s="22">
        <f t="shared" si="1"/>
        <v>73.5</v>
      </c>
      <c r="G28" s="22">
        <f t="shared" ref="G28:H28" si="8">G37*10</f>
        <v>154</v>
      </c>
      <c r="H28" s="22">
        <f t="shared" si="8"/>
        <v>423</v>
      </c>
      <c r="I28" s="22">
        <f t="shared" si="1"/>
        <v>71</v>
      </c>
      <c r="J28" s="22">
        <f t="shared" si="1"/>
        <v>391</v>
      </c>
      <c r="K28" s="22">
        <f t="shared" si="1"/>
        <v>570</v>
      </c>
      <c r="L28" s="22">
        <f t="shared" si="1"/>
        <v>1031</v>
      </c>
    </row>
    <row r="29" spans="1:12">
      <c r="B29" s="22" t="str">
        <f t="shared" si="1"/>
        <v>XL</v>
      </c>
      <c r="C29" s="22">
        <f t="shared" si="2"/>
        <v>540</v>
      </c>
      <c r="D29" s="22">
        <f t="shared" si="2"/>
        <v>522</v>
      </c>
      <c r="E29" s="22">
        <f t="shared" ref="E29" si="9">E38*10</f>
        <v>579</v>
      </c>
      <c r="F29" s="22">
        <f t="shared" si="1"/>
        <v>73</v>
      </c>
      <c r="G29" s="22">
        <f t="shared" ref="G29:H29" si="10">G38*10</f>
        <v>172</v>
      </c>
      <c r="H29" s="22">
        <f t="shared" si="10"/>
        <v>425</v>
      </c>
      <c r="I29" s="22">
        <f t="shared" si="1"/>
        <v>71.5</v>
      </c>
      <c r="J29" s="22">
        <f t="shared" si="1"/>
        <v>398</v>
      </c>
      <c r="K29" s="22">
        <f t="shared" si="1"/>
        <v>589</v>
      </c>
      <c r="L29" s="22">
        <f t="shared" si="1"/>
        <v>1041</v>
      </c>
    </row>
    <row r="30" spans="1:12">
      <c r="B30" s="22" t="str">
        <f>B39</f>
        <v>XXL</v>
      </c>
      <c r="C30" s="22">
        <f t="shared" si="2"/>
        <v>560</v>
      </c>
      <c r="D30" s="22">
        <f t="shared" si="2"/>
        <v>542</v>
      </c>
      <c r="E30" s="22">
        <f t="shared" ref="E30" si="11">E39*10</f>
        <v>597</v>
      </c>
      <c r="F30" s="22">
        <f t="shared" ref="F30:L30" si="12">F39</f>
        <v>72.5</v>
      </c>
      <c r="G30" s="22">
        <f t="shared" ref="G30:H30" si="13">G39*10</f>
        <v>189</v>
      </c>
      <c r="H30" s="22">
        <f t="shared" si="13"/>
        <v>427</v>
      </c>
      <c r="I30" s="22">
        <f t="shared" si="12"/>
        <v>72</v>
      </c>
      <c r="J30" s="22">
        <f t="shared" si="12"/>
        <v>405</v>
      </c>
      <c r="K30" s="22">
        <f t="shared" si="12"/>
        <v>608</v>
      </c>
      <c r="L30" s="22">
        <f t="shared" si="12"/>
        <v>1051</v>
      </c>
    </row>
    <row r="32" spans="1:12">
      <c r="B32" s="70" t="s">
        <v>167</v>
      </c>
      <c r="C32" s="70" t="s">
        <v>1276</v>
      </c>
      <c r="D32" s="70" t="s">
        <v>1794</v>
      </c>
      <c r="E32" s="70" t="s">
        <v>19</v>
      </c>
      <c r="F32" s="70" t="s">
        <v>1274</v>
      </c>
      <c r="G32" s="70" t="s">
        <v>1787</v>
      </c>
      <c r="H32" s="70" t="s">
        <v>1788</v>
      </c>
      <c r="I32" s="70" t="s">
        <v>1789</v>
      </c>
      <c r="J32" s="70" t="s">
        <v>40</v>
      </c>
      <c r="K32" s="70" t="s">
        <v>39</v>
      </c>
      <c r="L32" s="70" t="s">
        <v>36</v>
      </c>
    </row>
    <row r="33" spans="2:12">
      <c r="B33" s="70"/>
      <c r="C33" s="71" t="s">
        <v>1790</v>
      </c>
      <c r="D33" s="71" t="s">
        <v>1790</v>
      </c>
      <c r="E33" s="71" t="s">
        <v>1790</v>
      </c>
      <c r="F33" s="71" t="s">
        <v>1791</v>
      </c>
      <c r="G33" s="71" t="s">
        <v>1790</v>
      </c>
      <c r="H33" s="71" t="s">
        <v>1790</v>
      </c>
      <c r="I33" s="71" t="s">
        <v>1791</v>
      </c>
      <c r="J33" s="71" t="s">
        <v>1792</v>
      </c>
      <c r="K33" s="71" t="s">
        <v>1792</v>
      </c>
      <c r="L33" s="71" t="s">
        <v>1792</v>
      </c>
    </row>
    <row r="34" spans="2:12">
      <c r="B34" s="70" t="s">
        <v>16</v>
      </c>
      <c r="C34" s="71">
        <v>45</v>
      </c>
      <c r="D34" s="71">
        <v>43.2</v>
      </c>
      <c r="E34" s="71">
        <v>51</v>
      </c>
      <c r="F34" s="71">
        <v>75</v>
      </c>
      <c r="G34" s="71">
        <v>9.8000000000000007</v>
      </c>
      <c r="H34" s="71">
        <v>42.1</v>
      </c>
      <c r="I34" s="71">
        <v>70</v>
      </c>
      <c r="J34" s="71">
        <v>370</v>
      </c>
      <c r="K34" s="71">
        <v>513</v>
      </c>
      <c r="L34" s="71">
        <v>997</v>
      </c>
    </row>
    <row r="35" spans="2:12">
      <c r="B35" s="70" t="s">
        <v>17</v>
      </c>
      <c r="C35" s="71">
        <v>48</v>
      </c>
      <c r="D35" s="71">
        <v>46.2</v>
      </c>
      <c r="E35" s="71">
        <v>52.7</v>
      </c>
      <c r="F35" s="71">
        <v>74.5</v>
      </c>
      <c r="G35" s="71">
        <v>11.8</v>
      </c>
      <c r="H35" s="71">
        <v>42.2</v>
      </c>
      <c r="I35" s="71">
        <v>70</v>
      </c>
      <c r="J35" s="71">
        <v>377</v>
      </c>
      <c r="K35" s="71">
        <v>532</v>
      </c>
      <c r="L35" s="71">
        <v>1012</v>
      </c>
    </row>
    <row r="36" spans="2:12">
      <c r="B36" s="70" t="s">
        <v>18</v>
      </c>
      <c r="C36" s="71">
        <v>50</v>
      </c>
      <c r="D36" s="71">
        <v>48.2</v>
      </c>
      <c r="E36" s="71">
        <v>54.5</v>
      </c>
      <c r="F36" s="71">
        <v>74</v>
      </c>
      <c r="G36" s="71">
        <v>13.4</v>
      </c>
      <c r="H36" s="71">
        <v>42.3</v>
      </c>
      <c r="I36" s="71">
        <v>71</v>
      </c>
      <c r="J36" s="71">
        <v>384</v>
      </c>
      <c r="K36" s="71">
        <v>551</v>
      </c>
      <c r="L36" s="71">
        <v>1017</v>
      </c>
    </row>
    <row r="37" spans="2:12">
      <c r="B37" s="70" t="s">
        <v>19</v>
      </c>
      <c r="C37" s="71">
        <v>52</v>
      </c>
      <c r="D37" s="71">
        <v>50.2</v>
      </c>
      <c r="E37" s="71">
        <v>56.1</v>
      </c>
      <c r="F37" s="71">
        <v>73.5</v>
      </c>
      <c r="G37" s="71">
        <v>15.4</v>
      </c>
      <c r="H37" s="71">
        <v>42.3</v>
      </c>
      <c r="I37" s="71">
        <v>71</v>
      </c>
      <c r="J37" s="71">
        <v>391</v>
      </c>
      <c r="K37" s="71">
        <v>570</v>
      </c>
      <c r="L37" s="71">
        <v>1031</v>
      </c>
    </row>
    <row r="38" spans="2:12">
      <c r="B38" s="70" t="s">
        <v>20</v>
      </c>
      <c r="C38" s="71">
        <v>54</v>
      </c>
      <c r="D38" s="71">
        <v>52.2</v>
      </c>
      <c r="E38" s="71">
        <v>57.9</v>
      </c>
      <c r="F38" s="71">
        <v>73</v>
      </c>
      <c r="G38" s="71">
        <v>17.2</v>
      </c>
      <c r="H38" s="71">
        <v>42.5</v>
      </c>
      <c r="I38" s="71">
        <v>71.5</v>
      </c>
      <c r="J38" s="71">
        <v>398</v>
      </c>
      <c r="K38" s="71">
        <v>589</v>
      </c>
      <c r="L38" s="71">
        <v>1041</v>
      </c>
    </row>
    <row r="39" spans="2:12">
      <c r="B39" s="70" t="s">
        <v>1289</v>
      </c>
      <c r="C39" s="71">
        <v>56</v>
      </c>
      <c r="D39" s="71">
        <v>54.2</v>
      </c>
      <c r="E39" s="71">
        <v>59.7</v>
      </c>
      <c r="F39" s="71">
        <v>72.5</v>
      </c>
      <c r="G39" s="71">
        <v>18.899999999999999</v>
      </c>
      <c r="H39" s="71">
        <v>42.7</v>
      </c>
      <c r="I39" s="71">
        <v>72</v>
      </c>
      <c r="J39" s="71">
        <v>405</v>
      </c>
      <c r="K39" s="71">
        <v>608</v>
      </c>
      <c r="L39" s="71">
        <v>1051</v>
      </c>
    </row>
    <row r="40" spans="2:12">
      <c r="B40" s="72" t="s">
        <v>1795</v>
      </c>
    </row>
    <row r="43" spans="2:12">
      <c r="B43" s="22" t="s">
        <v>2320</v>
      </c>
      <c r="C43" s="22" t="s">
        <v>16</v>
      </c>
      <c r="D43" s="22" t="s">
        <v>17</v>
      </c>
      <c r="E43" s="22" t="s">
        <v>18</v>
      </c>
      <c r="F43" s="22" t="s">
        <v>19</v>
      </c>
      <c r="G43" s="22" t="s">
        <v>20</v>
      </c>
      <c r="H43" s="22" t="s">
        <v>1289</v>
      </c>
    </row>
    <row r="44" spans="2:12">
      <c r="B44" s="22" t="s">
        <v>2211</v>
      </c>
      <c r="C44" s="22">
        <v>430</v>
      </c>
      <c r="D44" s="22">
        <v>430</v>
      </c>
      <c r="E44" s="22">
        <v>430</v>
      </c>
      <c r="F44" s="22">
        <v>450</v>
      </c>
      <c r="G44" s="22">
        <v>450</v>
      </c>
      <c r="H44" s="22">
        <v>450</v>
      </c>
    </row>
    <row r="45" spans="2:12">
      <c r="B45" s="22" t="s">
        <v>1641</v>
      </c>
      <c r="C45" s="22">
        <v>95</v>
      </c>
      <c r="D45" s="22">
        <v>95</v>
      </c>
      <c r="E45" s="22">
        <v>95</v>
      </c>
      <c r="F45" s="22">
        <v>115</v>
      </c>
      <c r="G45" s="22">
        <v>115</v>
      </c>
      <c r="H45" s="22">
        <v>115</v>
      </c>
    </row>
  </sheetData>
  <hyperlinks>
    <hyperlink ref="B40" r:id="rId1" display="https://cdn.wilier.com/sites/default/files/accufit-rave_eng_0.pdf" xr:uid="{F6AE2DB7-B062-6B45-9D5D-BEBCA85A0382}"/>
  </hyperlinks>
  <pageMargins left="0.7" right="0.7" top="0.75" bottom="0.75" header="0.3" footer="0.3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3827-C6CF-CA4F-880A-31B7075B941A}">
  <dimension ref="A1:N50"/>
  <sheetViews>
    <sheetView topLeftCell="A4" workbookViewId="0">
      <selection activeCell="F26" sqref="F26"/>
    </sheetView>
  </sheetViews>
  <sheetFormatPr baseColWidth="10" defaultRowHeight="19"/>
  <cols>
    <col min="1" max="1" width="29.33203125" style="2" bestFit="1" customWidth="1"/>
    <col min="2" max="2" width="20" style="2" bestFit="1" customWidth="1"/>
    <col min="3" max="16384" width="10.83203125" style="2"/>
  </cols>
  <sheetData>
    <row r="1" spans="1:7" ht="20">
      <c r="A1" s="22" t="s">
        <v>72</v>
      </c>
      <c r="B1" s="2" t="str" cm="1">
        <f t="array" ref="B1:G14">TRANSPOSE(A29:N34)</f>
        <v>Measure</v>
      </c>
      <c r="C1" s="2" t="str">
        <v>S</v>
      </c>
      <c r="D1" s="2" t="str">
        <v>M</v>
      </c>
      <c r="E1" s="2" t="str">
        <v>L</v>
      </c>
      <c r="F1" s="2" t="str">
        <v>XL</v>
      </c>
      <c r="G1" s="2" t="str">
        <v>XXL</v>
      </c>
    </row>
    <row r="2" spans="1:7" ht="20">
      <c r="A2" s="22" t="s">
        <v>73</v>
      </c>
      <c r="B2" s="2" t="str">
        <v>Toptube</v>
      </c>
      <c r="C2" s="2">
        <v>558</v>
      </c>
      <c r="D2" s="2">
        <v>578</v>
      </c>
      <c r="E2" s="2">
        <v>593</v>
      </c>
      <c r="F2" s="2">
        <v>613</v>
      </c>
      <c r="G2" s="2">
        <v>628</v>
      </c>
    </row>
    <row r="3" spans="1:7" ht="20">
      <c r="A3" s="22" t="s">
        <v>55</v>
      </c>
      <c r="B3" s="2" t="str">
        <v>Reach</v>
      </c>
      <c r="C3" s="2">
        <v>384</v>
      </c>
      <c r="D3" s="2">
        <v>398</v>
      </c>
      <c r="E3" s="2">
        <v>407</v>
      </c>
      <c r="F3" s="2">
        <v>422</v>
      </c>
      <c r="G3" s="2">
        <v>433</v>
      </c>
    </row>
    <row r="4" spans="1:7" ht="20">
      <c r="A4" s="22" t="s">
        <v>54</v>
      </c>
      <c r="B4" s="2" t="str">
        <v>Stack</v>
      </c>
      <c r="C4" s="2">
        <v>568</v>
      </c>
      <c r="D4" s="2">
        <v>587</v>
      </c>
      <c r="E4" s="2">
        <v>611</v>
      </c>
      <c r="F4" s="2">
        <v>630</v>
      </c>
      <c r="G4" s="2">
        <v>644</v>
      </c>
    </row>
    <row r="5" spans="1:7" ht="20">
      <c r="A5" s="22" t="s">
        <v>60</v>
      </c>
      <c r="B5" s="2" t="str">
        <v>Seattube</v>
      </c>
      <c r="C5" s="2">
        <v>450</v>
      </c>
      <c r="D5" s="2">
        <v>480</v>
      </c>
      <c r="E5" s="2">
        <v>500</v>
      </c>
      <c r="F5" s="2">
        <v>530</v>
      </c>
      <c r="G5" s="2">
        <v>550</v>
      </c>
    </row>
    <row r="6" spans="1:7" ht="20">
      <c r="A6" s="22" t="s">
        <v>66</v>
      </c>
      <c r="B6" s="2" t="str">
        <v>Chainstay</v>
      </c>
      <c r="C6" s="2">
        <v>425</v>
      </c>
      <c r="D6" s="2">
        <v>425</v>
      </c>
      <c r="E6" s="2">
        <v>425</v>
      </c>
      <c r="F6" s="2">
        <v>425</v>
      </c>
      <c r="G6" s="2">
        <v>425</v>
      </c>
    </row>
    <row r="7" spans="1:7" ht="20">
      <c r="A7" s="22" t="s">
        <v>62</v>
      </c>
      <c r="B7" s="2" t="str">
        <v>Headtube Angle</v>
      </c>
      <c r="C7" s="2">
        <v>69.3</v>
      </c>
      <c r="D7" s="2">
        <v>69.400000000000006</v>
      </c>
      <c r="E7" s="2">
        <v>69.400000000000006</v>
      </c>
      <c r="F7" s="2">
        <v>69.400000000000006</v>
      </c>
      <c r="G7" s="2">
        <v>69.400000000000006</v>
      </c>
    </row>
    <row r="8" spans="1:7" ht="20">
      <c r="A8" s="22" t="s">
        <v>63</v>
      </c>
      <c r="B8" s="2" t="str">
        <v>Seattube Angle (Eff)</v>
      </c>
      <c r="C8" s="2">
        <v>74.3</v>
      </c>
      <c r="D8" s="2">
        <v>74.400000000000006</v>
      </c>
      <c r="E8" s="2">
        <v>74.400000000000006</v>
      </c>
      <c r="F8" s="2">
        <v>74.400000000000006</v>
      </c>
      <c r="G8" s="2">
        <v>74.400000000000006</v>
      </c>
    </row>
    <row r="9" spans="1:7" ht="20">
      <c r="A9" s="22" t="s">
        <v>65</v>
      </c>
      <c r="B9" s="2" t="str">
        <v>Bb Drop</v>
      </c>
      <c r="C9" s="2">
        <v>61</v>
      </c>
      <c r="D9" s="2">
        <v>61</v>
      </c>
      <c r="E9" s="2">
        <v>62</v>
      </c>
      <c r="F9" s="2">
        <v>62</v>
      </c>
      <c r="G9" s="2">
        <v>62</v>
      </c>
    </row>
    <row r="10" spans="1:7" ht="20">
      <c r="A10" s="22" t="s">
        <v>56</v>
      </c>
      <c r="B10" s="2" t="str">
        <v>Wheelbase</v>
      </c>
      <c r="C10" s="2">
        <v>1054</v>
      </c>
      <c r="D10" s="2">
        <v>1076</v>
      </c>
      <c r="E10" s="2">
        <v>1095</v>
      </c>
      <c r="F10" s="2">
        <v>1115</v>
      </c>
      <c r="G10" s="2">
        <v>1132</v>
      </c>
    </row>
    <row r="11" spans="1:7" ht="20">
      <c r="A11" s="22" t="s">
        <v>64</v>
      </c>
      <c r="B11" s="2" t="str">
        <v>Headtube</v>
      </c>
      <c r="C11" s="2">
        <v>125</v>
      </c>
      <c r="D11" s="2">
        <v>145</v>
      </c>
      <c r="E11" s="2">
        <v>170</v>
      </c>
      <c r="F11" s="2">
        <v>190</v>
      </c>
      <c r="G11" s="2">
        <v>205</v>
      </c>
    </row>
    <row r="12" spans="1:7">
      <c r="A12" s="2" t="s">
        <v>137</v>
      </c>
      <c r="B12" s="2" t="str">
        <v>Bb Height</v>
      </c>
      <c r="C12" s="2">
        <v>290</v>
      </c>
      <c r="D12" s="2">
        <v>290</v>
      </c>
      <c r="E12" s="2">
        <v>290</v>
      </c>
      <c r="F12" s="2">
        <v>290</v>
      </c>
      <c r="G12" s="2">
        <v>290</v>
      </c>
    </row>
    <row r="13" spans="1:7" ht="20">
      <c r="A13" s="22" t="s">
        <v>57</v>
      </c>
      <c r="B13" s="2" t="str">
        <v>Standover Height</v>
      </c>
      <c r="C13" s="2">
        <v>740</v>
      </c>
      <c r="D13" s="2">
        <v>764</v>
      </c>
      <c r="E13" s="2">
        <v>779</v>
      </c>
      <c r="F13" s="2">
        <v>796</v>
      </c>
      <c r="G13" s="2">
        <v>809</v>
      </c>
    </row>
    <row r="14" spans="1:7">
      <c r="A14" s="2" t="s">
        <v>2048</v>
      </c>
      <c r="B14" s="2" t="str">
        <v>Seatpost Insertion</v>
      </c>
      <c r="C14" s="2">
        <v>205</v>
      </c>
      <c r="D14" s="2">
        <v>225</v>
      </c>
      <c r="E14" s="2">
        <v>245</v>
      </c>
      <c r="F14" s="2">
        <v>275</v>
      </c>
      <c r="G14" s="2">
        <v>275</v>
      </c>
    </row>
    <row r="15" spans="1:7" ht="20">
      <c r="A15" s="22" t="s">
        <v>67</v>
      </c>
      <c r="B15" s="22" t="s">
        <v>67</v>
      </c>
      <c r="C15" s="2">
        <v>51</v>
      </c>
      <c r="D15" s="2">
        <v>51</v>
      </c>
      <c r="E15" s="2">
        <v>51</v>
      </c>
      <c r="F15" s="2">
        <v>51</v>
      </c>
      <c r="G15" s="2">
        <v>51</v>
      </c>
    </row>
    <row r="16" spans="1:7" ht="20">
      <c r="A16" s="22" t="s">
        <v>495</v>
      </c>
      <c r="B16" s="22" t="s">
        <v>495</v>
      </c>
    </row>
    <row r="17" spans="1:14" ht="20">
      <c r="A17" s="22" t="s">
        <v>69</v>
      </c>
      <c r="B17" s="22" t="s">
        <v>69</v>
      </c>
      <c r="C17" s="2">
        <v>170</v>
      </c>
      <c r="D17" s="2">
        <v>172.5</v>
      </c>
      <c r="E17" s="2">
        <v>172.5</v>
      </c>
      <c r="F17" s="2">
        <v>175</v>
      </c>
      <c r="G17" s="2">
        <v>175</v>
      </c>
      <c r="H17" s="2" t="s">
        <v>2319</v>
      </c>
    </row>
    <row r="18" spans="1:14" ht="20">
      <c r="A18" s="22" t="s">
        <v>70</v>
      </c>
      <c r="B18" s="22" t="s">
        <v>70</v>
      </c>
    </row>
    <row r="19" spans="1:14" ht="20">
      <c r="A19" s="22" t="s">
        <v>71</v>
      </c>
      <c r="B19" s="22" t="s">
        <v>71</v>
      </c>
      <c r="C19" s="2">
        <v>70</v>
      </c>
      <c r="D19" s="2">
        <v>70</v>
      </c>
      <c r="E19" s="2">
        <v>70</v>
      </c>
      <c r="F19" s="2">
        <v>70</v>
      </c>
      <c r="G19" s="2">
        <v>70</v>
      </c>
    </row>
    <row r="20" spans="1:14" ht="20">
      <c r="A20" s="22" t="s">
        <v>68</v>
      </c>
      <c r="B20" s="22" t="s">
        <v>68</v>
      </c>
      <c r="C20" s="2">
        <v>700</v>
      </c>
      <c r="D20" s="2">
        <v>700</v>
      </c>
      <c r="E20" s="2">
        <v>700</v>
      </c>
      <c r="F20" s="2">
        <v>700</v>
      </c>
      <c r="G20" s="2">
        <v>700</v>
      </c>
    </row>
    <row r="21" spans="1:14" ht="20">
      <c r="A21" s="22" t="s">
        <v>139</v>
      </c>
      <c r="B21" s="22" t="s">
        <v>139</v>
      </c>
      <c r="C21" s="2">
        <v>42</v>
      </c>
      <c r="D21" s="2">
        <v>42</v>
      </c>
      <c r="E21" s="2">
        <v>42</v>
      </c>
      <c r="F21" s="2">
        <v>42</v>
      </c>
      <c r="G21" s="2">
        <v>42</v>
      </c>
    </row>
    <row r="22" spans="1:14" ht="20">
      <c r="A22" s="22" t="s">
        <v>140</v>
      </c>
      <c r="B22" s="22" t="s">
        <v>140</v>
      </c>
    </row>
    <row r="23" spans="1:14" ht="20">
      <c r="A23" s="22" t="s">
        <v>1752</v>
      </c>
      <c r="B23" s="22" t="s">
        <v>1752</v>
      </c>
      <c r="C23" s="2">
        <v>154</v>
      </c>
      <c r="D23" s="2">
        <f>AVERAGE(D25,C26)</f>
        <v>164.5</v>
      </c>
      <c r="E23" s="2">
        <f t="shared" ref="E23:G23" si="0">AVERAGE(E25,D26)</f>
        <v>174.5</v>
      </c>
      <c r="F23" s="2">
        <f t="shared" si="0"/>
        <v>183.5</v>
      </c>
      <c r="G23" s="2">
        <f t="shared" si="0"/>
        <v>192.5</v>
      </c>
    </row>
    <row r="24" spans="1:14" ht="20">
      <c r="A24" s="22" t="s">
        <v>1753</v>
      </c>
      <c r="B24" s="22" t="s">
        <v>1753</v>
      </c>
      <c r="C24" s="2">
        <f>D23</f>
        <v>164.5</v>
      </c>
      <c r="D24" s="2">
        <f t="shared" ref="D24:F24" si="1">E23</f>
        <v>174.5</v>
      </c>
      <c r="E24" s="2">
        <f t="shared" si="1"/>
        <v>183.5</v>
      </c>
      <c r="F24" s="2">
        <f t="shared" si="1"/>
        <v>192.5</v>
      </c>
      <c r="G24" s="2">
        <v>202</v>
      </c>
    </row>
    <row r="25" spans="1:14" ht="20">
      <c r="B25" s="22" t="s">
        <v>1752</v>
      </c>
      <c r="C25" s="2">
        <v>154</v>
      </c>
      <c r="D25" s="2">
        <v>164</v>
      </c>
      <c r="E25" s="2">
        <v>174</v>
      </c>
      <c r="F25" s="2">
        <v>183</v>
      </c>
      <c r="G25" s="2">
        <v>192</v>
      </c>
    </row>
    <row r="26" spans="1:14" ht="20">
      <c r="B26" s="22" t="s">
        <v>1753</v>
      </c>
      <c r="C26" s="2">
        <v>165</v>
      </c>
      <c r="D26" s="2">
        <v>175</v>
      </c>
      <c r="E26" s="2">
        <v>184</v>
      </c>
      <c r="F26" s="2">
        <v>193</v>
      </c>
      <c r="G26" s="2">
        <v>202</v>
      </c>
    </row>
    <row r="29" spans="1:14">
      <c r="A29" s="2" t="s">
        <v>2047</v>
      </c>
      <c r="B29" s="2" t="s">
        <v>1997</v>
      </c>
      <c r="C29" s="2" t="s">
        <v>1</v>
      </c>
      <c r="D29" s="2" t="s">
        <v>0</v>
      </c>
      <c r="E29" s="2" t="s">
        <v>2013</v>
      </c>
      <c r="F29" s="2" t="s">
        <v>1349</v>
      </c>
      <c r="G29" s="2" t="s">
        <v>2020</v>
      </c>
      <c r="H29" s="2" t="s">
        <v>2021</v>
      </c>
      <c r="I29" s="2" t="s">
        <v>2022</v>
      </c>
      <c r="J29" s="2" t="s">
        <v>9</v>
      </c>
      <c r="K29" s="2" t="s">
        <v>1348</v>
      </c>
      <c r="L29" s="2" t="s">
        <v>2035</v>
      </c>
      <c r="M29" s="2" t="s">
        <v>176</v>
      </c>
      <c r="N29" s="2" t="s">
        <v>2042</v>
      </c>
    </row>
    <row r="30" spans="1:14">
      <c r="A30" s="2" t="s">
        <v>17</v>
      </c>
      <c r="B30" s="2">
        <f>VALUE(LEFT(B37,3))</f>
        <v>558</v>
      </c>
      <c r="C30" s="2">
        <f t="shared" ref="C30:F30" si="2">VALUE(LEFT(C37,3))</f>
        <v>384</v>
      </c>
      <c r="D30" s="2">
        <f t="shared" si="2"/>
        <v>568</v>
      </c>
      <c r="E30" s="2">
        <f t="shared" si="2"/>
        <v>450</v>
      </c>
      <c r="F30" s="2">
        <f t="shared" si="2"/>
        <v>425</v>
      </c>
      <c r="G30" s="2">
        <f>G37</f>
        <v>69.3</v>
      </c>
      <c r="H30" s="2">
        <f>H37</f>
        <v>74.3</v>
      </c>
      <c r="I30" s="2">
        <f t="shared" ref="I30:N30" si="3">VALUE(LEFT(I37,3))</f>
        <v>61</v>
      </c>
      <c r="J30" s="2">
        <f>VALUE(LEFT(J37,4))</f>
        <v>1054</v>
      </c>
      <c r="K30" s="2">
        <f t="shared" si="3"/>
        <v>125</v>
      </c>
      <c r="L30" s="2">
        <f t="shared" si="3"/>
        <v>290</v>
      </c>
      <c r="M30" s="2">
        <f t="shared" si="3"/>
        <v>740</v>
      </c>
      <c r="N30" s="2">
        <f t="shared" si="3"/>
        <v>205</v>
      </c>
    </row>
    <row r="31" spans="1:14">
      <c r="A31" s="2" t="s">
        <v>18</v>
      </c>
      <c r="B31" s="2">
        <f t="shared" ref="B31:F34" si="4">VALUE(LEFT(B38,3))</f>
        <v>578</v>
      </c>
      <c r="C31" s="2">
        <f t="shared" si="4"/>
        <v>398</v>
      </c>
      <c r="D31" s="2">
        <f t="shared" si="4"/>
        <v>587</v>
      </c>
      <c r="E31" s="2">
        <f t="shared" si="4"/>
        <v>480</v>
      </c>
      <c r="F31" s="2">
        <f t="shared" si="4"/>
        <v>425</v>
      </c>
      <c r="G31" s="2">
        <f t="shared" ref="G31:H31" si="5">G38</f>
        <v>69.400000000000006</v>
      </c>
      <c r="H31" s="2">
        <f t="shared" si="5"/>
        <v>74.400000000000006</v>
      </c>
      <c r="I31" s="2">
        <f t="shared" ref="I31:N31" si="6">VALUE(LEFT(I38,3))</f>
        <v>61</v>
      </c>
      <c r="J31" s="2">
        <f t="shared" ref="J31:J34" si="7">VALUE(LEFT(J38,4))</f>
        <v>1076</v>
      </c>
      <c r="K31" s="2">
        <f t="shared" si="6"/>
        <v>145</v>
      </c>
      <c r="L31" s="2">
        <f t="shared" si="6"/>
        <v>290</v>
      </c>
      <c r="M31" s="2">
        <f t="shared" si="6"/>
        <v>764</v>
      </c>
      <c r="N31" s="2">
        <f t="shared" si="6"/>
        <v>225</v>
      </c>
    </row>
    <row r="32" spans="1:14">
      <c r="A32" s="2" t="s">
        <v>19</v>
      </c>
      <c r="B32" s="2">
        <f t="shared" si="4"/>
        <v>593</v>
      </c>
      <c r="C32" s="2">
        <f t="shared" si="4"/>
        <v>407</v>
      </c>
      <c r="D32" s="2">
        <f t="shared" si="4"/>
        <v>611</v>
      </c>
      <c r="E32" s="2">
        <f t="shared" si="4"/>
        <v>500</v>
      </c>
      <c r="F32" s="2">
        <f t="shared" si="4"/>
        <v>425</v>
      </c>
      <c r="G32" s="2">
        <f t="shared" ref="G32:H32" si="8">G39</f>
        <v>69.400000000000006</v>
      </c>
      <c r="H32" s="2">
        <f t="shared" si="8"/>
        <v>74.400000000000006</v>
      </c>
      <c r="I32" s="2">
        <f t="shared" ref="I32:N32" si="9">VALUE(LEFT(I39,3))</f>
        <v>62</v>
      </c>
      <c r="J32" s="2">
        <f t="shared" si="7"/>
        <v>1095</v>
      </c>
      <c r="K32" s="2">
        <f t="shared" si="9"/>
        <v>170</v>
      </c>
      <c r="L32" s="2">
        <f t="shared" si="9"/>
        <v>290</v>
      </c>
      <c r="M32" s="2">
        <f t="shared" si="9"/>
        <v>779</v>
      </c>
      <c r="N32" s="2">
        <f t="shared" si="9"/>
        <v>245</v>
      </c>
    </row>
    <row r="33" spans="1:14">
      <c r="A33" s="2" t="s">
        <v>20</v>
      </c>
      <c r="B33" s="2">
        <f t="shared" si="4"/>
        <v>613</v>
      </c>
      <c r="C33" s="2">
        <f t="shared" si="4"/>
        <v>422</v>
      </c>
      <c r="D33" s="2">
        <f t="shared" si="4"/>
        <v>630</v>
      </c>
      <c r="E33" s="2">
        <f t="shared" si="4"/>
        <v>530</v>
      </c>
      <c r="F33" s="2">
        <f t="shared" si="4"/>
        <v>425</v>
      </c>
      <c r="G33" s="2">
        <f t="shared" ref="G33:H33" si="10">G40</f>
        <v>69.400000000000006</v>
      </c>
      <c r="H33" s="2">
        <f t="shared" si="10"/>
        <v>74.400000000000006</v>
      </c>
      <c r="I33" s="2">
        <f t="shared" ref="I33:N33" si="11">VALUE(LEFT(I40,3))</f>
        <v>62</v>
      </c>
      <c r="J33" s="2">
        <f t="shared" si="7"/>
        <v>1115</v>
      </c>
      <c r="K33" s="2">
        <f t="shared" si="11"/>
        <v>190</v>
      </c>
      <c r="L33" s="2">
        <f t="shared" si="11"/>
        <v>290</v>
      </c>
      <c r="M33" s="2">
        <f t="shared" si="11"/>
        <v>796</v>
      </c>
      <c r="N33" s="2">
        <f t="shared" si="11"/>
        <v>275</v>
      </c>
    </row>
    <row r="34" spans="1:14">
      <c r="A34" s="2" t="s">
        <v>1289</v>
      </c>
      <c r="B34" s="2">
        <f t="shared" si="4"/>
        <v>628</v>
      </c>
      <c r="C34" s="2">
        <f t="shared" si="4"/>
        <v>433</v>
      </c>
      <c r="D34" s="2">
        <f t="shared" si="4"/>
        <v>644</v>
      </c>
      <c r="E34" s="2">
        <f t="shared" si="4"/>
        <v>550</v>
      </c>
      <c r="F34" s="2">
        <f t="shared" si="4"/>
        <v>425</v>
      </c>
      <c r="G34" s="2">
        <f t="shared" ref="G34:H34" si="12">G41</f>
        <v>69.400000000000006</v>
      </c>
      <c r="H34" s="2">
        <f t="shared" si="12"/>
        <v>74.400000000000006</v>
      </c>
      <c r="I34" s="2">
        <f t="shared" ref="I34:N34" si="13">VALUE(LEFT(I41,3))</f>
        <v>62</v>
      </c>
      <c r="J34" s="2">
        <f t="shared" si="7"/>
        <v>1132</v>
      </c>
      <c r="K34" s="2">
        <f t="shared" si="13"/>
        <v>205</v>
      </c>
      <c r="L34" s="2">
        <f t="shared" si="13"/>
        <v>290</v>
      </c>
      <c r="M34" s="2">
        <f t="shared" si="13"/>
        <v>809</v>
      </c>
      <c r="N34" s="2">
        <f t="shared" si="13"/>
        <v>275</v>
      </c>
    </row>
    <row r="36" spans="1:14">
      <c r="B36" s="2" t="s">
        <v>1997</v>
      </c>
      <c r="C36" s="2" t="s">
        <v>1</v>
      </c>
      <c r="D36" s="2" t="s">
        <v>0</v>
      </c>
      <c r="E36" s="2" t="s">
        <v>2013</v>
      </c>
      <c r="F36" s="2" t="s">
        <v>1349</v>
      </c>
      <c r="G36" s="2" t="s">
        <v>2020</v>
      </c>
      <c r="H36" s="2" t="s">
        <v>2021</v>
      </c>
      <c r="I36" s="2" t="s">
        <v>2022</v>
      </c>
      <c r="J36" s="2" t="s">
        <v>9</v>
      </c>
      <c r="K36" s="2" t="s">
        <v>1348</v>
      </c>
      <c r="L36" s="2" t="s">
        <v>2035</v>
      </c>
      <c r="M36" s="2" t="s">
        <v>176</v>
      </c>
      <c r="N36" s="2" t="s">
        <v>2042</v>
      </c>
    </row>
    <row r="37" spans="1:14">
      <c r="A37" s="2" t="s">
        <v>1993</v>
      </c>
      <c r="B37" s="2" t="s">
        <v>1998</v>
      </c>
      <c r="C37" s="2" t="s">
        <v>2003</v>
      </c>
      <c r="D37" s="2" t="s">
        <v>2008</v>
      </c>
      <c r="E37" s="2" t="s">
        <v>2014</v>
      </c>
      <c r="F37" s="2" t="s">
        <v>2019</v>
      </c>
      <c r="G37" s="2">
        <v>69.3</v>
      </c>
      <c r="H37" s="2">
        <v>74.3</v>
      </c>
      <c r="I37" s="2" t="s">
        <v>2023</v>
      </c>
      <c r="J37" s="2" t="s">
        <v>2025</v>
      </c>
      <c r="K37" s="2" t="s">
        <v>2030</v>
      </c>
      <c r="L37" s="2" t="s">
        <v>2036</v>
      </c>
      <c r="M37" s="2" t="s">
        <v>2037</v>
      </c>
      <c r="N37" s="2" t="s">
        <v>2034</v>
      </c>
    </row>
    <row r="38" spans="1:14">
      <c r="A38" s="2" t="s">
        <v>1994</v>
      </c>
      <c r="B38" s="2" t="s">
        <v>1999</v>
      </c>
      <c r="C38" s="2" t="s">
        <v>2004</v>
      </c>
      <c r="D38" s="2" t="s">
        <v>2009</v>
      </c>
      <c r="E38" s="2" t="s">
        <v>2015</v>
      </c>
      <c r="F38" s="2" t="s">
        <v>2019</v>
      </c>
      <c r="G38" s="2">
        <v>69.400000000000006</v>
      </c>
      <c r="H38" s="2">
        <v>74.400000000000006</v>
      </c>
      <c r="I38" s="2" t="s">
        <v>2023</v>
      </c>
      <c r="J38" s="2" t="s">
        <v>2026</v>
      </c>
      <c r="K38" s="2" t="s">
        <v>2031</v>
      </c>
      <c r="L38" s="2" t="s">
        <v>2036</v>
      </c>
      <c r="M38" s="2" t="s">
        <v>2038</v>
      </c>
      <c r="N38" s="2" t="s">
        <v>2043</v>
      </c>
    </row>
    <row r="39" spans="1:14">
      <c r="A39" s="2" t="s">
        <v>1995</v>
      </c>
      <c r="B39" s="2" t="s">
        <v>2000</v>
      </c>
      <c r="C39" s="2" t="s">
        <v>2005</v>
      </c>
      <c r="D39" s="2" t="s">
        <v>2010</v>
      </c>
      <c r="E39" s="2" t="s">
        <v>2016</v>
      </c>
      <c r="F39" s="2" t="s">
        <v>2019</v>
      </c>
      <c r="G39" s="2">
        <v>69.400000000000006</v>
      </c>
      <c r="H39" s="2">
        <v>74.400000000000006</v>
      </c>
      <c r="I39" s="2" t="s">
        <v>2024</v>
      </c>
      <c r="J39" s="2" t="s">
        <v>2027</v>
      </c>
      <c r="K39" s="2" t="s">
        <v>2032</v>
      </c>
      <c r="L39" s="2" t="s">
        <v>2036</v>
      </c>
      <c r="M39" s="2" t="s">
        <v>2039</v>
      </c>
      <c r="N39" s="2" t="s">
        <v>2044</v>
      </c>
    </row>
    <row r="40" spans="1:14">
      <c r="A40" s="2" t="s">
        <v>1996</v>
      </c>
      <c r="B40" s="2" t="s">
        <v>2001</v>
      </c>
      <c r="C40" s="2" t="s">
        <v>2006</v>
      </c>
      <c r="D40" s="2" t="s">
        <v>2011</v>
      </c>
      <c r="E40" s="2" t="s">
        <v>2017</v>
      </c>
      <c r="F40" s="2" t="s">
        <v>2019</v>
      </c>
      <c r="G40" s="2">
        <v>69.400000000000006</v>
      </c>
      <c r="H40" s="2">
        <v>74.400000000000006</v>
      </c>
      <c r="I40" s="2" t="s">
        <v>2024</v>
      </c>
      <c r="J40" s="2" t="s">
        <v>2028</v>
      </c>
      <c r="K40" s="2" t="s">
        <v>2033</v>
      </c>
      <c r="L40" s="2" t="s">
        <v>2036</v>
      </c>
      <c r="M40" s="2" t="s">
        <v>2040</v>
      </c>
      <c r="N40" s="2" t="s">
        <v>2045</v>
      </c>
    </row>
    <row r="41" spans="1:14">
      <c r="A41" s="2" t="s">
        <v>2046</v>
      </c>
      <c r="B41" s="2" t="s">
        <v>2002</v>
      </c>
      <c r="C41" s="2" t="s">
        <v>2007</v>
      </c>
      <c r="D41" s="2" t="s">
        <v>2012</v>
      </c>
      <c r="E41" s="2" t="s">
        <v>2018</v>
      </c>
      <c r="F41" s="2" t="s">
        <v>2019</v>
      </c>
      <c r="G41" s="2">
        <v>69.400000000000006</v>
      </c>
      <c r="H41" s="2">
        <v>74.400000000000006</v>
      </c>
      <c r="I41" s="2" t="s">
        <v>2024</v>
      </c>
      <c r="J41" s="2" t="s">
        <v>2029</v>
      </c>
      <c r="K41" s="2" t="s">
        <v>2034</v>
      </c>
      <c r="L41" s="2" t="s">
        <v>2036</v>
      </c>
      <c r="M41" s="2" t="s">
        <v>2041</v>
      </c>
      <c r="N41" s="2" t="s">
        <v>2045</v>
      </c>
    </row>
    <row r="46" spans="1:14">
      <c r="C46" s="98" t="s">
        <v>2314</v>
      </c>
    </row>
    <row r="47" spans="1:14">
      <c r="C47" s="98" t="s">
        <v>2315</v>
      </c>
    </row>
    <row r="48" spans="1:14">
      <c r="C48" s="98" t="s">
        <v>2316</v>
      </c>
    </row>
    <row r="49" spans="3:3">
      <c r="C49" s="98" t="s">
        <v>2317</v>
      </c>
    </row>
    <row r="50" spans="3:3">
      <c r="C50" s="98" t="s">
        <v>2318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Alchemy Lycos 2023</vt:lpstr>
      <vt:lpstr>Alchemy Rogue 2022</vt:lpstr>
      <vt:lpstr>All-City Cosmic Stallion 2022</vt:lpstr>
      <vt:lpstr>All-City Gorilla Monsoon 2022</vt:lpstr>
      <vt:lpstr>All-City Space Horse 2023</vt:lpstr>
      <vt:lpstr>Alle Bike MB31 Bramley 2022</vt:lpstr>
      <vt:lpstr>Amigo Bug Out 2022</vt:lpstr>
      <vt:lpstr>Argonaut GR3 2023</vt:lpstr>
      <vt:lpstr>Bearclaw Beaux Jaxon 2022</vt:lpstr>
      <vt:lpstr>Blackheart Gravel AL 2024</vt:lpstr>
      <vt:lpstr>Blackheart All Road TI 2022</vt:lpstr>
      <vt:lpstr>BlackMtnCy La Cabra 2022</vt:lpstr>
      <vt:lpstr>BlackMtnCy Monstercross V5 2022</vt:lpstr>
      <vt:lpstr>Bombtrack Beyond 2 2022</vt:lpstr>
      <vt:lpstr>Bombtrack Beyond+ Adv 2022</vt:lpstr>
      <vt:lpstr>Bombtrack Hook 2022</vt:lpstr>
      <vt:lpstr>BMC URS AL 2022</vt:lpstr>
      <vt:lpstr>BMC URS AL SUS 2022</vt:lpstr>
      <vt:lpstr>BMC URS One 2022</vt:lpstr>
      <vt:lpstr>Breezer Radar X Pro 2022</vt:lpstr>
      <vt:lpstr>Calfee adventure 2022</vt:lpstr>
      <vt:lpstr>Cannondale SuperSix Evo SE 2022</vt:lpstr>
      <vt:lpstr>Cannondale Topstone Lefty 2023</vt:lpstr>
      <vt:lpstr>Canyon Grail 7 1by 2022</vt:lpstr>
      <vt:lpstr>Canyon Grail SL 2022</vt:lpstr>
      <vt:lpstr>Canyon Grizl 7 1by 2022</vt:lpstr>
      <vt:lpstr>Cervelo Aspero 2022</vt:lpstr>
      <vt:lpstr>Chiru Kegeti 2023</vt:lpstr>
      <vt:lpstr>Chiru Kegeti 2022</vt:lpstr>
      <vt:lpstr>Chumba Terlingua SL Tit 2023</vt:lpstr>
      <vt:lpstr>Chumba Terlingua Steel fdo 2022</vt:lpstr>
      <vt:lpstr>Chumba Yaupon Steel Sus 2023</vt:lpstr>
      <vt:lpstr>Chumba Yaupon 2022</vt:lpstr>
      <vt:lpstr>Cinelli Hobootleg Geo 2022</vt:lpstr>
      <vt:lpstr>Commencal 365 2023</vt:lpstr>
      <vt:lpstr>Cotic Cascade 2022</vt:lpstr>
      <vt:lpstr>Curve GMX+ Steel 2023</vt:lpstr>
      <vt:lpstr>Devinci Hatchet 2022</vt:lpstr>
      <vt:lpstr>Enigma Escape XR 2023</vt:lpstr>
      <vt:lpstr>Enve Mog 2023</vt:lpstr>
      <vt:lpstr>Evil Chamois Hagar GRX 2022</vt:lpstr>
      <vt:lpstr>Fezzari Shafer 2022</vt:lpstr>
      <vt:lpstr>Fiftyone Assassin short-hi 2022</vt:lpstr>
      <vt:lpstr>Fiftyone Assassin long-low 2022</vt:lpstr>
      <vt:lpstr>Focus Atlas 8.9 2023</vt:lpstr>
      <vt:lpstr>Fustle Causway GR1 2022</vt:lpstr>
      <vt:lpstr>Genesis Vagabond 2022</vt:lpstr>
      <vt:lpstr>Giant Revolt pro long 2023</vt:lpstr>
      <vt:lpstr>Giant Revolt pro short 2023</vt:lpstr>
      <vt:lpstr>Giant Revolt X pro 1 long 2023</vt:lpstr>
      <vt:lpstr>Giant Revolt X pro 1 short 2023</vt:lpstr>
      <vt:lpstr>Hudski Doggler Gravel 2022</vt:lpstr>
      <vt:lpstr>Ibis Hakka MX 2023</vt:lpstr>
      <vt:lpstr>Knolly Cache Steel 2022</vt:lpstr>
      <vt:lpstr>Kona Sutra ULTD 2022</vt:lpstr>
      <vt:lpstr>Lauf Siegla 2022</vt:lpstr>
      <vt:lpstr>Light Blue Darwin 2022</vt:lpstr>
      <vt:lpstr>Liz Devote Advance 2023</vt:lpstr>
      <vt:lpstr>Lynskey GR300 2023</vt:lpstr>
      <vt:lpstr>Marin DSX 2 2022</vt:lpstr>
      <vt:lpstr>Mason InSearchOf 2022</vt:lpstr>
      <vt:lpstr>Merida Silex 2022</vt:lpstr>
      <vt:lpstr>Moots Routt ESC 2022</vt:lpstr>
      <vt:lpstr>Mosaic GT-1X 2022</vt:lpstr>
      <vt:lpstr>Niner RLT 9 RDO 2022</vt:lpstr>
      <vt:lpstr>No22 Drifter X 2022</vt:lpstr>
      <vt:lpstr>Noble GX 5 2022</vt:lpstr>
      <vt:lpstr>Nordest Kutxo 2022</vt:lpstr>
      <vt:lpstr>Nukeproof Digger 2022</vt:lpstr>
      <vt:lpstr>Obed Boundary 2022</vt:lpstr>
      <vt:lpstr>OPEN U.P. 2022</vt:lpstr>
      <vt:lpstr>Open WI.DE 2022</vt:lpstr>
      <vt:lpstr>Orbea Terra M 2023</vt:lpstr>
      <vt:lpstr>Orbea Terra H 2023</vt:lpstr>
      <vt:lpstr>Otso Fenrir 2022</vt:lpstr>
      <vt:lpstr>Otso Waheela C front 2022</vt:lpstr>
      <vt:lpstr>Otso Waheela C rear 2022</vt:lpstr>
      <vt:lpstr>Otso Warakin Stainless 2022</vt:lpstr>
      <vt:lpstr>Panorama Katahdin 2023</vt:lpstr>
      <vt:lpstr>Panorama Taiga EXP 2023</vt:lpstr>
      <vt:lpstr>Panorama Taiga EXP 2022</vt:lpstr>
      <vt:lpstr>Pinarello Grevil F 2023</vt:lpstr>
      <vt:lpstr>Reeb Sams Pants 2022</vt:lpstr>
      <vt:lpstr>Revel Rover 2022</vt:lpstr>
      <vt:lpstr>Ribble Gravel SL 2022</vt:lpstr>
      <vt:lpstr>Ridley Kanzo Adventure New 2022</vt:lpstr>
      <vt:lpstr>Ritchey Outback frameset 2022</vt:lpstr>
      <vt:lpstr>Rodeo Flaanimal 5.0 2024</vt:lpstr>
      <vt:lpstr>Rodeo TrailDonkey 4.0 2023</vt:lpstr>
      <vt:lpstr>Rondo MYLC CF Hi 2022</vt:lpstr>
      <vt:lpstr>Rondo MYLC CF Lo 2022</vt:lpstr>
      <vt:lpstr>Rose Backroad XPLR 2022</vt:lpstr>
      <vt:lpstr>Salsa Cutthroat 2022</vt:lpstr>
      <vt:lpstr>Salsa Fargo rear dropout 2022</vt:lpstr>
      <vt:lpstr>Salsa Fargo front dropout 2022</vt:lpstr>
      <vt:lpstr>Salsa Journeyer 700c 2023</vt:lpstr>
      <vt:lpstr>Salsa Vaya 2022</vt:lpstr>
      <vt:lpstr>Salsa Warbird 2022</vt:lpstr>
      <vt:lpstr>Santa Cruz Stigmata CC 2023</vt:lpstr>
      <vt:lpstr>Santa Cruz Stigmata 2022</vt:lpstr>
      <vt:lpstr>Scott Addict Gravel 2022</vt:lpstr>
      <vt:lpstr>Shand Stooshie 2022</vt:lpstr>
      <vt:lpstr>Sklar Super Something Ti 2024</vt:lpstr>
      <vt:lpstr>Sklar SS Ti 2025</vt:lpstr>
      <vt:lpstr>Sklar SS Ti Sus 2025</vt:lpstr>
      <vt:lpstr>Solace OM-3 Short 2022</vt:lpstr>
      <vt:lpstr>Soma Wolverine 2022</vt:lpstr>
      <vt:lpstr>Sonder Camino AL 2022</vt:lpstr>
      <vt:lpstr>Specialized Crux 2023</vt:lpstr>
      <vt:lpstr>Specialized Diverge 2022</vt:lpstr>
      <vt:lpstr>Specialized Diverge Evo 2022</vt:lpstr>
      <vt:lpstr>Specialized Diverge STR 2023</vt:lpstr>
      <vt:lpstr>Squid Gravtron 2022</vt:lpstr>
      <vt:lpstr>Surly Ghost Grappler 2022</vt:lpstr>
      <vt:lpstr>Thesis OB1 2022</vt:lpstr>
      <vt:lpstr>Tout Terrain Scrambler 28 2022</vt:lpstr>
      <vt:lpstr>Trek Checkpoint SL5 2022</vt:lpstr>
      <vt:lpstr>Tumbleweed Stargazer 2022</vt:lpstr>
      <vt:lpstr>Ventum GS1 2023</vt:lpstr>
      <vt:lpstr>Why R+ V4 2022</vt:lpstr>
      <vt:lpstr>Whyte Friston Gravel 2022</vt:lpstr>
      <vt:lpstr>Whyte Gisburn 2022</vt:lpstr>
      <vt:lpstr>Wilde Earth Ship Steel 2023</vt:lpstr>
      <vt:lpstr>Wilde Rambler SL 2023</vt:lpstr>
      <vt:lpstr>Wilier Jena 2022</vt:lpstr>
      <vt:lpstr>Wilier Rave SLR 2022</vt:lpstr>
      <vt:lpstr>YT Szepter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Jeffrey A Walker</cp:lastModifiedBy>
  <dcterms:created xsi:type="dcterms:W3CDTF">2022-06-09T18:54:43Z</dcterms:created>
  <dcterms:modified xsi:type="dcterms:W3CDTF">2025-07-13T20:38:06Z</dcterms:modified>
</cp:coreProperties>
</file>