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36391454-A68E-F34C-BB19-01D892B8584B}" xr6:coauthVersionLast="47" xr6:coauthVersionMax="47" xr10:uidLastSave="{00000000-0000-0000-0000-000000000000}"/>
  <bookViews>
    <workbookView xWindow="6500" yWindow="500" windowWidth="23100" windowHeight="17500" firstSheet="104" activeTab="105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2" sheetId="66" r:id="rId27"/>
    <sheet name="Chumba Terlingua steel fdo 2022" sheetId="36" r:id="rId28"/>
    <sheet name="Chumba Yaupon 2022" sheetId="73" r:id="rId29"/>
    <sheet name="Cinelli Hobootleg Geo 2022" sheetId="26" r:id="rId30"/>
    <sheet name="Commencal 365 2023" sheetId="107" r:id="rId31"/>
    <sheet name="Cotic Cascade 2022" sheetId="71" r:id="rId32"/>
    <sheet name="Devinci Hatchet 2022" sheetId="81" r:id="rId33"/>
    <sheet name="Enigma Escape Flat-bar 2022" sheetId="35" r:id="rId34"/>
    <sheet name="Enve Mog 2023" sheetId="113" r:id="rId35"/>
    <sheet name="Evil Chamois Hagar GRX 2022" sheetId="3" r:id="rId36"/>
    <sheet name="Fezzari Shafer 2022" sheetId="88" r:id="rId37"/>
    <sheet name="Fiftyone Assassin short-hi 2022" sheetId="46" r:id="rId38"/>
    <sheet name="Fiftyone Assassin long-low 2022" sheetId="45" r:id="rId39"/>
    <sheet name="Focus Atlas 8.9 2023" sheetId="100" r:id="rId40"/>
    <sheet name="Fustle Causway GR1 2022" sheetId="91" r:id="rId41"/>
    <sheet name="Genesis Vagabond 2022" sheetId="51" r:id="rId42"/>
    <sheet name="Giant Revolt pro long 2023" sheetId="110" r:id="rId43"/>
    <sheet name="Giant Revolt pro short 2023" sheetId="109" r:id="rId44"/>
    <sheet name="Giant Revolt X pro 1 long 2023" sheetId="99" r:id="rId45"/>
    <sheet name="Giant Revolt X pro 1 short 2023" sheetId="98" r:id="rId46"/>
    <sheet name="Hudski Doggler Gravel 2022" sheetId="63" r:id="rId47"/>
    <sheet name="Ibis Hakka MX 2023" sheetId="104" r:id="rId48"/>
    <sheet name="Kanzo Adventure New 2022" sheetId="53" r:id="rId49"/>
    <sheet name="Knolly Cache Steel 2022" sheetId="14" r:id="rId50"/>
    <sheet name="Kona Sutra ULTD 2022" sheetId="24" r:id="rId51"/>
    <sheet name="Lauf Siegla 2022" sheetId="11" r:id="rId52"/>
    <sheet name="Light Blue Darwin 2022" sheetId="47" r:id="rId53"/>
    <sheet name="Liz Devote Advance 2023" sheetId="105" r:id="rId54"/>
    <sheet name="Marin DSX 2 2022" sheetId="30" r:id="rId55"/>
    <sheet name="Mason InSearchOf 2022" sheetId="6" r:id="rId56"/>
    <sheet name="Merida Silex 2022" sheetId="44" r:id="rId57"/>
    <sheet name="Moots Routt ESC 2022" sheetId="43" r:id="rId58"/>
    <sheet name="Mosaic GT-1X 2022" sheetId="69" r:id="rId59"/>
    <sheet name="Niner RLT 9 RDO 2022" sheetId="18" r:id="rId60"/>
    <sheet name="No22 Drifter X 2022" sheetId="15" r:id="rId61"/>
    <sheet name="Noble GX 5 2022" sheetId="32" r:id="rId62"/>
    <sheet name="Nordest Kutxo 2022" sheetId="78" r:id="rId63"/>
    <sheet name="Obed Boundary 2022" sheetId="48" r:id="rId64"/>
    <sheet name="OPEN U.P. 2022" sheetId="20" r:id="rId65"/>
    <sheet name="Open WI.DE 2022" sheetId="80" r:id="rId66"/>
    <sheet name="Orbea Terra M 2023" sheetId="103" r:id="rId67"/>
    <sheet name="Orbea Terra H 2023" sheetId="102" r:id="rId68"/>
    <sheet name="Otso Fenrir 2022" sheetId="67" r:id="rId69"/>
    <sheet name="Otso Waheela C front 2022" sheetId="93" r:id="rId70"/>
    <sheet name="Otso Waheela C rear 2022" sheetId="94" r:id="rId71"/>
    <sheet name="Otso Warakin Stainless 2022" sheetId="74" r:id="rId72"/>
    <sheet name="Panorama Taiga EXP 2022" sheetId="70" r:id="rId73"/>
    <sheet name="Pinarello Grevil F 2023" sheetId="40" r:id="rId74"/>
    <sheet name="Reeb Sams Pants 2022" sheetId="49" r:id="rId75"/>
    <sheet name="Revel Rover 2022" sheetId="52" r:id="rId76"/>
    <sheet name="Ribble Gravel SL 2022" sheetId="10" r:id="rId77"/>
    <sheet name="Ritchey Outback frameset 2022" sheetId="13" r:id="rId78"/>
    <sheet name="Rondo MYLC CF Hi 2022" sheetId="90" r:id="rId79"/>
    <sheet name="Rose Backroad XPLR 2022" sheetId="92" r:id="rId80"/>
    <sheet name="Rondo MYLC CF Lo 2022" sheetId="89" r:id="rId81"/>
    <sheet name="Salsa Cutthroat 2022" sheetId="39" r:id="rId82"/>
    <sheet name="Salsa Fargo rear dropout 2022" sheetId="23" r:id="rId83"/>
    <sheet name="Salsa Fargo front dropout 2022" sheetId="22" r:id="rId84"/>
    <sheet name="Salsa Vaya 2022" sheetId="21" r:id="rId85"/>
    <sheet name="Salsa Warbird 2022" sheetId="38" r:id="rId86"/>
    <sheet name="Santa Cruz Stigmata 2022" sheetId="54" r:id="rId87"/>
    <sheet name="Scott Addict Gravel 2022" sheetId="86" r:id="rId88"/>
    <sheet name="Shand Stooshie 2022" sheetId="37" r:id="rId89"/>
    <sheet name="Solace OM-3 Short 2022" sheetId="50" r:id="rId90"/>
    <sheet name="Soma Wolverine 2022" sheetId="87" r:id="rId91"/>
    <sheet name="Sonder Camino AL 2022" sheetId="65" r:id="rId92"/>
    <sheet name="Specialized Diverge 2022" sheetId="56" r:id="rId93"/>
    <sheet name="Specialized Diverge Evo 2022" sheetId="29" r:id="rId94"/>
    <sheet name="Specialized Diverge STR 2023" sheetId="97" r:id="rId95"/>
    <sheet name="Squid Gravtron 2022" sheetId="59" r:id="rId96"/>
    <sheet name="Surly Ghost Grappler 2022" sheetId="5" r:id="rId97"/>
    <sheet name="Thesis OB1 2022" sheetId="25" r:id="rId98"/>
    <sheet name="Tout Terrain Scrambler 28 2022" sheetId="12" r:id="rId99"/>
    <sheet name="Trek Checkpoint SL5 2022" sheetId="9" r:id="rId100"/>
    <sheet name="Tumbleweed Stargazer 2022" sheetId="7" r:id="rId101"/>
    <sheet name="Ventum GS1 2023" sheetId="101" r:id="rId102"/>
    <sheet name="Why R+ V4 2022" sheetId="55" r:id="rId103"/>
    <sheet name="Whyte Friston Gravel 2022" sheetId="31" r:id="rId104"/>
    <sheet name="Whyte Gisburn 2022" sheetId="60" r:id="rId105"/>
    <sheet name="Wilde Earth Ship Steel 2023" sheetId="115" r:id="rId106"/>
    <sheet name="Wilde Rambler SL 2023" sheetId="106" r:id="rId107"/>
    <sheet name="Wilier Jena 2022" sheetId="82" r:id="rId108"/>
    <sheet name="Wilier Rave SLR 2022" sheetId="83" r:id="rId109"/>
    <sheet name="YT Szepter 2023" sheetId="96" r:id="rId110"/>
  </sheets>
  <definedNames>
    <definedName name="dropper" localSheetId="97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8" i="115" l="1"/>
  <c r="H29" i="115"/>
  <c r="D28" i="115"/>
  <c r="E28" i="115"/>
  <c r="F28" i="115"/>
  <c r="G28" i="115"/>
  <c r="D29" i="115"/>
  <c r="E29" i="115"/>
  <c r="F29" i="115"/>
  <c r="G29" i="115"/>
  <c r="C29" i="115"/>
  <c r="C28" i="115"/>
  <c r="E26" i="42"/>
  <c r="F26" i="42"/>
  <c r="G26" i="42"/>
  <c r="H26" i="42"/>
  <c r="I26" i="42"/>
  <c r="J26" i="42"/>
  <c r="K26" i="42"/>
  <c r="D26" i="42"/>
  <c r="E52" i="42"/>
  <c r="F52" i="42"/>
  <c r="G52" i="42"/>
  <c r="H52" i="42"/>
  <c r="I52" i="42"/>
  <c r="J52" i="42"/>
  <c r="K52" i="42"/>
  <c r="D52" i="42"/>
  <c r="E51" i="42"/>
  <c r="F51" i="42"/>
  <c r="G51" i="42"/>
  <c r="H51" i="42"/>
  <c r="I51" i="42"/>
  <c r="J51" i="42"/>
  <c r="K51" i="42"/>
  <c r="D51" i="42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3" i="110"/>
  <c r="G23" i="110"/>
  <c r="F23" i="110"/>
  <c r="E23" i="110"/>
  <c r="D23" i="110"/>
  <c r="C23" i="110"/>
  <c r="H22" i="110"/>
  <c r="G22" i="110"/>
  <c r="F22" i="110"/>
  <c r="E22" i="110"/>
  <c r="D22" i="110"/>
  <c r="C22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D22" i="109"/>
  <c r="E22" i="109"/>
  <c r="F22" i="109"/>
  <c r="G22" i="109"/>
  <c r="H22" i="109"/>
  <c r="D23" i="109"/>
  <c r="E23" i="109"/>
  <c r="F23" i="109"/>
  <c r="G23" i="109"/>
  <c r="H23" i="109"/>
  <c r="C23" i="109"/>
  <c r="C22" i="109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E20" i="66"/>
  <c r="F20" i="66"/>
  <c r="G20" i="66"/>
  <c r="D20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F9" i="36"/>
  <c r="G9" i="36"/>
  <c r="H9" i="36"/>
  <c r="I9" i="36"/>
  <c r="E9" i="36"/>
  <c r="D9" i="36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E22" i="34"/>
  <c r="F22" i="34"/>
  <c r="G22" i="34"/>
  <c r="H22" i="34"/>
  <c r="D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35" i="50" l="1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8" i="42"/>
  <c r="I28" i="42"/>
  <c r="G28" i="42"/>
  <c r="F22" i="42"/>
  <c r="H28" i="42"/>
  <c r="D28" i="42"/>
  <c r="F28" i="42"/>
  <c r="J28" i="42"/>
  <c r="E28" i="42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G14" i="35"/>
  <c r="F14" i="35"/>
  <c r="E14" i="35"/>
  <c r="D14" i="35"/>
  <c r="C14" i="35"/>
  <c r="G13" i="35"/>
  <c r="F13" i="35"/>
  <c r="E13" i="35"/>
  <c r="D13" i="35"/>
  <c r="C13" i="35"/>
  <c r="G12" i="35"/>
  <c r="F12" i="35"/>
  <c r="E12" i="35"/>
  <c r="D12" i="35"/>
  <c r="C12" i="35"/>
  <c r="G11" i="35"/>
  <c r="F11" i="35"/>
  <c r="E11" i="35"/>
  <c r="D11" i="35"/>
  <c r="C11" i="35"/>
  <c r="G10" i="35"/>
  <c r="F10" i="35"/>
  <c r="E10" i="35"/>
  <c r="D10" i="35"/>
  <c r="C10" i="35"/>
  <c r="G9" i="35"/>
  <c r="F9" i="35"/>
  <c r="E9" i="35"/>
  <c r="D9" i="35"/>
  <c r="C9" i="35"/>
  <c r="G8" i="35"/>
  <c r="F8" i="35"/>
  <c r="E8" i="35"/>
  <c r="D8" i="35"/>
  <c r="C8" i="35"/>
  <c r="G7" i="35"/>
  <c r="F7" i="35"/>
  <c r="E7" i="35"/>
  <c r="D7" i="35"/>
  <c r="C7" i="35"/>
  <c r="G6" i="35"/>
  <c r="F6" i="35"/>
  <c r="E6" i="35"/>
  <c r="D6" i="35"/>
  <c r="C6" i="35"/>
  <c r="G5" i="35"/>
  <c r="F5" i="35"/>
  <c r="E5" i="35"/>
  <c r="D5" i="35"/>
  <c r="C5" i="35"/>
  <c r="G4" i="35"/>
  <c r="F4" i="35"/>
  <c r="E4" i="35"/>
  <c r="D4" i="35"/>
  <c r="C4" i="35"/>
  <c r="G3" i="35"/>
  <c r="F3" i="35"/>
  <c r="E3" i="35"/>
  <c r="D3" i="35"/>
  <c r="C3" i="35"/>
  <c r="G2" i="35"/>
  <c r="F2" i="35"/>
  <c r="E2" i="35"/>
  <c r="D2" i="35"/>
  <c r="C2" i="35"/>
  <c r="G1" i="35"/>
  <c r="F1" i="35"/>
  <c r="E1" i="35"/>
  <c r="D1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G11" i="43"/>
  <c r="F11" i="43"/>
  <c r="E11" i="43"/>
  <c r="D11" i="43"/>
  <c r="C11" i="43"/>
  <c r="G10" i="43"/>
  <c r="F10" i="43"/>
  <c r="E10" i="43"/>
  <c r="D10" i="43"/>
  <c r="C10" i="43"/>
  <c r="G9" i="43"/>
  <c r="F9" i="43"/>
  <c r="E9" i="43"/>
  <c r="D9" i="43"/>
  <c r="C9" i="43"/>
  <c r="G8" i="43"/>
  <c r="F8" i="43"/>
  <c r="E8" i="43"/>
  <c r="D8" i="43"/>
  <c r="C8" i="43"/>
  <c r="G7" i="43"/>
  <c r="F7" i="43"/>
  <c r="E7" i="43"/>
  <c r="D7" i="43"/>
  <c r="C7" i="43"/>
  <c r="G6" i="43"/>
  <c r="F6" i="43"/>
  <c r="E6" i="43"/>
  <c r="D6" i="43"/>
  <c r="C6" i="43"/>
  <c r="G5" i="43"/>
  <c r="F5" i="43"/>
  <c r="E5" i="43"/>
  <c r="D5" i="43"/>
  <c r="C5" i="43"/>
  <c r="G4" i="43"/>
  <c r="F4" i="43"/>
  <c r="E4" i="43"/>
  <c r="D4" i="43"/>
  <c r="C4" i="43"/>
  <c r="G3" i="43"/>
  <c r="F3" i="43"/>
  <c r="E3" i="43"/>
  <c r="D3" i="43"/>
  <c r="C3" i="43"/>
  <c r="G2" i="43"/>
  <c r="F2" i="43"/>
  <c r="E2" i="43"/>
  <c r="D2" i="43"/>
  <c r="C2" i="43"/>
  <c r="G1" i="43"/>
  <c r="F1" i="43"/>
  <c r="E1" i="43"/>
  <c r="D1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<sst xmlns="http://schemas.openxmlformats.org/spreadsheetml/2006/main" count="10822" uniqueCount="2436">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</sst>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9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6" fillId="0" borderId="0" applyNumberFormat="0" applyFill="0" applyBorder="0" applyAlignment="0" applyProtection="0"/>
  </cellStyleXfs>
  <cellXfs count="13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2" fontId="29" fillId="0" borderId="0" xfId="0" applyNumberFormat="1" applyFont="1"/>
    <xf numFmtId="164" fontId="29" fillId="0" borderId="0" xfId="0" applyNumberFormat="1" applyFont="1"/>
    <xf numFmtId="0" fontId="44" fillId="0" borderId="0" xfId="0" applyFont="1"/>
    <xf numFmtId="0" fontId="45" fillId="0" borderId="0" xfId="0" applyFont="1"/>
    <xf numFmtId="164" fontId="0" fillId="0" borderId="0" xfId="0" applyNumberFormat="1"/>
    <xf numFmtId="1" fontId="0" fillId="0" borderId="0" xfId="0" applyNumberFormat="1"/>
    <xf numFmtId="1" fontId="29" fillId="0" borderId="0" xfId="0" applyNumberFormat="1" applyFont="1"/>
    <xf numFmtId="0" fontId="46" fillId="0" borderId="0" xfId="0" applyFont="1"/>
    <xf numFmtId="0" fontId="48" fillId="0" borderId="0" xfId="0" applyFont="1"/>
    <xf numFmtId="0" fontId="37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7" fillId="0" borderId="0" xfId="0" applyFont="1"/>
    <xf numFmtId="49" fontId="29" fillId="0" borderId="0" xfId="0" applyNumberFormat="1" applyFont="1"/>
    <xf numFmtId="0" fontId="59" fillId="0" borderId="0" xfId="0" applyFont="1"/>
    <xf numFmtId="49" fontId="60" fillId="0" borderId="0" xfId="1" applyNumberFormat="1" applyFont="1"/>
    <xf numFmtId="49" fontId="34" fillId="0" borderId="0" xfId="0" applyNumberFormat="1" applyFont="1"/>
    <xf numFmtId="49" fontId="59" fillId="0" borderId="0" xfId="0" applyNumberFormat="1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29" fillId="2" borderId="0" xfId="0" applyFont="1" applyFill="1"/>
    <xf numFmtId="0" fontId="68" fillId="0" borderId="0" xfId="0" applyFont="1"/>
    <xf numFmtId="0" fontId="69" fillId="0" borderId="0" xfId="0" applyFont="1"/>
    <xf numFmtId="1" fontId="69" fillId="0" borderId="0" xfId="0" applyNumberFormat="1" applyFont="1"/>
    <xf numFmtId="164" fontId="69" fillId="0" borderId="0" xfId="0" applyNumberFormat="1" applyFont="1"/>
    <xf numFmtId="0" fontId="29" fillId="0" borderId="0" xfId="0" quotePrefix="1" applyFont="1"/>
    <xf numFmtId="0" fontId="70" fillId="0" borderId="0" xfId="0" applyFont="1"/>
    <xf numFmtId="0" fontId="71" fillId="0" borderId="0" xfId="0" applyFont="1"/>
    <xf numFmtId="0" fontId="60" fillId="0" borderId="0" xfId="1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29" fillId="3" borderId="0" xfId="0" applyFont="1" applyFill="1"/>
    <xf numFmtId="0" fontId="77" fillId="3" borderId="0" xfId="0" applyFont="1" applyFill="1"/>
    <xf numFmtId="0" fontId="78" fillId="3" borderId="0" xfId="0" applyFont="1" applyFill="1"/>
    <xf numFmtId="0" fontId="66" fillId="3" borderId="0" xfId="0" applyFont="1" applyFill="1"/>
    <xf numFmtId="0" fontId="79" fillId="3" borderId="0" xfId="0" applyFont="1" applyFill="1"/>
    <xf numFmtId="0" fontId="79" fillId="2" borderId="0" xfId="0" applyFont="1" applyFill="1"/>
    <xf numFmtId="0" fontId="80" fillId="2" borderId="0" xfId="0" applyFont="1" applyFill="1"/>
    <xf numFmtId="0" fontId="81" fillId="2" borderId="0" xfId="0" applyFont="1" applyFill="1"/>
    <xf numFmtId="0" fontId="82" fillId="2" borderId="0" xfId="0" applyFont="1" applyFill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89" fillId="0" borderId="0" xfId="0" applyFont="1"/>
    <xf numFmtId="0" fontId="90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97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25" fillId="0" borderId="0" xfId="0" applyFont="1"/>
    <xf numFmtId="0" fontId="16" fillId="0" borderId="0" xfId="0" applyFont="1"/>
    <xf numFmtId="0" fontId="0" fillId="0" borderId="0" xfId="0" applyFont="1"/>
    <xf numFmtId="0" fontId="116" fillId="0" borderId="0" xfId="0" applyFont="1"/>
    <xf numFmtId="0" fontId="117" fillId="0" borderId="0" xfId="0" applyFont="1"/>
    <xf numFmtId="15" fontId="4" fillId="0" borderId="0" xfId="0" applyNumberFormat="1" applyFont="1"/>
    <xf numFmtId="0" fontId="118" fillId="0" borderId="0" xfId="0" applyFont="1"/>
    <xf numFmtId="15" fontId="29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2032001</xdr:colOff>
      <xdr:row>23</xdr:row>
      <xdr:rowOff>166702</xdr:rowOff>
    </xdr:from>
    <xdr:to>
      <xdr:col>6</xdr:col>
      <xdr:colOff>444501</xdr:colOff>
      <xdr:row>45</xdr:row>
      <xdr:rowOff>215899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1" y="6300802"/>
          <a:ext cx="7594600" cy="59165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800100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1</xdr:row>
      <xdr:rowOff>38101</xdr:rowOff>
    </xdr:from>
    <xdr:to>
      <xdr:col>21</xdr:col>
      <xdr:colOff>106830</xdr:colOff>
      <xdr:row>57</xdr:row>
      <xdr:rowOff>159209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0" y="2921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2197100</xdr:colOff>
      <xdr:row>22</xdr:row>
      <xdr:rowOff>251536</xdr:rowOff>
    </xdr:from>
    <xdr:to>
      <xdr:col>11</xdr:col>
      <xdr:colOff>114300</xdr:colOff>
      <xdr:row>40</xdr:row>
      <xdr:rowOff>101600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58395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7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19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1294</v>
      </c>
    </row>
    <row r="2" spans="1:8">
      <c r="A2" s="28" t="s">
        <v>61</v>
      </c>
      <c r="B2" s="28" t="s">
        <v>1614</v>
      </c>
      <c r="C2" s="28">
        <v>460</v>
      </c>
      <c r="D2" s="28">
        <v>500</v>
      </c>
      <c r="E2" s="28">
        <v>520</v>
      </c>
      <c r="F2" s="28">
        <v>545</v>
      </c>
      <c r="G2" s="28">
        <v>560</v>
      </c>
      <c r="H2" s="28">
        <v>570</v>
      </c>
    </row>
    <row r="3" spans="1:8">
      <c r="A3" s="28" t="s">
        <v>74</v>
      </c>
      <c r="B3" s="28" t="s">
        <v>1615</v>
      </c>
      <c r="C3" s="28">
        <v>515</v>
      </c>
      <c r="D3" s="28">
        <v>538</v>
      </c>
      <c r="E3" s="28">
        <v>558</v>
      </c>
      <c r="F3" s="28">
        <v>575</v>
      </c>
      <c r="G3" s="28">
        <v>591</v>
      </c>
      <c r="H3" s="28">
        <v>615</v>
      </c>
    </row>
    <row r="4" spans="1:8">
      <c r="A4" s="28" t="s">
        <v>63</v>
      </c>
      <c r="B4" s="28" t="s">
        <v>1616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1617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1618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1150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1147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1619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1151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1620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1621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1622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498</v>
      </c>
      <c r="B14" s="28" t="s">
        <v>1623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1758</v>
      </c>
      <c r="B22" s="28" t="s">
        <v>1758</v>
      </c>
      <c r="C22" s="28">
        <f>C24*2.54</f>
        <v>147.32</v>
      </c>
      <c r="D22" s="28">
        <f t="shared" ref="D22:H22" si="0">D24*2.54</f>
        <v>154.94</v>
      </c>
      <c r="E22" s="28">
        <f t="shared" si="0"/>
        <v>163.83000000000001</v>
      </c>
      <c r="F22" s="28">
        <f t="shared" si="0"/>
        <v>173.99</v>
      </c>
      <c r="G22" s="28">
        <f t="shared" si="0"/>
        <v>179.07</v>
      </c>
      <c r="H22" s="28">
        <f t="shared" si="0"/>
        <v>185.42000000000002</v>
      </c>
    </row>
    <row r="23" spans="1:8">
      <c r="A23" s="28" t="s">
        <v>1759</v>
      </c>
      <c r="B23" s="28" t="s">
        <v>1759</v>
      </c>
      <c r="C23" s="28">
        <f>C25*2.54</f>
        <v>154.94</v>
      </c>
      <c r="D23" s="28">
        <f t="shared" ref="D23:H23" si="1">D25*2.54</f>
        <v>163.83000000000001</v>
      </c>
      <c r="E23" s="28">
        <f t="shared" si="1"/>
        <v>173.99</v>
      </c>
      <c r="F23" s="28">
        <f t="shared" si="1"/>
        <v>179.07</v>
      </c>
      <c r="G23" s="28">
        <f t="shared" si="1"/>
        <v>185.42000000000002</v>
      </c>
      <c r="H23" s="28">
        <f t="shared" si="1"/>
        <v>193.04</v>
      </c>
    </row>
    <row r="24" spans="1:8">
      <c r="C24" s="28">
        <v>58</v>
      </c>
      <c r="D24" s="28">
        <v>61</v>
      </c>
      <c r="E24" s="28">
        <v>64.5</v>
      </c>
      <c r="F24" s="28">
        <v>68.5</v>
      </c>
      <c r="G24" s="28">
        <v>70.5</v>
      </c>
      <c r="H24" s="28">
        <v>73</v>
      </c>
    </row>
    <row r="25" spans="1:8">
      <c r="C25" s="28">
        <v>61</v>
      </c>
      <c r="D25" s="28">
        <v>64.5</v>
      </c>
      <c r="E25" s="28">
        <v>68.5</v>
      </c>
      <c r="F25" s="28">
        <v>70.5</v>
      </c>
      <c r="G25" s="28">
        <v>73</v>
      </c>
      <c r="H25" s="28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1294</v>
      </c>
    </row>
    <row r="2" spans="1:8">
      <c r="A2" s="28" t="s">
        <v>61</v>
      </c>
      <c r="B2" s="28" t="s">
        <v>1614</v>
      </c>
      <c r="C2" s="28">
        <v>515</v>
      </c>
      <c r="D2" s="28">
        <v>538</v>
      </c>
      <c r="E2" s="28">
        <v>558</v>
      </c>
      <c r="F2" s="28">
        <v>575</v>
      </c>
      <c r="G2" s="28">
        <v>591</v>
      </c>
      <c r="H2" s="28">
        <v>615</v>
      </c>
    </row>
    <row r="3" spans="1:8">
      <c r="A3" s="28" t="s">
        <v>74</v>
      </c>
      <c r="B3" s="28" t="s">
        <v>1615</v>
      </c>
      <c r="C3" s="28">
        <v>460</v>
      </c>
      <c r="D3" s="28">
        <v>500</v>
      </c>
      <c r="E3" s="28">
        <v>520</v>
      </c>
      <c r="F3" s="28">
        <v>545</v>
      </c>
      <c r="G3" s="28">
        <v>560</v>
      </c>
      <c r="H3" s="28">
        <v>570</v>
      </c>
    </row>
    <row r="4" spans="1:8">
      <c r="A4" s="28" t="s">
        <v>63</v>
      </c>
      <c r="B4" s="28" t="s">
        <v>1616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1617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1618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1150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1147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1619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1151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1620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1621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1622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498</v>
      </c>
      <c r="B14" s="28" t="s">
        <v>1623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1758</v>
      </c>
      <c r="B22" s="28" t="s">
        <v>1758</v>
      </c>
    </row>
    <row r="23" spans="1:8">
      <c r="A23" s="28" t="s">
        <v>1759</v>
      </c>
      <c r="B23" s="28" t="s">
        <v>1759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sqref="A1:A19"/>
    </sheetView>
  </sheetViews>
  <sheetFormatPr baseColWidth="10" defaultRowHeight="20"/>
  <cols>
    <col min="1" max="2" width="29.33203125" style="28" bestFit="1" customWidth="1"/>
    <col min="3" max="3" width="31.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9" t="s">
        <v>144</v>
      </c>
      <c r="D1" s="29" t="s">
        <v>542</v>
      </c>
      <c r="E1" s="29" t="s">
        <v>604</v>
      </c>
      <c r="F1" s="29" t="s">
        <v>416</v>
      </c>
      <c r="G1" s="29" t="s">
        <v>522</v>
      </c>
      <c r="H1" s="29" t="s">
        <v>418</v>
      </c>
      <c r="I1" s="29" t="s">
        <v>605</v>
      </c>
    </row>
    <row r="2" spans="1:9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71.5</v>
      </c>
      <c r="G2" s="30">
        <v>72</v>
      </c>
      <c r="H2" s="30">
        <v>72.2</v>
      </c>
      <c r="I2" s="30">
        <v>72.2</v>
      </c>
    </row>
    <row r="3" spans="1:9">
      <c r="A3" s="28" t="s">
        <v>56</v>
      </c>
      <c r="B3" s="28" t="s">
        <v>64</v>
      </c>
      <c r="C3" s="29" t="s">
        <v>606</v>
      </c>
      <c r="D3" s="30">
        <v>75</v>
      </c>
      <c r="E3" s="30">
        <v>74.5</v>
      </c>
      <c r="F3" s="30">
        <v>74</v>
      </c>
      <c r="G3" s="30">
        <v>73.5</v>
      </c>
      <c r="H3" s="30">
        <v>73.5</v>
      </c>
      <c r="I3" s="30">
        <v>72.5</v>
      </c>
    </row>
    <row r="4" spans="1:9">
      <c r="A4" s="28" t="s">
        <v>61</v>
      </c>
      <c r="B4" s="28" t="s">
        <v>74</v>
      </c>
      <c r="C4" s="29" t="s">
        <v>607</v>
      </c>
      <c r="D4" s="30">
        <v>510</v>
      </c>
      <c r="E4" s="30">
        <v>530</v>
      </c>
      <c r="F4" s="30">
        <v>545</v>
      </c>
      <c r="G4" s="30">
        <v>560</v>
      </c>
      <c r="H4" s="30">
        <v>580</v>
      </c>
      <c r="I4" s="30">
        <v>610</v>
      </c>
    </row>
    <row r="5" spans="1:9">
      <c r="A5" s="28" t="s">
        <v>74</v>
      </c>
      <c r="B5" s="28" t="s">
        <v>61</v>
      </c>
      <c r="C5" s="29" t="s">
        <v>176</v>
      </c>
      <c r="D5" s="30">
        <v>450</v>
      </c>
      <c r="E5" s="30">
        <v>480</v>
      </c>
      <c r="F5" s="30">
        <v>510</v>
      </c>
      <c r="G5" s="30">
        <v>540</v>
      </c>
      <c r="H5" s="30">
        <v>570</v>
      </c>
      <c r="I5" s="30">
        <v>600</v>
      </c>
    </row>
    <row r="6" spans="1:9">
      <c r="A6" s="28" t="s">
        <v>63</v>
      </c>
      <c r="B6" s="28" t="s">
        <v>67</v>
      </c>
      <c r="C6" s="29" t="s">
        <v>8</v>
      </c>
      <c r="D6" s="30">
        <v>430</v>
      </c>
      <c r="E6" s="30">
        <v>435</v>
      </c>
      <c r="F6" s="30">
        <v>440</v>
      </c>
      <c r="G6" s="30">
        <v>440</v>
      </c>
      <c r="H6" s="30">
        <v>440</v>
      </c>
      <c r="I6" s="30">
        <v>440</v>
      </c>
    </row>
    <row r="7" spans="1:9">
      <c r="A7" s="28" t="s">
        <v>64</v>
      </c>
      <c r="B7" s="28" t="s">
        <v>66</v>
      </c>
      <c r="C7" s="29" t="s">
        <v>7</v>
      </c>
      <c r="D7" s="30">
        <v>73.5</v>
      </c>
      <c r="E7" s="30">
        <v>73.5</v>
      </c>
      <c r="F7" s="30">
        <v>73.5</v>
      </c>
      <c r="G7" s="30">
        <v>73.5</v>
      </c>
      <c r="H7" s="30">
        <v>73</v>
      </c>
      <c r="I7" s="30">
        <v>73</v>
      </c>
    </row>
    <row r="8" spans="1:9">
      <c r="A8" s="28" t="s">
        <v>65</v>
      </c>
      <c r="B8" s="28" t="s">
        <v>68</v>
      </c>
      <c r="C8" s="29" t="s">
        <v>250</v>
      </c>
      <c r="D8" s="30">
        <v>47</v>
      </c>
      <c r="E8" s="30">
        <v>47</v>
      </c>
      <c r="F8" s="30">
        <v>47</v>
      </c>
      <c r="G8" s="30">
        <v>47</v>
      </c>
      <c r="H8" s="30">
        <v>47</v>
      </c>
      <c r="I8" s="30">
        <v>47</v>
      </c>
    </row>
    <row r="9" spans="1:9">
      <c r="A9" s="28" t="s">
        <v>66</v>
      </c>
      <c r="B9" s="28" t="s">
        <v>166</v>
      </c>
      <c r="C9" s="29" t="s">
        <v>608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</row>
    <row r="10" spans="1:9">
      <c r="A10" s="28" t="s">
        <v>67</v>
      </c>
      <c r="B10" s="28" t="s">
        <v>65</v>
      </c>
      <c r="C10" s="29" t="s">
        <v>6</v>
      </c>
      <c r="D10" s="30">
        <v>95</v>
      </c>
      <c r="E10" s="30">
        <v>110</v>
      </c>
      <c r="F10" s="30">
        <v>124</v>
      </c>
      <c r="G10" s="30">
        <v>149</v>
      </c>
      <c r="H10" s="30">
        <v>173</v>
      </c>
      <c r="I10" s="30">
        <v>198</v>
      </c>
    </row>
    <row r="11" spans="1:9">
      <c r="A11" s="28" t="s">
        <v>57</v>
      </c>
      <c r="B11" s="28" t="s">
        <v>58</v>
      </c>
      <c r="C11" s="29" t="s">
        <v>15</v>
      </c>
      <c r="D11" s="30">
        <v>743</v>
      </c>
      <c r="E11" s="30">
        <v>766</v>
      </c>
      <c r="F11" s="30">
        <v>790</v>
      </c>
      <c r="G11" s="30">
        <v>818</v>
      </c>
      <c r="H11" s="30">
        <v>844</v>
      </c>
      <c r="I11" s="30">
        <v>870</v>
      </c>
    </row>
    <row r="12" spans="1:9">
      <c r="A12" s="28" t="s">
        <v>68</v>
      </c>
      <c r="B12" s="28" t="s">
        <v>57</v>
      </c>
      <c r="C12" s="29" t="s">
        <v>10</v>
      </c>
      <c r="D12" s="30">
        <v>1008</v>
      </c>
      <c r="E12" s="30">
        <v>1020</v>
      </c>
      <c r="F12" s="30">
        <v>1030</v>
      </c>
      <c r="G12" s="30">
        <v>1034</v>
      </c>
      <c r="H12" s="30">
        <v>1049</v>
      </c>
      <c r="I12" s="30">
        <v>1073</v>
      </c>
    </row>
    <row r="13" spans="1:9">
      <c r="A13" s="28" t="s">
        <v>58</v>
      </c>
      <c r="B13" s="28" t="s">
        <v>55</v>
      </c>
      <c r="C13" s="29" t="s">
        <v>0</v>
      </c>
      <c r="D13" s="30">
        <v>528</v>
      </c>
      <c r="E13" s="30">
        <v>546</v>
      </c>
      <c r="F13" s="30">
        <v>560</v>
      </c>
      <c r="G13" s="30">
        <v>587</v>
      </c>
      <c r="H13" s="30">
        <v>610</v>
      </c>
      <c r="I13" s="30">
        <v>634</v>
      </c>
    </row>
    <row r="14" spans="1:9">
      <c r="A14" s="28" t="s">
        <v>70</v>
      </c>
      <c r="B14" s="28" t="s">
        <v>56</v>
      </c>
      <c r="C14" s="29" t="s">
        <v>1</v>
      </c>
      <c r="D14" s="30">
        <v>369</v>
      </c>
      <c r="E14" s="30">
        <v>379</v>
      </c>
      <c r="F14" s="30">
        <v>382</v>
      </c>
      <c r="G14" s="30">
        <v>386</v>
      </c>
      <c r="H14" s="30">
        <v>394</v>
      </c>
      <c r="I14" s="30">
        <v>410</v>
      </c>
    </row>
    <row r="15" spans="1:9">
      <c r="A15" s="28" t="s">
        <v>71</v>
      </c>
      <c r="B15" s="28" t="s">
        <v>71</v>
      </c>
      <c r="C15" s="29" t="s">
        <v>13</v>
      </c>
      <c r="D15" s="30">
        <v>400</v>
      </c>
      <c r="E15" s="30">
        <v>420</v>
      </c>
      <c r="F15" s="30">
        <v>420</v>
      </c>
      <c r="G15" s="30">
        <v>440</v>
      </c>
      <c r="H15" s="30">
        <v>440</v>
      </c>
      <c r="I15" s="30">
        <v>460</v>
      </c>
    </row>
    <row r="16" spans="1:9">
      <c r="A16" s="28" t="s">
        <v>72</v>
      </c>
      <c r="B16" s="28" t="s">
        <v>72</v>
      </c>
      <c r="C16" s="29" t="s">
        <v>14</v>
      </c>
      <c r="D16" s="30">
        <v>60</v>
      </c>
      <c r="E16" s="30">
        <v>70</v>
      </c>
      <c r="F16" s="30">
        <v>80</v>
      </c>
      <c r="G16" s="30">
        <v>90</v>
      </c>
      <c r="H16" s="30">
        <v>110</v>
      </c>
      <c r="I16" s="30">
        <v>110</v>
      </c>
    </row>
    <row r="17" spans="1:9">
      <c r="A17" s="28" t="s">
        <v>69</v>
      </c>
      <c r="B17" s="28" t="s">
        <v>70</v>
      </c>
      <c r="C17" s="29" t="s">
        <v>537</v>
      </c>
      <c r="D17" s="30">
        <v>165</v>
      </c>
      <c r="E17" s="30">
        <v>170</v>
      </c>
      <c r="F17" s="30">
        <v>172.5</v>
      </c>
      <c r="G17" s="30">
        <v>172.5</v>
      </c>
      <c r="H17" s="30">
        <v>175</v>
      </c>
      <c r="I17" s="30">
        <v>175</v>
      </c>
    </row>
    <row r="18" spans="1:9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9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  <c r="I19" s="28">
        <v>38</v>
      </c>
    </row>
    <row r="20" spans="1:9"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  <c r="H20" s="28">
        <v>47</v>
      </c>
      <c r="I20" s="28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C31" sqref="C31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28" t="s">
        <v>73</v>
      </c>
      <c r="B1" s="28" t="s">
        <v>73</v>
      </c>
      <c r="C1" s="29" t="s">
        <v>144</v>
      </c>
      <c r="D1" s="29" t="s">
        <v>603</v>
      </c>
      <c r="E1" s="29" t="s">
        <v>542</v>
      </c>
      <c r="F1" s="29" t="s">
        <v>604</v>
      </c>
      <c r="G1" s="29" t="s">
        <v>416</v>
      </c>
      <c r="H1" s="29" t="s">
        <v>522</v>
      </c>
      <c r="I1" s="29" t="s">
        <v>418</v>
      </c>
      <c r="J1" s="29" t="s">
        <v>605</v>
      </c>
    </row>
    <row r="2" spans="1:10" ht="20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</v>
      </c>
      <c r="G2" s="30">
        <v>71.5</v>
      </c>
      <c r="H2" s="30">
        <v>71.5</v>
      </c>
      <c r="I2" s="30">
        <v>71.5</v>
      </c>
      <c r="J2" s="30">
        <v>71.5</v>
      </c>
    </row>
    <row r="3" spans="1:10" ht="20">
      <c r="A3" s="28" t="s">
        <v>56</v>
      </c>
      <c r="B3" s="28" t="s">
        <v>64</v>
      </c>
      <c r="C3" s="29" t="s">
        <v>606</v>
      </c>
      <c r="D3" s="30">
        <v>74.5</v>
      </c>
      <c r="E3" s="30">
        <v>74</v>
      </c>
      <c r="F3" s="30">
        <v>74</v>
      </c>
      <c r="G3" s="30">
        <v>73.5</v>
      </c>
      <c r="H3" s="30">
        <v>73</v>
      </c>
      <c r="I3" s="30">
        <v>72.5</v>
      </c>
      <c r="J3" s="30">
        <v>72.5</v>
      </c>
    </row>
    <row r="4" spans="1:10" ht="20">
      <c r="A4" s="28" t="s">
        <v>61</v>
      </c>
      <c r="B4" s="28" t="s">
        <v>74</v>
      </c>
      <c r="C4" s="29" t="s">
        <v>607</v>
      </c>
      <c r="D4" s="30">
        <v>505</v>
      </c>
      <c r="E4" s="30">
        <v>520</v>
      </c>
      <c r="F4" s="30">
        <v>528</v>
      </c>
      <c r="G4" s="30">
        <v>545</v>
      </c>
      <c r="H4" s="30">
        <v>565</v>
      </c>
      <c r="I4" s="30">
        <v>585</v>
      </c>
      <c r="J4" s="30">
        <v>605</v>
      </c>
    </row>
    <row r="5" spans="1:10" ht="20">
      <c r="A5" s="28" t="s">
        <v>74</v>
      </c>
      <c r="B5" s="28" t="s">
        <v>61</v>
      </c>
      <c r="C5" s="29" t="s">
        <v>176</v>
      </c>
      <c r="D5" s="30">
        <v>415</v>
      </c>
      <c r="E5" s="30">
        <v>445</v>
      </c>
      <c r="F5" s="30">
        <v>475</v>
      </c>
      <c r="G5" s="30">
        <v>510</v>
      </c>
      <c r="H5" s="30">
        <v>540</v>
      </c>
      <c r="I5" s="30">
        <v>570</v>
      </c>
      <c r="J5" s="30">
        <v>600</v>
      </c>
    </row>
    <row r="6" spans="1:10" ht="20">
      <c r="A6" s="28" t="s">
        <v>63</v>
      </c>
      <c r="B6" s="28" t="s">
        <v>67</v>
      </c>
      <c r="C6" s="29" t="s">
        <v>8</v>
      </c>
      <c r="D6" s="30">
        <v>430</v>
      </c>
      <c r="E6" s="30">
        <v>430</v>
      </c>
      <c r="F6" s="30">
        <v>430</v>
      </c>
      <c r="G6" s="30">
        <v>430</v>
      </c>
      <c r="H6" s="30">
        <v>430</v>
      </c>
      <c r="I6" s="30">
        <v>430</v>
      </c>
      <c r="J6" s="30">
        <v>430</v>
      </c>
    </row>
    <row r="7" spans="1:10" ht="20">
      <c r="A7" s="28" t="s">
        <v>64</v>
      </c>
      <c r="B7" s="28" t="s">
        <v>66</v>
      </c>
      <c r="C7" s="29" t="s">
        <v>7</v>
      </c>
      <c r="D7" s="30">
        <v>62.5</v>
      </c>
      <c r="E7" s="30">
        <v>62.5</v>
      </c>
      <c r="F7" s="30">
        <v>62.5</v>
      </c>
      <c r="G7" s="30">
        <v>62.5</v>
      </c>
      <c r="H7" s="30">
        <v>62.5</v>
      </c>
      <c r="I7" s="30">
        <v>62.5</v>
      </c>
      <c r="J7" s="30">
        <v>62.5</v>
      </c>
    </row>
    <row r="8" spans="1:10" ht="20">
      <c r="A8" s="28" t="s">
        <v>65</v>
      </c>
      <c r="B8" s="28" t="s">
        <v>68</v>
      </c>
      <c r="C8" s="29" t="s">
        <v>250</v>
      </c>
      <c r="D8" s="30">
        <v>50</v>
      </c>
      <c r="E8" s="30">
        <v>50</v>
      </c>
      <c r="F8" s="30">
        <v>50</v>
      </c>
      <c r="G8" s="30">
        <v>47</v>
      </c>
      <c r="H8" s="30">
        <v>47</v>
      </c>
      <c r="I8" s="30">
        <v>47</v>
      </c>
      <c r="J8" s="30">
        <v>47</v>
      </c>
    </row>
    <row r="9" spans="1:10" ht="20">
      <c r="A9" s="28" t="s">
        <v>66</v>
      </c>
      <c r="B9" s="28" t="s">
        <v>166</v>
      </c>
      <c r="C9" s="29" t="s">
        <v>608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  <c r="J9" s="30">
        <v>395</v>
      </c>
    </row>
    <row r="10" spans="1:10" ht="20">
      <c r="A10" s="28" t="s">
        <v>67</v>
      </c>
      <c r="B10" s="28" t="s">
        <v>65</v>
      </c>
      <c r="C10" s="29" t="s">
        <v>6</v>
      </c>
      <c r="D10" s="30">
        <v>115</v>
      </c>
      <c r="E10" s="30">
        <v>125</v>
      </c>
      <c r="F10" s="30">
        <v>135</v>
      </c>
      <c r="G10" s="30">
        <v>155</v>
      </c>
      <c r="H10" s="30">
        <v>175</v>
      </c>
      <c r="I10" s="30">
        <v>200</v>
      </c>
      <c r="J10" s="30">
        <v>225</v>
      </c>
    </row>
    <row r="11" spans="1:10" ht="20">
      <c r="A11" s="28" t="s">
        <v>57</v>
      </c>
      <c r="B11" s="28" t="s">
        <v>58</v>
      </c>
      <c r="C11" s="29" t="s">
        <v>15</v>
      </c>
      <c r="D11" s="30">
        <v>711</v>
      </c>
      <c r="E11" s="30">
        <v>735.5</v>
      </c>
      <c r="F11" s="30">
        <v>758.2</v>
      </c>
      <c r="G11" s="30">
        <v>788.3</v>
      </c>
      <c r="H11" s="30">
        <v>813.4</v>
      </c>
      <c r="I11" s="30">
        <v>840.1</v>
      </c>
      <c r="J11" s="30">
        <v>866.8</v>
      </c>
    </row>
    <row r="12" spans="1:10" ht="20">
      <c r="A12" s="28" t="s">
        <v>68</v>
      </c>
      <c r="B12" s="28" t="s">
        <v>57</v>
      </c>
      <c r="C12" s="29" t="s">
        <v>10</v>
      </c>
      <c r="D12" s="30">
        <v>1007</v>
      </c>
      <c r="E12" s="30">
        <v>1008</v>
      </c>
      <c r="F12" s="30">
        <v>1017</v>
      </c>
      <c r="G12" s="30">
        <v>1021</v>
      </c>
      <c r="H12" s="30">
        <v>1036</v>
      </c>
      <c r="I12" s="30">
        <v>1051</v>
      </c>
      <c r="J12" s="30">
        <v>1072</v>
      </c>
    </row>
    <row r="13" spans="1:10" ht="20">
      <c r="A13" s="28" t="s">
        <v>58</v>
      </c>
      <c r="B13" s="28" t="s">
        <v>55</v>
      </c>
      <c r="C13" s="29" t="s">
        <v>0</v>
      </c>
      <c r="D13" s="30">
        <v>534</v>
      </c>
      <c r="E13" s="30">
        <v>547</v>
      </c>
      <c r="F13" s="30">
        <v>557</v>
      </c>
      <c r="G13" s="30">
        <v>579</v>
      </c>
      <c r="H13" s="30">
        <v>598</v>
      </c>
      <c r="I13" s="30">
        <v>622</v>
      </c>
      <c r="J13" s="30">
        <v>645</v>
      </c>
    </row>
    <row r="14" spans="1:10" ht="20">
      <c r="A14" s="28" t="s">
        <v>70</v>
      </c>
      <c r="B14" s="28" t="s">
        <v>56</v>
      </c>
      <c r="C14" s="29" t="s">
        <v>1</v>
      </c>
      <c r="D14" s="30">
        <v>357</v>
      </c>
      <c r="E14" s="30">
        <v>363</v>
      </c>
      <c r="F14" s="30">
        <v>368</v>
      </c>
      <c r="G14" s="30">
        <v>374</v>
      </c>
      <c r="H14" s="30">
        <v>382</v>
      </c>
      <c r="I14" s="30">
        <v>389</v>
      </c>
      <c r="J14" s="30">
        <v>402</v>
      </c>
    </row>
    <row r="15" spans="1:10" ht="20">
      <c r="A15" s="28" t="s">
        <v>71</v>
      </c>
      <c r="B15" s="28" t="s">
        <v>71</v>
      </c>
      <c r="C15" s="29" t="s">
        <v>13</v>
      </c>
      <c r="D15" s="30">
        <v>400</v>
      </c>
      <c r="E15" s="30">
        <v>400</v>
      </c>
      <c r="F15" s="30">
        <v>420</v>
      </c>
      <c r="G15" s="30">
        <v>440</v>
      </c>
      <c r="H15" s="30">
        <v>440</v>
      </c>
      <c r="I15" s="30">
        <v>460</v>
      </c>
      <c r="J15" s="30">
        <v>460</v>
      </c>
    </row>
    <row r="16" spans="1:10" ht="20">
      <c r="A16" s="28" t="s">
        <v>72</v>
      </c>
      <c r="B16" s="28" t="s">
        <v>72</v>
      </c>
      <c r="C16" s="29" t="s">
        <v>14</v>
      </c>
      <c r="D16" s="30">
        <v>70</v>
      </c>
      <c r="E16" s="30">
        <v>80</v>
      </c>
      <c r="F16" s="30">
        <v>90</v>
      </c>
      <c r="G16" s="30">
        <v>100</v>
      </c>
      <c r="H16" s="30">
        <v>100</v>
      </c>
      <c r="I16" s="30">
        <v>110</v>
      </c>
      <c r="J16" s="30">
        <v>120</v>
      </c>
    </row>
    <row r="17" spans="1:10" ht="20">
      <c r="A17" s="28" t="s">
        <v>69</v>
      </c>
      <c r="B17" s="28" t="s">
        <v>70</v>
      </c>
      <c r="C17" s="29" t="s">
        <v>537</v>
      </c>
      <c r="D17" s="30">
        <v>165</v>
      </c>
      <c r="E17" s="30">
        <v>165</v>
      </c>
      <c r="F17" s="30">
        <v>170</v>
      </c>
      <c r="G17" s="30">
        <v>170</v>
      </c>
      <c r="H17" s="30">
        <v>170</v>
      </c>
      <c r="I17" s="30">
        <v>175</v>
      </c>
      <c r="J17" s="30">
        <v>175</v>
      </c>
    </row>
    <row r="18" spans="1:10" ht="20">
      <c r="A18" s="28" t="s">
        <v>140</v>
      </c>
      <c r="B18" s="28" t="s">
        <v>69</v>
      </c>
      <c r="C18" s="28" t="s">
        <v>69</v>
      </c>
      <c r="D18" s="30">
        <v>650</v>
      </c>
      <c r="E18" s="30">
        <v>651</v>
      </c>
      <c r="F18" s="30">
        <v>652</v>
      </c>
      <c r="G18" s="30">
        <v>653</v>
      </c>
      <c r="H18" s="30">
        <v>654</v>
      </c>
      <c r="I18" s="30">
        <v>655</v>
      </c>
      <c r="J18" s="30">
        <v>656</v>
      </c>
    </row>
    <row r="19" spans="1:10" ht="20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J19" si="0">2.4*25.4</f>
        <v>60.959999999999994</v>
      </c>
      <c r="F19" s="28">
        <f t="shared" si="0"/>
        <v>60.959999999999994</v>
      </c>
      <c r="G19" s="28">
        <f t="shared" si="0"/>
        <v>60.959999999999994</v>
      </c>
      <c r="H19" s="28">
        <f t="shared" si="0"/>
        <v>60.959999999999994</v>
      </c>
      <c r="I19" s="28">
        <f t="shared" si="0"/>
        <v>60.959999999999994</v>
      </c>
      <c r="J19" s="28">
        <f t="shared" si="0"/>
        <v>60.959999999999994</v>
      </c>
    </row>
    <row r="20" spans="1:10" ht="20">
      <c r="A20" s="28"/>
      <c r="B20" s="28" t="s">
        <v>141</v>
      </c>
      <c r="C20" s="28" t="s">
        <v>141</v>
      </c>
      <c r="D20" s="30">
        <v>42</v>
      </c>
      <c r="E20" s="30">
        <v>43</v>
      </c>
      <c r="F20" s="30">
        <v>44</v>
      </c>
      <c r="G20" s="30">
        <v>45</v>
      </c>
      <c r="H20" s="30">
        <v>46</v>
      </c>
      <c r="I20" s="30">
        <v>47</v>
      </c>
      <c r="J20" s="30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26"/>
  <sheetViews>
    <sheetView workbookViewId="0">
      <selection activeCell="F7" sqref="F7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2421</v>
      </c>
      <c r="B1" s="3" t="s">
        <v>2425</v>
      </c>
    </row>
    <row r="2" spans="1:9">
      <c r="A2" s="3" t="s">
        <v>2422</v>
      </c>
      <c r="B2" s="134">
        <v>45107</v>
      </c>
    </row>
    <row r="3" spans="1:9">
      <c r="A3" s="3" t="s">
        <v>2423</v>
      </c>
      <c r="B3" s="3" t="s">
        <v>2426</v>
      </c>
    </row>
    <row r="4" spans="1:9">
      <c r="A4" s="3" t="s">
        <v>2424</v>
      </c>
      <c r="B4" s="3" t="s">
        <v>77</v>
      </c>
    </row>
    <row r="5" spans="1:9" ht="20">
      <c r="A5" s="28" t="s">
        <v>73</v>
      </c>
      <c r="B5" s="132" t="s">
        <v>144</v>
      </c>
      <c r="C5" s="132" t="s">
        <v>603</v>
      </c>
      <c r="D5" s="132" t="s">
        <v>542</v>
      </c>
      <c r="E5" s="132" t="s">
        <v>604</v>
      </c>
      <c r="F5" s="132" t="s">
        <v>416</v>
      </c>
      <c r="G5" s="132" t="s">
        <v>522</v>
      </c>
      <c r="H5" s="132" t="s">
        <v>418</v>
      </c>
      <c r="I5" s="132" t="s">
        <v>605</v>
      </c>
    </row>
    <row r="6" spans="1:9" ht="20">
      <c r="A6" s="28" t="s">
        <v>63</v>
      </c>
      <c r="B6" s="132" t="s">
        <v>4</v>
      </c>
      <c r="C6" s="133">
        <v>70</v>
      </c>
      <c r="D6" s="133">
        <v>70.5</v>
      </c>
      <c r="E6" s="133">
        <v>71</v>
      </c>
      <c r="F6" s="133">
        <v>71</v>
      </c>
      <c r="G6" s="133">
        <v>72</v>
      </c>
      <c r="H6" s="133">
        <v>72</v>
      </c>
      <c r="I6" s="133">
        <v>72</v>
      </c>
    </row>
    <row r="7" spans="1:9" ht="20">
      <c r="A7" s="28" t="s">
        <v>64</v>
      </c>
      <c r="B7" s="132" t="s">
        <v>606</v>
      </c>
      <c r="C7" s="133">
        <v>75</v>
      </c>
      <c r="D7" s="133">
        <v>74.5</v>
      </c>
      <c r="E7" s="133">
        <v>74.2</v>
      </c>
      <c r="F7" s="133">
        <v>73.5</v>
      </c>
      <c r="G7" s="133">
        <v>73</v>
      </c>
      <c r="H7" s="133">
        <v>72.5</v>
      </c>
      <c r="I7" s="133">
        <v>72</v>
      </c>
    </row>
    <row r="8" spans="1:9" ht="20">
      <c r="A8" s="28" t="s">
        <v>74</v>
      </c>
      <c r="B8" s="132" t="s">
        <v>607</v>
      </c>
      <c r="C8" s="133">
        <v>495</v>
      </c>
      <c r="D8" s="133">
        <v>515</v>
      </c>
      <c r="E8" s="133">
        <v>530</v>
      </c>
      <c r="F8" s="133">
        <v>545</v>
      </c>
      <c r="G8" s="133">
        <v>560</v>
      </c>
      <c r="H8" s="133">
        <v>580</v>
      </c>
      <c r="I8" s="133">
        <v>610</v>
      </c>
    </row>
    <row r="9" spans="1:9" ht="20">
      <c r="A9" s="28" t="s">
        <v>61</v>
      </c>
      <c r="B9" s="132" t="s">
        <v>176</v>
      </c>
      <c r="C9" s="133">
        <v>420</v>
      </c>
      <c r="D9" s="133">
        <v>450</v>
      </c>
      <c r="E9" s="133">
        <v>480</v>
      </c>
      <c r="F9" s="133">
        <v>510</v>
      </c>
      <c r="G9" s="133">
        <v>540</v>
      </c>
      <c r="H9" s="133">
        <v>570</v>
      </c>
      <c r="I9" s="133">
        <v>600</v>
      </c>
    </row>
    <row r="10" spans="1:9" ht="20">
      <c r="A10" s="28" t="s">
        <v>67</v>
      </c>
      <c r="B10" s="132" t="s">
        <v>8</v>
      </c>
      <c r="C10" s="133">
        <v>420</v>
      </c>
      <c r="D10" s="133">
        <v>420</v>
      </c>
      <c r="E10" s="133">
        <v>435</v>
      </c>
      <c r="F10" s="133">
        <v>440</v>
      </c>
      <c r="G10" s="133">
        <v>440</v>
      </c>
      <c r="H10" s="133">
        <v>445</v>
      </c>
      <c r="I10" s="133">
        <v>445</v>
      </c>
    </row>
    <row r="11" spans="1:9" ht="20">
      <c r="A11" s="28" t="s">
        <v>66</v>
      </c>
      <c r="B11" s="132" t="s">
        <v>7</v>
      </c>
      <c r="C11" s="133">
        <v>58</v>
      </c>
      <c r="D11" s="133">
        <v>58</v>
      </c>
      <c r="E11" s="133">
        <v>75</v>
      </c>
      <c r="F11" s="133">
        <v>75</v>
      </c>
      <c r="G11" s="133">
        <v>75</v>
      </c>
      <c r="H11" s="133">
        <v>75</v>
      </c>
      <c r="I11" s="133">
        <v>75</v>
      </c>
    </row>
    <row r="12" spans="1:9" ht="20">
      <c r="A12" s="28" t="s">
        <v>68</v>
      </c>
      <c r="B12" s="132" t="s">
        <v>250</v>
      </c>
      <c r="C12" s="133">
        <v>49</v>
      </c>
      <c r="D12" s="133">
        <v>49</v>
      </c>
      <c r="E12" s="133">
        <v>52</v>
      </c>
      <c r="F12" s="133">
        <v>52</v>
      </c>
      <c r="G12" s="133">
        <v>47</v>
      </c>
      <c r="H12" s="133">
        <v>47</v>
      </c>
      <c r="I12" s="133">
        <v>47</v>
      </c>
    </row>
    <row r="13" spans="1:9">
      <c r="A13" s="3" t="s">
        <v>2427</v>
      </c>
      <c r="B13" s="132" t="s">
        <v>608</v>
      </c>
      <c r="C13" s="133">
        <v>376</v>
      </c>
      <c r="D13" s="133">
        <v>376</v>
      </c>
      <c r="E13" s="133">
        <v>395</v>
      </c>
      <c r="F13" s="133">
        <v>395</v>
      </c>
      <c r="G13" s="133">
        <v>395</v>
      </c>
      <c r="H13" s="133">
        <v>395</v>
      </c>
      <c r="I13" s="133">
        <v>395</v>
      </c>
    </row>
    <row r="14" spans="1:9" ht="20">
      <c r="A14" s="28" t="s">
        <v>65</v>
      </c>
      <c r="B14" s="132" t="s">
        <v>6</v>
      </c>
      <c r="C14" s="133">
        <v>95</v>
      </c>
      <c r="D14" s="133">
        <v>105</v>
      </c>
      <c r="E14" s="133">
        <v>110</v>
      </c>
      <c r="F14" s="133">
        <v>125</v>
      </c>
      <c r="G14" s="133">
        <v>150</v>
      </c>
      <c r="H14" s="133">
        <v>175</v>
      </c>
      <c r="I14" s="133">
        <v>200</v>
      </c>
    </row>
    <row r="15" spans="1:9" ht="20">
      <c r="A15" s="28" t="s">
        <v>58</v>
      </c>
      <c r="B15" s="132" t="s">
        <v>15</v>
      </c>
      <c r="C15" s="133">
        <v>725.3</v>
      </c>
      <c r="D15" s="133">
        <v>747.2</v>
      </c>
      <c r="E15" s="133">
        <v>779</v>
      </c>
      <c r="F15" s="133">
        <v>802</v>
      </c>
      <c r="G15" s="133">
        <v>831</v>
      </c>
      <c r="H15" s="133">
        <v>857.3</v>
      </c>
      <c r="I15" s="133">
        <v>883.1</v>
      </c>
    </row>
    <row r="16" spans="1:9" ht="20">
      <c r="A16" s="28" t="s">
        <v>57</v>
      </c>
      <c r="B16" s="132" t="s">
        <v>10</v>
      </c>
      <c r="C16" s="133">
        <v>989.4</v>
      </c>
      <c r="D16" s="133">
        <v>1001.1</v>
      </c>
      <c r="E16" s="133">
        <v>1021.1</v>
      </c>
      <c r="F16" s="133">
        <v>1034.5999999999999</v>
      </c>
      <c r="G16" s="133">
        <v>1029.9000000000001</v>
      </c>
      <c r="H16" s="133">
        <v>1049.5999999999999</v>
      </c>
      <c r="I16" s="133">
        <v>1073.7</v>
      </c>
    </row>
    <row r="17" spans="1:10" ht="20">
      <c r="A17" s="28" t="s">
        <v>55</v>
      </c>
      <c r="B17" s="132" t="s">
        <v>0</v>
      </c>
      <c r="C17" s="133">
        <v>493</v>
      </c>
      <c r="D17" s="133">
        <v>504</v>
      </c>
      <c r="E17" s="133">
        <v>545</v>
      </c>
      <c r="F17" s="133">
        <v>559</v>
      </c>
      <c r="G17" s="133">
        <v>589</v>
      </c>
      <c r="H17" s="133">
        <v>612</v>
      </c>
      <c r="I17" s="133">
        <v>636</v>
      </c>
    </row>
    <row r="18" spans="1:10" ht="20">
      <c r="A18" s="28" t="s">
        <v>56</v>
      </c>
      <c r="B18" s="132" t="s">
        <v>1</v>
      </c>
      <c r="C18" s="133">
        <v>363</v>
      </c>
      <c r="D18" s="133">
        <v>375</v>
      </c>
      <c r="E18" s="133">
        <v>376</v>
      </c>
      <c r="F18" s="133">
        <v>380</v>
      </c>
      <c r="G18" s="133">
        <v>380</v>
      </c>
      <c r="H18" s="133">
        <v>387</v>
      </c>
      <c r="I18" s="133">
        <v>403</v>
      </c>
    </row>
    <row r="19" spans="1:10" ht="20">
      <c r="A19" s="28" t="s">
        <v>71</v>
      </c>
      <c r="B19" s="132" t="s">
        <v>13</v>
      </c>
      <c r="C19" s="133">
        <v>380</v>
      </c>
      <c r="D19" s="133">
        <v>380</v>
      </c>
      <c r="E19" s="133">
        <v>400</v>
      </c>
      <c r="F19" s="133">
        <v>420</v>
      </c>
      <c r="G19" s="133">
        <v>420</v>
      </c>
      <c r="H19" s="133">
        <v>440</v>
      </c>
      <c r="I19" s="133">
        <v>460</v>
      </c>
    </row>
    <row r="20" spans="1:10" ht="20">
      <c r="A20" s="28" t="s">
        <v>72</v>
      </c>
      <c r="B20" s="132" t="s">
        <v>14</v>
      </c>
      <c r="C20" s="133">
        <v>70</v>
      </c>
      <c r="D20" s="133">
        <v>80</v>
      </c>
      <c r="E20" s="133">
        <v>90</v>
      </c>
      <c r="F20" s="133">
        <v>100</v>
      </c>
      <c r="G20" s="133">
        <v>100</v>
      </c>
      <c r="H20" s="133">
        <v>110</v>
      </c>
      <c r="I20" s="133">
        <v>120</v>
      </c>
    </row>
    <row r="21" spans="1:10" ht="20">
      <c r="A21" s="28" t="s">
        <v>70</v>
      </c>
      <c r="B21" s="132" t="s">
        <v>537</v>
      </c>
      <c r="C21" s="133">
        <v>165</v>
      </c>
      <c r="D21" s="133">
        <v>165</v>
      </c>
      <c r="E21" s="133">
        <v>170</v>
      </c>
      <c r="F21" s="133">
        <v>170</v>
      </c>
      <c r="G21" s="133">
        <v>172.5</v>
      </c>
      <c r="H21" s="133">
        <v>175</v>
      </c>
      <c r="I21" s="133">
        <v>175</v>
      </c>
    </row>
    <row r="22" spans="1:10" ht="20">
      <c r="A22" s="28" t="s">
        <v>69</v>
      </c>
      <c r="B22" s="28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8" t="s">
        <v>140</v>
      </c>
      <c r="B23" s="28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8" t="s">
        <v>141</v>
      </c>
      <c r="B24" s="28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2428</v>
      </c>
    </row>
    <row r="25" spans="1:10" ht="20">
      <c r="A25" s="28" t="s">
        <v>1758</v>
      </c>
      <c r="B25" s="28" t="s">
        <v>1758</v>
      </c>
    </row>
    <row r="26" spans="1:10" ht="20">
      <c r="A26" s="28" t="s">
        <v>1759</v>
      </c>
      <c r="B26" s="28" t="s">
        <v>1759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28" t="s">
        <v>139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65</v>
      </c>
      <c r="C2" s="28" t="s">
        <v>1364</v>
      </c>
      <c r="D2" s="28">
        <v>121</v>
      </c>
      <c r="E2" s="28">
        <v>154</v>
      </c>
      <c r="F2" s="28">
        <v>190</v>
      </c>
      <c r="G2" s="28">
        <v>231</v>
      </c>
    </row>
    <row r="3" spans="1:7">
      <c r="A3" s="28" t="s">
        <v>56</v>
      </c>
      <c r="B3" s="28" t="s">
        <v>74</v>
      </c>
      <c r="C3" s="28" t="s">
        <v>1365</v>
      </c>
      <c r="D3" s="28">
        <v>557</v>
      </c>
      <c r="E3" s="28">
        <v>578</v>
      </c>
      <c r="F3" s="28">
        <v>591</v>
      </c>
      <c r="G3" s="28">
        <v>612</v>
      </c>
    </row>
    <row r="4" spans="1:7">
      <c r="A4" s="28" t="s">
        <v>61</v>
      </c>
      <c r="B4" s="28" t="s">
        <v>56</v>
      </c>
      <c r="C4" s="28" t="s">
        <v>1366</v>
      </c>
      <c r="D4" s="28">
        <v>403</v>
      </c>
      <c r="E4" s="28">
        <v>415</v>
      </c>
      <c r="F4" s="28">
        <v>418</v>
      </c>
      <c r="G4" s="28">
        <v>428</v>
      </c>
    </row>
    <row r="5" spans="1:7">
      <c r="A5" s="28" t="s">
        <v>74</v>
      </c>
      <c r="B5" s="28" t="s">
        <v>55</v>
      </c>
      <c r="C5" s="28" t="s">
        <v>1367</v>
      </c>
      <c r="D5" s="28">
        <v>538</v>
      </c>
      <c r="E5" s="28">
        <v>569</v>
      </c>
      <c r="F5" s="28">
        <v>603</v>
      </c>
      <c r="G5" s="28">
        <v>641</v>
      </c>
    </row>
    <row r="6" spans="1:7">
      <c r="A6" s="28" t="s">
        <v>63</v>
      </c>
      <c r="B6" s="28" t="s">
        <v>63</v>
      </c>
      <c r="C6" s="28" t="s">
        <v>1368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64</v>
      </c>
      <c r="B7" s="28" t="s">
        <v>61</v>
      </c>
      <c r="C7" s="28" t="s">
        <v>1369</v>
      </c>
      <c r="D7" s="28">
        <v>466</v>
      </c>
      <c r="E7" s="28">
        <v>494</v>
      </c>
      <c r="F7" s="28">
        <v>527</v>
      </c>
      <c r="G7" s="28">
        <v>562</v>
      </c>
    </row>
    <row r="8" spans="1:7">
      <c r="A8" s="28" t="s">
        <v>65</v>
      </c>
      <c r="B8" s="28" t="s">
        <v>922</v>
      </c>
      <c r="C8" s="28" t="s">
        <v>1370</v>
      </c>
      <c r="D8" s="28">
        <v>427</v>
      </c>
      <c r="E8" s="28">
        <v>427</v>
      </c>
      <c r="F8" s="28">
        <v>427</v>
      </c>
      <c r="G8" s="28">
        <v>427</v>
      </c>
    </row>
    <row r="9" spans="1:7">
      <c r="A9" s="28" t="s">
        <v>66</v>
      </c>
      <c r="B9" s="28" t="s">
        <v>64</v>
      </c>
      <c r="C9" s="28" t="s">
        <v>1371</v>
      </c>
      <c r="D9" s="28">
        <v>74</v>
      </c>
      <c r="E9" s="28">
        <v>74</v>
      </c>
      <c r="F9" s="28">
        <v>74</v>
      </c>
      <c r="G9" s="28">
        <v>74</v>
      </c>
    </row>
    <row r="10" spans="1:7">
      <c r="A10" s="28" t="s">
        <v>67</v>
      </c>
      <c r="B10" s="28" t="s">
        <v>66</v>
      </c>
      <c r="C10" s="28" t="s">
        <v>1372</v>
      </c>
      <c r="D10" s="28">
        <v>75</v>
      </c>
      <c r="E10" s="28">
        <v>75</v>
      </c>
      <c r="F10" s="28">
        <v>75</v>
      </c>
      <c r="G10" s="28">
        <v>75</v>
      </c>
    </row>
    <row r="11" spans="1:7">
      <c r="A11" s="28" t="s">
        <v>57</v>
      </c>
      <c r="B11" s="28" t="s">
        <v>57</v>
      </c>
      <c r="C11" s="28" t="s">
        <v>1373</v>
      </c>
      <c r="D11" s="28">
        <v>1048</v>
      </c>
      <c r="E11" s="28">
        <v>1071</v>
      </c>
      <c r="F11" s="28">
        <v>1087</v>
      </c>
      <c r="G11" s="28">
        <v>1111</v>
      </c>
    </row>
    <row r="12" spans="1:7">
      <c r="A12" s="28" t="s">
        <v>68</v>
      </c>
      <c r="B12" s="28" t="s">
        <v>498</v>
      </c>
      <c r="C12" s="28" t="s">
        <v>1374</v>
      </c>
      <c r="D12" s="28">
        <v>395</v>
      </c>
      <c r="E12" s="28">
        <v>395</v>
      </c>
      <c r="F12" s="28">
        <v>395</v>
      </c>
      <c r="G12" s="28">
        <v>395</v>
      </c>
    </row>
    <row r="13" spans="1:7">
      <c r="A13" s="28" t="s">
        <v>58</v>
      </c>
      <c r="B13" s="28" t="s">
        <v>1377</v>
      </c>
      <c r="C13" s="28" t="s">
        <v>1375</v>
      </c>
      <c r="D13" s="28" t="s">
        <v>1157</v>
      </c>
      <c r="E13" s="28" t="s">
        <v>1157</v>
      </c>
      <c r="F13" s="28" t="s">
        <v>1157</v>
      </c>
      <c r="G13" s="28" t="s">
        <v>1157</v>
      </c>
    </row>
    <row r="14" spans="1:7">
      <c r="A14" s="28" t="s">
        <v>70</v>
      </c>
      <c r="B14" s="28" t="s">
        <v>71</v>
      </c>
      <c r="C14" s="28" t="s">
        <v>1376</v>
      </c>
      <c r="D14" s="28">
        <v>420</v>
      </c>
      <c r="E14" s="28">
        <v>420</v>
      </c>
      <c r="F14" s="28">
        <v>440</v>
      </c>
      <c r="G14" s="28">
        <v>440</v>
      </c>
    </row>
    <row r="15" spans="1:7">
      <c r="A15" s="28" t="s">
        <v>71</v>
      </c>
      <c r="B15" s="28" t="s">
        <v>68</v>
      </c>
      <c r="C15" s="28" t="s">
        <v>68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B20" s="28" t="s">
        <v>140</v>
      </c>
      <c r="C20" s="28" t="s">
        <v>140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B21" s="28" t="s">
        <v>141</v>
      </c>
      <c r="C21" s="28" t="s">
        <v>141</v>
      </c>
      <c r="D21" s="28">
        <v>47</v>
      </c>
      <c r="E21" s="28">
        <v>47</v>
      </c>
      <c r="F21" s="28">
        <v>47</v>
      </c>
      <c r="G21" s="28">
        <v>47</v>
      </c>
    </row>
    <row r="23" spans="1:7">
      <c r="C23" s="28" t="s">
        <v>1378</v>
      </c>
    </row>
    <row r="24" spans="1:7">
      <c r="C24" s="28" t="s">
        <v>1379</v>
      </c>
    </row>
    <row r="25" spans="1:7">
      <c r="C25" s="28" t="s">
        <v>1380</v>
      </c>
    </row>
    <row r="26" spans="1:7">
      <c r="C26" s="28" t="s">
        <v>1381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D19" sqref="D19:G21"/>
    </sheetView>
  </sheetViews>
  <sheetFormatPr baseColWidth="10" defaultRowHeight="20"/>
  <cols>
    <col min="1" max="1" width="29.33203125" style="28" bestFit="1" customWidth="1"/>
    <col min="2" max="2" width="27.1640625" style="28" bestFit="1" customWidth="1"/>
    <col min="3" max="3" width="46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28" t="s">
        <v>144</v>
      </c>
      <c r="D1" s="29" t="s">
        <v>223</v>
      </c>
      <c r="E1" s="29" t="s">
        <v>224</v>
      </c>
      <c r="F1" s="29" t="s">
        <v>226</v>
      </c>
      <c r="G1" s="29" t="s">
        <v>227</v>
      </c>
    </row>
    <row r="2" spans="1:12">
      <c r="A2" s="28" t="s">
        <v>55</v>
      </c>
      <c r="B2" s="28" t="s">
        <v>55</v>
      </c>
      <c r="C2" s="33" t="s">
        <v>0</v>
      </c>
      <c r="D2" s="30">
        <f t="shared" ref="D2:G3" si="0">VALUE(LEFT(D47,3))</f>
        <v>577</v>
      </c>
      <c r="E2" s="30">
        <f t="shared" si="0"/>
        <v>593</v>
      </c>
      <c r="F2" s="30">
        <f t="shared" si="0"/>
        <v>616</v>
      </c>
      <c r="G2" s="30">
        <f t="shared" si="0"/>
        <v>635</v>
      </c>
      <c r="H2" s="28" t="s">
        <v>1396</v>
      </c>
      <c r="L2"/>
    </row>
    <row r="3" spans="1:12">
      <c r="A3" s="28" t="s">
        <v>56</v>
      </c>
      <c r="B3" s="28" t="s">
        <v>56</v>
      </c>
      <c r="C3" s="33" t="s">
        <v>1</v>
      </c>
      <c r="D3" s="30">
        <f t="shared" si="0"/>
        <v>401</v>
      </c>
      <c r="E3" s="30">
        <f t="shared" si="0"/>
        <v>414</v>
      </c>
      <c r="F3" s="30">
        <f t="shared" si="0"/>
        <v>431</v>
      </c>
      <c r="G3" s="30">
        <f t="shared" si="0"/>
        <v>453</v>
      </c>
    </row>
    <row r="4" spans="1:12">
      <c r="A4" s="28" t="s">
        <v>61</v>
      </c>
      <c r="B4" s="28" t="s">
        <v>1460</v>
      </c>
      <c r="C4" s="33" t="s">
        <v>1382</v>
      </c>
      <c r="D4" s="30">
        <f>VALUE(LEFT(D49,4))</f>
        <v>1.44</v>
      </c>
      <c r="E4" s="30">
        <f>VALUE(LEFT(E49,4))</f>
        <v>1.43</v>
      </c>
      <c r="F4" s="30">
        <f>VALUE(LEFT(F49,4))</f>
        <v>1.43</v>
      </c>
      <c r="G4" s="30">
        <f>VALUE(LEFT(G49,3))</f>
        <v>1.4</v>
      </c>
    </row>
    <row r="5" spans="1:12">
      <c r="A5" s="28" t="s">
        <v>74</v>
      </c>
      <c r="B5" s="28" t="s">
        <v>61</v>
      </c>
      <c r="C5" s="33" t="s">
        <v>2</v>
      </c>
      <c r="D5" s="30">
        <f>VALUE(LEFT(D50,3))</f>
        <v>410</v>
      </c>
      <c r="E5" s="30">
        <f>VALUE(LEFT(E50,3))</f>
        <v>460</v>
      </c>
      <c r="F5" s="30">
        <f>VALUE(LEFT(F50,3))</f>
        <v>480</v>
      </c>
      <c r="G5" s="30">
        <f>VALUE(LEFT(G50,3))</f>
        <v>500</v>
      </c>
    </row>
    <row r="6" spans="1:12">
      <c r="A6" s="28" t="s">
        <v>63</v>
      </c>
      <c r="B6" s="28" t="s">
        <v>74</v>
      </c>
      <c r="C6" s="28" t="s">
        <v>74</v>
      </c>
      <c r="D6" s="30"/>
      <c r="E6" s="30"/>
      <c r="F6" s="30"/>
      <c r="G6" s="30"/>
    </row>
    <row r="7" spans="1:12">
      <c r="A7" s="28" t="s">
        <v>64</v>
      </c>
      <c r="B7" s="28" t="s">
        <v>1459</v>
      </c>
      <c r="C7" s="33" t="s">
        <v>1386</v>
      </c>
      <c r="D7" s="30">
        <f>VALUE(LEFT(D51,4))</f>
        <v>19.5</v>
      </c>
      <c r="E7" s="30">
        <f>VALUE(LEFT(E51,4))</f>
        <v>15.6</v>
      </c>
      <c r="F7" s="30">
        <f>VALUE(LEFT(F51,4))</f>
        <v>15.4</v>
      </c>
      <c r="G7" s="30">
        <f>VALUE(LEFT(G51,4))</f>
        <v>14.7</v>
      </c>
    </row>
    <row r="8" spans="1:12">
      <c r="A8" s="28" t="s">
        <v>65</v>
      </c>
      <c r="B8" s="28" t="s">
        <v>63</v>
      </c>
      <c r="C8" s="33" t="s">
        <v>4</v>
      </c>
      <c r="D8" s="30">
        <f>VALUE(LEFT(D52,2))</f>
        <v>68</v>
      </c>
      <c r="E8" s="30">
        <f>VALUE(LEFT(E52,2))</f>
        <v>68</v>
      </c>
      <c r="F8" s="30">
        <f t="shared" ref="F8:G10" si="1">VALUE(LEFT(F52,4))</f>
        <v>68.5</v>
      </c>
      <c r="G8" s="30">
        <f t="shared" si="1"/>
        <v>68.5</v>
      </c>
    </row>
    <row r="9" spans="1:12">
      <c r="A9" s="28" t="s">
        <v>66</v>
      </c>
      <c r="B9" s="28" t="s">
        <v>1458</v>
      </c>
      <c r="C9" s="33" t="s">
        <v>5</v>
      </c>
      <c r="D9" s="30">
        <f>VALUE(LEFT(D53,4))</f>
        <v>72.5</v>
      </c>
      <c r="E9" s="30">
        <f>VALUE(LEFT(E53,4))</f>
        <v>72.5</v>
      </c>
      <c r="F9" s="30">
        <f t="shared" si="1"/>
        <v>72.5</v>
      </c>
      <c r="G9" s="30">
        <f t="shared" si="1"/>
        <v>72.5</v>
      </c>
    </row>
    <row r="10" spans="1:12">
      <c r="A10" s="28" t="s">
        <v>67</v>
      </c>
      <c r="B10" s="28" t="s">
        <v>64</v>
      </c>
      <c r="C10" s="33" t="s">
        <v>1387</v>
      </c>
      <c r="D10" s="30">
        <f>VALUE(LEFT(D54,4))</f>
        <v>74.599999999999994</v>
      </c>
      <c r="E10" s="30">
        <f>VALUE(LEFT(E54,4))</f>
        <v>74.400000000000006</v>
      </c>
      <c r="F10" s="30">
        <f t="shared" si="1"/>
        <v>74.3</v>
      </c>
      <c r="G10" s="30">
        <f t="shared" si="1"/>
        <v>74.2</v>
      </c>
    </row>
    <row r="11" spans="1:12">
      <c r="A11" s="28" t="s">
        <v>57</v>
      </c>
      <c r="B11" s="28" t="s">
        <v>65</v>
      </c>
      <c r="C11" s="33" t="s">
        <v>6</v>
      </c>
      <c r="D11" s="30">
        <f>VALUE(LEFT(D55,3))</f>
        <v>160</v>
      </c>
      <c r="E11" s="30">
        <f>VALUE(LEFT(E55,3))</f>
        <v>180</v>
      </c>
      <c r="F11" s="30">
        <f>VALUE(LEFT(F55,3))</f>
        <v>200</v>
      </c>
      <c r="G11" s="30">
        <f>VALUE(LEFT(G55,3))</f>
        <v>220</v>
      </c>
    </row>
    <row r="12" spans="1:12">
      <c r="A12" s="28" t="s">
        <v>68</v>
      </c>
      <c r="B12" s="28" t="s">
        <v>66</v>
      </c>
      <c r="C12" s="33" t="s">
        <v>7</v>
      </c>
      <c r="D12" s="30">
        <f>VALUE(LEFT(D56,2))</f>
        <v>77</v>
      </c>
      <c r="E12" s="30">
        <f>VALUE(LEFT(E56,2))</f>
        <v>77</v>
      </c>
      <c r="F12" s="30">
        <f>VALUE(LEFT(F56,2))</f>
        <v>77</v>
      </c>
      <c r="G12" s="30">
        <f>VALUE(LEFT(G56,2))</f>
        <v>77</v>
      </c>
    </row>
    <row r="13" spans="1:12">
      <c r="A13" s="28" t="s">
        <v>58</v>
      </c>
      <c r="B13" s="28" t="s">
        <v>1461</v>
      </c>
      <c r="C13" s="33" t="s">
        <v>1276</v>
      </c>
      <c r="D13" s="30">
        <f t="shared" ref="D13:G15" si="2">VALUE(LEFT(D57,3))</f>
        <v>284</v>
      </c>
      <c r="E13" s="30">
        <f t="shared" si="2"/>
        <v>284</v>
      </c>
      <c r="F13" s="30">
        <f t="shared" si="2"/>
        <v>284</v>
      </c>
      <c r="G13" s="30">
        <f t="shared" si="2"/>
        <v>284</v>
      </c>
    </row>
    <row r="14" spans="1:12">
      <c r="A14" s="28" t="s">
        <v>70</v>
      </c>
      <c r="B14" s="28" t="s">
        <v>67</v>
      </c>
      <c r="C14" s="33" t="s">
        <v>8</v>
      </c>
      <c r="D14" s="30">
        <f t="shared" si="2"/>
        <v>420</v>
      </c>
      <c r="E14" s="30">
        <f t="shared" si="2"/>
        <v>420</v>
      </c>
      <c r="F14" s="30">
        <f t="shared" si="2"/>
        <v>420</v>
      </c>
      <c r="G14" s="30">
        <f t="shared" si="2"/>
        <v>420</v>
      </c>
    </row>
    <row r="15" spans="1:12">
      <c r="A15" s="28" t="s">
        <v>71</v>
      </c>
      <c r="B15" s="28" t="s">
        <v>1462</v>
      </c>
      <c r="C15" s="33" t="s">
        <v>1388</v>
      </c>
      <c r="D15" s="30">
        <f t="shared" si="2"/>
        <v>440</v>
      </c>
      <c r="E15" s="30">
        <f t="shared" si="2"/>
        <v>440</v>
      </c>
      <c r="F15" s="30">
        <f t="shared" si="2"/>
        <v>440</v>
      </c>
      <c r="G15" s="30">
        <f t="shared" si="2"/>
        <v>440</v>
      </c>
    </row>
    <row r="16" spans="1:12">
      <c r="A16" s="28" t="s">
        <v>72</v>
      </c>
      <c r="B16" s="59" t="s">
        <v>922</v>
      </c>
      <c r="C16" s="33" t="s">
        <v>1389</v>
      </c>
      <c r="D16" s="30">
        <f t="shared" ref="D16:G17" si="3">VALUE(LEFT(D60,5))</f>
        <v>412.9</v>
      </c>
      <c r="E16" s="30">
        <f t="shared" si="3"/>
        <v>412.9</v>
      </c>
      <c r="F16" s="30">
        <f t="shared" si="3"/>
        <v>412.9</v>
      </c>
      <c r="G16" s="30">
        <f t="shared" si="3"/>
        <v>412.9</v>
      </c>
    </row>
    <row r="17" spans="1:7">
      <c r="A17" s="28" t="s">
        <v>69</v>
      </c>
      <c r="B17" s="59" t="s">
        <v>1463</v>
      </c>
      <c r="C17" s="33" t="s">
        <v>1390</v>
      </c>
      <c r="D17" s="30">
        <f t="shared" si="3"/>
        <v>433.2</v>
      </c>
      <c r="E17" s="30">
        <f t="shared" si="3"/>
        <v>433.2</v>
      </c>
      <c r="F17" s="30">
        <f t="shared" si="3"/>
        <v>433.2</v>
      </c>
      <c r="G17" s="30">
        <f t="shared" si="3"/>
        <v>433.2</v>
      </c>
    </row>
    <row r="18" spans="1:7">
      <c r="A18" s="28" t="s">
        <v>140</v>
      </c>
      <c r="B18" s="28" t="s">
        <v>135</v>
      </c>
      <c r="C18" s="33" t="s">
        <v>9</v>
      </c>
      <c r="D18" s="30">
        <f>VALUE(LEFT(D62,3))</f>
        <v>655</v>
      </c>
      <c r="E18" s="30">
        <f>VALUE(LEFT(E62,3))</f>
        <v>680</v>
      </c>
      <c r="F18" s="30">
        <f>VALUE(LEFT(F62,3))</f>
        <v>700</v>
      </c>
      <c r="G18" s="30">
        <f>VALUE(LEFT(G62,3))</f>
        <v>730</v>
      </c>
    </row>
    <row r="19" spans="1:7">
      <c r="A19" s="28" t="s">
        <v>141</v>
      </c>
      <c r="B19" s="28" t="s">
        <v>1464</v>
      </c>
      <c r="C19" s="33" t="s">
        <v>1391</v>
      </c>
      <c r="D19" s="30">
        <f>VALUE(LEFT(D63,5))</f>
        <v>648.1</v>
      </c>
      <c r="E19" s="30">
        <f>VALUE(LEFT(E63,5))</f>
        <v>673.1</v>
      </c>
      <c r="F19" s="30">
        <f>VALUE(LEFT(F63,5))</f>
        <v>693.1</v>
      </c>
      <c r="G19" s="30">
        <f>VALUE(LEFT(G63,5))</f>
        <v>728.1</v>
      </c>
    </row>
    <row r="20" spans="1:7">
      <c r="B20" s="28" t="s">
        <v>57</v>
      </c>
      <c r="C20" s="33" t="s">
        <v>10</v>
      </c>
      <c r="D20" s="30">
        <f t="shared" ref="D20:G21" si="4">VALUE(LEFT(D64,4))</f>
        <v>1061</v>
      </c>
      <c r="E20" s="30">
        <f t="shared" si="4"/>
        <v>1086</v>
      </c>
      <c r="F20" s="30">
        <f t="shared" si="4"/>
        <v>1106</v>
      </c>
      <c r="G20" s="30">
        <f t="shared" si="4"/>
        <v>1141</v>
      </c>
    </row>
    <row r="21" spans="1:7">
      <c r="B21" s="28" t="s">
        <v>1465</v>
      </c>
      <c r="C21" s="33" t="s">
        <v>1392</v>
      </c>
      <c r="D21" s="30">
        <f t="shared" si="4"/>
        <v>1091</v>
      </c>
      <c r="E21" s="30">
        <f t="shared" si="4"/>
        <v>1111</v>
      </c>
      <c r="F21" s="30">
        <f t="shared" si="4"/>
        <v>1131</v>
      </c>
      <c r="G21" s="30">
        <f t="shared" si="4"/>
        <v>1166</v>
      </c>
    </row>
    <row r="22" spans="1:7">
      <c r="B22" s="28" t="s">
        <v>68</v>
      </c>
      <c r="C22" s="33" t="s">
        <v>11</v>
      </c>
      <c r="D22" s="30">
        <f>VALUE(LEFT(D66,2))</f>
        <v>49</v>
      </c>
      <c r="E22" s="30">
        <f>VALUE(LEFT(E66,2))</f>
        <v>49</v>
      </c>
      <c r="F22" s="30">
        <f>VALUE(LEFT(F66,2))</f>
        <v>49</v>
      </c>
      <c r="G22" s="30">
        <f>VALUE(LEFT(G66,2))</f>
        <v>49</v>
      </c>
    </row>
    <row r="23" spans="1:7">
      <c r="B23" s="28" t="s">
        <v>498</v>
      </c>
      <c r="C23" s="33" t="s">
        <v>1393</v>
      </c>
      <c r="D23" s="30">
        <f>VALUE(LEFT(D67,3))</f>
        <v>400</v>
      </c>
      <c r="E23" s="30">
        <f>VALUE(LEFT(E67,3))</f>
        <v>400</v>
      </c>
      <c r="F23" s="30">
        <f>VALUE(LEFT(F67,3))</f>
        <v>400</v>
      </c>
      <c r="G23" s="30">
        <f>VALUE(LEFT(G67,3))</f>
        <v>400</v>
      </c>
    </row>
    <row r="24" spans="1:7">
      <c r="B24" s="28" t="s">
        <v>136</v>
      </c>
      <c r="C24" s="33" t="s">
        <v>134</v>
      </c>
      <c r="D24" s="30">
        <f>VALUE(LEFT(D68,2))</f>
        <v>93</v>
      </c>
      <c r="E24" s="30">
        <f>VALUE(LEFT(E68,2))</f>
        <v>93</v>
      </c>
      <c r="F24" s="30">
        <f t="shared" ref="F24:G26" si="5">VALUE(LEFT(F68,4))</f>
        <v>89.5</v>
      </c>
      <c r="G24" s="30">
        <f t="shared" si="5"/>
        <v>89.5</v>
      </c>
    </row>
    <row r="25" spans="1:7">
      <c r="B25" s="28" t="s">
        <v>1466</v>
      </c>
      <c r="C25" s="33" t="s">
        <v>1394</v>
      </c>
      <c r="D25" s="30">
        <f>VALUE(LEFT(D69,4))</f>
        <v>86.2</v>
      </c>
      <c r="E25" s="30">
        <f>VALUE(LEFT(E69,4))</f>
        <v>86.2</v>
      </c>
      <c r="F25" s="30">
        <f t="shared" si="5"/>
        <v>83.3</v>
      </c>
      <c r="G25" s="30">
        <f t="shared" si="5"/>
        <v>83.3</v>
      </c>
    </row>
    <row r="26" spans="1:7">
      <c r="B26" s="28" t="s">
        <v>1467</v>
      </c>
      <c r="C26" s="33" t="s">
        <v>1395</v>
      </c>
      <c r="D26" s="30">
        <f>VALUE(LEFT(D70,4))</f>
        <v>32.299999999999997</v>
      </c>
      <c r="E26" s="30">
        <f>VALUE(LEFT(E70,4))</f>
        <v>32.299999999999997</v>
      </c>
      <c r="F26" s="30">
        <f t="shared" si="5"/>
        <v>30.5</v>
      </c>
      <c r="G26" s="30">
        <f t="shared" si="5"/>
        <v>30.5</v>
      </c>
    </row>
    <row r="27" spans="1:7">
      <c r="B27" s="28" t="s">
        <v>58</v>
      </c>
      <c r="C27" s="33" t="s">
        <v>179</v>
      </c>
      <c r="D27" s="30">
        <f>VALUE(LEFT(D71,3))</f>
        <v>733</v>
      </c>
      <c r="E27" s="30">
        <f>VALUE(LEFT(E71,3))</f>
        <v>761</v>
      </c>
      <c r="F27" s="30">
        <f>VALUE(LEFT(F71,3))</f>
        <v>781</v>
      </c>
      <c r="G27" s="30">
        <f>VALUE(LEFT(G71,3))</f>
        <v>800</v>
      </c>
    </row>
    <row r="28" spans="1:7">
      <c r="B28" s="28" t="s">
        <v>70</v>
      </c>
      <c r="C28" s="28" t="s">
        <v>70</v>
      </c>
    </row>
    <row r="29" spans="1:7">
      <c r="B29" s="28" t="s">
        <v>71</v>
      </c>
      <c r="C29" s="28" t="s">
        <v>71</v>
      </c>
    </row>
    <row r="30" spans="1:7">
      <c r="B30" s="28" t="s">
        <v>72</v>
      </c>
      <c r="C30" s="28" t="s">
        <v>72</v>
      </c>
      <c r="D30" s="28">
        <v>50</v>
      </c>
      <c r="E30" s="28">
        <v>50</v>
      </c>
      <c r="F30" s="28">
        <v>50</v>
      </c>
      <c r="G30" s="28">
        <v>50</v>
      </c>
    </row>
    <row r="31" spans="1:7">
      <c r="B31" s="28" t="s">
        <v>69</v>
      </c>
      <c r="C31" s="28" t="s">
        <v>69</v>
      </c>
      <c r="D31" s="28">
        <v>700</v>
      </c>
      <c r="E31" s="28">
        <v>700</v>
      </c>
      <c r="F31" s="28">
        <v>700</v>
      </c>
      <c r="G31" s="28">
        <v>700</v>
      </c>
    </row>
    <row r="32" spans="1:7">
      <c r="B32" s="28" t="s">
        <v>140</v>
      </c>
      <c r="C32" s="28" t="s">
        <v>140</v>
      </c>
      <c r="D32" s="28">
        <v>50</v>
      </c>
      <c r="E32" s="28">
        <v>50</v>
      </c>
      <c r="F32" s="28">
        <v>50</v>
      </c>
      <c r="G32" s="28">
        <v>50</v>
      </c>
    </row>
    <row r="33" spans="2:7">
      <c r="B33" s="28" t="s">
        <v>141</v>
      </c>
      <c r="C33" s="28" t="s">
        <v>141</v>
      </c>
      <c r="D33" s="28">
        <v>50</v>
      </c>
      <c r="E33" s="28">
        <v>50</v>
      </c>
      <c r="F33" s="28">
        <v>50</v>
      </c>
      <c r="G33" s="28">
        <v>50</v>
      </c>
    </row>
    <row r="36" spans="2:7" ht="24">
      <c r="C36" s="65" t="s">
        <v>1517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29" t="s">
        <v>1518</v>
      </c>
      <c r="D38" s="66" t="s">
        <v>1519</v>
      </c>
      <c r="E38" s="66" t="s">
        <v>1521</v>
      </c>
      <c r="F38" s="66" t="s">
        <v>1522</v>
      </c>
      <c r="G38" s="66" t="s">
        <v>1524</v>
      </c>
    </row>
    <row r="39" spans="2:7">
      <c r="C39" s="129"/>
      <c r="D39" s="67" t="s">
        <v>1520</v>
      </c>
      <c r="E39" s="67" t="s">
        <v>1520</v>
      </c>
      <c r="F39" s="67" t="s">
        <v>1520</v>
      </c>
      <c r="G39" s="67" t="s">
        <v>1520</v>
      </c>
    </row>
    <row r="40" spans="2:7">
      <c r="C40" s="129"/>
      <c r="D40" s="66" t="s">
        <v>1521</v>
      </c>
      <c r="E40" s="66" t="s">
        <v>1522</v>
      </c>
      <c r="F40" s="66" t="s">
        <v>1523</v>
      </c>
      <c r="G40"/>
    </row>
    <row r="41" spans="2:7">
      <c r="C41" s="129" t="s">
        <v>1525</v>
      </c>
      <c r="D41" s="66" t="s">
        <v>1526</v>
      </c>
      <c r="E41" s="66" t="s">
        <v>1528</v>
      </c>
      <c r="F41" s="66" t="s">
        <v>1530</v>
      </c>
      <c r="G41" s="66" t="s">
        <v>1531</v>
      </c>
    </row>
    <row r="42" spans="2:7">
      <c r="C42" s="129"/>
      <c r="D42" s="67" t="s">
        <v>1520</v>
      </c>
      <c r="E42" s="67" t="s">
        <v>1520</v>
      </c>
      <c r="F42" s="67" t="s">
        <v>1520</v>
      </c>
      <c r="G42" s="67" t="s">
        <v>1520</v>
      </c>
    </row>
    <row r="43" spans="2:7">
      <c r="C43" s="129"/>
      <c r="D43" s="66" t="s">
        <v>1527</v>
      </c>
      <c r="E43" s="66" t="s">
        <v>1529</v>
      </c>
      <c r="F43" s="66" t="s">
        <v>1531</v>
      </c>
      <c r="G43"/>
    </row>
    <row r="46" spans="2:7">
      <c r="D46" s="29" t="s">
        <v>223</v>
      </c>
      <c r="E46" s="29" t="s">
        <v>224</v>
      </c>
      <c r="F46" s="29" t="s">
        <v>226</v>
      </c>
      <c r="G46" s="29" t="s">
        <v>227</v>
      </c>
    </row>
    <row r="47" spans="2:7">
      <c r="C47" s="33" t="s">
        <v>0</v>
      </c>
      <c r="D47" s="30" t="s">
        <v>1397</v>
      </c>
      <c r="E47" s="30" t="s">
        <v>1398</v>
      </c>
      <c r="F47" s="30" t="s">
        <v>1399</v>
      </c>
      <c r="G47" s="30" t="s">
        <v>1400</v>
      </c>
    </row>
    <row r="48" spans="2:7">
      <c r="C48" s="33" t="s">
        <v>1</v>
      </c>
      <c r="D48" s="30" t="s">
        <v>1401</v>
      </c>
      <c r="E48" s="30" t="s">
        <v>1402</v>
      </c>
      <c r="F48" s="30" t="s">
        <v>1403</v>
      </c>
      <c r="G48" s="30" t="s">
        <v>1404</v>
      </c>
    </row>
    <row r="49" spans="3:7">
      <c r="C49" s="33" t="s">
        <v>1382</v>
      </c>
      <c r="D49" s="30" t="s">
        <v>1383</v>
      </c>
      <c r="E49" s="30" t="s">
        <v>1384</v>
      </c>
      <c r="F49" s="30" t="s">
        <v>1384</v>
      </c>
      <c r="G49" s="30" t="s">
        <v>1385</v>
      </c>
    </row>
    <row r="50" spans="3:7">
      <c r="C50" s="33" t="s">
        <v>2</v>
      </c>
      <c r="D50" s="30" t="s">
        <v>1405</v>
      </c>
      <c r="E50" s="30" t="s">
        <v>1406</v>
      </c>
      <c r="F50" s="30" t="s">
        <v>1407</v>
      </c>
      <c r="G50" s="30" t="s">
        <v>1408</v>
      </c>
    </row>
    <row r="51" spans="3:7">
      <c r="C51" s="33" t="s">
        <v>1386</v>
      </c>
      <c r="D51" s="30" t="s">
        <v>1409</v>
      </c>
      <c r="E51" s="30" t="s">
        <v>1410</v>
      </c>
      <c r="F51" s="30" t="s">
        <v>1411</v>
      </c>
      <c r="G51" s="30" t="s">
        <v>1412</v>
      </c>
    </row>
    <row r="52" spans="3:7">
      <c r="C52" s="33" t="s">
        <v>4</v>
      </c>
      <c r="D52" s="30" t="s">
        <v>1413</v>
      </c>
      <c r="E52" s="30" t="s">
        <v>1413</v>
      </c>
      <c r="F52" s="30" t="s">
        <v>1414</v>
      </c>
      <c r="G52" s="30" t="s">
        <v>1414</v>
      </c>
    </row>
    <row r="53" spans="3:7">
      <c r="C53" s="33" t="s">
        <v>5</v>
      </c>
      <c r="D53" s="30" t="s">
        <v>1415</v>
      </c>
      <c r="E53" s="30" t="s">
        <v>1415</v>
      </c>
      <c r="F53" s="30" t="s">
        <v>1415</v>
      </c>
      <c r="G53" s="30" t="s">
        <v>1415</v>
      </c>
    </row>
    <row r="54" spans="3:7">
      <c r="C54" s="33" t="s">
        <v>1387</v>
      </c>
      <c r="D54" s="30" t="s">
        <v>1416</v>
      </c>
      <c r="E54" s="30" t="s">
        <v>1417</v>
      </c>
      <c r="F54" s="30" t="s">
        <v>1418</v>
      </c>
      <c r="G54" s="30" t="s">
        <v>1419</v>
      </c>
    </row>
    <row r="55" spans="3:7">
      <c r="C55" s="33" t="s">
        <v>6</v>
      </c>
      <c r="D55" s="30" t="s">
        <v>1420</v>
      </c>
      <c r="E55" s="30" t="s">
        <v>1421</v>
      </c>
      <c r="F55" s="30" t="s">
        <v>1422</v>
      </c>
      <c r="G55" s="30" t="s">
        <v>1423</v>
      </c>
    </row>
    <row r="56" spans="3:7">
      <c r="C56" s="33" t="s">
        <v>7</v>
      </c>
      <c r="D56" s="30" t="s">
        <v>1424</v>
      </c>
      <c r="E56" s="30" t="s">
        <v>1424</v>
      </c>
      <c r="F56" s="30" t="s">
        <v>1424</v>
      </c>
      <c r="G56" s="30" t="s">
        <v>1424</v>
      </c>
    </row>
    <row r="57" spans="3:7">
      <c r="C57" s="33" t="s">
        <v>1276</v>
      </c>
      <c r="D57" s="30" t="s">
        <v>1425</v>
      </c>
      <c r="E57" s="30" t="s">
        <v>1425</v>
      </c>
      <c r="F57" s="30" t="s">
        <v>1425</v>
      </c>
      <c r="G57" s="30" t="s">
        <v>1425</v>
      </c>
    </row>
    <row r="58" spans="3:7">
      <c r="C58" s="33" t="s">
        <v>8</v>
      </c>
      <c r="D58" s="30" t="s">
        <v>1426</v>
      </c>
      <c r="E58" s="30" t="s">
        <v>1426</v>
      </c>
      <c r="F58" s="30" t="s">
        <v>1426</v>
      </c>
      <c r="G58" s="30" t="s">
        <v>1426</v>
      </c>
    </row>
    <row r="59" spans="3:7">
      <c r="C59" s="33" t="s">
        <v>1388</v>
      </c>
      <c r="D59" s="30" t="s">
        <v>1427</v>
      </c>
      <c r="E59" s="30" t="s">
        <v>1427</v>
      </c>
      <c r="F59" s="30" t="s">
        <v>1427</v>
      </c>
      <c r="G59" s="30" t="s">
        <v>1427</v>
      </c>
    </row>
    <row r="60" spans="3:7">
      <c r="C60" s="33" t="s">
        <v>1389</v>
      </c>
      <c r="D60" s="30" t="s">
        <v>1428</v>
      </c>
      <c r="E60" s="30" t="s">
        <v>1428</v>
      </c>
      <c r="F60" s="30" t="s">
        <v>1428</v>
      </c>
      <c r="G60" s="30" t="s">
        <v>1428</v>
      </c>
    </row>
    <row r="61" spans="3:7">
      <c r="C61" s="33" t="s">
        <v>1390</v>
      </c>
      <c r="D61" s="30" t="s">
        <v>1429</v>
      </c>
      <c r="E61" s="30" t="s">
        <v>1429</v>
      </c>
      <c r="F61" s="30" t="s">
        <v>1429</v>
      </c>
      <c r="G61" s="30" t="s">
        <v>1429</v>
      </c>
    </row>
    <row r="62" spans="3:7" ht="18" customHeight="1">
      <c r="C62" s="33" t="s">
        <v>9</v>
      </c>
      <c r="D62" s="30" t="s">
        <v>1430</v>
      </c>
      <c r="E62" s="30" t="s">
        <v>1431</v>
      </c>
      <c r="F62" s="30" t="s">
        <v>1432</v>
      </c>
      <c r="G62" s="30" t="s">
        <v>1433</v>
      </c>
    </row>
    <row r="63" spans="3:7">
      <c r="C63" s="33" t="s">
        <v>1391</v>
      </c>
      <c r="D63" s="30" t="s">
        <v>1434</v>
      </c>
      <c r="E63" s="30" t="s">
        <v>1435</v>
      </c>
      <c r="F63" s="30" t="s">
        <v>1436</v>
      </c>
      <c r="G63" s="30" t="s">
        <v>1437</v>
      </c>
    </row>
    <row r="64" spans="3:7">
      <c r="C64" s="33" t="s">
        <v>10</v>
      </c>
      <c r="D64" s="30" t="s">
        <v>1438</v>
      </c>
      <c r="E64" s="30" t="s">
        <v>1439</v>
      </c>
      <c r="F64" s="30" t="s">
        <v>1440</v>
      </c>
      <c r="G64" s="30" t="s">
        <v>1441</v>
      </c>
    </row>
    <row r="65" spans="3:7">
      <c r="C65" s="33" t="s">
        <v>1392</v>
      </c>
      <c r="D65" s="30" t="s">
        <v>1442</v>
      </c>
      <c r="E65" s="30" t="s">
        <v>1443</v>
      </c>
      <c r="F65" s="30" t="s">
        <v>1444</v>
      </c>
      <c r="G65" s="30" t="s">
        <v>1445</v>
      </c>
    </row>
    <row r="66" spans="3:7">
      <c r="C66" s="33" t="s">
        <v>11</v>
      </c>
      <c r="D66" s="30" t="s">
        <v>1446</v>
      </c>
      <c r="E66" s="30" t="s">
        <v>1446</v>
      </c>
      <c r="F66" s="30" t="s">
        <v>1446</v>
      </c>
      <c r="G66" s="30" t="s">
        <v>1446</v>
      </c>
    </row>
    <row r="67" spans="3:7">
      <c r="C67" s="33" t="s">
        <v>1393</v>
      </c>
      <c r="D67" s="30" t="s">
        <v>1447</v>
      </c>
      <c r="E67" s="30" t="s">
        <v>1447</v>
      </c>
      <c r="F67" s="30" t="s">
        <v>1447</v>
      </c>
      <c r="G67" s="30" t="s">
        <v>1447</v>
      </c>
    </row>
    <row r="68" spans="3:7">
      <c r="C68" s="33" t="s">
        <v>134</v>
      </c>
      <c r="D68" s="30" t="s">
        <v>1448</v>
      </c>
      <c r="E68" s="30" t="s">
        <v>1448</v>
      </c>
      <c r="F68" s="30" t="s">
        <v>1449</v>
      </c>
      <c r="G68" s="30" t="s">
        <v>1449</v>
      </c>
    </row>
    <row r="69" spans="3:7">
      <c r="C69" s="33" t="s">
        <v>1394</v>
      </c>
      <c r="D69" s="30" t="s">
        <v>1450</v>
      </c>
      <c r="E69" s="30" t="s">
        <v>1450</v>
      </c>
      <c r="F69" s="30" t="s">
        <v>1451</v>
      </c>
      <c r="G69" s="30" t="s">
        <v>1451</v>
      </c>
    </row>
    <row r="70" spans="3:7">
      <c r="C70" s="33" t="s">
        <v>1395</v>
      </c>
      <c r="D70" s="30" t="s">
        <v>1452</v>
      </c>
      <c r="E70" s="30" t="s">
        <v>1452</v>
      </c>
      <c r="F70" s="30" t="s">
        <v>1453</v>
      </c>
      <c r="G70" s="30" t="s">
        <v>1453</v>
      </c>
    </row>
    <row r="71" spans="3:7">
      <c r="C71" s="33" t="s">
        <v>179</v>
      </c>
      <c r="D71" s="30" t="s">
        <v>1454</v>
      </c>
      <c r="E71" s="30" t="s">
        <v>1455</v>
      </c>
      <c r="F71" s="30" t="s">
        <v>1456</v>
      </c>
      <c r="G71" s="30" t="s">
        <v>1457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28" t="s">
        <v>73</v>
      </c>
      <c r="B1" s="28" t="s">
        <v>73</v>
      </c>
      <c r="C1" s="3" t="s">
        <v>1989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28" t="s">
        <v>55</v>
      </c>
      <c r="B2" s="28" t="s">
        <v>63</v>
      </c>
      <c r="C2" s="3" t="s">
        <v>1990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28" t="s">
        <v>56</v>
      </c>
      <c r="B3" s="28" t="s">
        <v>64</v>
      </c>
      <c r="C3" s="3" t="s">
        <v>1991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28" t="s">
        <v>61</v>
      </c>
      <c r="B4" s="28" t="s">
        <v>67</v>
      </c>
      <c r="C4" s="3" t="s">
        <v>1992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28" t="s">
        <v>74</v>
      </c>
      <c r="B5" s="28" t="s">
        <v>66</v>
      </c>
      <c r="C5" s="3" t="s">
        <v>1993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28" t="s">
        <v>63</v>
      </c>
      <c r="B6" s="28" t="s">
        <v>61</v>
      </c>
      <c r="C6" s="3" t="s">
        <v>1994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28" t="s">
        <v>64</v>
      </c>
      <c r="B7" s="28" t="s">
        <v>74</v>
      </c>
      <c r="C7" s="3" t="s">
        <v>1995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28" t="s">
        <v>65</v>
      </c>
      <c r="B8" s="3" t="s">
        <v>1635</v>
      </c>
      <c r="C8" s="3" t="s">
        <v>1996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28" t="s">
        <v>66</v>
      </c>
      <c r="B9" s="28" t="s">
        <v>65</v>
      </c>
      <c r="C9" s="3" t="s">
        <v>1997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28" t="s">
        <v>67</v>
      </c>
      <c r="B10" s="28" t="s">
        <v>55</v>
      </c>
      <c r="C10" s="3" t="s">
        <v>1998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28" t="s">
        <v>57</v>
      </c>
      <c r="B11" s="28" t="s">
        <v>56</v>
      </c>
      <c r="C11" s="3" t="s">
        <v>1999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28" t="s">
        <v>68</v>
      </c>
      <c r="B12" s="28" t="s">
        <v>68</v>
      </c>
      <c r="C12" s="3" t="s">
        <v>2000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28" t="s">
        <v>498</v>
      </c>
      <c r="B13" s="28" t="s">
        <v>498</v>
      </c>
      <c r="C13" s="3" t="s">
        <v>2001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28" t="s">
        <v>58</v>
      </c>
      <c r="B14" s="28" t="s">
        <v>57</v>
      </c>
      <c r="C14" s="28" t="s">
        <v>57</v>
      </c>
    </row>
    <row r="15" spans="1:10" ht="20">
      <c r="A15" s="28" t="s">
        <v>70</v>
      </c>
      <c r="B15" s="28" t="s">
        <v>58</v>
      </c>
      <c r="C15" s="28" t="s">
        <v>58</v>
      </c>
    </row>
    <row r="16" spans="1:10" ht="20">
      <c r="A16" s="28" t="s">
        <v>71</v>
      </c>
      <c r="B16" s="28" t="s">
        <v>70</v>
      </c>
      <c r="C16" s="28" t="s">
        <v>70</v>
      </c>
    </row>
    <row r="17" spans="1:10" ht="20">
      <c r="A17" s="28" t="s">
        <v>72</v>
      </c>
      <c r="B17" s="28" t="s">
        <v>71</v>
      </c>
      <c r="C17" s="28" t="s">
        <v>71</v>
      </c>
    </row>
    <row r="18" spans="1:10" ht="20">
      <c r="A18" s="28" t="s">
        <v>69</v>
      </c>
      <c r="B18" s="28" t="s">
        <v>72</v>
      </c>
      <c r="C18" s="28" t="s">
        <v>72</v>
      </c>
    </row>
    <row r="19" spans="1:10" ht="20">
      <c r="A19" s="28" t="s">
        <v>140</v>
      </c>
      <c r="B19" s="28" t="s">
        <v>69</v>
      </c>
      <c r="C19" s="28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28" t="s">
        <v>141</v>
      </c>
      <c r="B20" s="28" t="s">
        <v>140</v>
      </c>
      <c r="C20" s="28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28" t="s">
        <v>1758</v>
      </c>
      <c r="B21" s="28" t="s">
        <v>141</v>
      </c>
      <c r="C21" s="28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28" t="s">
        <v>1759</v>
      </c>
      <c r="B22" s="28" t="s">
        <v>1758</v>
      </c>
      <c r="C22" s="28" t="s">
        <v>1758</v>
      </c>
    </row>
    <row r="23" spans="1:10" ht="20">
      <c r="B23" s="28" t="s">
        <v>1759</v>
      </c>
      <c r="C23" s="28" t="s">
        <v>1759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4" width="12.33203125" style="28" bestFit="1" customWidth="1"/>
    <col min="5" max="5" width="13" style="28" bestFit="1" customWidth="1"/>
    <col min="6" max="6" width="13.83203125" style="28" bestFit="1" customWidth="1"/>
    <col min="7" max="7" width="10.5" style="28" bestFit="1" customWidth="1"/>
    <col min="8" max="8" width="13.83203125" style="28" bestFit="1" customWidth="1"/>
    <col min="9" max="10" width="12.33203125" style="28" bestFit="1" customWidth="1"/>
    <col min="11" max="11" width="13" style="28" bestFit="1" customWidth="1"/>
    <col min="12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51</v>
      </c>
      <c r="E1" s="28">
        <v>52.5</v>
      </c>
      <c r="F1" s="28">
        <v>54</v>
      </c>
      <c r="G1" s="28">
        <v>55.5</v>
      </c>
      <c r="H1" s="28">
        <v>57</v>
      </c>
      <c r="I1" s="28">
        <v>58.5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1532</v>
      </c>
      <c r="D2" s="28">
        <v>510</v>
      </c>
      <c r="E2" s="28">
        <v>525</v>
      </c>
      <c r="F2" s="28">
        <v>540</v>
      </c>
      <c r="G2" s="28">
        <v>555</v>
      </c>
      <c r="H2" s="28">
        <v>570</v>
      </c>
      <c r="I2" s="28">
        <v>585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1533</v>
      </c>
      <c r="D3" s="28">
        <v>545</v>
      </c>
      <c r="E3" s="28">
        <v>555</v>
      </c>
      <c r="F3" s="28">
        <v>565</v>
      </c>
      <c r="G3" s="28">
        <v>575</v>
      </c>
      <c r="H3" s="28">
        <v>585</v>
      </c>
      <c r="I3" s="28">
        <v>595</v>
      </c>
      <c r="J3" s="28">
        <v>605</v>
      </c>
      <c r="K3" s="28">
        <v>633</v>
      </c>
    </row>
    <row r="4" spans="1:11">
      <c r="A4" s="28" t="s">
        <v>61</v>
      </c>
      <c r="B4" s="28" t="s">
        <v>65</v>
      </c>
      <c r="C4" s="28" t="s">
        <v>1534</v>
      </c>
      <c r="D4" s="28">
        <v>130</v>
      </c>
      <c r="E4" s="28">
        <v>140</v>
      </c>
      <c r="F4" s="28">
        <v>150</v>
      </c>
      <c r="G4" s="28">
        <v>160</v>
      </c>
      <c r="H4" s="28">
        <v>170</v>
      </c>
      <c r="I4" s="28">
        <v>180</v>
      </c>
      <c r="J4" s="28">
        <v>190</v>
      </c>
      <c r="K4" s="28">
        <v>210</v>
      </c>
    </row>
    <row r="5" spans="1:11">
      <c r="A5" s="28" t="s">
        <v>74</v>
      </c>
      <c r="B5" s="28" t="s">
        <v>64</v>
      </c>
      <c r="C5" s="28" t="s">
        <v>32</v>
      </c>
      <c r="D5" s="28">
        <v>73.5</v>
      </c>
      <c r="E5" s="28">
        <v>73</v>
      </c>
      <c r="F5" s="28">
        <v>73</v>
      </c>
      <c r="G5" s="28">
        <v>73</v>
      </c>
      <c r="H5" s="28">
        <v>73</v>
      </c>
      <c r="I5" s="28">
        <v>73</v>
      </c>
      <c r="J5" s="28">
        <v>73</v>
      </c>
      <c r="K5" s="28">
        <v>73</v>
      </c>
    </row>
    <row r="6" spans="1:11">
      <c r="A6" s="28" t="s">
        <v>63</v>
      </c>
      <c r="B6" s="28" t="s">
        <v>63</v>
      </c>
      <c r="C6" s="28" t="s">
        <v>35</v>
      </c>
      <c r="D6" s="28">
        <v>69.5</v>
      </c>
      <c r="E6" s="28">
        <v>70</v>
      </c>
      <c r="F6" s="28">
        <v>70</v>
      </c>
      <c r="G6" s="28">
        <v>70</v>
      </c>
      <c r="H6" s="28">
        <v>70</v>
      </c>
      <c r="I6" s="28">
        <v>70</v>
      </c>
      <c r="J6" s="28">
        <v>70</v>
      </c>
      <c r="K6" s="28">
        <v>70</v>
      </c>
    </row>
    <row r="7" spans="1:11">
      <c r="A7" s="28" t="s">
        <v>64</v>
      </c>
      <c r="B7" s="28" t="s">
        <v>67</v>
      </c>
      <c r="C7" s="28" t="s">
        <v>36</v>
      </c>
      <c r="D7" s="28">
        <v>445</v>
      </c>
      <c r="E7" s="28">
        <v>445</v>
      </c>
      <c r="F7" s="28">
        <v>445</v>
      </c>
      <c r="G7" s="28">
        <v>445</v>
      </c>
      <c r="H7" s="28">
        <v>445</v>
      </c>
      <c r="I7" s="28">
        <v>445</v>
      </c>
      <c r="J7" s="28">
        <v>445</v>
      </c>
      <c r="K7" s="28">
        <v>445</v>
      </c>
    </row>
    <row r="8" spans="1:11">
      <c r="A8" s="28" t="s">
        <v>65</v>
      </c>
      <c r="B8" s="28" t="s">
        <v>57</v>
      </c>
      <c r="C8" s="28" t="s">
        <v>37</v>
      </c>
      <c r="D8" s="28">
        <v>1052.0999999999999</v>
      </c>
      <c r="E8" s="28">
        <v>1052.2</v>
      </c>
      <c r="F8" s="28">
        <v>1062.7</v>
      </c>
      <c r="G8" s="28">
        <v>1073.3</v>
      </c>
      <c r="H8" s="28">
        <v>1083.8</v>
      </c>
      <c r="I8" s="28">
        <v>1093.2</v>
      </c>
      <c r="J8" s="28">
        <v>1104.9000000000001</v>
      </c>
      <c r="K8" s="28">
        <v>1134</v>
      </c>
    </row>
    <row r="9" spans="1:11">
      <c r="A9" s="28" t="s">
        <v>66</v>
      </c>
      <c r="B9" s="28" t="s">
        <v>66</v>
      </c>
      <c r="C9" s="28" t="s">
        <v>187</v>
      </c>
      <c r="D9" s="28">
        <v>80</v>
      </c>
      <c r="E9" s="28">
        <v>80</v>
      </c>
      <c r="F9" s="28">
        <v>80</v>
      </c>
      <c r="G9" s="28">
        <v>80</v>
      </c>
      <c r="H9" s="28">
        <v>80</v>
      </c>
      <c r="I9" s="28">
        <v>80</v>
      </c>
      <c r="J9" s="28">
        <v>80</v>
      </c>
      <c r="K9" s="28">
        <v>80</v>
      </c>
    </row>
    <row r="10" spans="1:11">
      <c r="A10" s="28" t="s">
        <v>67</v>
      </c>
      <c r="B10" s="28" t="s">
        <v>498</v>
      </c>
      <c r="C10" s="28" t="s">
        <v>570</v>
      </c>
      <c r="D10" s="28">
        <v>420</v>
      </c>
      <c r="E10" s="28">
        <v>420</v>
      </c>
      <c r="F10" s="28">
        <v>420</v>
      </c>
      <c r="G10" s="28">
        <v>420</v>
      </c>
      <c r="H10" s="28">
        <v>420</v>
      </c>
      <c r="I10" s="28">
        <v>420</v>
      </c>
      <c r="J10" s="28">
        <v>420</v>
      </c>
      <c r="K10" s="28">
        <v>420</v>
      </c>
    </row>
    <row r="11" spans="1:11">
      <c r="A11" s="28" t="s">
        <v>57</v>
      </c>
      <c r="B11" s="28" t="s">
        <v>68</v>
      </c>
      <c r="C11" s="28" t="s">
        <v>1535</v>
      </c>
      <c r="D11" s="28">
        <v>51</v>
      </c>
      <c r="E11" s="28">
        <v>51</v>
      </c>
      <c r="F11" s="28">
        <v>51</v>
      </c>
      <c r="G11" s="28">
        <v>51</v>
      </c>
      <c r="H11" s="28">
        <v>51</v>
      </c>
      <c r="I11" s="28">
        <v>51</v>
      </c>
      <c r="J11" s="28">
        <v>51</v>
      </c>
      <c r="K11" s="28">
        <v>51</v>
      </c>
    </row>
    <row r="12" spans="1:11">
      <c r="A12" s="28" t="s">
        <v>68</v>
      </c>
      <c r="B12" s="28" t="s">
        <v>70</v>
      </c>
      <c r="C12" s="28" t="s">
        <v>647</v>
      </c>
      <c r="D12" s="28">
        <v>170</v>
      </c>
      <c r="E12" s="28">
        <v>170</v>
      </c>
      <c r="F12" s="28">
        <v>170</v>
      </c>
      <c r="G12" s="28">
        <v>175</v>
      </c>
      <c r="H12" s="28">
        <v>175</v>
      </c>
      <c r="I12" s="28">
        <v>175</v>
      </c>
      <c r="J12" s="28">
        <v>175</v>
      </c>
      <c r="K12" s="28">
        <v>175</v>
      </c>
    </row>
    <row r="13" spans="1:11">
      <c r="A13" s="28" t="s">
        <v>58</v>
      </c>
      <c r="B13" s="28" t="s">
        <v>72</v>
      </c>
      <c r="C13" s="28" t="s">
        <v>1536</v>
      </c>
      <c r="D13" s="28">
        <v>80</v>
      </c>
      <c r="E13" s="28">
        <v>80</v>
      </c>
      <c r="F13" s="28">
        <v>90</v>
      </c>
      <c r="G13" s="28">
        <v>90</v>
      </c>
      <c r="H13" s="28">
        <v>100</v>
      </c>
      <c r="I13" s="28">
        <v>100</v>
      </c>
      <c r="J13" s="28">
        <v>110</v>
      </c>
      <c r="K13" s="28">
        <v>120</v>
      </c>
    </row>
    <row r="14" spans="1:11">
      <c r="A14" s="28" t="s">
        <v>70</v>
      </c>
      <c r="B14" s="28" t="s">
        <v>184</v>
      </c>
      <c r="C14" s="28" t="s">
        <v>1537</v>
      </c>
      <c r="D14" s="28">
        <v>10</v>
      </c>
      <c r="E14" s="28">
        <v>10</v>
      </c>
      <c r="F14" s="28">
        <v>10</v>
      </c>
      <c r="G14" s="28">
        <v>10</v>
      </c>
      <c r="H14" s="28">
        <v>10</v>
      </c>
      <c r="I14" s="28">
        <v>10</v>
      </c>
      <c r="J14" s="28">
        <v>10</v>
      </c>
      <c r="K14" s="28">
        <v>10</v>
      </c>
    </row>
    <row r="15" spans="1:11">
      <c r="A15" s="28" t="s">
        <v>71</v>
      </c>
      <c r="B15" s="28" t="s">
        <v>71</v>
      </c>
      <c r="C15" s="28" t="s">
        <v>1539</v>
      </c>
      <c r="D15" s="28">
        <f>D23*10</f>
        <v>420</v>
      </c>
      <c r="E15" s="28">
        <f t="shared" ref="E15:K15" si="0">E23*10</f>
        <v>420</v>
      </c>
      <c r="F15" s="28">
        <f t="shared" si="0"/>
        <v>420</v>
      </c>
      <c r="G15" s="28">
        <f t="shared" si="0"/>
        <v>440</v>
      </c>
      <c r="H15" s="28">
        <f t="shared" si="0"/>
        <v>440</v>
      </c>
      <c r="I15" s="28">
        <f t="shared" si="0"/>
        <v>440</v>
      </c>
      <c r="J15" s="28">
        <f t="shared" si="0"/>
        <v>460</v>
      </c>
      <c r="K15" s="28">
        <f t="shared" si="0"/>
        <v>460</v>
      </c>
    </row>
    <row r="16" spans="1:11">
      <c r="A16" s="28" t="s">
        <v>72</v>
      </c>
      <c r="B16" s="28" t="s">
        <v>55</v>
      </c>
      <c r="C16" s="28" t="s">
        <v>40</v>
      </c>
      <c r="D16" s="28">
        <v>577.29999999999995</v>
      </c>
      <c r="E16" s="28">
        <v>588.79999999999995</v>
      </c>
      <c r="F16" s="28">
        <v>598.20000000000005</v>
      </c>
      <c r="G16" s="28">
        <v>607.6</v>
      </c>
      <c r="H16" s="28">
        <v>617</v>
      </c>
      <c r="I16" s="28">
        <v>626.4</v>
      </c>
      <c r="J16" s="28">
        <v>635.79999999999995</v>
      </c>
      <c r="K16" s="28">
        <v>654.6</v>
      </c>
    </row>
    <row r="17" spans="1:11">
      <c r="A17" s="28" t="s">
        <v>69</v>
      </c>
      <c r="B17" s="28" t="s">
        <v>56</v>
      </c>
      <c r="C17" s="28" t="s">
        <v>41</v>
      </c>
      <c r="D17" s="28">
        <v>374</v>
      </c>
      <c r="E17" s="28">
        <v>375</v>
      </c>
      <c r="F17" s="28">
        <v>382.1</v>
      </c>
      <c r="G17" s="28">
        <v>389.2</v>
      </c>
      <c r="H17" s="28">
        <v>396.4</v>
      </c>
      <c r="I17" s="28">
        <v>402.3</v>
      </c>
      <c r="J17" s="28">
        <v>410.6</v>
      </c>
      <c r="K17" s="28">
        <v>432.9</v>
      </c>
    </row>
    <row r="18" spans="1:1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  <c r="J18" s="28">
        <v>700</v>
      </c>
      <c r="K18" s="28">
        <v>700</v>
      </c>
    </row>
    <row r="19" spans="1:11">
      <c r="A19" s="28" t="s">
        <v>141</v>
      </c>
      <c r="B19" s="28" t="s">
        <v>140</v>
      </c>
      <c r="C19" s="28" t="s">
        <v>140</v>
      </c>
      <c r="D19" s="28">
        <f>2.5*25.4</f>
        <v>63.5</v>
      </c>
      <c r="E19" s="28">
        <f t="shared" ref="E19:K19" si="1">2.5*25.4</f>
        <v>63.5</v>
      </c>
      <c r="F19" s="28">
        <f t="shared" si="1"/>
        <v>63.5</v>
      </c>
      <c r="G19" s="28">
        <f t="shared" si="1"/>
        <v>63.5</v>
      </c>
      <c r="H19" s="28">
        <f t="shared" si="1"/>
        <v>63.5</v>
      </c>
      <c r="I19" s="28">
        <f t="shared" si="1"/>
        <v>63.5</v>
      </c>
      <c r="J19" s="28">
        <f t="shared" si="1"/>
        <v>63.5</v>
      </c>
      <c r="K19" s="28">
        <f t="shared" si="1"/>
        <v>63.5</v>
      </c>
    </row>
    <row r="20" spans="1:11">
      <c r="B20" s="28" t="s">
        <v>141</v>
      </c>
      <c r="C20" s="28" t="s">
        <v>141</v>
      </c>
      <c r="D20" s="28">
        <f>2.6*25.4</f>
        <v>66.039999999999992</v>
      </c>
      <c r="E20" s="28">
        <f t="shared" ref="E20:K20" si="2">2.6*25.4</f>
        <v>66.039999999999992</v>
      </c>
      <c r="F20" s="28">
        <f t="shared" si="2"/>
        <v>66.039999999999992</v>
      </c>
      <c r="G20" s="28">
        <f t="shared" si="2"/>
        <v>66.039999999999992</v>
      </c>
      <c r="H20" s="28">
        <f t="shared" si="2"/>
        <v>66.039999999999992</v>
      </c>
      <c r="I20" s="28">
        <f t="shared" si="2"/>
        <v>66.039999999999992</v>
      </c>
      <c r="J20" s="28">
        <f t="shared" si="2"/>
        <v>66.039999999999992</v>
      </c>
      <c r="K20" s="28">
        <f t="shared" si="2"/>
        <v>66.039999999999992</v>
      </c>
    </row>
    <row r="21" spans="1:11">
      <c r="B21" s="28" t="s">
        <v>58</v>
      </c>
      <c r="C21" s="28" t="s">
        <v>58</v>
      </c>
    </row>
    <row r="22" spans="1:11">
      <c r="C22" s="28" t="s">
        <v>1537</v>
      </c>
      <c r="D22" s="28" t="s">
        <v>1538</v>
      </c>
      <c r="E22" s="28" t="s">
        <v>1538</v>
      </c>
      <c r="F22" s="28" t="s">
        <v>1538</v>
      </c>
      <c r="G22" s="28" t="s">
        <v>1538</v>
      </c>
      <c r="H22" s="28" t="s">
        <v>1538</v>
      </c>
      <c r="I22" s="28" t="s">
        <v>1538</v>
      </c>
      <c r="J22" s="28" t="s">
        <v>1538</v>
      </c>
      <c r="K22" s="28" t="s">
        <v>1538</v>
      </c>
    </row>
    <row r="23" spans="1:11">
      <c r="C23" s="28" t="s">
        <v>1539</v>
      </c>
      <c r="D23" s="28">
        <v>42</v>
      </c>
      <c r="E23" s="28">
        <v>42</v>
      </c>
      <c r="F23" s="28">
        <v>42</v>
      </c>
      <c r="G23" s="28">
        <v>44</v>
      </c>
      <c r="H23" s="28">
        <v>44</v>
      </c>
      <c r="I23" s="28">
        <v>44</v>
      </c>
      <c r="J23" s="28">
        <v>46</v>
      </c>
      <c r="K23" s="28">
        <v>46</v>
      </c>
    </row>
    <row r="24" spans="1:11">
      <c r="C24" s="28" t="s">
        <v>297</v>
      </c>
      <c r="D24" s="28" t="s">
        <v>1540</v>
      </c>
      <c r="E24" s="28" t="s">
        <v>1541</v>
      </c>
      <c r="F24" s="28" t="s">
        <v>1542</v>
      </c>
      <c r="G24" s="28" t="s">
        <v>1543</v>
      </c>
      <c r="H24" s="28" t="s">
        <v>1544</v>
      </c>
      <c r="I24" s="28" t="s">
        <v>1545</v>
      </c>
      <c r="J24" s="28" t="s">
        <v>1546</v>
      </c>
      <c r="K24" s="28" t="s">
        <v>1547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13.66406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46</v>
      </c>
      <c r="E1" s="28">
        <v>49</v>
      </c>
      <c r="F1" s="28">
        <v>52</v>
      </c>
      <c r="G1" s="28">
        <v>54</v>
      </c>
      <c r="H1" s="28">
        <v>56</v>
      </c>
      <c r="I1" s="28">
        <v>58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585</v>
      </c>
      <c r="D2" s="28">
        <v>460</v>
      </c>
      <c r="E2" s="28">
        <v>490</v>
      </c>
      <c r="F2" s="28">
        <v>520</v>
      </c>
      <c r="G2" s="28">
        <v>540</v>
      </c>
      <c r="H2" s="28">
        <v>560</v>
      </c>
      <c r="I2" s="28">
        <v>580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1720</v>
      </c>
      <c r="D3" s="28">
        <v>530</v>
      </c>
      <c r="E3" s="28">
        <v>540</v>
      </c>
      <c r="F3" s="28">
        <v>550</v>
      </c>
      <c r="G3" s="28">
        <v>560</v>
      </c>
      <c r="H3" s="28">
        <v>570</v>
      </c>
      <c r="I3" s="28">
        <v>580</v>
      </c>
      <c r="J3" s="28">
        <v>590</v>
      </c>
      <c r="K3" s="28">
        <v>605</v>
      </c>
    </row>
    <row r="4" spans="1:11">
      <c r="A4" s="28" t="s">
        <v>61</v>
      </c>
      <c r="B4" s="28" t="s">
        <v>56</v>
      </c>
      <c r="C4" s="28" t="s">
        <v>1</v>
      </c>
      <c r="D4" s="28">
        <v>372</v>
      </c>
      <c r="E4" s="28">
        <v>374</v>
      </c>
      <c r="F4" s="28">
        <v>376</v>
      </c>
      <c r="G4" s="28">
        <v>381</v>
      </c>
      <c r="H4" s="28">
        <v>387</v>
      </c>
      <c r="I4" s="28">
        <v>392</v>
      </c>
      <c r="J4" s="28">
        <v>398</v>
      </c>
      <c r="K4" s="28">
        <v>408</v>
      </c>
    </row>
    <row r="5" spans="1:11">
      <c r="A5" s="28" t="s">
        <v>74</v>
      </c>
      <c r="B5" s="28" t="s">
        <v>55</v>
      </c>
      <c r="C5" s="28" t="s">
        <v>0</v>
      </c>
      <c r="D5" s="28">
        <v>533</v>
      </c>
      <c r="E5" s="28">
        <v>542</v>
      </c>
      <c r="F5" s="28">
        <v>551</v>
      </c>
      <c r="G5" s="28">
        <v>567</v>
      </c>
      <c r="H5" s="28">
        <v>580</v>
      </c>
      <c r="I5" s="28">
        <v>596</v>
      </c>
      <c r="J5" s="28">
        <v>609</v>
      </c>
      <c r="K5" s="28">
        <v>624</v>
      </c>
    </row>
    <row r="6" spans="1:11">
      <c r="A6" s="28" t="s">
        <v>63</v>
      </c>
      <c r="B6" s="28" t="s">
        <v>65</v>
      </c>
      <c r="C6" s="28" t="s">
        <v>579</v>
      </c>
      <c r="D6" s="28">
        <v>100</v>
      </c>
      <c r="E6" s="28">
        <v>110</v>
      </c>
      <c r="F6" s="28">
        <v>120</v>
      </c>
      <c r="G6" s="28">
        <v>135</v>
      </c>
      <c r="H6" s="28">
        <v>150</v>
      </c>
      <c r="I6" s="28">
        <v>165</v>
      </c>
      <c r="J6" s="28">
        <v>180</v>
      </c>
      <c r="K6" s="28">
        <v>195</v>
      </c>
    </row>
    <row r="7" spans="1:11">
      <c r="A7" s="28" t="s">
        <v>64</v>
      </c>
      <c r="B7" s="28" t="s">
        <v>63</v>
      </c>
      <c r="C7" s="28" t="s">
        <v>971</v>
      </c>
      <c r="D7" s="28">
        <v>71.5</v>
      </c>
      <c r="E7" s="28">
        <v>71.5</v>
      </c>
      <c r="F7" s="28">
        <v>71.5</v>
      </c>
      <c r="G7" s="28">
        <v>72</v>
      </c>
      <c r="H7" s="28">
        <v>72</v>
      </c>
      <c r="I7" s="28">
        <v>72.5</v>
      </c>
      <c r="J7" s="28">
        <v>72.5</v>
      </c>
      <c r="K7" s="28">
        <v>72.5</v>
      </c>
    </row>
    <row r="8" spans="1:11">
      <c r="A8" s="28" t="s">
        <v>65</v>
      </c>
      <c r="B8" s="28" t="s">
        <v>64</v>
      </c>
      <c r="C8" s="28" t="s">
        <v>976</v>
      </c>
      <c r="D8" s="28">
        <v>73.5</v>
      </c>
      <c r="E8" s="28">
        <v>73</v>
      </c>
      <c r="F8" s="28">
        <v>72.5</v>
      </c>
      <c r="G8" s="28">
        <v>72.5</v>
      </c>
      <c r="H8" s="28">
        <v>72.5</v>
      </c>
      <c r="I8" s="28">
        <v>72.5</v>
      </c>
      <c r="J8" s="28">
        <v>72.5</v>
      </c>
      <c r="K8" s="28">
        <v>72.5</v>
      </c>
    </row>
    <row r="9" spans="1:11">
      <c r="A9" s="28" t="s">
        <v>66</v>
      </c>
      <c r="B9" s="28" t="s">
        <v>135</v>
      </c>
      <c r="C9" s="28" t="s">
        <v>1718</v>
      </c>
      <c r="D9" s="28">
        <v>580</v>
      </c>
      <c r="E9" s="28">
        <v>586</v>
      </c>
      <c r="F9" s="28">
        <v>591</v>
      </c>
      <c r="G9" s="28">
        <v>596</v>
      </c>
      <c r="H9" s="28">
        <v>606</v>
      </c>
      <c r="I9" s="28">
        <v>611</v>
      </c>
      <c r="J9" s="28">
        <v>621</v>
      </c>
      <c r="K9" s="28">
        <v>636</v>
      </c>
    </row>
    <row r="10" spans="1:11">
      <c r="A10" s="28" t="s">
        <v>67</v>
      </c>
      <c r="B10" s="28" t="s">
        <v>67</v>
      </c>
      <c r="C10" s="28" t="s">
        <v>1719</v>
      </c>
      <c r="D10" s="28">
        <v>422</v>
      </c>
      <c r="E10" s="28">
        <v>422</v>
      </c>
      <c r="F10" s="28">
        <v>422</v>
      </c>
      <c r="G10" s="28">
        <v>422</v>
      </c>
      <c r="H10" s="28">
        <v>422</v>
      </c>
      <c r="I10" s="28">
        <v>422</v>
      </c>
      <c r="J10" s="28">
        <v>422</v>
      </c>
      <c r="K10" s="28">
        <v>422</v>
      </c>
    </row>
    <row r="11" spans="1:11">
      <c r="A11" s="28" t="s">
        <v>57</v>
      </c>
      <c r="B11" s="28" t="s">
        <v>66</v>
      </c>
      <c r="C11" s="28" t="s">
        <v>177</v>
      </c>
      <c r="D11" s="28">
        <v>73</v>
      </c>
      <c r="E11" s="28">
        <v>73</v>
      </c>
      <c r="F11" s="28">
        <v>72</v>
      </c>
      <c r="G11" s="28">
        <v>72</v>
      </c>
      <c r="H11" s="28">
        <v>72</v>
      </c>
      <c r="I11" s="28">
        <v>71</v>
      </c>
      <c r="J11" s="28">
        <v>70</v>
      </c>
      <c r="K11" s="28">
        <v>70</v>
      </c>
    </row>
    <row r="12" spans="1:11">
      <c r="A12" s="28" t="s">
        <v>68</v>
      </c>
      <c r="B12" s="28" t="s">
        <v>57</v>
      </c>
      <c r="C12" s="28" t="s">
        <v>10</v>
      </c>
      <c r="D12" s="28">
        <v>991</v>
      </c>
      <c r="E12" s="28">
        <v>997</v>
      </c>
      <c r="F12" s="28">
        <v>1002</v>
      </c>
      <c r="G12" s="28">
        <v>1008</v>
      </c>
      <c r="H12" s="28">
        <v>1018</v>
      </c>
      <c r="I12" s="28">
        <v>1023</v>
      </c>
      <c r="J12" s="28">
        <v>1033</v>
      </c>
      <c r="K12" s="28">
        <v>1048</v>
      </c>
    </row>
    <row r="13" spans="1:11">
      <c r="A13" s="28" t="s">
        <v>58</v>
      </c>
      <c r="B13" s="28" t="s">
        <v>498</v>
      </c>
      <c r="C13" s="28" t="s">
        <v>181</v>
      </c>
      <c r="D13" s="28">
        <v>400</v>
      </c>
      <c r="E13" s="28">
        <v>400</v>
      </c>
      <c r="F13" s="28">
        <v>400</v>
      </c>
      <c r="G13" s="28">
        <v>400</v>
      </c>
      <c r="H13" s="28">
        <v>400</v>
      </c>
      <c r="I13" s="28">
        <v>400</v>
      </c>
      <c r="J13" s="28">
        <v>400</v>
      </c>
      <c r="K13" s="28">
        <v>400</v>
      </c>
    </row>
    <row r="14" spans="1:11">
      <c r="A14" s="28" t="s">
        <v>70</v>
      </c>
      <c r="B14" s="28" t="s">
        <v>68</v>
      </c>
      <c r="C14" s="28" t="s">
        <v>250</v>
      </c>
      <c r="D14" s="28">
        <v>47</v>
      </c>
      <c r="E14" s="28">
        <v>47</v>
      </c>
      <c r="F14" s="28">
        <v>47</v>
      </c>
      <c r="G14" s="28">
        <v>47</v>
      </c>
      <c r="H14" s="28">
        <v>47</v>
      </c>
      <c r="I14" s="28">
        <v>47</v>
      </c>
      <c r="J14" s="28">
        <v>47</v>
      </c>
      <c r="K14" s="28">
        <v>47</v>
      </c>
    </row>
    <row r="15" spans="1:11">
      <c r="A15" s="28" t="s">
        <v>71</v>
      </c>
      <c r="B15" s="28" t="s">
        <v>136</v>
      </c>
      <c r="C15" s="28" t="s">
        <v>134</v>
      </c>
      <c r="D15" s="28">
        <v>62</v>
      </c>
      <c r="E15" s="28">
        <v>62</v>
      </c>
      <c r="F15" s="28">
        <v>62</v>
      </c>
      <c r="G15" s="28">
        <v>59</v>
      </c>
      <c r="H15" s="28">
        <v>59</v>
      </c>
      <c r="I15" s="28">
        <v>56</v>
      </c>
      <c r="J15" s="28">
        <v>56</v>
      </c>
      <c r="K15" s="28">
        <v>56</v>
      </c>
    </row>
    <row r="16" spans="1:11">
      <c r="A16" s="28" t="s">
        <v>72</v>
      </c>
      <c r="B16" s="28" t="s">
        <v>58</v>
      </c>
      <c r="C16" s="28" t="s">
        <v>58</v>
      </c>
    </row>
    <row r="17" spans="1:11">
      <c r="A17" s="28" t="s">
        <v>69</v>
      </c>
      <c r="B17" s="28" t="s">
        <v>70</v>
      </c>
      <c r="C17" s="28" t="s">
        <v>70</v>
      </c>
    </row>
    <row r="18" spans="1:11">
      <c r="A18" s="28" t="s">
        <v>140</v>
      </c>
      <c r="B18" s="28" t="s">
        <v>71</v>
      </c>
      <c r="C18" s="28" t="s">
        <v>71</v>
      </c>
    </row>
    <row r="19" spans="1:11">
      <c r="A19" s="28" t="s">
        <v>141</v>
      </c>
      <c r="B19" s="28" t="s">
        <v>72</v>
      </c>
      <c r="C19" s="28" t="s">
        <v>72</v>
      </c>
    </row>
    <row r="20" spans="1:11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  <c r="K20" s="28">
        <v>700</v>
      </c>
    </row>
    <row r="21" spans="1:11">
      <c r="B21" s="28" t="s">
        <v>140</v>
      </c>
      <c r="C21" s="28" t="s">
        <v>140</v>
      </c>
      <c r="D21" s="28">
        <v>30</v>
      </c>
      <c r="E21" s="28">
        <v>30</v>
      </c>
      <c r="F21" s="28">
        <v>30</v>
      </c>
      <c r="G21" s="28">
        <v>30</v>
      </c>
      <c r="H21" s="28">
        <v>30</v>
      </c>
      <c r="I21" s="28">
        <v>30</v>
      </c>
      <c r="J21" s="28">
        <v>30</v>
      </c>
      <c r="K21" s="28">
        <v>30</v>
      </c>
    </row>
    <row r="22" spans="1:11">
      <c r="B22" s="28" t="s">
        <v>141</v>
      </c>
      <c r="C22" s="28" t="s">
        <v>141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  <c r="I22" s="28">
        <v>40</v>
      </c>
      <c r="J22" s="28">
        <v>40</v>
      </c>
      <c r="K22" s="28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I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755</v>
      </c>
      <c r="E1" s="28" t="s">
        <v>756</v>
      </c>
      <c r="F1" s="28" t="s">
        <v>757</v>
      </c>
      <c r="G1" s="28" t="s">
        <v>758</v>
      </c>
      <c r="H1" s="28" t="s">
        <v>759</v>
      </c>
    </row>
    <row r="2" spans="1:9">
      <c r="A2" s="28" t="s">
        <v>55</v>
      </c>
      <c r="B2" s="28" t="s">
        <v>61</v>
      </c>
      <c r="C2" s="28" t="s">
        <v>61</v>
      </c>
      <c r="D2" s="28">
        <v>380</v>
      </c>
      <c r="E2" s="28">
        <v>405</v>
      </c>
      <c r="F2" s="28">
        <v>460</v>
      </c>
      <c r="G2" s="28">
        <v>508</v>
      </c>
      <c r="H2" s="28">
        <v>560</v>
      </c>
    </row>
    <row r="3" spans="1:9">
      <c r="A3" s="28" t="s">
        <v>56</v>
      </c>
      <c r="B3" s="28" t="s">
        <v>63</v>
      </c>
      <c r="C3" s="28" t="s">
        <v>63</v>
      </c>
      <c r="D3" s="28">
        <v>70</v>
      </c>
      <c r="E3" s="28">
        <v>70</v>
      </c>
      <c r="F3" s="28">
        <v>70.5</v>
      </c>
      <c r="G3" s="28">
        <v>70.5</v>
      </c>
      <c r="H3" s="28">
        <v>70.5</v>
      </c>
    </row>
    <row r="4" spans="1:9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72.5</v>
      </c>
      <c r="H4" s="28">
        <v>72.5</v>
      </c>
    </row>
    <row r="5" spans="1:9">
      <c r="A5" s="28" t="s">
        <v>74</v>
      </c>
      <c r="B5" s="28" t="s">
        <v>74</v>
      </c>
      <c r="C5" s="28" t="s">
        <v>74</v>
      </c>
      <c r="D5" s="28">
        <v>545</v>
      </c>
      <c r="E5" s="28">
        <v>560</v>
      </c>
      <c r="F5" s="28">
        <v>580</v>
      </c>
      <c r="G5" s="28">
        <v>600</v>
      </c>
      <c r="H5" s="28">
        <v>620</v>
      </c>
    </row>
    <row r="6" spans="1:9">
      <c r="A6" s="28" t="s">
        <v>63</v>
      </c>
      <c r="B6" s="28" t="s">
        <v>67</v>
      </c>
      <c r="C6" s="28" t="s">
        <v>67</v>
      </c>
      <c r="D6" s="28">
        <v>444</v>
      </c>
      <c r="E6" s="28">
        <v>444</v>
      </c>
      <c r="F6" s="28">
        <v>444</v>
      </c>
      <c r="G6" s="28">
        <v>444</v>
      </c>
      <c r="H6" s="28">
        <v>444</v>
      </c>
      <c r="I6" s="28" t="s">
        <v>929</v>
      </c>
    </row>
    <row r="7" spans="1:9">
      <c r="A7" s="28" t="s">
        <v>64</v>
      </c>
      <c r="B7" s="28" t="s">
        <v>66</v>
      </c>
      <c r="C7" s="28" t="s">
        <v>66</v>
      </c>
      <c r="D7" s="28">
        <v>70</v>
      </c>
      <c r="E7" s="28">
        <v>70</v>
      </c>
      <c r="F7" s="28">
        <v>70</v>
      </c>
      <c r="G7" s="28">
        <v>70</v>
      </c>
      <c r="H7" s="28">
        <v>70</v>
      </c>
    </row>
    <row r="8" spans="1:9">
      <c r="A8" s="28" t="s">
        <v>65</v>
      </c>
      <c r="B8" s="28" t="s">
        <v>65</v>
      </c>
      <c r="C8" s="28" t="s">
        <v>65</v>
      </c>
      <c r="D8" s="28">
        <v>125</v>
      </c>
      <c r="E8" s="28">
        <v>150</v>
      </c>
      <c r="F8" s="28">
        <v>175</v>
      </c>
      <c r="G8" s="28">
        <v>205</v>
      </c>
      <c r="H8" s="28">
        <v>230</v>
      </c>
    </row>
    <row r="9" spans="1:9">
      <c r="A9" s="28" t="s">
        <v>66</v>
      </c>
      <c r="B9" s="28" t="s">
        <v>166</v>
      </c>
      <c r="C9" s="28" t="s">
        <v>166</v>
      </c>
      <c r="D9" s="28">
        <v>425</v>
      </c>
      <c r="E9" s="28">
        <v>425</v>
      </c>
      <c r="F9" s="28">
        <v>425</v>
      </c>
      <c r="G9" s="28">
        <v>425</v>
      </c>
      <c r="H9" s="28">
        <v>425</v>
      </c>
    </row>
    <row r="10" spans="1:9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50</v>
      </c>
      <c r="G10" s="28">
        <v>50</v>
      </c>
      <c r="H10" s="28">
        <v>50</v>
      </c>
    </row>
    <row r="11" spans="1:9">
      <c r="A11" s="28" t="s">
        <v>57</v>
      </c>
      <c r="B11" s="28" t="s">
        <v>136</v>
      </c>
      <c r="C11" s="28" t="s">
        <v>136</v>
      </c>
      <c r="D11" s="28">
        <v>72</v>
      </c>
      <c r="E11" s="28">
        <v>72</v>
      </c>
      <c r="F11" s="28">
        <v>74</v>
      </c>
      <c r="G11" s="28">
        <v>74</v>
      </c>
      <c r="H11" s="28">
        <v>74</v>
      </c>
    </row>
    <row r="12" spans="1:9">
      <c r="A12" s="28" t="s">
        <v>68</v>
      </c>
      <c r="B12" s="35" t="s">
        <v>55</v>
      </c>
      <c r="C12" s="35" t="s">
        <v>55</v>
      </c>
      <c r="D12" s="28">
        <v>581</v>
      </c>
      <c r="E12" s="28">
        <v>604</v>
      </c>
      <c r="F12" s="28">
        <v>632</v>
      </c>
      <c r="G12" s="28">
        <v>660</v>
      </c>
      <c r="H12" s="28">
        <v>684</v>
      </c>
    </row>
    <row r="13" spans="1:9">
      <c r="A13" s="28" t="s">
        <v>58</v>
      </c>
      <c r="B13" s="35" t="s">
        <v>56</v>
      </c>
      <c r="C13" s="35" t="s">
        <v>56</v>
      </c>
      <c r="D13" s="28">
        <v>376</v>
      </c>
      <c r="E13" s="28">
        <v>378</v>
      </c>
      <c r="F13" s="28">
        <v>385</v>
      </c>
      <c r="G13" s="28">
        <v>390</v>
      </c>
      <c r="H13" s="28">
        <v>403</v>
      </c>
    </row>
    <row r="14" spans="1:9">
      <c r="A14" s="28" t="s">
        <v>70</v>
      </c>
      <c r="B14" s="28" t="s">
        <v>58</v>
      </c>
      <c r="C14" s="28" t="s">
        <v>58</v>
      </c>
      <c r="D14" s="28">
        <v>736</v>
      </c>
      <c r="E14" s="28">
        <v>760</v>
      </c>
      <c r="F14" s="28">
        <v>799</v>
      </c>
      <c r="G14" s="28">
        <v>836</v>
      </c>
      <c r="H14" s="28">
        <v>872</v>
      </c>
    </row>
    <row r="15" spans="1:9">
      <c r="A15" s="28" t="s">
        <v>71</v>
      </c>
      <c r="B15" s="28" t="s">
        <v>135</v>
      </c>
      <c r="C15" s="28" t="s">
        <v>135</v>
      </c>
      <c r="D15" s="28">
        <v>624</v>
      </c>
      <c r="E15" s="28">
        <v>635</v>
      </c>
      <c r="F15" s="28">
        <v>641</v>
      </c>
      <c r="G15" s="28">
        <v>656</v>
      </c>
      <c r="H15" s="28">
        <v>677</v>
      </c>
    </row>
    <row r="16" spans="1:9">
      <c r="A16" s="28" t="s">
        <v>72</v>
      </c>
      <c r="B16" s="28" t="s">
        <v>57</v>
      </c>
      <c r="C16" s="28" t="s">
        <v>57</v>
      </c>
      <c r="D16" s="28">
        <v>1059</v>
      </c>
      <c r="E16" s="28">
        <v>1070</v>
      </c>
      <c r="F16" s="28">
        <v>1075</v>
      </c>
      <c r="G16" s="28">
        <v>1091</v>
      </c>
      <c r="H16" s="28">
        <v>1112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  <c r="D22" s="28">
        <f>2.8*25.4</f>
        <v>71.11999999999999</v>
      </c>
      <c r="E22" s="28">
        <f t="shared" ref="E22:H22" si="0">2.8*25.4</f>
        <v>71.11999999999999</v>
      </c>
      <c r="F22" s="28">
        <f t="shared" si="0"/>
        <v>71.11999999999999</v>
      </c>
      <c r="G22" s="28">
        <f t="shared" si="0"/>
        <v>71.11999999999999</v>
      </c>
      <c r="H22" s="28">
        <f t="shared" si="0"/>
        <v>71.11999999999999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 t="s">
        <v>416</v>
      </c>
      <c r="E1" s="28" t="s">
        <v>24</v>
      </c>
      <c r="F1" s="28" t="s">
        <v>417</v>
      </c>
      <c r="G1" s="28" t="s">
        <v>418</v>
      </c>
      <c r="H1" s="28" t="s">
        <v>26</v>
      </c>
      <c r="I1" s="28" t="s">
        <v>753</v>
      </c>
      <c r="J1" s="28" t="s">
        <v>754</v>
      </c>
    </row>
    <row r="2" spans="1:11">
      <c r="A2" s="28" t="s">
        <v>55</v>
      </c>
      <c r="B2" s="28" t="s">
        <v>61</v>
      </c>
      <c r="C2" s="28" t="s">
        <v>61</v>
      </c>
      <c r="D2" s="28">
        <v>520</v>
      </c>
      <c r="E2" s="28">
        <v>540</v>
      </c>
      <c r="F2" s="28">
        <v>560</v>
      </c>
      <c r="G2" s="28">
        <v>580</v>
      </c>
      <c r="H2" s="28">
        <v>600</v>
      </c>
      <c r="I2" s="28">
        <v>620</v>
      </c>
      <c r="J2" s="28">
        <v>640</v>
      </c>
    </row>
    <row r="3" spans="1:11">
      <c r="A3" s="28" t="s">
        <v>56</v>
      </c>
      <c r="B3" s="28" t="s">
        <v>63</v>
      </c>
      <c r="C3" s="28" t="s">
        <v>63</v>
      </c>
      <c r="D3" s="28">
        <v>71.5</v>
      </c>
      <c r="E3" s="28">
        <v>71.5</v>
      </c>
      <c r="F3" s="28">
        <v>71.5</v>
      </c>
      <c r="G3" s="28">
        <v>72</v>
      </c>
      <c r="H3" s="28">
        <v>72</v>
      </c>
      <c r="I3" s="28">
        <v>72</v>
      </c>
      <c r="J3" s="28">
        <v>72</v>
      </c>
    </row>
    <row r="4" spans="1:11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73</v>
      </c>
      <c r="H4" s="28">
        <v>73</v>
      </c>
      <c r="I4" s="28">
        <v>72.5</v>
      </c>
      <c r="J4" s="28">
        <v>72.5</v>
      </c>
    </row>
    <row r="5" spans="1:11">
      <c r="A5" s="28" t="s">
        <v>74</v>
      </c>
      <c r="B5" s="28" t="s">
        <v>74</v>
      </c>
      <c r="C5" s="28" t="s">
        <v>74</v>
      </c>
      <c r="D5" s="28">
        <v>530</v>
      </c>
      <c r="E5" s="28">
        <v>540</v>
      </c>
      <c r="F5" s="28">
        <v>555</v>
      </c>
      <c r="G5" s="28">
        <v>575</v>
      </c>
      <c r="H5" s="28">
        <v>585</v>
      </c>
      <c r="I5" s="28">
        <v>595</v>
      </c>
      <c r="J5" s="28">
        <v>610</v>
      </c>
    </row>
    <row r="6" spans="1:11">
      <c r="A6" s="28" t="s">
        <v>63</v>
      </c>
      <c r="B6" s="28" t="s">
        <v>67</v>
      </c>
      <c r="C6" s="28" t="s">
        <v>67</v>
      </c>
      <c r="D6" s="28">
        <v>432</v>
      </c>
      <c r="E6" s="28">
        <v>432</v>
      </c>
      <c r="F6" s="28">
        <v>432</v>
      </c>
      <c r="G6" s="28">
        <v>432</v>
      </c>
      <c r="H6" s="28">
        <v>432</v>
      </c>
      <c r="I6" s="28">
        <v>432</v>
      </c>
      <c r="J6" s="28">
        <v>432</v>
      </c>
      <c r="K6" s="28" t="s">
        <v>929</v>
      </c>
    </row>
    <row r="7" spans="1:11">
      <c r="A7" s="28" t="s">
        <v>64</v>
      </c>
      <c r="B7" s="28" t="s">
        <v>66</v>
      </c>
      <c r="C7" s="28" t="s">
        <v>66</v>
      </c>
      <c r="D7" s="28">
        <v>72</v>
      </c>
      <c r="E7" s="28">
        <v>72</v>
      </c>
      <c r="F7" s="28">
        <v>72</v>
      </c>
      <c r="G7" s="28">
        <v>70</v>
      </c>
      <c r="H7" s="28">
        <v>70</v>
      </c>
      <c r="I7" s="28">
        <v>70</v>
      </c>
      <c r="J7" s="28">
        <v>70</v>
      </c>
    </row>
    <row r="8" spans="1:11">
      <c r="A8" s="28" t="s">
        <v>65</v>
      </c>
      <c r="B8" s="28" t="s">
        <v>65</v>
      </c>
      <c r="C8" s="28" t="s">
        <v>65</v>
      </c>
      <c r="D8" s="28">
        <v>110</v>
      </c>
      <c r="E8" s="28">
        <v>130</v>
      </c>
      <c r="F8" s="28">
        <v>150</v>
      </c>
      <c r="G8" s="28">
        <v>170</v>
      </c>
      <c r="H8" s="28">
        <v>185</v>
      </c>
      <c r="I8" s="28">
        <v>200</v>
      </c>
      <c r="J8" s="28">
        <v>215</v>
      </c>
    </row>
    <row r="9" spans="1:11">
      <c r="A9" s="28" t="s">
        <v>66</v>
      </c>
      <c r="B9" s="28" t="s">
        <v>166</v>
      </c>
      <c r="C9" s="28" t="s">
        <v>166</v>
      </c>
      <c r="D9" s="28">
        <v>400</v>
      </c>
      <c r="E9" s="28">
        <v>400</v>
      </c>
      <c r="F9" s="28">
        <v>400</v>
      </c>
      <c r="G9" s="28">
        <v>400</v>
      </c>
      <c r="H9" s="28">
        <v>400</v>
      </c>
      <c r="I9" s="28">
        <v>400</v>
      </c>
      <c r="J9" s="28">
        <v>400</v>
      </c>
    </row>
    <row r="10" spans="1:11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  <c r="J10" s="28">
        <v>50</v>
      </c>
    </row>
    <row r="11" spans="1:11">
      <c r="A11" s="28" t="s">
        <v>57</v>
      </c>
      <c r="B11" s="28" t="s">
        <v>136</v>
      </c>
      <c r="C11" s="28" t="s">
        <v>136</v>
      </c>
      <c r="D11" s="28">
        <v>60.8</v>
      </c>
      <c r="E11" s="28">
        <v>60.8</v>
      </c>
      <c r="F11" s="28">
        <v>60.8</v>
      </c>
      <c r="G11" s="28">
        <v>62.8</v>
      </c>
      <c r="H11" s="28">
        <v>62.8</v>
      </c>
      <c r="I11" s="28">
        <v>62.8</v>
      </c>
      <c r="J11" s="28">
        <v>62.8</v>
      </c>
    </row>
    <row r="12" spans="1:11">
      <c r="A12" s="28" t="s">
        <v>68</v>
      </c>
      <c r="B12" s="28" t="s">
        <v>55</v>
      </c>
      <c r="C12" s="28" t="s">
        <v>55</v>
      </c>
      <c r="D12" s="28">
        <v>551</v>
      </c>
      <c r="E12" s="28">
        <v>570</v>
      </c>
      <c r="F12" s="28">
        <v>589</v>
      </c>
      <c r="G12" s="28">
        <v>609</v>
      </c>
      <c r="H12" s="28">
        <v>623</v>
      </c>
      <c r="I12" s="28">
        <v>638</v>
      </c>
      <c r="J12" s="28">
        <v>652</v>
      </c>
    </row>
    <row r="13" spans="1:11">
      <c r="A13" s="28" t="s">
        <v>58</v>
      </c>
      <c r="B13" s="28" t="s">
        <v>56</v>
      </c>
      <c r="C13" s="28" t="s">
        <v>56</v>
      </c>
      <c r="D13" s="28">
        <v>370</v>
      </c>
      <c r="E13" s="28">
        <v>370</v>
      </c>
      <c r="F13" s="28">
        <v>374</v>
      </c>
      <c r="G13" s="28">
        <v>388</v>
      </c>
      <c r="H13" s="28">
        <v>394</v>
      </c>
      <c r="I13" s="28">
        <v>398</v>
      </c>
      <c r="J13" s="28">
        <v>404</v>
      </c>
    </row>
    <row r="14" spans="1:11">
      <c r="A14" s="28" t="s">
        <v>70</v>
      </c>
      <c r="B14" s="28" t="s">
        <v>58</v>
      </c>
      <c r="C14" s="28" t="s">
        <v>58</v>
      </c>
      <c r="D14" s="28">
        <v>786</v>
      </c>
      <c r="E14" s="28">
        <v>802</v>
      </c>
      <c r="F14" s="28">
        <v>821</v>
      </c>
      <c r="G14" s="28">
        <v>843</v>
      </c>
      <c r="H14" s="28">
        <v>859</v>
      </c>
      <c r="I14" s="28">
        <v>875</v>
      </c>
      <c r="J14" s="28">
        <v>892</v>
      </c>
    </row>
    <row r="15" spans="1:11">
      <c r="A15" s="28" t="s">
        <v>71</v>
      </c>
      <c r="B15" s="28" t="s">
        <v>135</v>
      </c>
      <c r="C15" s="28" t="s">
        <v>135</v>
      </c>
      <c r="D15" s="28">
        <v>593</v>
      </c>
      <c r="E15" s="28">
        <v>599</v>
      </c>
      <c r="F15" s="28">
        <v>609</v>
      </c>
      <c r="G15" s="28">
        <v>620</v>
      </c>
      <c r="H15" s="28">
        <v>630</v>
      </c>
      <c r="I15" s="28">
        <v>634</v>
      </c>
      <c r="J15" s="28">
        <v>650</v>
      </c>
    </row>
    <row r="16" spans="1:11">
      <c r="A16" s="28" t="s">
        <v>72</v>
      </c>
      <c r="B16" s="28" t="s">
        <v>57</v>
      </c>
      <c r="C16" s="28" t="s">
        <v>57</v>
      </c>
      <c r="D16" s="28">
        <v>1010</v>
      </c>
      <c r="E16" s="28">
        <v>1020</v>
      </c>
      <c r="F16" s="28">
        <v>1030</v>
      </c>
      <c r="G16" s="28">
        <v>1040</v>
      </c>
      <c r="H16" s="28">
        <v>1050</v>
      </c>
      <c r="I16" s="28">
        <v>1060</v>
      </c>
      <c r="J16" s="28">
        <v>1070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</row>
    <row r="21" spans="1:10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</row>
    <row r="22" spans="1:1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  <c r="I22" s="28">
        <v>50</v>
      </c>
      <c r="J22" s="28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2" t="s">
        <v>484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2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2" t="s">
        <v>487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2" t="s">
        <v>488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496</v>
      </c>
      <c r="C6" s="22" t="s">
        <v>489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2" t="s">
        <v>490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2" t="s">
        <v>491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2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2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2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497</v>
      </c>
      <c r="C12" s="22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2" t="s">
        <v>492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2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2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2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483</v>
      </c>
      <c r="C17" s="22" t="s">
        <v>481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498</v>
      </c>
      <c r="C18" s="22" t="s">
        <v>493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499</v>
      </c>
      <c r="C26" s="22" t="s">
        <v>494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500</v>
      </c>
      <c r="C27" s="22" t="s">
        <v>495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2" t="s">
        <v>273</v>
      </c>
      <c r="D28" s="3" t="s">
        <v>485</v>
      </c>
      <c r="E28" s="3" t="s">
        <v>485</v>
      </c>
      <c r="F28" s="3" t="s">
        <v>486</v>
      </c>
      <c r="G28" s="3" t="s">
        <v>486</v>
      </c>
      <c r="H28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26.5" style="28" bestFit="1" customWidth="1"/>
    <col min="4" max="7" width="8.16406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58" t="s">
        <v>484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61</v>
      </c>
      <c r="C2" s="58" t="s">
        <v>176</v>
      </c>
      <c r="D2" s="28">
        <v>406</v>
      </c>
      <c r="E2" s="28">
        <v>457</v>
      </c>
      <c r="F2" s="28">
        <v>508</v>
      </c>
      <c r="G2" s="28">
        <v>559</v>
      </c>
    </row>
    <row r="3" spans="1:7">
      <c r="A3" s="28" t="s">
        <v>56</v>
      </c>
      <c r="B3" s="28" t="s">
        <v>74</v>
      </c>
      <c r="C3" s="58" t="s">
        <v>487</v>
      </c>
      <c r="D3" s="28">
        <v>573</v>
      </c>
      <c r="E3" s="28">
        <v>598</v>
      </c>
      <c r="F3" s="28">
        <v>622</v>
      </c>
      <c r="G3" s="28">
        <v>650</v>
      </c>
    </row>
    <row r="4" spans="1:7">
      <c r="A4" s="28" t="s">
        <v>61</v>
      </c>
      <c r="B4" s="28" t="s">
        <v>64</v>
      </c>
      <c r="C4" s="58" t="s">
        <v>488</v>
      </c>
      <c r="D4" s="28">
        <v>72</v>
      </c>
      <c r="E4" s="28">
        <v>72</v>
      </c>
      <c r="F4" s="28">
        <v>72</v>
      </c>
      <c r="G4" s="28">
        <v>72</v>
      </c>
    </row>
    <row r="5" spans="1:7">
      <c r="A5" s="28" t="s">
        <v>74</v>
      </c>
      <c r="B5" s="28" t="s">
        <v>496</v>
      </c>
      <c r="C5" s="58" t="s">
        <v>489</v>
      </c>
      <c r="D5" s="28">
        <v>74</v>
      </c>
      <c r="E5" s="28">
        <v>74</v>
      </c>
      <c r="F5" s="28">
        <v>74</v>
      </c>
      <c r="G5" s="28">
        <v>74</v>
      </c>
    </row>
    <row r="6" spans="1:7">
      <c r="A6" s="28" t="s">
        <v>63</v>
      </c>
      <c r="B6" s="28" t="s">
        <v>63</v>
      </c>
      <c r="C6" s="58" t="s">
        <v>490</v>
      </c>
      <c r="D6" s="28">
        <v>68.5</v>
      </c>
      <c r="E6" s="28">
        <v>68.5</v>
      </c>
      <c r="F6" s="28">
        <v>68.5</v>
      </c>
      <c r="G6" s="28">
        <v>68.5</v>
      </c>
    </row>
    <row r="7" spans="1:7">
      <c r="A7" s="28" t="s">
        <v>64</v>
      </c>
      <c r="B7" s="28" t="s">
        <v>65</v>
      </c>
      <c r="C7" s="58" t="s">
        <v>491</v>
      </c>
      <c r="D7" s="28">
        <v>100</v>
      </c>
      <c r="E7" s="28">
        <v>110</v>
      </c>
      <c r="F7" s="28">
        <v>125</v>
      </c>
      <c r="G7" s="28">
        <v>135</v>
      </c>
    </row>
    <row r="8" spans="1:7">
      <c r="A8" s="28" t="s">
        <v>65</v>
      </c>
      <c r="B8" s="28" t="s">
        <v>66</v>
      </c>
      <c r="C8" s="5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7">
      <c r="A9" s="28" t="s">
        <v>66</v>
      </c>
      <c r="B9" s="28" t="s">
        <v>67</v>
      </c>
      <c r="C9" s="58" t="s">
        <v>8</v>
      </c>
      <c r="D9" s="28">
        <v>450</v>
      </c>
      <c r="E9" s="28">
        <v>450</v>
      </c>
      <c r="F9" s="28">
        <v>450</v>
      </c>
      <c r="G9" s="28">
        <v>450</v>
      </c>
    </row>
    <row r="10" spans="1:7">
      <c r="A10" s="28" t="s">
        <v>67</v>
      </c>
      <c r="B10" s="28" t="s">
        <v>68</v>
      </c>
      <c r="C10" s="58" t="s">
        <v>250</v>
      </c>
      <c r="D10" s="28">
        <v>51</v>
      </c>
      <c r="E10" s="28">
        <v>51</v>
      </c>
      <c r="F10" s="28">
        <v>51</v>
      </c>
      <c r="G10" s="28">
        <v>51</v>
      </c>
    </row>
    <row r="11" spans="1:7">
      <c r="A11" s="28" t="s">
        <v>57</v>
      </c>
      <c r="B11" s="28" t="s">
        <v>136</v>
      </c>
      <c r="C11" s="58" t="s">
        <v>134</v>
      </c>
      <c r="D11" s="28">
        <v>97</v>
      </c>
      <c r="E11" s="28">
        <v>97</v>
      </c>
      <c r="F11" s="28">
        <v>97</v>
      </c>
      <c r="G11" s="28">
        <v>97</v>
      </c>
    </row>
    <row r="12" spans="1:7">
      <c r="A12" s="28" t="s">
        <v>68</v>
      </c>
      <c r="B12" s="28" t="s">
        <v>57</v>
      </c>
      <c r="C12" s="58" t="s">
        <v>492</v>
      </c>
      <c r="D12" s="28">
        <v>1111</v>
      </c>
      <c r="E12" s="28">
        <v>1135</v>
      </c>
      <c r="F12" s="28">
        <v>1160</v>
      </c>
      <c r="G12" s="28">
        <v>1188</v>
      </c>
    </row>
    <row r="13" spans="1:7">
      <c r="A13" s="28" t="s">
        <v>58</v>
      </c>
      <c r="B13" s="28" t="s">
        <v>58</v>
      </c>
      <c r="C13" s="58" t="s">
        <v>15</v>
      </c>
      <c r="D13" s="28">
        <v>775</v>
      </c>
      <c r="E13" s="28">
        <v>802</v>
      </c>
      <c r="F13" s="28">
        <v>833</v>
      </c>
      <c r="G13" s="28">
        <v>860</v>
      </c>
    </row>
    <row r="14" spans="1:7">
      <c r="A14" s="28" t="s">
        <v>70</v>
      </c>
      <c r="B14" s="28" t="s">
        <v>56</v>
      </c>
      <c r="C14" s="58" t="s">
        <v>1</v>
      </c>
      <c r="D14" s="28">
        <v>395</v>
      </c>
      <c r="E14" s="28">
        <v>415</v>
      </c>
      <c r="F14" s="28">
        <v>434</v>
      </c>
      <c r="G14" s="28">
        <v>459</v>
      </c>
    </row>
    <row r="15" spans="1:7">
      <c r="A15" s="28" t="s">
        <v>71</v>
      </c>
      <c r="B15" s="28" t="s">
        <v>55</v>
      </c>
      <c r="C15" s="58" t="s">
        <v>0</v>
      </c>
      <c r="D15" s="28">
        <v>621</v>
      </c>
      <c r="E15" s="28">
        <v>630</v>
      </c>
      <c r="F15" s="28">
        <v>644</v>
      </c>
      <c r="G15" s="28">
        <v>653</v>
      </c>
    </row>
    <row r="16" spans="1:7">
      <c r="A16" s="28" t="s">
        <v>72</v>
      </c>
      <c r="B16" s="28" t="s">
        <v>135</v>
      </c>
      <c r="C16" s="58" t="s">
        <v>481</v>
      </c>
      <c r="D16" s="28">
        <v>670</v>
      </c>
      <c r="E16" s="28">
        <v>694</v>
      </c>
      <c r="F16" s="28">
        <v>718</v>
      </c>
      <c r="G16" s="28">
        <v>747</v>
      </c>
    </row>
    <row r="17" spans="1:7">
      <c r="A17" s="28" t="s">
        <v>69</v>
      </c>
      <c r="B17" s="28" t="s">
        <v>137</v>
      </c>
      <c r="C17" s="58" t="s">
        <v>493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140</v>
      </c>
      <c r="B18" s="28" t="s">
        <v>70</v>
      </c>
      <c r="C18" s="28" t="s">
        <v>70</v>
      </c>
    </row>
    <row r="19" spans="1:7">
      <c r="A19" s="28" t="s">
        <v>141</v>
      </c>
      <c r="B19" s="28" t="s">
        <v>71</v>
      </c>
      <c r="C19" s="28" t="s">
        <v>71</v>
      </c>
    </row>
    <row r="20" spans="1:7">
      <c r="B20" s="28" t="s">
        <v>72</v>
      </c>
      <c r="C20" s="28" t="s">
        <v>72</v>
      </c>
    </row>
    <row r="21" spans="1:7">
      <c r="B21" s="28" t="s">
        <v>69</v>
      </c>
      <c r="C21" s="58" t="s">
        <v>273</v>
      </c>
      <c r="D21" s="28">
        <f>VALUE(LEFT(D27,2))</f>
        <v>29</v>
      </c>
      <c r="E21" s="28">
        <f>VALUE(LEFT(E27,2))</f>
        <v>29</v>
      </c>
      <c r="F21" s="28">
        <f>VALUE(LEFT(F27,2))</f>
        <v>29</v>
      </c>
      <c r="G21" s="28">
        <f>VALUE(LEFT(G27,2))</f>
        <v>29</v>
      </c>
    </row>
    <row r="22" spans="1:7">
      <c r="B22" s="28" t="s">
        <v>140</v>
      </c>
      <c r="C22" s="28" t="s">
        <v>140</v>
      </c>
      <c r="D22" s="28">
        <f>3*25.4</f>
        <v>76.199999999999989</v>
      </c>
      <c r="E22" s="28">
        <f t="shared" ref="E22:G23" si="0">3*25.4</f>
        <v>76.199999999999989</v>
      </c>
      <c r="F22" s="28">
        <f t="shared" si="0"/>
        <v>76.199999999999989</v>
      </c>
      <c r="G22" s="28">
        <f t="shared" si="0"/>
        <v>76.199999999999989</v>
      </c>
    </row>
    <row r="23" spans="1:7">
      <c r="B23" s="28" t="s">
        <v>141</v>
      </c>
      <c r="C23" s="28" t="s">
        <v>141</v>
      </c>
      <c r="D23" s="28">
        <f>3*25.4</f>
        <v>76.199999999999989</v>
      </c>
      <c r="E23" s="28">
        <f t="shared" si="0"/>
        <v>76.199999999999989</v>
      </c>
      <c r="F23" s="28">
        <f t="shared" si="0"/>
        <v>76.199999999999989</v>
      </c>
      <c r="G23" s="28">
        <f t="shared" si="0"/>
        <v>76.199999999999989</v>
      </c>
    </row>
    <row r="27" spans="1:7">
      <c r="C27" s="58" t="s">
        <v>273</v>
      </c>
      <c r="D27" s="28" t="s">
        <v>486</v>
      </c>
      <c r="E27" s="28" t="s">
        <v>486</v>
      </c>
      <c r="F27" s="28" t="s">
        <v>486</v>
      </c>
      <c r="G27" s="28" t="s">
        <v>486</v>
      </c>
    </row>
    <row r="28" spans="1:7">
      <c r="C28" s="58" t="s">
        <v>494</v>
      </c>
      <c r="D28" s="28">
        <v>1600</v>
      </c>
      <c r="E28" s="28">
        <v>1700</v>
      </c>
      <c r="F28" s="28">
        <v>1790</v>
      </c>
      <c r="G28" s="28">
        <v>1880</v>
      </c>
    </row>
    <row r="29" spans="1:7">
      <c r="C29" s="58" t="s">
        <v>495</v>
      </c>
      <c r="D29" s="28">
        <v>1710</v>
      </c>
      <c r="E29" s="28">
        <v>1810</v>
      </c>
      <c r="F29" s="28">
        <v>1900</v>
      </c>
      <c r="G29" s="28">
        <v>1990</v>
      </c>
    </row>
    <row r="31" spans="1:7">
      <c r="C31" s="28" t="s">
        <v>1348</v>
      </c>
      <c r="D31" s="28" t="s">
        <v>1349</v>
      </c>
      <c r="E31" s="28" t="s">
        <v>1349</v>
      </c>
      <c r="F31" s="28" t="s">
        <v>1349</v>
      </c>
      <c r="G31" s="28" t="s">
        <v>1349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8" bestFit="1" customWidth="1"/>
    <col min="3" max="3" width="26.5" style="28" bestFit="1" customWidth="1"/>
    <col min="4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484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176</v>
      </c>
      <c r="D2" s="28">
        <v>460</v>
      </c>
      <c r="E2" s="28">
        <v>490</v>
      </c>
      <c r="F2" s="28">
        <v>525</v>
      </c>
      <c r="G2" s="28">
        <v>545</v>
      </c>
      <c r="H2" s="28">
        <v>565</v>
      </c>
    </row>
    <row r="3" spans="1:8">
      <c r="A3" s="28" t="s">
        <v>56</v>
      </c>
      <c r="B3" s="28" t="s">
        <v>74</v>
      </c>
      <c r="C3" s="28" t="s">
        <v>487</v>
      </c>
      <c r="D3" s="28">
        <v>508</v>
      </c>
      <c r="E3" s="28">
        <v>522</v>
      </c>
      <c r="F3" s="28">
        <v>540</v>
      </c>
      <c r="G3" s="28">
        <v>562</v>
      </c>
      <c r="H3" s="28">
        <v>579</v>
      </c>
    </row>
    <row r="4" spans="1:8">
      <c r="A4" s="28" t="s">
        <v>61</v>
      </c>
      <c r="B4" s="28" t="s">
        <v>64</v>
      </c>
      <c r="C4" s="28" t="s">
        <v>488</v>
      </c>
      <c r="D4" s="28">
        <v>74</v>
      </c>
      <c r="E4" s="28">
        <v>74</v>
      </c>
      <c r="F4" s="28">
        <v>74</v>
      </c>
      <c r="G4" s="28">
        <v>73.5</v>
      </c>
      <c r="H4" s="28">
        <v>73.5</v>
      </c>
    </row>
    <row r="5" spans="1:8">
      <c r="A5" s="28" t="s">
        <v>74</v>
      </c>
      <c r="B5" s="28" t="s">
        <v>496</v>
      </c>
      <c r="C5" s="28" t="s">
        <v>489</v>
      </c>
      <c r="D5" s="28">
        <v>74</v>
      </c>
      <c r="E5" s="28">
        <v>74</v>
      </c>
      <c r="F5" s="28">
        <v>74</v>
      </c>
      <c r="G5" s="28">
        <v>73.5</v>
      </c>
      <c r="H5" s="28">
        <v>73.5</v>
      </c>
    </row>
    <row r="6" spans="1:8">
      <c r="A6" s="28" t="s">
        <v>63</v>
      </c>
      <c r="B6" s="28" t="s">
        <v>63</v>
      </c>
      <c r="C6" s="28" t="s">
        <v>490</v>
      </c>
      <c r="D6" s="28">
        <v>71</v>
      </c>
      <c r="E6" s="28">
        <v>71.5</v>
      </c>
      <c r="F6" s="28">
        <v>72</v>
      </c>
      <c r="G6" s="28">
        <v>72</v>
      </c>
      <c r="H6" s="28">
        <v>72</v>
      </c>
    </row>
    <row r="7" spans="1:8">
      <c r="A7" s="28" t="s">
        <v>64</v>
      </c>
      <c r="B7" s="28" t="s">
        <v>65</v>
      </c>
      <c r="C7" s="28" t="s">
        <v>491</v>
      </c>
      <c r="D7" s="28">
        <v>100</v>
      </c>
      <c r="E7" s="28">
        <v>110</v>
      </c>
      <c r="F7" s="28">
        <v>130</v>
      </c>
      <c r="G7" s="28">
        <v>150</v>
      </c>
      <c r="H7" s="28">
        <v>170</v>
      </c>
    </row>
    <row r="8" spans="1:8">
      <c r="A8" s="28" t="s">
        <v>65</v>
      </c>
      <c r="B8" s="28" t="s">
        <v>66</v>
      </c>
      <c r="C8" s="28" t="s">
        <v>177</v>
      </c>
      <c r="D8" s="28">
        <v>57</v>
      </c>
      <c r="E8" s="28">
        <v>57</v>
      </c>
      <c r="F8" s="28">
        <v>67</v>
      </c>
      <c r="G8" s="28">
        <v>67</v>
      </c>
      <c r="H8" s="28">
        <v>67</v>
      </c>
    </row>
    <row r="9" spans="1:8">
      <c r="A9" s="28" t="s">
        <v>66</v>
      </c>
      <c r="B9" s="28" t="s">
        <v>67</v>
      </c>
      <c r="C9" s="28" t="s">
        <v>8</v>
      </c>
      <c r="D9" s="28">
        <v>410</v>
      </c>
      <c r="E9" s="28">
        <v>410</v>
      </c>
      <c r="F9" s="28">
        <v>425</v>
      </c>
      <c r="G9" s="28">
        <v>425</v>
      </c>
      <c r="H9" s="28">
        <v>425</v>
      </c>
    </row>
    <row r="10" spans="1:8">
      <c r="A10" s="28" t="s">
        <v>67</v>
      </c>
      <c r="B10" s="28" t="s">
        <v>68</v>
      </c>
      <c r="C10" s="28" t="s">
        <v>250</v>
      </c>
      <c r="D10" s="28">
        <v>48</v>
      </c>
      <c r="E10" s="28">
        <v>48</v>
      </c>
      <c r="F10" s="28">
        <v>48</v>
      </c>
      <c r="G10" s="28">
        <v>48</v>
      </c>
      <c r="H10" s="28">
        <v>48</v>
      </c>
    </row>
    <row r="11" spans="1:8">
      <c r="A11" s="28" t="s">
        <v>57</v>
      </c>
      <c r="B11" s="28" t="s">
        <v>136</v>
      </c>
      <c r="C11" s="28" t="s">
        <v>134</v>
      </c>
      <c r="D11" s="28">
        <v>65</v>
      </c>
      <c r="E11" s="28">
        <v>62</v>
      </c>
      <c r="F11" s="28">
        <v>64</v>
      </c>
      <c r="G11" s="28">
        <v>64</v>
      </c>
      <c r="H11" s="28">
        <v>64</v>
      </c>
    </row>
    <row r="12" spans="1:8">
      <c r="A12" s="28" t="s">
        <v>68</v>
      </c>
      <c r="B12" s="28" t="s">
        <v>57</v>
      </c>
      <c r="C12" s="28" t="s">
        <v>492</v>
      </c>
      <c r="D12" s="28">
        <v>975</v>
      </c>
      <c r="E12" s="28">
        <v>985</v>
      </c>
      <c r="F12" s="28">
        <v>1010</v>
      </c>
      <c r="G12" s="28">
        <v>1027</v>
      </c>
      <c r="H12" s="28">
        <v>1045</v>
      </c>
    </row>
    <row r="13" spans="1:8">
      <c r="A13" s="28" t="s">
        <v>58</v>
      </c>
      <c r="B13" s="28" t="s">
        <v>58</v>
      </c>
      <c r="C13" s="28" t="s">
        <v>15</v>
      </c>
      <c r="D13" s="28">
        <v>731</v>
      </c>
      <c r="E13" s="28">
        <v>751</v>
      </c>
      <c r="F13" s="28">
        <v>802</v>
      </c>
      <c r="G13" s="28">
        <v>820</v>
      </c>
      <c r="H13" s="28">
        <v>840</v>
      </c>
    </row>
    <row r="14" spans="1:8">
      <c r="A14" s="28" t="s">
        <v>70</v>
      </c>
      <c r="B14" s="28" t="s">
        <v>56</v>
      </c>
      <c r="C14" s="28" t="s">
        <v>1</v>
      </c>
      <c r="D14" s="28">
        <v>358</v>
      </c>
      <c r="E14" s="28">
        <v>369</v>
      </c>
      <c r="F14" s="28">
        <v>378</v>
      </c>
      <c r="G14" s="28">
        <v>389</v>
      </c>
      <c r="H14" s="28">
        <v>400</v>
      </c>
    </row>
    <row r="15" spans="1:8">
      <c r="A15" s="28" t="s">
        <v>71</v>
      </c>
      <c r="B15" s="28" t="s">
        <v>55</v>
      </c>
      <c r="C15" s="28" t="s">
        <v>0</v>
      </c>
      <c r="D15" s="28">
        <v>523</v>
      </c>
      <c r="E15" s="28">
        <v>534</v>
      </c>
      <c r="F15" s="28">
        <v>565</v>
      </c>
      <c r="G15" s="28">
        <v>584</v>
      </c>
      <c r="H15" s="28">
        <v>603</v>
      </c>
    </row>
    <row r="16" spans="1:8">
      <c r="A16" s="28" t="s">
        <v>72</v>
      </c>
      <c r="B16" s="28" t="s">
        <v>135</v>
      </c>
      <c r="C16" s="28" t="s">
        <v>481</v>
      </c>
      <c r="D16" s="28">
        <v>572</v>
      </c>
      <c r="E16" s="28">
        <v>582</v>
      </c>
      <c r="F16" s="28">
        <v>594</v>
      </c>
      <c r="G16" s="28">
        <v>611</v>
      </c>
      <c r="H16" s="28">
        <v>629</v>
      </c>
    </row>
    <row r="17" spans="1:8">
      <c r="A17" s="28" t="s">
        <v>69</v>
      </c>
      <c r="B17" s="28" t="s">
        <v>137</v>
      </c>
      <c r="C17" s="28" t="s">
        <v>493</v>
      </c>
      <c r="D17" s="28">
        <v>395</v>
      </c>
      <c r="E17" s="28">
        <v>395</v>
      </c>
      <c r="F17" s="28">
        <v>395</v>
      </c>
      <c r="G17" s="28">
        <v>395</v>
      </c>
      <c r="H17" s="28">
        <v>395</v>
      </c>
    </row>
    <row r="18" spans="1:8">
      <c r="A18" s="28" t="s">
        <v>140</v>
      </c>
      <c r="B18" s="28" t="s">
        <v>1350</v>
      </c>
      <c r="C18" s="28" t="s">
        <v>494</v>
      </c>
      <c r="D18" s="28">
        <v>1500</v>
      </c>
      <c r="E18" s="28">
        <v>1600</v>
      </c>
      <c r="F18" s="28">
        <v>1700</v>
      </c>
      <c r="G18" s="28">
        <v>1790</v>
      </c>
      <c r="H18" s="28">
        <v>1880</v>
      </c>
    </row>
    <row r="19" spans="1:8">
      <c r="A19" s="28" t="s">
        <v>141</v>
      </c>
      <c r="B19" s="28" t="s">
        <v>1351</v>
      </c>
      <c r="C19" s="28" t="s">
        <v>495</v>
      </c>
      <c r="D19" s="28">
        <v>1610</v>
      </c>
      <c r="E19" s="28">
        <v>1710</v>
      </c>
      <c r="F19" s="28">
        <v>1810</v>
      </c>
      <c r="G19" s="28">
        <v>1900</v>
      </c>
      <c r="H19" s="28">
        <v>1990</v>
      </c>
    </row>
    <row r="20" spans="1:8">
      <c r="B20" s="28" t="s">
        <v>70</v>
      </c>
      <c r="C20" s="28" t="s">
        <v>70</v>
      </c>
    </row>
    <row r="21" spans="1:8">
      <c r="B21" s="28" t="s">
        <v>71</v>
      </c>
      <c r="C21" s="28" t="s">
        <v>71</v>
      </c>
    </row>
    <row r="22" spans="1:8">
      <c r="B22" s="28" t="s">
        <v>72</v>
      </c>
      <c r="C22" s="28" t="s">
        <v>72</v>
      </c>
    </row>
    <row r="23" spans="1:8">
      <c r="B23" s="28" t="s">
        <v>69</v>
      </c>
      <c r="C23" s="28" t="s">
        <v>69</v>
      </c>
      <c r="D23" s="28">
        <v>650</v>
      </c>
      <c r="E23" s="28">
        <v>650</v>
      </c>
      <c r="F23" s="28">
        <v>700</v>
      </c>
      <c r="G23" s="28">
        <v>700</v>
      </c>
      <c r="H23" s="28">
        <v>700</v>
      </c>
    </row>
    <row r="24" spans="1:8">
      <c r="B24" s="28" t="s">
        <v>140</v>
      </c>
      <c r="C24" s="28" t="s">
        <v>140</v>
      </c>
      <c r="D24" s="28">
        <v>42</v>
      </c>
      <c r="E24" s="28">
        <v>42</v>
      </c>
      <c r="F24" s="28">
        <v>40</v>
      </c>
      <c r="G24" s="28">
        <v>40</v>
      </c>
      <c r="H24" s="28">
        <v>40</v>
      </c>
    </row>
    <row r="25" spans="1:8">
      <c r="B25" s="28" t="s">
        <v>141</v>
      </c>
      <c r="C25" s="28" t="s">
        <v>141</v>
      </c>
      <c r="D25" s="28">
        <v>42</v>
      </c>
      <c r="E25" s="28">
        <v>42</v>
      </c>
      <c r="F25" s="28">
        <v>42</v>
      </c>
      <c r="G25" s="28">
        <v>42</v>
      </c>
      <c r="H25" s="28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.33203125" style="28" bestFit="1" customWidth="1"/>
    <col min="4" max="4" width="8.83203125" style="28" bestFit="1" customWidth="1"/>
    <col min="5" max="7" width="11.6640625" style="28" bestFit="1" customWidth="1"/>
    <col min="8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33" t="s">
        <v>144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55</v>
      </c>
      <c r="C2" s="28" t="s">
        <v>145</v>
      </c>
      <c r="D2" s="28">
        <v>525</v>
      </c>
      <c r="E2" s="28">
        <v>550</v>
      </c>
      <c r="F2" s="28">
        <v>580</v>
      </c>
      <c r="G2" s="28">
        <v>610</v>
      </c>
      <c r="H2" s="28">
        <v>640</v>
      </c>
    </row>
    <row r="3" spans="1:8">
      <c r="A3" s="28" t="s">
        <v>56</v>
      </c>
      <c r="B3" s="28" t="s">
        <v>56</v>
      </c>
      <c r="C3" s="28" t="s">
        <v>146</v>
      </c>
      <c r="D3" s="28">
        <v>390</v>
      </c>
      <c r="E3" s="28">
        <v>400</v>
      </c>
      <c r="F3" s="28">
        <v>410</v>
      </c>
      <c r="G3" s="28">
        <v>420</v>
      </c>
      <c r="H3" s="28">
        <v>430</v>
      </c>
    </row>
    <row r="4" spans="1:8">
      <c r="A4" s="28" t="s">
        <v>61</v>
      </c>
      <c r="B4" s="28" t="s">
        <v>61</v>
      </c>
      <c r="C4" s="28" t="s">
        <v>147</v>
      </c>
      <c r="D4" s="28">
        <v>430</v>
      </c>
      <c r="E4" s="28">
        <v>445</v>
      </c>
      <c r="F4" s="28">
        <v>475</v>
      </c>
      <c r="G4" s="28">
        <v>505</v>
      </c>
      <c r="H4" s="28">
        <v>540</v>
      </c>
    </row>
    <row r="5" spans="1:8">
      <c r="A5" s="28" t="s">
        <v>74</v>
      </c>
      <c r="B5" s="28" t="s">
        <v>74</v>
      </c>
      <c r="C5" s="28" t="s">
        <v>148</v>
      </c>
      <c r="D5" s="28">
        <v>540</v>
      </c>
      <c r="E5" s="28">
        <v>558</v>
      </c>
      <c r="F5" s="28">
        <v>576</v>
      </c>
      <c r="G5" s="28">
        <v>595</v>
      </c>
      <c r="H5" s="28">
        <v>614</v>
      </c>
    </row>
    <row r="6" spans="1:8">
      <c r="A6" s="28" t="s">
        <v>63</v>
      </c>
      <c r="B6" s="28" t="s">
        <v>65</v>
      </c>
      <c r="C6" s="28" t="s">
        <v>149</v>
      </c>
      <c r="D6" s="28">
        <v>92</v>
      </c>
      <c r="E6" s="28">
        <v>118</v>
      </c>
      <c r="F6" s="28">
        <v>150</v>
      </c>
      <c r="G6" s="28">
        <v>182</v>
      </c>
      <c r="H6" s="28">
        <v>214</v>
      </c>
    </row>
    <row r="7" spans="1:8">
      <c r="A7" s="28" t="s">
        <v>64</v>
      </c>
      <c r="B7" s="28" t="s">
        <v>64</v>
      </c>
      <c r="C7" s="28" t="s">
        <v>150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</row>
    <row r="8" spans="1:8">
      <c r="A8" s="28" t="s">
        <v>65</v>
      </c>
      <c r="B8" s="28" t="s">
        <v>63</v>
      </c>
      <c r="C8" s="28" t="s">
        <v>151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</row>
    <row r="9" spans="1:8">
      <c r="A9" s="28" t="s">
        <v>66</v>
      </c>
      <c r="B9" s="28" t="s">
        <v>67</v>
      </c>
      <c r="C9" s="28" t="s">
        <v>152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67</v>
      </c>
      <c r="B10" s="28" t="s">
        <v>135</v>
      </c>
      <c r="C10" s="28" t="s">
        <v>153</v>
      </c>
      <c r="D10" s="28">
        <v>608</v>
      </c>
      <c r="E10" s="28">
        <v>626</v>
      </c>
      <c r="F10" s="28">
        <v>647</v>
      </c>
      <c r="G10" s="28">
        <v>668</v>
      </c>
      <c r="H10" s="28">
        <v>689</v>
      </c>
    </row>
    <row r="11" spans="1:8">
      <c r="A11" s="28" t="s">
        <v>57</v>
      </c>
      <c r="B11" s="28" t="s">
        <v>57</v>
      </c>
      <c r="C11" s="28" t="s">
        <v>154</v>
      </c>
      <c r="D11" s="28">
        <v>1028</v>
      </c>
      <c r="E11" s="28">
        <v>1047</v>
      </c>
      <c r="F11" s="28">
        <v>1068</v>
      </c>
      <c r="G11" s="28">
        <v>1089</v>
      </c>
      <c r="H11" s="28">
        <v>1110</v>
      </c>
    </row>
    <row r="12" spans="1:8">
      <c r="A12" s="28" t="s">
        <v>68</v>
      </c>
      <c r="B12" s="28" t="s">
        <v>66</v>
      </c>
      <c r="C12" s="28" t="s">
        <v>155</v>
      </c>
      <c r="D12" s="28">
        <v>69</v>
      </c>
      <c r="E12" s="28">
        <v>69</v>
      </c>
      <c r="F12" s="28">
        <v>69</v>
      </c>
      <c r="G12" s="28">
        <v>69</v>
      </c>
      <c r="H12" s="28">
        <v>69</v>
      </c>
    </row>
    <row r="13" spans="1:8">
      <c r="A13" s="28" t="s">
        <v>58</v>
      </c>
      <c r="B13" s="28" t="s">
        <v>498</v>
      </c>
      <c r="C13" s="28" t="s">
        <v>156</v>
      </c>
      <c r="D13" s="28">
        <v>410</v>
      </c>
      <c r="E13" s="28">
        <v>410</v>
      </c>
      <c r="F13" s="28">
        <v>410</v>
      </c>
      <c r="G13" s="28">
        <v>410</v>
      </c>
      <c r="H13" s="28">
        <v>410</v>
      </c>
    </row>
    <row r="14" spans="1:8">
      <c r="A14" s="28" t="s">
        <v>70</v>
      </c>
      <c r="B14" s="28" t="s">
        <v>68</v>
      </c>
      <c r="C14" s="28" t="s">
        <v>157</v>
      </c>
      <c r="D14" s="28">
        <v>45</v>
      </c>
      <c r="E14" s="28">
        <v>45</v>
      </c>
      <c r="F14" s="28">
        <v>45</v>
      </c>
      <c r="G14" s="28">
        <v>45</v>
      </c>
      <c r="H14" s="28">
        <v>45</v>
      </c>
    </row>
    <row r="15" spans="1:8">
      <c r="A15" s="28" t="s">
        <v>71</v>
      </c>
      <c r="B15" s="28" t="s">
        <v>136</v>
      </c>
      <c r="C15" s="28" t="s">
        <v>158</v>
      </c>
      <c r="D15" s="28">
        <v>78</v>
      </c>
      <c r="E15" s="28">
        <v>78</v>
      </c>
      <c r="F15" s="28">
        <v>78</v>
      </c>
      <c r="G15" s="28">
        <v>78</v>
      </c>
      <c r="H15" s="28">
        <v>78</v>
      </c>
    </row>
    <row r="16" spans="1:8">
      <c r="A16" s="28" t="s">
        <v>72</v>
      </c>
      <c r="B16" s="28" t="s">
        <v>70</v>
      </c>
      <c r="C16" s="28" t="s">
        <v>159</v>
      </c>
      <c r="D16" s="28">
        <v>170</v>
      </c>
      <c r="E16" s="28">
        <v>170</v>
      </c>
      <c r="F16" s="28">
        <v>172.5</v>
      </c>
      <c r="G16" s="28">
        <v>172.5</v>
      </c>
      <c r="H16" s="28">
        <v>175</v>
      </c>
    </row>
    <row r="17" spans="1:8">
      <c r="A17" s="28" t="s">
        <v>69</v>
      </c>
      <c r="B17" s="28" t="s">
        <v>72</v>
      </c>
      <c r="C17" s="28" t="s">
        <v>160</v>
      </c>
      <c r="D17" s="28">
        <v>70</v>
      </c>
      <c r="E17" s="28">
        <v>70</v>
      </c>
      <c r="F17" s="28">
        <v>70</v>
      </c>
      <c r="G17" s="28">
        <v>80</v>
      </c>
      <c r="H17" s="28">
        <v>80</v>
      </c>
    </row>
    <row r="18" spans="1:8">
      <c r="A18" s="28" t="s">
        <v>140</v>
      </c>
      <c r="B18" s="28" t="s">
        <v>184</v>
      </c>
      <c r="C18" s="28" t="s">
        <v>180</v>
      </c>
      <c r="D18" s="28">
        <v>6</v>
      </c>
      <c r="E18" s="28">
        <v>6</v>
      </c>
      <c r="F18" s="28">
        <v>6</v>
      </c>
      <c r="G18" s="28">
        <v>6</v>
      </c>
      <c r="H18" s="28">
        <v>6</v>
      </c>
    </row>
    <row r="19" spans="1:8">
      <c r="A19" s="28" t="s">
        <v>141</v>
      </c>
      <c r="B19" s="28" t="s">
        <v>71</v>
      </c>
      <c r="C19" s="28" t="s">
        <v>161</v>
      </c>
      <c r="D19" s="28">
        <v>420</v>
      </c>
      <c r="E19" s="28">
        <v>420</v>
      </c>
      <c r="F19" s="28">
        <v>420</v>
      </c>
      <c r="G19" s="28">
        <v>440</v>
      </c>
      <c r="H19" s="28">
        <v>440</v>
      </c>
    </row>
    <row r="20" spans="1:8">
      <c r="B20" s="28" t="s">
        <v>167</v>
      </c>
      <c r="C20" s="28" t="s">
        <v>162</v>
      </c>
      <c r="D20" s="28">
        <v>130</v>
      </c>
      <c r="E20" s="28">
        <v>130</v>
      </c>
      <c r="F20" s="28">
        <v>130</v>
      </c>
      <c r="G20" s="28">
        <v>130</v>
      </c>
      <c r="H20" s="28">
        <v>130</v>
      </c>
    </row>
    <row r="21" spans="1:8">
      <c r="B21" s="28" t="s">
        <v>168</v>
      </c>
      <c r="C21" s="28" t="s">
        <v>163</v>
      </c>
      <c r="D21" s="28">
        <v>70</v>
      </c>
      <c r="E21" s="28">
        <v>70</v>
      </c>
      <c r="F21" s="28">
        <v>70</v>
      </c>
      <c r="G21" s="28">
        <v>70</v>
      </c>
      <c r="H21" s="28">
        <v>70</v>
      </c>
    </row>
    <row r="22" spans="1:8">
      <c r="B22" s="28" t="s">
        <v>1717</v>
      </c>
      <c r="C22" s="28" t="s">
        <v>1716</v>
      </c>
      <c r="D22" s="28">
        <v>15</v>
      </c>
      <c r="E22" s="28">
        <v>15</v>
      </c>
      <c r="F22" s="28">
        <v>15</v>
      </c>
      <c r="G22" s="28">
        <v>15</v>
      </c>
      <c r="H22" s="28">
        <v>15</v>
      </c>
    </row>
    <row r="23" spans="1:8">
      <c r="B23" s="28" t="s">
        <v>58</v>
      </c>
      <c r="C23" s="28" t="s">
        <v>164</v>
      </c>
      <c r="D23" s="28">
        <v>720</v>
      </c>
      <c r="E23" s="28">
        <v>738</v>
      </c>
      <c r="F23" s="28">
        <v>768</v>
      </c>
      <c r="G23" s="28">
        <v>797</v>
      </c>
      <c r="H23" s="28">
        <v>830</v>
      </c>
    </row>
    <row r="24" spans="1:8">
      <c r="B24" s="28" t="s">
        <v>1347</v>
      </c>
      <c r="C24" s="28" t="s">
        <v>165</v>
      </c>
      <c r="D24" s="28">
        <v>350</v>
      </c>
      <c r="E24" s="28">
        <v>350</v>
      </c>
      <c r="F24" s="28">
        <v>350</v>
      </c>
      <c r="G24" s="28">
        <v>350</v>
      </c>
      <c r="H24" s="28">
        <v>350</v>
      </c>
    </row>
    <row r="25" spans="1:8">
      <c r="B25" s="28" t="s">
        <v>69</v>
      </c>
      <c r="C25" s="28" t="s">
        <v>69</v>
      </c>
      <c r="D25" s="28">
        <v>700</v>
      </c>
      <c r="E25" s="28">
        <v>700</v>
      </c>
      <c r="F25" s="28">
        <v>700</v>
      </c>
      <c r="G25" s="28">
        <v>700</v>
      </c>
      <c r="H25" s="28">
        <v>700</v>
      </c>
    </row>
    <row r="26" spans="1:8">
      <c r="B26" s="28" t="s">
        <v>140</v>
      </c>
      <c r="C26" s="28" t="s">
        <v>140</v>
      </c>
      <c r="D26" s="28">
        <v>45</v>
      </c>
      <c r="E26" s="28">
        <v>45</v>
      </c>
      <c r="F26" s="28">
        <v>45</v>
      </c>
      <c r="G26" s="28">
        <v>45</v>
      </c>
      <c r="H26" s="28">
        <v>45</v>
      </c>
    </row>
    <row r="27" spans="1:8">
      <c r="B27" s="28" t="s">
        <v>141</v>
      </c>
      <c r="C27" s="28" t="s">
        <v>141</v>
      </c>
      <c r="D27" s="28">
        <v>45</v>
      </c>
      <c r="E27" s="28">
        <v>45</v>
      </c>
      <c r="F27" s="28">
        <v>45</v>
      </c>
      <c r="G27" s="28">
        <v>45</v>
      </c>
      <c r="H27" s="28">
        <v>45</v>
      </c>
    </row>
    <row r="29" spans="1:8">
      <c r="C29" s="51" t="s">
        <v>144</v>
      </c>
      <c r="D29" s="51" t="s">
        <v>17</v>
      </c>
      <c r="E29" s="51" t="s">
        <v>18</v>
      </c>
      <c r="F29" s="51" t="s">
        <v>19</v>
      </c>
      <c r="G29" s="51" t="s">
        <v>20</v>
      </c>
      <c r="H29" s="51" t="s">
        <v>21</v>
      </c>
    </row>
    <row r="30" spans="1:8">
      <c r="C30" t="s">
        <v>1049</v>
      </c>
      <c r="D30" t="s">
        <v>1711</v>
      </c>
      <c r="E30" t="s">
        <v>1712</v>
      </c>
      <c r="F30" t="s">
        <v>1713</v>
      </c>
      <c r="G30" t="s">
        <v>1714</v>
      </c>
      <c r="H30" t="s">
        <v>1715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8" t="s">
        <v>73</v>
      </c>
      <c r="B1" s="28" t="s">
        <v>73</v>
      </c>
      <c r="C1" s="33" t="s">
        <v>144</v>
      </c>
      <c r="D1" s="33" t="s">
        <v>19</v>
      </c>
    </row>
    <row r="2" spans="1:4" ht="20">
      <c r="A2" s="28" t="s">
        <v>55</v>
      </c>
      <c r="B2" s="28" t="s">
        <v>55</v>
      </c>
      <c r="C2" s="28" t="s">
        <v>145</v>
      </c>
      <c r="D2" s="28">
        <v>583.6</v>
      </c>
    </row>
    <row r="3" spans="1:4" ht="20">
      <c r="A3" s="28" t="s">
        <v>56</v>
      </c>
      <c r="B3" s="28" t="s">
        <v>56</v>
      </c>
      <c r="C3" s="28" t="s">
        <v>146</v>
      </c>
      <c r="D3" s="28">
        <v>404.9</v>
      </c>
    </row>
    <row r="4" spans="1:4" ht="20">
      <c r="A4" s="28" t="s">
        <v>61</v>
      </c>
      <c r="B4" s="28" t="s">
        <v>61</v>
      </c>
      <c r="C4" s="28" t="s">
        <v>147</v>
      </c>
      <c r="D4" s="28">
        <v>475</v>
      </c>
    </row>
    <row r="5" spans="1:4" ht="20">
      <c r="A5" s="28" t="s">
        <v>74</v>
      </c>
      <c r="B5" s="28" t="s">
        <v>74</v>
      </c>
      <c r="C5" s="28" t="s">
        <v>148</v>
      </c>
      <c r="D5" s="28">
        <v>577.79999999999995</v>
      </c>
    </row>
    <row r="6" spans="1:4" ht="20">
      <c r="A6" s="28" t="s">
        <v>63</v>
      </c>
      <c r="B6" s="28" t="s">
        <v>65</v>
      </c>
      <c r="C6" s="28" t="s">
        <v>149</v>
      </c>
      <c r="D6" s="28">
        <v>150</v>
      </c>
    </row>
    <row r="7" spans="1:4" ht="20">
      <c r="A7" s="28" t="s">
        <v>64</v>
      </c>
      <c r="B7" s="28" t="s">
        <v>64</v>
      </c>
      <c r="C7" s="28" t="s">
        <v>150</v>
      </c>
      <c r="D7" s="28">
        <v>73.5</v>
      </c>
    </row>
    <row r="8" spans="1:4" ht="20">
      <c r="A8" s="28" t="s">
        <v>65</v>
      </c>
      <c r="B8" s="28" t="s">
        <v>63</v>
      </c>
      <c r="C8" s="28" t="s">
        <v>151</v>
      </c>
      <c r="D8" s="28">
        <v>69.5</v>
      </c>
    </row>
    <row r="9" spans="1:4" ht="20">
      <c r="A9" s="28" t="s">
        <v>66</v>
      </c>
      <c r="B9" s="28" t="s">
        <v>67</v>
      </c>
      <c r="C9" s="28" t="s">
        <v>152</v>
      </c>
      <c r="D9" s="28">
        <v>429.5</v>
      </c>
    </row>
    <row r="10" spans="1:4" ht="20">
      <c r="A10" s="28" t="s">
        <v>67</v>
      </c>
      <c r="B10" s="28" t="s">
        <v>135</v>
      </c>
      <c r="C10" s="28" t="s">
        <v>153</v>
      </c>
      <c r="D10" s="28">
        <v>647</v>
      </c>
    </row>
    <row r="11" spans="1:4" ht="20">
      <c r="A11" s="28" t="s">
        <v>57</v>
      </c>
      <c r="B11" s="28" t="s">
        <v>57</v>
      </c>
      <c r="C11" s="28" t="s">
        <v>154</v>
      </c>
      <c r="D11" s="28">
        <v>1071.5</v>
      </c>
    </row>
    <row r="12" spans="1:4" ht="20">
      <c r="A12" s="28" t="s">
        <v>68</v>
      </c>
      <c r="B12" s="28" t="s">
        <v>66</v>
      </c>
      <c r="C12" s="28" t="s">
        <v>155</v>
      </c>
      <c r="D12" s="28">
        <v>72.2</v>
      </c>
    </row>
    <row r="13" spans="1:4" ht="20">
      <c r="A13" s="28" t="s">
        <v>58</v>
      </c>
      <c r="B13" s="28" t="s">
        <v>498</v>
      </c>
      <c r="C13" s="28" t="s">
        <v>156</v>
      </c>
      <c r="D13" s="28">
        <v>420</v>
      </c>
    </row>
    <row r="14" spans="1:4" ht="20">
      <c r="A14" s="28" t="s">
        <v>70</v>
      </c>
      <c r="B14" s="28" t="s">
        <v>68</v>
      </c>
      <c r="C14" s="28" t="s">
        <v>157</v>
      </c>
      <c r="D14" s="28">
        <v>45</v>
      </c>
    </row>
    <row r="15" spans="1:4" ht="20">
      <c r="A15" s="28" t="s">
        <v>71</v>
      </c>
      <c r="B15" s="28" t="s">
        <v>136</v>
      </c>
      <c r="C15" s="28" t="s">
        <v>158</v>
      </c>
      <c r="D15" s="28">
        <v>78</v>
      </c>
    </row>
    <row r="16" spans="1:4" ht="20">
      <c r="A16" s="28" t="s">
        <v>72</v>
      </c>
      <c r="B16" s="28" t="s">
        <v>70</v>
      </c>
      <c r="C16" s="28" t="s">
        <v>159</v>
      </c>
      <c r="D16" s="28">
        <v>172.5</v>
      </c>
    </row>
    <row r="17" spans="1:4" ht="20">
      <c r="A17" s="28" t="s">
        <v>69</v>
      </c>
      <c r="B17" s="28" t="s">
        <v>72</v>
      </c>
      <c r="C17" s="28" t="s">
        <v>160</v>
      </c>
      <c r="D17" s="28">
        <v>70</v>
      </c>
    </row>
    <row r="18" spans="1:4" ht="20">
      <c r="A18" s="28" t="s">
        <v>140</v>
      </c>
      <c r="B18" s="28" t="s">
        <v>184</v>
      </c>
      <c r="C18" s="28" t="s">
        <v>180</v>
      </c>
      <c r="D18" s="28">
        <v>6</v>
      </c>
    </row>
    <row r="19" spans="1:4" ht="20">
      <c r="A19" s="28" t="s">
        <v>141</v>
      </c>
      <c r="B19" s="28" t="s">
        <v>71</v>
      </c>
      <c r="C19" s="28" t="s">
        <v>161</v>
      </c>
      <c r="D19" s="28">
        <v>420</v>
      </c>
    </row>
    <row r="20" spans="1:4" ht="20">
      <c r="A20" s="28"/>
      <c r="B20" s="28" t="s">
        <v>167</v>
      </c>
      <c r="C20" s="28" t="s">
        <v>162</v>
      </c>
      <c r="D20" s="28">
        <v>130</v>
      </c>
    </row>
    <row r="21" spans="1:4" ht="20">
      <c r="A21" s="28"/>
      <c r="B21" s="28" t="s">
        <v>168</v>
      </c>
      <c r="C21" s="28" t="s">
        <v>163</v>
      </c>
      <c r="D21" s="28">
        <v>70</v>
      </c>
    </row>
    <row r="22" spans="1:4" ht="20">
      <c r="A22" s="28"/>
      <c r="B22" s="28" t="s">
        <v>1717</v>
      </c>
      <c r="C22" s="28" t="s">
        <v>1716</v>
      </c>
      <c r="D22" s="28">
        <v>15</v>
      </c>
    </row>
    <row r="23" spans="1:4" ht="20">
      <c r="A23" s="28"/>
      <c r="B23" s="28" t="s">
        <v>58</v>
      </c>
      <c r="C23" s="28" t="s">
        <v>164</v>
      </c>
      <c r="D23" s="28">
        <v>768</v>
      </c>
    </row>
    <row r="24" spans="1:4" ht="20">
      <c r="A24" s="28"/>
      <c r="B24" s="28" t="s">
        <v>1347</v>
      </c>
      <c r="C24" s="28" t="s">
        <v>165</v>
      </c>
      <c r="D24" s="28">
        <v>350</v>
      </c>
    </row>
    <row r="25" spans="1:4" ht="20">
      <c r="A25" s="28"/>
      <c r="B25" s="28" t="s">
        <v>69</v>
      </c>
      <c r="C25" s="28" t="s">
        <v>69</v>
      </c>
      <c r="D25" s="28">
        <v>700</v>
      </c>
    </row>
    <row r="26" spans="1:4" ht="20">
      <c r="A26" s="28"/>
      <c r="B26" s="28" t="s">
        <v>140</v>
      </c>
      <c r="C26" s="28" t="s">
        <v>140</v>
      </c>
      <c r="D26" s="28">
        <v>45</v>
      </c>
    </row>
    <row r="27" spans="1:4" ht="20">
      <c r="A27" s="28"/>
      <c r="B27" s="28" t="s">
        <v>141</v>
      </c>
      <c r="C27" s="28" t="s">
        <v>141</v>
      </c>
      <c r="D27" s="28">
        <v>45</v>
      </c>
    </row>
    <row r="28" spans="1:4" ht="20">
      <c r="A28" s="28"/>
      <c r="B28" s="28"/>
      <c r="C28" s="28"/>
      <c r="D28" s="28"/>
    </row>
    <row r="29" spans="1:4" ht="20">
      <c r="A29" s="28"/>
      <c r="B29" s="28"/>
      <c r="C29" s="51" t="s">
        <v>144</v>
      </c>
      <c r="D29" s="51" t="s">
        <v>19</v>
      </c>
    </row>
    <row r="30" spans="1:4" ht="20">
      <c r="A30" s="28"/>
      <c r="B30" s="28"/>
      <c r="C30" t="s">
        <v>1049</v>
      </c>
      <c r="D30" t="s">
        <v>1713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8" bestFit="1" customWidth="1"/>
    <col min="2" max="2" width="15.5" style="28" bestFit="1" customWidth="1"/>
    <col min="3" max="3" width="31.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73" t="s">
        <v>144</v>
      </c>
      <c r="D1" s="73" t="s">
        <v>18</v>
      </c>
      <c r="E1" s="73" t="s">
        <v>19</v>
      </c>
      <c r="F1" s="73" t="s">
        <v>20</v>
      </c>
      <c r="G1" s="73" t="s">
        <v>21</v>
      </c>
    </row>
    <row r="2" spans="1:7">
      <c r="A2" s="28" t="s">
        <v>55</v>
      </c>
      <c r="B2" s="28" t="s">
        <v>55</v>
      </c>
      <c r="C2" s="74" t="s">
        <v>145</v>
      </c>
      <c r="D2" s="75">
        <v>538</v>
      </c>
      <c r="E2" s="75">
        <v>569</v>
      </c>
      <c r="F2" s="75">
        <v>603</v>
      </c>
      <c r="G2" s="75">
        <v>641</v>
      </c>
    </row>
    <row r="3" spans="1:7">
      <c r="A3" s="28" t="s">
        <v>56</v>
      </c>
      <c r="B3" s="28" t="s">
        <v>56</v>
      </c>
      <c r="C3" s="74" t="s">
        <v>146</v>
      </c>
      <c r="D3" s="75">
        <v>403</v>
      </c>
      <c r="E3" s="75">
        <v>415</v>
      </c>
      <c r="F3" s="75">
        <v>419</v>
      </c>
      <c r="G3" s="75">
        <v>429</v>
      </c>
    </row>
    <row r="4" spans="1:7">
      <c r="A4" s="28" t="s">
        <v>61</v>
      </c>
      <c r="B4" s="28" t="s">
        <v>61</v>
      </c>
      <c r="C4" s="74" t="s">
        <v>147</v>
      </c>
      <c r="D4" s="75">
        <v>431</v>
      </c>
      <c r="E4" s="75">
        <v>459</v>
      </c>
      <c r="F4" s="75">
        <v>492</v>
      </c>
      <c r="G4" s="75">
        <v>527</v>
      </c>
    </row>
    <row r="5" spans="1:7">
      <c r="A5" s="28" t="s">
        <v>74</v>
      </c>
      <c r="B5" s="28" t="s">
        <v>74</v>
      </c>
      <c r="C5" s="74" t="s">
        <v>148</v>
      </c>
      <c r="D5" s="75">
        <v>557</v>
      </c>
      <c r="E5" s="75">
        <v>578</v>
      </c>
      <c r="F5" s="75">
        <v>591</v>
      </c>
      <c r="G5" s="75">
        <v>612</v>
      </c>
    </row>
    <row r="6" spans="1:7">
      <c r="A6" s="28" t="s">
        <v>63</v>
      </c>
      <c r="B6" s="28" t="s">
        <v>65</v>
      </c>
      <c r="C6" s="74" t="s">
        <v>149</v>
      </c>
      <c r="D6" s="75">
        <v>113</v>
      </c>
      <c r="E6" s="75">
        <v>146</v>
      </c>
      <c r="F6" s="75">
        <v>172</v>
      </c>
      <c r="G6" s="75">
        <v>207</v>
      </c>
    </row>
    <row r="7" spans="1:7">
      <c r="A7" s="28" t="s">
        <v>64</v>
      </c>
      <c r="B7" s="28" t="s">
        <v>64</v>
      </c>
      <c r="C7" s="74" t="s">
        <v>150</v>
      </c>
      <c r="D7" s="75">
        <v>74</v>
      </c>
      <c r="E7" s="75">
        <v>74</v>
      </c>
      <c r="F7" s="75">
        <v>74</v>
      </c>
      <c r="G7" s="75">
        <v>74</v>
      </c>
    </row>
    <row r="8" spans="1:7">
      <c r="A8" s="28" t="s">
        <v>65</v>
      </c>
      <c r="B8" s="28" t="s">
        <v>63</v>
      </c>
      <c r="C8" s="74" t="s">
        <v>151</v>
      </c>
      <c r="D8" s="75">
        <v>70</v>
      </c>
      <c r="E8" s="75">
        <v>70</v>
      </c>
      <c r="F8" s="75">
        <v>70</v>
      </c>
      <c r="G8" s="75">
        <v>70</v>
      </c>
    </row>
    <row r="9" spans="1:7">
      <c r="A9" s="28" t="s">
        <v>66</v>
      </c>
      <c r="B9" s="28" t="s">
        <v>67</v>
      </c>
      <c r="C9" s="74" t="s">
        <v>152</v>
      </c>
      <c r="D9" s="75">
        <v>425</v>
      </c>
      <c r="E9" s="75">
        <v>425</v>
      </c>
      <c r="F9" s="75">
        <v>425</v>
      </c>
      <c r="G9" s="75">
        <v>425</v>
      </c>
    </row>
    <row r="10" spans="1:7">
      <c r="A10" s="28" t="s">
        <v>67</v>
      </c>
      <c r="B10" s="28" t="s">
        <v>135</v>
      </c>
      <c r="C10" s="74" t="s">
        <v>153</v>
      </c>
      <c r="D10" s="75">
        <v>625</v>
      </c>
      <c r="E10" s="75">
        <v>648</v>
      </c>
      <c r="F10" s="75">
        <v>665</v>
      </c>
      <c r="G10" s="75">
        <v>700</v>
      </c>
    </row>
    <row r="11" spans="1:7">
      <c r="A11" s="28" t="s">
        <v>57</v>
      </c>
      <c r="B11" s="28" t="s">
        <v>57</v>
      </c>
      <c r="C11" s="74" t="s">
        <v>154</v>
      </c>
      <c r="D11" s="75">
        <v>1041</v>
      </c>
      <c r="E11" s="75">
        <v>1064</v>
      </c>
      <c r="F11" s="75">
        <v>1081</v>
      </c>
      <c r="G11" s="75">
        <v>1105</v>
      </c>
    </row>
    <row r="12" spans="1:7">
      <c r="A12" s="28" t="s">
        <v>68</v>
      </c>
      <c r="B12" s="28" t="s">
        <v>66</v>
      </c>
      <c r="C12" s="74" t="s">
        <v>155</v>
      </c>
      <c r="D12" s="75">
        <v>69</v>
      </c>
      <c r="E12" s="75">
        <v>69</v>
      </c>
      <c r="F12" s="75">
        <v>69</v>
      </c>
      <c r="G12" s="75">
        <v>69</v>
      </c>
    </row>
    <row r="13" spans="1:7">
      <c r="A13" s="28" t="s">
        <v>58</v>
      </c>
      <c r="B13" s="28" t="s">
        <v>166</v>
      </c>
      <c r="C13" s="74" t="s">
        <v>156</v>
      </c>
      <c r="D13" s="75">
        <v>407</v>
      </c>
      <c r="E13" s="75">
        <v>407</v>
      </c>
      <c r="F13" s="75">
        <v>407</v>
      </c>
      <c r="G13" s="75">
        <v>407</v>
      </c>
    </row>
    <row r="14" spans="1:7">
      <c r="A14" s="28" t="s">
        <v>70</v>
      </c>
      <c r="B14" s="28" t="s">
        <v>68</v>
      </c>
      <c r="C14" s="74" t="s">
        <v>157</v>
      </c>
      <c r="D14" s="75">
        <v>45</v>
      </c>
      <c r="E14" s="75">
        <v>45</v>
      </c>
      <c r="F14" s="75">
        <v>45</v>
      </c>
      <c r="G14" s="75">
        <v>45</v>
      </c>
    </row>
    <row r="15" spans="1:7">
      <c r="A15" s="28" t="s">
        <v>71</v>
      </c>
      <c r="B15" s="28" t="s">
        <v>136</v>
      </c>
      <c r="C15" s="74" t="s">
        <v>158</v>
      </c>
      <c r="D15" s="75">
        <v>77</v>
      </c>
      <c r="E15" s="75">
        <v>77</v>
      </c>
      <c r="F15" s="75">
        <v>77</v>
      </c>
      <c r="G15" s="75">
        <v>77</v>
      </c>
    </row>
    <row r="16" spans="1:7">
      <c r="A16" s="28" t="s">
        <v>72</v>
      </c>
      <c r="B16" s="28" t="s">
        <v>70</v>
      </c>
      <c r="C16" s="74" t="s">
        <v>159</v>
      </c>
      <c r="D16" s="76">
        <v>170</v>
      </c>
      <c r="E16" s="76">
        <v>172.5</v>
      </c>
      <c r="F16" s="76">
        <v>172.5</v>
      </c>
      <c r="G16" s="76">
        <v>175</v>
      </c>
    </row>
    <row r="17" spans="1:7">
      <c r="A17" s="28" t="s">
        <v>69</v>
      </c>
      <c r="B17" s="28" t="s">
        <v>72</v>
      </c>
      <c r="C17" s="74" t="s">
        <v>160</v>
      </c>
      <c r="D17" s="75">
        <v>70</v>
      </c>
      <c r="E17" s="75">
        <v>70</v>
      </c>
      <c r="F17" s="75">
        <v>80</v>
      </c>
      <c r="G17" s="75">
        <v>90</v>
      </c>
    </row>
    <row r="18" spans="1:7">
      <c r="A18" s="28" t="s">
        <v>140</v>
      </c>
      <c r="B18" s="28" t="s">
        <v>71</v>
      </c>
      <c r="C18" s="74" t="s">
        <v>161</v>
      </c>
      <c r="D18" s="75">
        <v>420</v>
      </c>
      <c r="E18" s="75">
        <v>420</v>
      </c>
      <c r="F18" s="75">
        <v>440</v>
      </c>
      <c r="G18" s="75">
        <v>440</v>
      </c>
    </row>
    <row r="19" spans="1:7">
      <c r="A19" s="28" t="s">
        <v>141</v>
      </c>
      <c r="B19" s="28" t="s">
        <v>167</v>
      </c>
      <c r="C19" s="74" t="s">
        <v>162</v>
      </c>
      <c r="D19" s="75">
        <v>120</v>
      </c>
      <c r="E19" s="75">
        <v>120</v>
      </c>
      <c r="F19" s="75">
        <v>120</v>
      </c>
      <c r="G19" s="75">
        <v>120</v>
      </c>
    </row>
    <row r="20" spans="1:7">
      <c r="B20" s="28" t="s">
        <v>168</v>
      </c>
      <c r="C20" s="74" t="s">
        <v>163</v>
      </c>
      <c r="D20" s="75">
        <v>80</v>
      </c>
      <c r="E20" s="75">
        <v>80</v>
      </c>
      <c r="F20" s="75">
        <v>80</v>
      </c>
      <c r="G20" s="75">
        <v>80</v>
      </c>
    </row>
    <row r="21" spans="1:7">
      <c r="B21" s="28" t="s">
        <v>58</v>
      </c>
      <c r="C21" s="74" t="s">
        <v>164</v>
      </c>
      <c r="D21" s="75">
        <v>748</v>
      </c>
      <c r="E21" s="75">
        <v>778</v>
      </c>
      <c r="F21" s="75">
        <v>810</v>
      </c>
      <c r="G21" s="75">
        <v>846</v>
      </c>
    </row>
    <row r="22" spans="1:7">
      <c r="B22" s="28" t="s">
        <v>169</v>
      </c>
      <c r="C22" s="74" t="s">
        <v>165</v>
      </c>
      <c r="D22" s="75">
        <v>330</v>
      </c>
      <c r="E22" s="75">
        <v>380</v>
      </c>
      <c r="F22" s="75">
        <v>430</v>
      </c>
      <c r="G22" s="75">
        <v>430</v>
      </c>
    </row>
    <row r="23" spans="1:7">
      <c r="B23" s="28" t="s">
        <v>69</v>
      </c>
      <c r="C23" s="28" t="s">
        <v>69</v>
      </c>
      <c r="D23" s="48">
        <v>700</v>
      </c>
      <c r="E23" s="48">
        <v>700</v>
      </c>
      <c r="F23" s="48">
        <v>700</v>
      </c>
      <c r="G23" s="48">
        <v>700</v>
      </c>
    </row>
    <row r="24" spans="1:7">
      <c r="B24" s="28" t="s">
        <v>140</v>
      </c>
      <c r="C24" s="28" t="s">
        <v>140</v>
      </c>
      <c r="D24" s="48">
        <v>40</v>
      </c>
      <c r="E24" s="48">
        <v>40</v>
      </c>
      <c r="F24" s="48">
        <v>40</v>
      </c>
      <c r="G24" s="48">
        <v>40</v>
      </c>
    </row>
    <row r="25" spans="1:7">
      <c r="B25" s="28" t="s">
        <v>141</v>
      </c>
      <c r="C25" s="28" t="s">
        <v>141</v>
      </c>
      <c r="D25" s="48">
        <v>42</v>
      </c>
      <c r="E25" s="48">
        <v>42</v>
      </c>
      <c r="F25" s="48">
        <v>42</v>
      </c>
      <c r="G25" s="48">
        <v>42</v>
      </c>
    </row>
    <row r="28" spans="1:7">
      <c r="C28" s="33" t="s">
        <v>144</v>
      </c>
      <c r="D28" s="33" t="s">
        <v>18</v>
      </c>
      <c r="E28" s="33" t="s">
        <v>19</v>
      </c>
      <c r="F28" s="33" t="s">
        <v>20</v>
      </c>
      <c r="G28" s="33" t="s">
        <v>21</v>
      </c>
    </row>
    <row r="29" spans="1:7">
      <c r="C29" s="28" t="s">
        <v>1049</v>
      </c>
      <c r="D29" s="28" t="s">
        <v>1050</v>
      </c>
      <c r="E29" s="28" t="s">
        <v>1051</v>
      </c>
      <c r="F29" s="28" t="s">
        <v>1052</v>
      </c>
      <c r="G29" s="28" t="s">
        <v>1053</v>
      </c>
    </row>
    <row r="30" spans="1:7">
      <c r="C30" s="28" t="s">
        <v>145</v>
      </c>
      <c r="D30" s="28" t="s">
        <v>1054</v>
      </c>
      <c r="E30" s="28" t="s">
        <v>1055</v>
      </c>
      <c r="F30" s="28" t="s">
        <v>1056</v>
      </c>
      <c r="G30" s="28" t="s">
        <v>1057</v>
      </c>
    </row>
    <row r="31" spans="1:7">
      <c r="C31" s="28" t="s">
        <v>146</v>
      </c>
      <c r="D31" s="28" t="s">
        <v>1058</v>
      </c>
      <c r="E31" s="28" t="s">
        <v>1059</v>
      </c>
      <c r="F31" s="28" t="s">
        <v>1060</v>
      </c>
      <c r="G31" s="28" t="s">
        <v>1061</v>
      </c>
    </row>
    <row r="32" spans="1:7">
      <c r="C32" s="28" t="s">
        <v>147</v>
      </c>
      <c r="D32" s="28" t="s">
        <v>1062</v>
      </c>
      <c r="E32" s="28" t="s">
        <v>1063</v>
      </c>
      <c r="F32" s="28" t="s">
        <v>1064</v>
      </c>
      <c r="G32" s="28" t="s">
        <v>1065</v>
      </c>
    </row>
    <row r="33" spans="3:8">
      <c r="C33" s="28" t="s">
        <v>148</v>
      </c>
      <c r="D33" s="28" t="s">
        <v>1066</v>
      </c>
      <c r="E33" s="28" t="s">
        <v>1067</v>
      </c>
      <c r="F33" s="28" t="s">
        <v>1068</v>
      </c>
      <c r="G33" s="28" t="s">
        <v>1069</v>
      </c>
    </row>
    <row r="34" spans="3:8">
      <c r="C34" s="28" t="s">
        <v>149</v>
      </c>
      <c r="D34" s="28" t="s">
        <v>1070</v>
      </c>
      <c r="E34" s="28" t="s">
        <v>1071</v>
      </c>
      <c r="F34" s="28" t="s">
        <v>1072</v>
      </c>
      <c r="G34" s="28" t="s">
        <v>1073</v>
      </c>
    </row>
    <row r="35" spans="3:8">
      <c r="C35" s="28" t="s">
        <v>150</v>
      </c>
      <c r="D35" s="28" t="s">
        <v>1074</v>
      </c>
      <c r="E35" s="28" t="s">
        <v>1074</v>
      </c>
      <c r="F35" s="28" t="s">
        <v>1074</v>
      </c>
      <c r="G35" s="28" t="s">
        <v>1074</v>
      </c>
    </row>
    <row r="36" spans="3:8">
      <c r="C36" s="28" t="s">
        <v>151</v>
      </c>
      <c r="D36" s="28" t="s">
        <v>1075</v>
      </c>
      <c r="E36" s="28" t="s">
        <v>1075</v>
      </c>
      <c r="F36" s="28" t="s">
        <v>1075</v>
      </c>
      <c r="G36" s="28" t="s">
        <v>1075</v>
      </c>
      <c r="H36" s="77" t="s">
        <v>1105</v>
      </c>
    </row>
    <row r="37" spans="3:8">
      <c r="C37" s="28" t="s">
        <v>152</v>
      </c>
      <c r="D37" s="28" t="s">
        <v>1076</v>
      </c>
      <c r="E37" s="28" t="s">
        <v>1076</v>
      </c>
      <c r="F37" s="28" t="s">
        <v>1076</v>
      </c>
      <c r="G37" s="28" t="s">
        <v>1076</v>
      </c>
    </row>
    <row r="38" spans="3:8">
      <c r="C38" s="28" t="s">
        <v>153</v>
      </c>
      <c r="D38" s="28" t="s">
        <v>1077</v>
      </c>
      <c r="E38" s="28" t="s">
        <v>1078</v>
      </c>
      <c r="F38" s="28" t="s">
        <v>1079</v>
      </c>
      <c r="G38" s="28" t="s">
        <v>1080</v>
      </c>
    </row>
    <row r="39" spans="3:8">
      <c r="C39" s="28" t="s">
        <v>154</v>
      </c>
      <c r="D39" s="28" t="s">
        <v>1081</v>
      </c>
      <c r="E39" s="28" t="s">
        <v>1082</v>
      </c>
      <c r="F39" s="28" t="s">
        <v>1083</v>
      </c>
      <c r="G39" s="28" t="s">
        <v>1084</v>
      </c>
    </row>
    <row r="40" spans="3:8">
      <c r="C40" s="28" t="s">
        <v>155</v>
      </c>
      <c r="D40" s="28" t="s">
        <v>1085</v>
      </c>
      <c r="E40" s="28" t="s">
        <v>1085</v>
      </c>
      <c r="F40" s="28" t="s">
        <v>1085</v>
      </c>
      <c r="G40" s="28" t="s">
        <v>1085</v>
      </c>
    </row>
    <row r="41" spans="3:8">
      <c r="C41" s="28" t="s">
        <v>156</v>
      </c>
      <c r="D41" s="28" t="s">
        <v>1086</v>
      </c>
      <c r="E41" s="28" t="s">
        <v>1086</v>
      </c>
      <c r="F41" s="28" t="s">
        <v>1086</v>
      </c>
      <c r="G41" s="28" t="s">
        <v>1086</v>
      </c>
    </row>
    <row r="42" spans="3:8">
      <c r="C42" s="28" t="s">
        <v>157</v>
      </c>
      <c r="D42" s="28" t="s">
        <v>1087</v>
      </c>
      <c r="E42" s="28" t="s">
        <v>1087</v>
      </c>
      <c r="F42" s="28" t="s">
        <v>1087</v>
      </c>
      <c r="G42" s="28" t="s">
        <v>1087</v>
      </c>
    </row>
    <row r="43" spans="3:8">
      <c r="C43" s="28" t="s">
        <v>158</v>
      </c>
      <c r="D43" s="28" t="s">
        <v>1088</v>
      </c>
      <c r="E43" s="28" t="s">
        <v>1088</v>
      </c>
      <c r="F43" s="28" t="s">
        <v>1088</v>
      </c>
      <c r="G43" s="28" t="s">
        <v>1088</v>
      </c>
    </row>
    <row r="44" spans="3:8">
      <c r="C44" s="28" t="s">
        <v>159</v>
      </c>
      <c r="D44" s="28" t="s">
        <v>1089</v>
      </c>
      <c r="E44" s="28" t="s">
        <v>1090</v>
      </c>
      <c r="F44" s="28" t="s">
        <v>1090</v>
      </c>
      <c r="G44" s="28" t="s">
        <v>1091</v>
      </c>
    </row>
    <row r="45" spans="3:8">
      <c r="C45" s="28" t="s">
        <v>160</v>
      </c>
      <c r="D45" s="28" t="s">
        <v>1092</v>
      </c>
      <c r="E45" s="28" t="s">
        <v>1092</v>
      </c>
      <c r="F45" s="28" t="s">
        <v>1093</v>
      </c>
      <c r="G45" s="28" t="s">
        <v>1094</v>
      </c>
    </row>
    <row r="46" spans="3:8">
      <c r="C46" s="28" t="s">
        <v>161</v>
      </c>
      <c r="D46" s="28" t="s">
        <v>1095</v>
      </c>
      <c r="E46" s="28" t="s">
        <v>1095</v>
      </c>
      <c r="F46" s="28" t="s">
        <v>1096</v>
      </c>
      <c r="G46" s="28" t="s">
        <v>1096</v>
      </c>
    </row>
    <row r="47" spans="3:8">
      <c r="C47" s="28" t="s">
        <v>162</v>
      </c>
      <c r="D47" s="28" t="s">
        <v>1097</v>
      </c>
      <c r="E47" s="28" t="s">
        <v>1097</v>
      </c>
      <c r="F47" s="28" t="s">
        <v>1097</v>
      </c>
      <c r="G47" s="28" t="s">
        <v>1097</v>
      </c>
    </row>
    <row r="48" spans="3:8">
      <c r="C48" s="28" t="s">
        <v>163</v>
      </c>
      <c r="D48" s="28" t="s">
        <v>1093</v>
      </c>
      <c r="E48" s="28" t="s">
        <v>1093</v>
      </c>
      <c r="F48" s="28" t="s">
        <v>1093</v>
      </c>
      <c r="G48" s="28" t="s">
        <v>1093</v>
      </c>
    </row>
    <row r="49" spans="3:7">
      <c r="C49" s="28" t="s">
        <v>164</v>
      </c>
      <c r="D49" s="28" t="s">
        <v>1098</v>
      </c>
      <c r="E49" s="28" t="s">
        <v>1099</v>
      </c>
      <c r="F49" s="28" t="s">
        <v>1100</v>
      </c>
      <c r="G49" s="28" t="s">
        <v>1101</v>
      </c>
    </row>
    <row r="50" spans="3:7">
      <c r="C50" s="28" t="s">
        <v>165</v>
      </c>
      <c r="D50" s="28" t="s">
        <v>1102</v>
      </c>
      <c r="E50" s="28" t="s">
        <v>1103</v>
      </c>
      <c r="F50" s="28" t="s">
        <v>1104</v>
      </c>
      <c r="G50" s="28" t="s">
        <v>1104</v>
      </c>
    </row>
    <row r="55" spans="3:7">
      <c r="C55" s="28" t="s">
        <v>1710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5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44" t="s">
        <v>22</v>
      </c>
      <c r="D1" s="45" t="s">
        <v>49</v>
      </c>
      <c r="E1" s="45" t="s">
        <v>50</v>
      </c>
      <c r="F1" s="45" t="s">
        <v>51</v>
      </c>
      <c r="G1" s="45" t="s">
        <v>52</v>
      </c>
      <c r="H1" s="45" t="s">
        <v>53</v>
      </c>
      <c r="I1" s="45" t="s">
        <v>54</v>
      </c>
      <c r="J1" s="45"/>
      <c r="K1" s="45"/>
      <c r="L1" s="45"/>
      <c r="M1" s="45"/>
    </row>
    <row r="2" spans="1:13">
      <c r="A2" s="28" t="s">
        <v>55</v>
      </c>
      <c r="B2" s="28" t="s">
        <v>61</v>
      </c>
      <c r="C2" s="44" t="s">
        <v>27</v>
      </c>
      <c r="D2" s="45">
        <v>450</v>
      </c>
      <c r="E2" s="45">
        <v>480</v>
      </c>
      <c r="F2" s="45">
        <v>510</v>
      </c>
      <c r="G2" s="45">
        <v>540</v>
      </c>
      <c r="H2" s="45">
        <v>570</v>
      </c>
      <c r="I2" s="45">
        <v>600</v>
      </c>
      <c r="J2" s="45"/>
      <c r="K2" s="45"/>
      <c r="L2" s="45"/>
      <c r="M2" s="45"/>
    </row>
    <row r="3" spans="1:13">
      <c r="A3" s="28" t="s">
        <v>56</v>
      </c>
      <c r="B3" s="28" t="s">
        <v>74</v>
      </c>
      <c r="C3" s="44" t="s">
        <v>29</v>
      </c>
      <c r="D3" s="45">
        <v>580</v>
      </c>
      <c r="E3" s="45">
        <v>590</v>
      </c>
      <c r="F3" s="45">
        <v>600</v>
      </c>
      <c r="G3" s="45">
        <v>610</v>
      </c>
      <c r="H3" s="45">
        <v>623</v>
      </c>
      <c r="I3" s="45">
        <v>642</v>
      </c>
      <c r="J3" s="45"/>
      <c r="K3" s="45"/>
      <c r="L3" s="45"/>
      <c r="M3" s="45"/>
    </row>
    <row r="4" spans="1:13">
      <c r="A4" s="28" t="s">
        <v>61</v>
      </c>
      <c r="B4" s="28" t="s">
        <v>65</v>
      </c>
      <c r="C4" s="44" t="s">
        <v>30</v>
      </c>
      <c r="D4" s="45">
        <v>120</v>
      </c>
      <c r="E4" s="45">
        <v>120</v>
      </c>
      <c r="F4" s="45">
        <v>155</v>
      </c>
      <c r="G4" s="45">
        <v>170</v>
      </c>
      <c r="H4" s="45">
        <v>170</v>
      </c>
      <c r="I4" s="45">
        <v>190</v>
      </c>
      <c r="J4" s="45"/>
      <c r="K4" s="45"/>
      <c r="L4" s="45"/>
      <c r="M4" s="45"/>
    </row>
    <row r="5" spans="1:13">
      <c r="A5" s="28" t="s">
        <v>74</v>
      </c>
      <c r="B5" s="28" t="s">
        <v>64</v>
      </c>
      <c r="C5" s="44" t="s">
        <v>32</v>
      </c>
      <c r="D5" s="45">
        <v>74</v>
      </c>
      <c r="E5" s="45">
        <v>73.5</v>
      </c>
      <c r="F5" s="45">
        <v>73</v>
      </c>
      <c r="G5" s="45">
        <v>73</v>
      </c>
      <c r="H5" s="45">
        <v>73</v>
      </c>
      <c r="I5" s="45">
        <v>73</v>
      </c>
      <c r="J5" s="45"/>
      <c r="K5" s="45"/>
      <c r="L5" s="45"/>
      <c r="M5" s="45"/>
    </row>
    <row r="6" spans="1:13">
      <c r="A6" s="28" t="s">
        <v>63</v>
      </c>
      <c r="B6" s="28" t="s">
        <v>63</v>
      </c>
      <c r="C6" s="44" t="s">
        <v>35</v>
      </c>
      <c r="D6" s="45">
        <v>69</v>
      </c>
      <c r="E6" s="45">
        <v>69</v>
      </c>
      <c r="F6" s="45">
        <v>69</v>
      </c>
      <c r="G6" s="45">
        <v>69</v>
      </c>
      <c r="H6" s="45">
        <v>69</v>
      </c>
      <c r="I6" s="45">
        <v>69</v>
      </c>
      <c r="J6" s="45"/>
      <c r="K6" s="45"/>
      <c r="L6" s="45"/>
      <c r="M6" s="45"/>
    </row>
    <row r="7" spans="1:13">
      <c r="A7" s="28" t="s">
        <v>64</v>
      </c>
      <c r="B7" s="28" t="s">
        <v>67</v>
      </c>
      <c r="C7" s="44" t="s">
        <v>36</v>
      </c>
      <c r="D7" s="45">
        <v>444</v>
      </c>
      <c r="E7" s="45">
        <v>444</v>
      </c>
      <c r="F7" s="45">
        <v>444</v>
      </c>
      <c r="G7" s="45">
        <v>444</v>
      </c>
      <c r="H7" s="45">
        <v>444</v>
      </c>
      <c r="I7" s="45">
        <v>444</v>
      </c>
      <c r="J7" s="45"/>
      <c r="K7" s="45"/>
      <c r="L7" s="45"/>
      <c r="M7" s="45"/>
    </row>
    <row r="8" spans="1:13">
      <c r="A8" s="28" t="s">
        <v>65</v>
      </c>
      <c r="B8" s="28" t="s">
        <v>57</v>
      </c>
      <c r="C8" s="44" t="s">
        <v>37</v>
      </c>
      <c r="D8" s="45">
        <v>1099</v>
      </c>
      <c r="E8" s="45">
        <v>1103</v>
      </c>
      <c r="F8" s="45">
        <v>1110</v>
      </c>
      <c r="G8" s="45">
        <v>1122</v>
      </c>
      <c r="H8" s="45">
        <v>1136</v>
      </c>
      <c r="I8" s="45">
        <v>1155</v>
      </c>
      <c r="J8" s="45"/>
      <c r="K8" s="45"/>
      <c r="L8" s="45"/>
      <c r="M8" s="45"/>
    </row>
    <row r="9" spans="1:13">
      <c r="A9" s="28" t="s">
        <v>66</v>
      </c>
      <c r="B9" s="28" t="s">
        <v>66</v>
      </c>
      <c r="C9" s="44" t="s">
        <v>38</v>
      </c>
      <c r="D9" s="45">
        <v>75</v>
      </c>
      <c r="E9" s="45">
        <v>75</v>
      </c>
      <c r="F9" s="45">
        <v>75</v>
      </c>
      <c r="G9" s="45">
        <v>75</v>
      </c>
      <c r="H9" s="45">
        <v>75</v>
      </c>
      <c r="I9" s="45">
        <v>75</v>
      </c>
      <c r="J9" s="45"/>
      <c r="K9" s="45"/>
      <c r="L9" s="45"/>
      <c r="M9" s="45"/>
    </row>
    <row r="10" spans="1:13">
      <c r="A10" s="28" t="s">
        <v>67</v>
      </c>
      <c r="B10" s="28" t="s">
        <v>68</v>
      </c>
      <c r="C10" s="44" t="s">
        <v>39</v>
      </c>
      <c r="D10" s="45">
        <v>51</v>
      </c>
      <c r="E10" s="45">
        <v>51</v>
      </c>
      <c r="F10" s="45">
        <v>51</v>
      </c>
      <c r="G10" s="45">
        <v>51</v>
      </c>
      <c r="H10" s="45">
        <v>51</v>
      </c>
      <c r="I10" s="45">
        <v>51</v>
      </c>
      <c r="J10" s="45"/>
      <c r="K10" s="45"/>
      <c r="L10" s="45"/>
      <c r="M10" s="45"/>
    </row>
    <row r="11" spans="1:13">
      <c r="A11" s="28" t="s">
        <v>57</v>
      </c>
      <c r="B11" s="28" t="s">
        <v>55</v>
      </c>
      <c r="C11" s="44" t="s">
        <v>40</v>
      </c>
      <c r="D11" s="45">
        <v>568</v>
      </c>
      <c r="E11" s="45">
        <v>568</v>
      </c>
      <c r="F11" s="45">
        <v>601</v>
      </c>
      <c r="G11" s="45">
        <v>615</v>
      </c>
      <c r="H11" s="45">
        <v>615</v>
      </c>
      <c r="I11" s="45">
        <v>633</v>
      </c>
      <c r="J11" s="45"/>
      <c r="K11" s="45"/>
      <c r="L11" s="45"/>
      <c r="M11" s="45"/>
    </row>
    <row r="12" spans="1:13">
      <c r="A12" s="28" t="s">
        <v>68</v>
      </c>
      <c r="B12" s="28" t="s">
        <v>56</v>
      </c>
      <c r="C12" s="44" t="s">
        <v>41</v>
      </c>
      <c r="D12" s="45">
        <v>417</v>
      </c>
      <c r="E12" s="45">
        <v>421</v>
      </c>
      <c r="F12" s="45">
        <v>421</v>
      </c>
      <c r="G12" s="45">
        <v>422</v>
      </c>
      <c r="H12" s="45">
        <v>435</v>
      </c>
      <c r="I12" s="45">
        <v>448</v>
      </c>
      <c r="J12" s="45"/>
      <c r="K12" s="45"/>
      <c r="L12" s="45"/>
      <c r="M12" s="45"/>
    </row>
    <row r="13" spans="1:13">
      <c r="A13" s="28" t="s">
        <v>58</v>
      </c>
      <c r="B13" s="28" t="s">
        <v>58</v>
      </c>
      <c r="C13" s="44" t="s">
        <v>42</v>
      </c>
      <c r="D13" s="45">
        <v>775</v>
      </c>
      <c r="E13" s="45">
        <v>788</v>
      </c>
      <c r="F13" s="45">
        <v>818</v>
      </c>
      <c r="G13" s="45">
        <v>839</v>
      </c>
      <c r="H13" s="45">
        <v>853</v>
      </c>
      <c r="I13" s="45">
        <v>872</v>
      </c>
      <c r="J13" s="45"/>
      <c r="K13" s="45"/>
      <c r="L13" s="45"/>
      <c r="M13" s="45"/>
    </row>
    <row r="14" spans="1:13">
      <c r="A14" s="28" t="s">
        <v>70</v>
      </c>
      <c r="B14" s="28" t="s">
        <v>72</v>
      </c>
      <c r="C14" s="44" t="s">
        <v>43</v>
      </c>
      <c r="D14" s="45">
        <v>70</v>
      </c>
      <c r="E14" s="45">
        <v>70</v>
      </c>
      <c r="F14" s="45">
        <v>80</v>
      </c>
      <c r="G14" s="45">
        <v>80</v>
      </c>
      <c r="H14" s="45">
        <v>80</v>
      </c>
      <c r="I14" s="45">
        <v>90</v>
      </c>
      <c r="J14" s="45"/>
      <c r="K14" s="45"/>
      <c r="L14" s="45"/>
      <c r="M14" s="45"/>
    </row>
    <row r="15" spans="1:13">
      <c r="A15" s="28" t="s">
        <v>71</v>
      </c>
      <c r="B15" s="28" t="s">
        <v>71</v>
      </c>
      <c r="C15" s="44" t="s">
        <v>183</v>
      </c>
      <c r="D15" s="45">
        <f>D23*10</f>
        <v>480</v>
      </c>
      <c r="E15" s="45">
        <f t="shared" ref="E15:I15" si="0">E23*10</f>
        <v>480</v>
      </c>
      <c r="F15" s="45">
        <f t="shared" si="0"/>
        <v>500</v>
      </c>
      <c r="G15" s="45">
        <f t="shared" si="0"/>
        <v>500</v>
      </c>
      <c r="H15" s="45">
        <f t="shared" si="0"/>
        <v>500</v>
      </c>
      <c r="I15" s="45">
        <f t="shared" si="0"/>
        <v>500</v>
      </c>
      <c r="J15" s="45"/>
      <c r="K15" s="45"/>
      <c r="L15" s="45"/>
      <c r="M15" s="45"/>
    </row>
    <row r="16" spans="1:13">
      <c r="A16" s="28" t="s">
        <v>72</v>
      </c>
      <c r="B16" s="28" t="s">
        <v>70</v>
      </c>
      <c r="C16" s="44" t="s">
        <v>45</v>
      </c>
      <c r="D16" s="45">
        <v>170</v>
      </c>
      <c r="E16" s="45">
        <v>170</v>
      </c>
      <c r="F16" s="45">
        <v>175</v>
      </c>
      <c r="G16" s="45">
        <v>175</v>
      </c>
      <c r="H16" s="45">
        <v>175</v>
      </c>
      <c r="I16" s="45">
        <v>175</v>
      </c>
      <c r="J16" s="45"/>
      <c r="K16" s="45"/>
      <c r="L16" s="45"/>
      <c r="M16" s="45"/>
    </row>
    <row r="17" spans="1:13">
      <c r="A17" s="28" t="s">
        <v>69</v>
      </c>
      <c r="B17" s="28" t="s">
        <v>69</v>
      </c>
      <c r="C17" s="44" t="s">
        <v>46</v>
      </c>
      <c r="D17" s="45">
        <v>29</v>
      </c>
      <c r="E17" s="45">
        <v>29</v>
      </c>
      <c r="F17" s="45">
        <v>29</v>
      </c>
      <c r="G17" s="45">
        <v>29</v>
      </c>
      <c r="H17" s="45">
        <v>29</v>
      </c>
      <c r="I17" s="45">
        <v>29</v>
      </c>
      <c r="J17" s="45"/>
      <c r="K17" s="45"/>
      <c r="L17" s="45"/>
      <c r="M17" s="45"/>
    </row>
    <row r="18" spans="1:13">
      <c r="A18" s="28" t="s">
        <v>140</v>
      </c>
      <c r="B18" s="28" t="s">
        <v>140</v>
      </c>
      <c r="C18" s="44" t="s">
        <v>75</v>
      </c>
      <c r="D18" s="28">
        <f>2.25*25.4</f>
        <v>57.15</v>
      </c>
      <c r="E18" s="28">
        <f t="shared" ref="E18:I18" si="1">2.25*25.4</f>
        <v>57.15</v>
      </c>
      <c r="F18" s="28">
        <f t="shared" si="1"/>
        <v>57.15</v>
      </c>
      <c r="G18" s="28">
        <f t="shared" si="1"/>
        <v>57.15</v>
      </c>
      <c r="H18" s="28">
        <f t="shared" si="1"/>
        <v>57.15</v>
      </c>
      <c r="I18" s="28">
        <f t="shared" si="1"/>
        <v>57.15</v>
      </c>
    </row>
    <row r="19" spans="1:13">
      <c r="A19" s="28" t="s">
        <v>141</v>
      </c>
      <c r="B19" s="28" t="s">
        <v>141</v>
      </c>
      <c r="C19" s="28" t="s">
        <v>141</v>
      </c>
      <c r="D19" s="28">
        <f>2.5*25.4</f>
        <v>63.5</v>
      </c>
      <c r="E19" s="28">
        <f t="shared" ref="E19:I19" si="2">2.5*25.4</f>
        <v>63.5</v>
      </c>
      <c r="F19" s="28">
        <f t="shared" si="2"/>
        <v>63.5</v>
      </c>
      <c r="G19" s="28">
        <f t="shared" si="2"/>
        <v>63.5</v>
      </c>
      <c r="H19" s="28">
        <f t="shared" si="2"/>
        <v>63.5</v>
      </c>
      <c r="I19" s="28">
        <f t="shared" si="2"/>
        <v>63.5</v>
      </c>
    </row>
    <row r="20" spans="1:13">
      <c r="B20" s="28" t="s">
        <v>133</v>
      </c>
      <c r="C20" s="44" t="s">
        <v>76</v>
      </c>
      <c r="D20" s="28" t="s">
        <v>77</v>
      </c>
      <c r="E20" s="28" t="s">
        <v>77</v>
      </c>
      <c r="F20" s="28" t="s">
        <v>77</v>
      </c>
      <c r="G20" s="28" t="s">
        <v>77</v>
      </c>
      <c r="H20" s="28" t="s">
        <v>77</v>
      </c>
      <c r="I20" s="28" t="s">
        <v>77</v>
      </c>
    </row>
    <row r="21" spans="1:13">
      <c r="C21" s="28" t="s">
        <v>493</v>
      </c>
      <c r="D21" s="28">
        <v>435</v>
      </c>
      <c r="E21" s="28">
        <v>435</v>
      </c>
      <c r="F21" s="28">
        <v>435</v>
      </c>
      <c r="G21" s="28">
        <v>435</v>
      </c>
      <c r="H21" s="28">
        <v>435</v>
      </c>
      <c r="I21" s="28">
        <v>435</v>
      </c>
    </row>
    <row r="22" spans="1:13">
      <c r="B22" s="28" t="s">
        <v>60</v>
      </c>
      <c r="C22" s="44" t="s">
        <v>48</v>
      </c>
      <c r="D22" s="45">
        <v>30.9</v>
      </c>
      <c r="E22" s="45">
        <v>30.9</v>
      </c>
      <c r="F22" s="45">
        <v>30.9</v>
      </c>
      <c r="G22" s="45">
        <v>30.9</v>
      </c>
      <c r="H22" s="45">
        <v>30.9</v>
      </c>
      <c r="I22" s="45">
        <v>30.9</v>
      </c>
    </row>
    <row r="23" spans="1:13">
      <c r="C23" s="44" t="s">
        <v>44</v>
      </c>
      <c r="D23" s="45">
        <v>48</v>
      </c>
      <c r="E23" s="45">
        <v>48</v>
      </c>
      <c r="F23" s="45">
        <v>50</v>
      </c>
      <c r="G23" s="45">
        <v>50</v>
      </c>
      <c r="H23" s="45">
        <v>50</v>
      </c>
      <c r="I23" s="45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8" bestFit="1" customWidth="1"/>
    <col min="2" max="3" width="19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28" t="str">
        <f>C23</f>
        <v>Size*</v>
      </c>
      <c r="D1" s="28">
        <f>D23</f>
        <v>48</v>
      </c>
      <c r="E1" s="28">
        <f t="shared" ref="E1:M1" si="0">E23</f>
        <v>50</v>
      </c>
      <c r="F1" s="28">
        <f t="shared" si="0"/>
        <v>52</v>
      </c>
      <c r="G1" s="28">
        <f t="shared" si="0"/>
        <v>54</v>
      </c>
      <c r="H1" s="28">
        <f t="shared" si="0"/>
        <v>56</v>
      </c>
      <c r="I1" s="28">
        <f t="shared" si="0"/>
        <v>58</v>
      </c>
      <c r="J1" s="28">
        <f t="shared" si="0"/>
        <v>60</v>
      </c>
      <c r="K1" s="28">
        <f t="shared" si="0"/>
        <v>62</v>
      </c>
      <c r="L1" s="28">
        <f t="shared" si="0"/>
        <v>64</v>
      </c>
      <c r="M1" s="28">
        <f t="shared" si="0"/>
        <v>66</v>
      </c>
    </row>
    <row r="2" spans="1:13">
      <c r="A2" s="28" t="s">
        <v>55</v>
      </c>
      <c r="B2" s="28" t="s">
        <v>61</v>
      </c>
      <c r="C2" s="28" t="s">
        <v>61</v>
      </c>
    </row>
    <row r="3" spans="1:13">
      <c r="A3" s="28" t="s">
        <v>56</v>
      </c>
      <c r="B3" s="28" t="s">
        <v>74</v>
      </c>
      <c r="C3" s="28" t="str">
        <f t="shared" ref="C3:C12" si="1">C24</f>
        <v>top tube length</v>
      </c>
      <c r="D3" s="28">
        <f t="shared" ref="D3:M3" si="2">D24*10</f>
        <v>515</v>
      </c>
      <c r="E3" s="28">
        <f t="shared" si="2"/>
        <v>525</v>
      </c>
      <c r="F3" s="28">
        <f t="shared" si="2"/>
        <v>531</v>
      </c>
      <c r="G3" s="28">
        <f t="shared" si="2"/>
        <v>550</v>
      </c>
      <c r="H3" s="28">
        <f t="shared" si="2"/>
        <v>572</v>
      </c>
      <c r="I3" s="28">
        <f t="shared" si="2"/>
        <v>577</v>
      </c>
      <c r="J3" s="28">
        <f t="shared" si="2"/>
        <v>586</v>
      </c>
      <c r="K3" s="28">
        <f t="shared" si="2"/>
        <v>593</v>
      </c>
      <c r="L3" s="28">
        <f t="shared" si="2"/>
        <v>613</v>
      </c>
      <c r="M3" s="28">
        <f t="shared" si="2"/>
        <v>636</v>
      </c>
    </row>
    <row r="4" spans="1:13">
      <c r="A4" s="28" t="s">
        <v>61</v>
      </c>
      <c r="B4" s="28" t="s">
        <v>64</v>
      </c>
      <c r="C4" s="28" t="str">
        <f t="shared" si="1"/>
        <v>seat angle</v>
      </c>
      <c r="D4" s="28">
        <f t="shared" ref="D4:M4" si="3">D25</f>
        <v>74.5</v>
      </c>
      <c r="E4" s="28">
        <f t="shared" si="3"/>
        <v>74.5</v>
      </c>
      <c r="F4" s="28">
        <f t="shared" si="3"/>
        <v>74</v>
      </c>
      <c r="G4" s="28">
        <f t="shared" si="3"/>
        <v>73.5</v>
      </c>
      <c r="H4" s="28">
        <f t="shared" si="3"/>
        <v>73</v>
      </c>
      <c r="I4" s="28">
        <f t="shared" si="3"/>
        <v>73</v>
      </c>
      <c r="J4" s="28">
        <f t="shared" si="3"/>
        <v>72.5</v>
      </c>
      <c r="K4" s="28">
        <f t="shared" si="3"/>
        <v>72.5</v>
      </c>
      <c r="L4" s="28">
        <f t="shared" si="3"/>
        <v>72</v>
      </c>
      <c r="M4" s="28">
        <f t="shared" si="3"/>
        <v>71.5</v>
      </c>
    </row>
    <row r="5" spans="1:13">
      <c r="A5" s="28" t="s">
        <v>74</v>
      </c>
      <c r="B5" s="28" t="s">
        <v>67</v>
      </c>
      <c r="C5" s="28" t="str">
        <f t="shared" si="1"/>
        <v>chainstay length</v>
      </c>
      <c r="D5" s="28">
        <f t="shared" ref="D5:M5" si="4">D26*10</f>
        <v>430</v>
      </c>
      <c r="E5" s="28">
        <f t="shared" si="4"/>
        <v>430</v>
      </c>
      <c r="F5" s="28">
        <f t="shared" si="4"/>
        <v>430</v>
      </c>
      <c r="G5" s="28">
        <f t="shared" si="4"/>
        <v>430</v>
      </c>
      <c r="H5" s="28">
        <f t="shared" si="4"/>
        <v>430</v>
      </c>
      <c r="I5" s="28">
        <f t="shared" si="4"/>
        <v>430</v>
      </c>
      <c r="J5" s="28">
        <f t="shared" si="4"/>
        <v>430</v>
      </c>
      <c r="K5" s="28">
        <f t="shared" si="4"/>
        <v>430</v>
      </c>
      <c r="L5" s="28">
        <f t="shared" si="4"/>
        <v>430</v>
      </c>
      <c r="M5" s="28">
        <f t="shared" si="4"/>
        <v>430</v>
      </c>
    </row>
    <row r="6" spans="1:13">
      <c r="A6" s="28" t="s">
        <v>63</v>
      </c>
      <c r="B6" s="28" t="s">
        <v>58</v>
      </c>
      <c r="C6" s="28" t="str">
        <f t="shared" si="1"/>
        <v>stand over height</v>
      </c>
      <c r="D6" s="28">
        <f t="shared" ref="D6:M6" si="5">D27*10</f>
        <v>756</v>
      </c>
      <c r="E6" s="28">
        <f t="shared" si="5"/>
        <v>763</v>
      </c>
      <c r="F6" s="28">
        <f t="shared" si="5"/>
        <v>783</v>
      </c>
      <c r="G6" s="28">
        <f t="shared" si="5"/>
        <v>792</v>
      </c>
      <c r="H6" s="28">
        <f t="shared" si="5"/>
        <v>812</v>
      </c>
      <c r="I6" s="28">
        <f t="shared" si="5"/>
        <v>821</v>
      </c>
      <c r="J6" s="28">
        <f t="shared" si="5"/>
        <v>852</v>
      </c>
      <c r="K6" s="28">
        <f t="shared" si="5"/>
        <v>856</v>
      </c>
      <c r="L6" s="28">
        <f t="shared" si="5"/>
        <v>876</v>
      </c>
      <c r="M6" s="28">
        <f t="shared" si="5"/>
        <v>889</v>
      </c>
    </row>
    <row r="7" spans="1:13">
      <c r="A7" s="28" t="s">
        <v>64</v>
      </c>
      <c r="B7" s="28" t="s">
        <v>66</v>
      </c>
      <c r="C7" s="28" t="str">
        <f t="shared" si="1"/>
        <v>b.b. drop</v>
      </c>
      <c r="D7" s="28">
        <f t="shared" ref="D7:M7" si="6">D28*10</f>
        <v>70</v>
      </c>
      <c r="E7" s="28">
        <f t="shared" si="6"/>
        <v>70</v>
      </c>
      <c r="F7" s="28">
        <f t="shared" si="6"/>
        <v>70</v>
      </c>
      <c r="G7" s="28">
        <f t="shared" si="6"/>
        <v>70</v>
      </c>
      <c r="H7" s="28">
        <f t="shared" si="6"/>
        <v>70</v>
      </c>
      <c r="I7" s="28">
        <f t="shared" si="6"/>
        <v>70</v>
      </c>
      <c r="J7" s="28">
        <f t="shared" si="6"/>
        <v>70</v>
      </c>
      <c r="K7" s="28">
        <f t="shared" si="6"/>
        <v>70</v>
      </c>
      <c r="L7" s="28">
        <f t="shared" si="6"/>
        <v>70</v>
      </c>
      <c r="M7" s="28">
        <f t="shared" si="6"/>
        <v>70</v>
      </c>
    </row>
    <row r="8" spans="1:13">
      <c r="A8" s="28" t="s">
        <v>65</v>
      </c>
      <c r="B8" s="28" t="s">
        <v>63</v>
      </c>
      <c r="C8" s="28" t="str">
        <f t="shared" si="1"/>
        <v>head tube angle</v>
      </c>
      <c r="D8" s="28">
        <f t="shared" ref="D8:M8" si="7">D29</f>
        <v>71.5</v>
      </c>
      <c r="E8" s="28">
        <f t="shared" si="7"/>
        <v>72</v>
      </c>
      <c r="F8" s="28">
        <f t="shared" si="7"/>
        <v>72</v>
      </c>
      <c r="G8" s="28">
        <f t="shared" si="7"/>
        <v>72.5</v>
      </c>
      <c r="H8" s="28">
        <f t="shared" si="7"/>
        <v>72.5</v>
      </c>
      <c r="I8" s="28">
        <f t="shared" si="7"/>
        <v>72.5</v>
      </c>
      <c r="J8" s="28">
        <f t="shared" si="7"/>
        <v>72.5</v>
      </c>
      <c r="K8" s="28">
        <f t="shared" si="7"/>
        <v>72.5</v>
      </c>
      <c r="L8" s="28">
        <f t="shared" si="7"/>
        <v>72.5</v>
      </c>
      <c r="M8" s="28">
        <f t="shared" si="7"/>
        <v>73</v>
      </c>
    </row>
    <row r="9" spans="1:13">
      <c r="A9" s="28" t="s">
        <v>66</v>
      </c>
      <c r="B9" s="28" t="s">
        <v>65</v>
      </c>
      <c r="C9" s="28" t="str">
        <f t="shared" si="1"/>
        <v>head tube length</v>
      </c>
      <c r="D9" s="28">
        <f t="shared" ref="D9:M9" si="8">D30*10</f>
        <v>100</v>
      </c>
      <c r="E9" s="28">
        <f t="shared" si="8"/>
        <v>100</v>
      </c>
      <c r="F9" s="28">
        <f t="shared" si="8"/>
        <v>120</v>
      </c>
      <c r="G9" s="28">
        <f t="shared" si="8"/>
        <v>130</v>
      </c>
      <c r="H9" s="28">
        <f t="shared" si="8"/>
        <v>150</v>
      </c>
      <c r="I9" s="28">
        <f t="shared" si="8"/>
        <v>160</v>
      </c>
      <c r="J9" s="28">
        <f t="shared" si="8"/>
        <v>180</v>
      </c>
      <c r="K9" s="28">
        <f t="shared" si="8"/>
        <v>200</v>
      </c>
      <c r="L9" s="28">
        <f t="shared" si="8"/>
        <v>220</v>
      </c>
      <c r="M9" s="28">
        <f t="shared" si="8"/>
        <v>240</v>
      </c>
    </row>
    <row r="10" spans="1:13">
      <c r="A10" s="28" t="s">
        <v>67</v>
      </c>
      <c r="B10" s="28" t="s">
        <v>55</v>
      </c>
      <c r="C10" s="28" t="str">
        <f t="shared" si="1"/>
        <v>Stack</v>
      </c>
      <c r="D10" s="28">
        <f t="shared" ref="D10:M10" si="9">D31*10</f>
        <v>534</v>
      </c>
      <c r="E10" s="28">
        <f t="shared" si="9"/>
        <v>536</v>
      </c>
      <c r="F10" s="28">
        <f t="shared" si="9"/>
        <v>555</v>
      </c>
      <c r="G10" s="28">
        <f t="shared" si="9"/>
        <v>566</v>
      </c>
      <c r="H10" s="28">
        <f t="shared" si="9"/>
        <v>585</v>
      </c>
      <c r="I10" s="28">
        <f t="shared" si="9"/>
        <v>595</v>
      </c>
      <c r="J10" s="28">
        <f t="shared" si="9"/>
        <v>614</v>
      </c>
      <c r="K10" s="28">
        <f t="shared" si="9"/>
        <v>633</v>
      </c>
      <c r="L10" s="28">
        <f t="shared" si="9"/>
        <v>652</v>
      </c>
      <c r="M10" s="28">
        <f t="shared" si="9"/>
        <v>673</v>
      </c>
    </row>
    <row r="11" spans="1:13">
      <c r="A11" s="28" t="s">
        <v>57</v>
      </c>
      <c r="B11" s="28" t="s">
        <v>56</v>
      </c>
      <c r="C11" s="28" t="str">
        <f t="shared" si="1"/>
        <v>Reach</v>
      </c>
      <c r="D11" s="28">
        <f t="shared" ref="D11:M11" si="10">D32*10</f>
        <v>365</v>
      </c>
      <c r="E11" s="28">
        <f t="shared" si="10"/>
        <v>375</v>
      </c>
      <c r="F11" s="28">
        <f t="shared" si="10"/>
        <v>370</v>
      </c>
      <c r="G11" s="28">
        <f t="shared" si="10"/>
        <v>381</v>
      </c>
      <c r="H11" s="28">
        <f t="shared" si="10"/>
        <v>387</v>
      </c>
      <c r="I11" s="28">
        <f t="shared" si="10"/>
        <v>395</v>
      </c>
      <c r="J11" s="28">
        <f t="shared" si="10"/>
        <v>392</v>
      </c>
      <c r="K11" s="28">
        <f t="shared" si="10"/>
        <v>391</v>
      </c>
      <c r="L11" s="28">
        <f t="shared" si="10"/>
        <v>402</v>
      </c>
      <c r="M11" s="28">
        <f t="shared" si="10"/>
        <v>413</v>
      </c>
    </row>
    <row r="12" spans="1:13">
      <c r="A12" s="28" t="s">
        <v>68</v>
      </c>
      <c r="B12" s="28" t="s">
        <v>57</v>
      </c>
      <c r="C12" s="28" t="str">
        <f t="shared" si="1"/>
        <v>wheel base</v>
      </c>
      <c r="D12" s="28">
        <f t="shared" ref="D12:M12" si="11">D33*10</f>
        <v>999</v>
      </c>
      <c r="E12" s="28">
        <f t="shared" si="11"/>
        <v>1005</v>
      </c>
      <c r="F12" s="28">
        <f t="shared" si="11"/>
        <v>1006</v>
      </c>
      <c r="G12" s="28">
        <f t="shared" si="11"/>
        <v>1016</v>
      </c>
      <c r="H12" s="28">
        <f t="shared" si="11"/>
        <v>1029</v>
      </c>
      <c r="I12" s="28">
        <f t="shared" si="11"/>
        <v>1039</v>
      </c>
      <c r="J12" s="28">
        <f t="shared" si="11"/>
        <v>1043</v>
      </c>
      <c r="K12" s="28">
        <f t="shared" si="11"/>
        <v>1047</v>
      </c>
      <c r="L12" s="28">
        <f t="shared" si="11"/>
        <v>1064</v>
      </c>
      <c r="M12" s="28">
        <f t="shared" si="11"/>
        <v>1076</v>
      </c>
    </row>
    <row r="13" spans="1:13">
      <c r="A13" s="28" t="s">
        <v>58</v>
      </c>
      <c r="B13" s="28" t="s">
        <v>68</v>
      </c>
    </row>
    <row r="14" spans="1:13">
      <c r="A14" s="28" t="s">
        <v>70</v>
      </c>
      <c r="B14" s="28" t="s">
        <v>70</v>
      </c>
    </row>
    <row r="15" spans="1:13">
      <c r="A15" s="28" t="s">
        <v>71</v>
      </c>
      <c r="B15" s="28" t="s">
        <v>71</v>
      </c>
    </row>
    <row r="16" spans="1:13">
      <c r="A16" s="28" t="s">
        <v>72</v>
      </c>
      <c r="B16" s="28" t="s">
        <v>72</v>
      </c>
    </row>
    <row r="17" spans="1:14">
      <c r="A17" s="28" t="s">
        <v>69</v>
      </c>
      <c r="B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  <c r="K17" s="28">
        <v>700</v>
      </c>
      <c r="L17" s="28">
        <v>700</v>
      </c>
      <c r="M17" s="28">
        <v>700</v>
      </c>
    </row>
    <row r="18" spans="1:14">
      <c r="A18" s="28" t="s">
        <v>140</v>
      </c>
      <c r="B18" s="28" t="s">
        <v>140</v>
      </c>
      <c r="D18" s="28">
        <v>38</v>
      </c>
      <c r="E18" s="28">
        <v>38</v>
      </c>
      <c r="F18" s="28">
        <v>38</v>
      </c>
      <c r="G18" s="28">
        <v>38</v>
      </c>
      <c r="H18" s="28">
        <v>38</v>
      </c>
      <c r="I18" s="28">
        <v>38</v>
      </c>
      <c r="J18" s="28">
        <v>38</v>
      </c>
      <c r="K18" s="28">
        <v>38</v>
      </c>
      <c r="L18" s="28">
        <v>38</v>
      </c>
      <c r="M18" s="28">
        <v>38</v>
      </c>
    </row>
    <row r="19" spans="1:14">
      <c r="A19" s="28" t="s">
        <v>141</v>
      </c>
      <c r="B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  <c r="K19" s="28">
        <v>45</v>
      </c>
      <c r="L19" s="28">
        <v>45</v>
      </c>
      <c r="M19" s="28">
        <v>45</v>
      </c>
    </row>
    <row r="20" spans="1:14">
      <c r="A20" s="28" t="s">
        <v>1758</v>
      </c>
      <c r="B20" s="28" t="s">
        <v>1758</v>
      </c>
    </row>
    <row r="21" spans="1:14">
      <c r="A21" s="28" t="s">
        <v>1759</v>
      </c>
      <c r="B21" s="28" t="s">
        <v>1759</v>
      </c>
    </row>
    <row r="23" spans="1:14">
      <c r="C23" s="28" t="str" cm="1">
        <f t="array" ref="C23:N33">TRANSPOSE(C38:M49)</f>
        <v>Size*</v>
      </c>
      <c r="D23" s="28">
        <v>48</v>
      </c>
      <c r="E23" s="28">
        <v>50</v>
      </c>
      <c r="F23" s="28">
        <v>52</v>
      </c>
      <c r="G23" s="28">
        <v>54</v>
      </c>
      <c r="H23" s="28">
        <v>56</v>
      </c>
      <c r="I23" s="28">
        <v>58</v>
      </c>
      <c r="J23" s="28">
        <v>60</v>
      </c>
      <c r="K23" s="28">
        <v>62</v>
      </c>
      <c r="L23" s="28">
        <v>64</v>
      </c>
      <c r="M23" s="28">
        <v>66</v>
      </c>
      <c r="N23" s="28">
        <v>0</v>
      </c>
    </row>
    <row r="24" spans="1:14">
      <c r="C24" s="28" t="str">
        <v>top tube length</v>
      </c>
      <c r="D24" s="28">
        <v>51.5</v>
      </c>
      <c r="E24" s="28">
        <v>52.5</v>
      </c>
      <c r="F24" s="28">
        <v>53.1</v>
      </c>
      <c r="G24" s="28">
        <v>55</v>
      </c>
      <c r="H24" s="28">
        <v>57.2</v>
      </c>
      <c r="I24" s="28">
        <v>57.7</v>
      </c>
      <c r="J24" s="28">
        <v>58.6</v>
      </c>
      <c r="K24" s="28">
        <v>59.3</v>
      </c>
      <c r="L24" s="28">
        <v>61.3</v>
      </c>
      <c r="M24" s="28">
        <v>63.6</v>
      </c>
      <c r="N24" s="28">
        <v>0</v>
      </c>
    </row>
    <row r="25" spans="1:14">
      <c r="C25" s="28" t="str">
        <v>seat angle</v>
      </c>
      <c r="D25" s="28">
        <v>74.5</v>
      </c>
      <c r="E25" s="28">
        <v>74.5</v>
      </c>
      <c r="F25" s="28">
        <v>74</v>
      </c>
      <c r="G25" s="28">
        <v>73.5</v>
      </c>
      <c r="H25" s="28">
        <v>73</v>
      </c>
      <c r="I25" s="28">
        <v>73</v>
      </c>
      <c r="J25" s="28">
        <v>72.5</v>
      </c>
      <c r="K25" s="28">
        <v>72.5</v>
      </c>
      <c r="L25" s="28">
        <v>72</v>
      </c>
      <c r="M25" s="28">
        <v>71.5</v>
      </c>
      <c r="N25" s="28">
        <v>0</v>
      </c>
    </row>
    <row r="26" spans="1:14">
      <c r="C26" s="28" t="str">
        <v>chainstay length</v>
      </c>
      <c r="D26" s="28">
        <v>43</v>
      </c>
      <c r="E26" s="28">
        <v>43</v>
      </c>
      <c r="F26" s="28">
        <v>43</v>
      </c>
      <c r="G26" s="28">
        <v>43</v>
      </c>
      <c r="H26" s="28">
        <v>43</v>
      </c>
      <c r="I26" s="28">
        <v>43</v>
      </c>
      <c r="J26" s="28">
        <v>43</v>
      </c>
      <c r="K26" s="28">
        <v>43</v>
      </c>
      <c r="L26" s="28">
        <v>43</v>
      </c>
      <c r="M26" s="28">
        <v>43</v>
      </c>
      <c r="N26" s="28">
        <v>0</v>
      </c>
    </row>
    <row r="27" spans="1:14">
      <c r="C27" s="28" t="str">
        <v>stand over height</v>
      </c>
      <c r="D27" s="28">
        <v>75.599999999999994</v>
      </c>
      <c r="E27" s="28">
        <v>76.3</v>
      </c>
      <c r="F27" s="28">
        <v>78.3</v>
      </c>
      <c r="G27" s="28">
        <v>79.2</v>
      </c>
      <c r="H27" s="28">
        <v>81.2</v>
      </c>
      <c r="I27" s="28">
        <v>82.1</v>
      </c>
      <c r="J27" s="28">
        <v>85.2</v>
      </c>
      <c r="K27" s="28">
        <v>85.6</v>
      </c>
      <c r="L27" s="28">
        <v>87.6</v>
      </c>
      <c r="M27" s="28">
        <v>88.9</v>
      </c>
      <c r="N27" s="28">
        <v>0</v>
      </c>
    </row>
    <row r="28" spans="1:14">
      <c r="C28" s="28" t="str">
        <v>b.b. drop</v>
      </c>
      <c r="D28" s="28">
        <v>7</v>
      </c>
      <c r="E28" s="28">
        <v>7</v>
      </c>
      <c r="F28" s="28">
        <v>7</v>
      </c>
      <c r="G28" s="28">
        <v>7</v>
      </c>
      <c r="H28" s="28">
        <v>7</v>
      </c>
      <c r="I28" s="28">
        <v>7</v>
      </c>
      <c r="J28" s="28">
        <v>7</v>
      </c>
      <c r="K28" s="28">
        <v>7</v>
      </c>
      <c r="L28" s="28">
        <v>7</v>
      </c>
      <c r="M28" s="28">
        <v>7</v>
      </c>
      <c r="N28" s="28">
        <v>0</v>
      </c>
    </row>
    <row r="29" spans="1:14">
      <c r="C29" s="28" t="str">
        <v>head tube angle</v>
      </c>
      <c r="D29" s="28">
        <v>71.5</v>
      </c>
      <c r="E29" s="28">
        <v>72</v>
      </c>
      <c r="F29" s="28">
        <v>72</v>
      </c>
      <c r="G29" s="28">
        <v>72.5</v>
      </c>
      <c r="H29" s="28">
        <v>72.5</v>
      </c>
      <c r="I29" s="28">
        <v>72.5</v>
      </c>
      <c r="J29" s="28">
        <v>72.5</v>
      </c>
      <c r="K29" s="28">
        <v>72.5</v>
      </c>
      <c r="L29" s="28">
        <v>72.5</v>
      </c>
      <c r="M29" s="28">
        <v>73</v>
      </c>
      <c r="N29" s="28">
        <v>0</v>
      </c>
    </row>
    <row r="30" spans="1:14">
      <c r="C30" s="28" t="str">
        <v>head tube length</v>
      </c>
      <c r="D30" s="28">
        <v>10</v>
      </c>
      <c r="E30" s="28">
        <v>10</v>
      </c>
      <c r="F30" s="28">
        <v>12</v>
      </c>
      <c r="G30" s="28">
        <v>13</v>
      </c>
      <c r="H30" s="28">
        <v>15</v>
      </c>
      <c r="I30" s="28">
        <v>16</v>
      </c>
      <c r="J30" s="28">
        <v>18</v>
      </c>
      <c r="K30" s="28">
        <v>20</v>
      </c>
      <c r="L30" s="28">
        <v>22</v>
      </c>
      <c r="M30" s="28">
        <v>24</v>
      </c>
      <c r="N30" s="28">
        <v>0</v>
      </c>
    </row>
    <row r="31" spans="1:14">
      <c r="C31" s="28" t="str">
        <v>Stack</v>
      </c>
      <c r="D31" s="28">
        <v>53.4</v>
      </c>
      <c r="E31" s="28">
        <v>53.6</v>
      </c>
      <c r="F31" s="28">
        <v>55.5</v>
      </c>
      <c r="G31" s="28">
        <v>56.6</v>
      </c>
      <c r="H31" s="28">
        <v>58.5</v>
      </c>
      <c r="I31" s="28">
        <v>59.5</v>
      </c>
      <c r="J31" s="28">
        <v>61.4</v>
      </c>
      <c r="K31" s="28">
        <v>63.3</v>
      </c>
      <c r="L31" s="28">
        <v>65.2</v>
      </c>
      <c r="M31" s="28">
        <v>67.3</v>
      </c>
      <c r="N31" s="28">
        <v>0</v>
      </c>
    </row>
    <row r="32" spans="1:14">
      <c r="C32" s="28" t="str">
        <v>Reach</v>
      </c>
      <c r="D32" s="28">
        <v>36.5</v>
      </c>
      <c r="E32" s="28">
        <v>37.5</v>
      </c>
      <c r="F32" s="28">
        <v>37</v>
      </c>
      <c r="G32" s="28">
        <v>38.1</v>
      </c>
      <c r="H32" s="28">
        <v>38.700000000000003</v>
      </c>
      <c r="I32" s="28">
        <v>39.5</v>
      </c>
      <c r="J32" s="28">
        <v>39.200000000000003</v>
      </c>
      <c r="K32" s="28">
        <v>39.1</v>
      </c>
      <c r="L32" s="28">
        <v>40.200000000000003</v>
      </c>
      <c r="M32" s="28">
        <v>41.3</v>
      </c>
      <c r="N32" s="28">
        <v>0</v>
      </c>
    </row>
    <row r="33" spans="3:14">
      <c r="C33" s="28" t="str">
        <v>wheel base</v>
      </c>
      <c r="D33" s="28">
        <v>99.9</v>
      </c>
      <c r="E33" s="28">
        <v>100.5</v>
      </c>
      <c r="F33" s="28">
        <v>100.6</v>
      </c>
      <c r="G33" s="28">
        <v>101.6</v>
      </c>
      <c r="H33" s="28">
        <v>102.9</v>
      </c>
      <c r="I33" s="28">
        <v>103.9</v>
      </c>
      <c r="J33" s="28">
        <v>104.3</v>
      </c>
      <c r="K33" s="28">
        <v>104.7</v>
      </c>
      <c r="L33" s="28">
        <v>106.4</v>
      </c>
      <c r="M33" s="28">
        <v>107.6</v>
      </c>
      <c r="N33" s="28">
        <v>0</v>
      </c>
    </row>
    <row r="38" spans="3:14">
      <c r="C38" s="28" t="s">
        <v>1809</v>
      </c>
      <c r="D38" s="28" t="s">
        <v>1810</v>
      </c>
      <c r="E38" s="28" t="s">
        <v>1811</v>
      </c>
      <c r="F38" s="28" t="s">
        <v>1804</v>
      </c>
      <c r="G38" s="28" t="s">
        <v>1812</v>
      </c>
      <c r="H38" s="28" t="s">
        <v>1813</v>
      </c>
      <c r="I38" s="28" t="s">
        <v>1640</v>
      </c>
      <c r="J38" s="28" t="s">
        <v>1231</v>
      </c>
      <c r="K38" s="28" t="s">
        <v>0</v>
      </c>
      <c r="L38" s="28" t="s">
        <v>1</v>
      </c>
      <c r="M38" s="28" t="s">
        <v>1814</v>
      </c>
    </row>
    <row r="39" spans="3:14">
      <c r="C39" s="28">
        <v>48</v>
      </c>
      <c r="D39" s="28">
        <v>51.5</v>
      </c>
      <c r="E39" s="28">
        <v>74.5</v>
      </c>
      <c r="F39" s="28">
        <v>43</v>
      </c>
      <c r="G39" s="28">
        <v>75.599999999999994</v>
      </c>
      <c r="H39" s="28">
        <v>7</v>
      </c>
      <c r="I39" s="28">
        <v>71.5</v>
      </c>
      <c r="J39" s="28">
        <v>10</v>
      </c>
      <c r="K39" s="28">
        <v>53.4</v>
      </c>
      <c r="L39" s="28">
        <v>36.5</v>
      </c>
      <c r="M39" s="28">
        <v>99.9</v>
      </c>
    </row>
    <row r="40" spans="3:14">
      <c r="C40" s="28">
        <v>50</v>
      </c>
      <c r="D40" s="28">
        <v>52.5</v>
      </c>
      <c r="E40" s="28">
        <v>74.5</v>
      </c>
      <c r="F40" s="28">
        <v>43</v>
      </c>
      <c r="G40" s="28">
        <v>76.3</v>
      </c>
      <c r="H40" s="28">
        <v>7</v>
      </c>
      <c r="I40" s="28">
        <v>72</v>
      </c>
      <c r="J40" s="28">
        <v>10</v>
      </c>
      <c r="K40" s="28">
        <v>53.6</v>
      </c>
      <c r="L40" s="28">
        <v>37.5</v>
      </c>
      <c r="M40" s="28">
        <v>100.5</v>
      </c>
    </row>
    <row r="41" spans="3:14">
      <c r="C41" s="28">
        <v>52</v>
      </c>
      <c r="D41" s="28">
        <v>53.1</v>
      </c>
      <c r="E41" s="28">
        <v>74</v>
      </c>
      <c r="F41" s="28">
        <v>43</v>
      </c>
      <c r="G41" s="28">
        <v>78.3</v>
      </c>
      <c r="H41" s="28">
        <v>7</v>
      </c>
      <c r="I41" s="28">
        <v>72</v>
      </c>
      <c r="J41" s="28">
        <v>12</v>
      </c>
      <c r="K41" s="28">
        <v>55.5</v>
      </c>
      <c r="L41" s="28">
        <v>37</v>
      </c>
      <c r="M41" s="28">
        <v>100.6</v>
      </c>
    </row>
    <row r="42" spans="3:14">
      <c r="C42" s="28">
        <v>54</v>
      </c>
      <c r="D42" s="28">
        <v>55</v>
      </c>
      <c r="E42" s="28">
        <v>73.5</v>
      </c>
      <c r="F42" s="28">
        <v>43</v>
      </c>
      <c r="G42" s="28">
        <v>79.2</v>
      </c>
      <c r="H42" s="28">
        <v>7</v>
      </c>
      <c r="I42" s="28">
        <v>72.5</v>
      </c>
      <c r="J42" s="28">
        <v>13</v>
      </c>
      <c r="K42" s="28">
        <v>56.6</v>
      </c>
      <c r="L42" s="28">
        <v>38.1</v>
      </c>
      <c r="M42" s="28">
        <v>101.6</v>
      </c>
    </row>
    <row r="43" spans="3:14">
      <c r="C43" s="28">
        <v>56</v>
      </c>
      <c r="D43" s="28">
        <v>57.2</v>
      </c>
      <c r="E43" s="28">
        <v>73</v>
      </c>
      <c r="F43" s="28">
        <v>43</v>
      </c>
      <c r="G43" s="28">
        <v>81.2</v>
      </c>
      <c r="H43" s="28">
        <v>7</v>
      </c>
      <c r="I43" s="28">
        <v>72.5</v>
      </c>
      <c r="J43" s="28">
        <v>15</v>
      </c>
      <c r="K43" s="28">
        <v>58.5</v>
      </c>
      <c r="L43" s="28">
        <v>38.700000000000003</v>
      </c>
      <c r="M43" s="28">
        <v>102.9</v>
      </c>
    </row>
    <row r="44" spans="3:14">
      <c r="C44" s="28">
        <v>58</v>
      </c>
      <c r="D44" s="28">
        <v>57.7</v>
      </c>
      <c r="E44" s="28">
        <v>73</v>
      </c>
      <c r="F44" s="28">
        <v>43</v>
      </c>
      <c r="G44" s="28">
        <v>82.1</v>
      </c>
      <c r="H44" s="28">
        <v>7</v>
      </c>
      <c r="I44" s="28">
        <v>72.5</v>
      </c>
      <c r="J44" s="28">
        <v>16</v>
      </c>
      <c r="K44" s="28">
        <v>59.5</v>
      </c>
      <c r="L44" s="28">
        <v>39.5</v>
      </c>
      <c r="M44" s="28">
        <v>103.9</v>
      </c>
    </row>
    <row r="45" spans="3:14">
      <c r="C45" s="28">
        <v>60</v>
      </c>
      <c r="D45" s="28">
        <v>58.6</v>
      </c>
      <c r="E45" s="28">
        <v>72.5</v>
      </c>
      <c r="F45" s="28">
        <v>43</v>
      </c>
      <c r="G45" s="28">
        <v>85.2</v>
      </c>
      <c r="H45" s="28">
        <v>7</v>
      </c>
      <c r="I45" s="28">
        <v>72.5</v>
      </c>
      <c r="J45" s="28">
        <v>18</v>
      </c>
      <c r="K45" s="28">
        <v>61.4</v>
      </c>
      <c r="L45" s="28">
        <v>39.200000000000003</v>
      </c>
      <c r="M45" s="28">
        <v>104.3</v>
      </c>
    </row>
    <row r="46" spans="3:14">
      <c r="C46" s="28">
        <v>62</v>
      </c>
      <c r="D46" s="28">
        <v>59.3</v>
      </c>
      <c r="E46" s="28">
        <v>72.5</v>
      </c>
      <c r="F46" s="28">
        <v>43</v>
      </c>
      <c r="G46" s="28">
        <v>85.6</v>
      </c>
      <c r="H46" s="28">
        <v>7</v>
      </c>
      <c r="I46" s="28">
        <v>72.5</v>
      </c>
      <c r="J46" s="28">
        <v>20</v>
      </c>
      <c r="K46" s="28">
        <v>63.3</v>
      </c>
      <c r="L46" s="28">
        <v>39.1</v>
      </c>
      <c r="M46" s="28">
        <v>104.7</v>
      </c>
    </row>
    <row r="47" spans="3:14">
      <c r="C47" s="28">
        <v>64</v>
      </c>
      <c r="D47" s="28">
        <v>61.3</v>
      </c>
      <c r="E47" s="28">
        <v>72</v>
      </c>
      <c r="F47" s="28">
        <v>43</v>
      </c>
      <c r="G47" s="28">
        <v>87.6</v>
      </c>
      <c r="H47" s="28">
        <v>7</v>
      </c>
      <c r="I47" s="28">
        <v>72.5</v>
      </c>
      <c r="J47" s="28">
        <v>22</v>
      </c>
      <c r="K47" s="28">
        <v>65.2</v>
      </c>
      <c r="L47" s="28">
        <v>40.200000000000003</v>
      </c>
      <c r="M47" s="28">
        <v>106.4</v>
      </c>
    </row>
    <row r="48" spans="3:14">
      <c r="C48" s="28">
        <v>66</v>
      </c>
      <c r="D48" s="28">
        <v>63.6</v>
      </c>
      <c r="E48" s="28">
        <v>71.5</v>
      </c>
      <c r="F48" s="28">
        <v>43</v>
      </c>
      <c r="G48" s="28">
        <v>88.9</v>
      </c>
      <c r="H48" s="28">
        <v>7</v>
      </c>
      <c r="I48" s="28">
        <v>73</v>
      </c>
      <c r="J48" s="28">
        <v>24</v>
      </c>
      <c r="K48" s="28">
        <v>67.3</v>
      </c>
      <c r="L48" s="28">
        <v>41.3</v>
      </c>
      <c r="M48" s="28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8" bestFit="1" customWidth="1"/>
    <col min="2" max="2" width="24.6640625" style="28" bestFit="1" customWidth="1"/>
    <col min="3" max="16384" width="10.83203125" style="28"/>
  </cols>
  <sheetData>
    <row r="1" spans="1:7">
      <c r="A1" s="28" t="s">
        <v>73</v>
      </c>
      <c r="B1" s="28" t="str">
        <f>B33</f>
        <v>size</v>
      </c>
      <c r="C1" s="28">
        <f>C33</f>
        <v>48</v>
      </c>
      <c r="D1" s="28">
        <f>D33</f>
        <v>51</v>
      </c>
      <c r="E1" s="28">
        <f>E33</f>
        <v>54</v>
      </c>
      <c r="F1" s="28">
        <f>F33</f>
        <v>56</v>
      </c>
      <c r="G1" s="28">
        <f>G33</f>
        <v>58</v>
      </c>
    </row>
    <row r="2" spans="1:7">
      <c r="A2" s="28" t="s">
        <v>61</v>
      </c>
      <c r="B2" s="28" t="str">
        <f>B35</f>
        <v>Seat Tube Length</v>
      </c>
      <c r="C2" s="28">
        <f>C35*10</f>
        <v>449</v>
      </c>
      <c r="D2" s="28">
        <f>D35*10</f>
        <v>488</v>
      </c>
      <c r="E2" s="28">
        <f>E35*10</f>
        <v>524</v>
      </c>
      <c r="F2" s="28">
        <f>F35*10</f>
        <v>546</v>
      </c>
      <c r="G2" s="28">
        <f>G35*10</f>
        <v>566</v>
      </c>
    </row>
    <row r="3" spans="1:7">
      <c r="A3" s="28" t="s">
        <v>74</v>
      </c>
      <c r="B3" s="28" t="str">
        <f>B36</f>
        <v xml:space="preserve">Top Tube Horizontal </v>
      </c>
      <c r="C3" s="28">
        <f>C36*10</f>
        <v>507</v>
      </c>
      <c r="D3" s="28">
        <f>D36*10</f>
        <v>524</v>
      </c>
      <c r="E3" s="28">
        <f>E36*10</f>
        <v>537</v>
      </c>
      <c r="F3" s="28">
        <f>F36*10</f>
        <v>555</v>
      </c>
      <c r="G3" s="28">
        <f>G36*10</f>
        <v>568</v>
      </c>
    </row>
    <row r="4" spans="1:7">
      <c r="A4" s="28" t="s">
        <v>403</v>
      </c>
      <c r="B4" s="28" t="str">
        <f>B37</f>
        <v>Top Tube actual</v>
      </c>
    </row>
    <row r="5" spans="1:7">
      <c r="A5" s="28" t="s">
        <v>63</v>
      </c>
      <c r="B5" s="28" t="str">
        <f>B38</f>
        <v>head tube angle</v>
      </c>
      <c r="C5" s="28">
        <f>C38</f>
        <v>70</v>
      </c>
      <c r="D5" s="28">
        <f>D38</f>
        <v>71</v>
      </c>
      <c r="E5" s="28">
        <f>E38</f>
        <v>71</v>
      </c>
      <c r="F5" s="28">
        <f>F38</f>
        <v>71</v>
      </c>
      <c r="G5" s="28">
        <f>G38</f>
        <v>71</v>
      </c>
    </row>
    <row r="6" spans="1:7">
      <c r="A6" s="28" t="s">
        <v>64</v>
      </c>
      <c r="B6" s="28" t="str">
        <f>B39</f>
        <v>seat tube angle</v>
      </c>
      <c r="C6" s="28">
        <f>C39</f>
        <v>73.900000000000006</v>
      </c>
      <c r="D6" s="28">
        <f>D39</f>
        <v>73.099999999999994</v>
      </c>
      <c r="E6" s="28">
        <f>E39</f>
        <v>73.099999999999994</v>
      </c>
      <c r="F6" s="28">
        <f>F39</f>
        <v>72.7</v>
      </c>
      <c r="G6" s="28">
        <f>G39</f>
        <v>72.7</v>
      </c>
    </row>
    <row r="7" spans="1:7">
      <c r="A7" s="28" t="s">
        <v>58</v>
      </c>
      <c r="B7" s="28" t="str">
        <f>B40</f>
        <v>standover</v>
      </c>
      <c r="C7" s="28">
        <f>C40*10</f>
        <v>743</v>
      </c>
      <c r="D7" s="28">
        <f>D40*10</f>
        <v>773</v>
      </c>
      <c r="E7" s="28">
        <f>E40*10</f>
        <v>802</v>
      </c>
      <c r="F7" s="28">
        <f>F40*10</f>
        <v>822</v>
      </c>
      <c r="G7" s="28">
        <f>G40*10</f>
        <v>843</v>
      </c>
    </row>
    <row r="8" spans="1:7">
      <c r="A8" s="28" t="s">
        <v>65</v>
      </c>
      <c r="B8" s="28" t="str">
        <f>B41</f>
        <v>head tube length</v>
      </c>
      <c r="C8" s="28">
        <f>C41*10</f>
        <v>93</v>
      </c>
      <c r="D8" s="28">
        <f>D41*10</f>
        <v>110</v>
      </c>
      <c r="E8" s="28">
        <f>E41*10</f>
        <v>132</v>
      </c>
      <c r="F8" s="28">
        <f>F41*10</f>
        <v>153</v>
      </c>
      <c r="G8" s="28">
        <f>G41*10</f>
        <v>175</v>
      </c>
    </row>
    <row r="9" spans="1:7">
      <c r="A9" s="28" t="s">
        <v>57</v>
      </c>
      <c r="B9" s="28" t="str">
        <f>B42</f>
        <v>wheelbase</v>
      </c>
      <c r="C9" s="28">
        <f>C42*10</f>
        <v>1002</v>
      </c>
      <c r="D9" s="28">
        <f>D42*10</f>
        <v>1005</v>
      </c>
      <c r="E9" s="28">
        <f>E42*10</f>
        <v>1020</v>
      </c>
      <c r="F9" s="28">
        <f>F42*10</f>
        <v>1034</v>
      </c>
      <c r="G9" s="28">
        <f>G42*10</f>
        <v>1048</v>
      </c>
    </row>
    <row r="10" spans="1:7">
      <c r="A10" s="28" t="s">
        <v>135</v>
      </c>
      <c r="B10" s="28" t="str">
        <f>B43</f>
        <v>front center</v>
      </c>
      <c r="C10" s="28">
        <f>C43*10</f>
        <v>590</v>
      </c>
      <c r="D10" s="28">
        <f>D43*10</f>
        <v>593</v>
      </c>
      <c r="E10" s="28">
        <f>E43*10</f>
        <v>607</v>
      </c>
      <c r="F10" s="28">
        <f>F43*10</f>
        <v>621</v>
      </c>
      <c r="G10" s="28">
        <f>G43*10</f>
        <v>636</v>
      </c>
    </row>
    <row r="11" spans="1:7">
      <c r="A11" s="28" t="s">
        <v>67</v>
      </c>
      <c r="B11" s="28" t="str">
        <f>B44</f>
        <v>chainstay length</v>
      </c>
      <c r="C11" s="28">
        <f>C44*10</f>
        <v>422</v>
      </c>
      <c r="D11" s="28">
        <f>D44*10</f>
        <v>422</v>
      </c>
      <c r="E11" s="28">
        <f>E44*10</f>
        <v>422</v>
      </c>
      <c r="F11" s="28">
        <f>F44*10</f>
        <v>422</v>
      </c>
      <c r="G11" s="28">
        <f>G44*10</f>
        <v>422</v>
      </c>
    </row>
    <row r="12" spans="1:7">
      <c r="A12" s="28" t="s">
        <v>66</v>
      </c>
      <c r="B12" s="28" t="str">
        <f>B45</f>
        <v>bottom bracket drop</v>
      </c>
      <c r="C12" s="28">
        <f>C45*10</f>
        <v>70</v>
      </c>
      <c r="D12" s="28">
        <f>D45*10</f>
        <v>70</v>
      </c>
      <c r="E12" s="28">
        <f>E45*10</f>
        <v>69</v>
      </c>
      <c r="F12" s="28">
        <f>F45*10</f>
        <v>69</v>
      </c>
      <c r="G12" s="28">
        <f>G45*10</f>
        <v>68</v>
      </c>
    </row>
    <row r="13" spans="1:7">
      <c r="A13" s="28" t="s">
        <v>138</v>
      </c>
      <c r="B13" s="28" t="str">
        <f>B46</f>
        <v>bottom bracket height</v>
      </c>
      <c r="C13" s="28">
        <f>C46*10</f>
        <v>280</v>
      </c>
      <c r="D13" s="28">
        <f>D46*10</f>
        <v>280</v>
      </c>
      <c r="E13" s="28">
        <f>E46*10</f>
        <v>281</v>
      </c>
      <c r="F13" s="28">
        <f>F46*10</f>
        <v>281</v>
      </c>
      <c r="G13" s="28">
        <f>G46*10</f>
        <v>282</v>
      </c>
    </row>
    <row r="14" spans="1:7">
      <c r="A14" s="28" t="s">
        <v>68</v>
      </c>
      <c r="B14" s="28" t="str">
        <f>B47</f>
        <v>fork rake</v>
      </c>
      <c r="C14" s="28">
        <f>C47*10</f>
        <v>55</v>
      </c>
      <c r="D14" s="28">
        <f>D47*10</f>
        <v>55</v>
      </c>
      <c r="E14" s="28">
        <f>E47*10</f>
        <v>55</v>
      </c>
      <c r="F14" s="28">
        <f>F47*10</f>
        <v>55</v>
      </c>
      <c r="G14" s="28">
        <f>G47*10</f>
        <v>55</v>
      </c>
    </row>
    <row r="15" spans="1:7">
      <c r="A15" s="28" t="s">
        <v>136</v>
      </c>
      <c r="B15" s="28" t="str">
        <f>B48</f>
        <v>trail</v>
      </c>
      <c r="C15" s="28">
        <f>C48*10</f>
        <v>69</v>
      </c>
      <c r="D15" s="28">
        <f>D48*10</f>
        <v>62</v>
      </c>
      <c r="E15" s="28">
        <f>E48*10</f>
        <v>62</v>
      </c>
      <c r="F15" s="28">
        <f>F48*10</f>
        <v>62</v>
      </c>
      <c r="G15" s="28">
        <f>G48*10</f>
        <v>62</v>
      </c>
    </row>
    <row r="16" spans="1:7">
      <c r="A16" s="28" t="s">
        <v>55</v>
      </c>
      <c r="B16" s="28" t="str">
        <f>B49</f>
        <v>stack</v>
      </c>
      <c r="C16" s="28">
        <f>C49*10</f>
        <v>515</v>
      </c>
      <c r="D16" s="28">
        <f>D49*10</f>
        <v>535</v>
      </c>
      <c r="E16" s="28">
        <f>E49*10</f>
        <v>555</v>
      </c>
      <c r="F16" s="28">
        <f>F49*10</f>
        <v>575</v>
      </c>
      <c r="G16" s="28">
        <f>G49*10</f>
        <v>595</v>
      </c>
    </row>
    <row r="17" spans="1:7">
      <c r="A17" s="28" t="s">
        <v>56</v>
      </c>
      <c r="B17" s="28" t="str">
        <f>B50</f>
        <v>reach</v>
      </c>
      <c r="C17" s="28">
        <f>C50*10</f>
        <v>365</v>
      </c>
      <c r="D17" s="28">
        <f>D50*10</f>
        <v>371</v>
      </c>
      <c r="E17" s="28">
        <f>E50*10</f>
        <v>378</v>
      </c>
      <c r="F17" s="28">
        <f>F50*10</f>
        <v>385</v>
      </c>
      <c r="G17" s="28">
        <f>G50*10</f>
        <v>392</v>
      </c>
    </row>
    <row r="18" spans="1:7">
      <c r="A18" s="28" t="s">
        <v>70</v>
      </c>
      <c r="B18" s="28" t="s">
        <v>70</v>
      </c>
    </row>
    <row r="19" spans="1:7">
      <c r="A19" s="28" t="s">
        <v>71</v>
      </c>
      <c r="B19" s="28" t="s">
        <v>71</v>
      </c>
    </row>
    <row r="20" spans="1:7">
      <c r="A20" s="28" t="s">
        <v>72</v>
      </c>
      <c r="B20" s="28" t="s">
        <v>72</v>
      </c>
    </row>
    <row r="21" spans="1:7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A22" s="28" t="s">
        <v>140</v>
      </c>
      <c r="B22" s="28" t="s">
        <v>140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141</v>
      </c>
      <c r="B23" s="28" t="s">
        <v>141</v>
      </c>
      <c r="C23" s="28">
        <v>45</v>
      </c>
      <c r="D23" s="28">
        <v>45</v>
      </c>
      <c r="E23" s="28">
        <v>45</v>
      </c>
      <c r="F23" s="28">
        <v>45</v>
      </c>
      <c r="G23" s="28">
        <v>45</v>
      </c>
    </row>
    <row r="24" spans="1:7">
      <c r="A24" s="28" t="s">
        <v>1758</v>
      </c>
      <c r="B24" s="28" t="s">
        <v>1758</v>
      </c>
      <c r="C24" s="43">
        <f>(C27+C28/12)*12*2.54</f>
        <v>152.4</v>
      </c>
      <c r="D24" s="43">
        <f>(D27+D28/12)*12*2.54</f>
        <v>165.1</v>
      </c>
      <c r="E24" s="43">
        <f>(E27+E28/12)*12*2.54</f>
        <v>170.18</v>
      </c>
      <c r="F24" s="43">
        <f>(F27+F28/12)*12*2.54</f>
        <v>177.8</v>
      </c>
      <c r="G24" s="43">
        <f>(G27+G28/12)*12*2.54</f>
        <v>182.88</v>
      </c>
    </row>
    <row r="25" spans="1:7">
      <c r="A25" s="28" t="s">
        <v>1759</v>
      </c>
      <c r="B25" s="28" t="s">
        <v>1759</v>
      </c>
      <c r="C25" s="43">
        <f>(C29+C30/12)*12*2.54</f>
        <v>162.56</v>
      </c>
      <c r="D25" s="43">
        <f>(D29+D30/12)*12*2.54</f>
        <v>175.26</v>
      </c>
      <c r="E25" s="43">
        <f>(E29+E30/12)*12*2.54</f>
        <v>180.34</v>
      </c>
      <c r="F25" s="43">
        <f>(F29+F30/12)*12*2.54</f>
        <v>185.42000000000002</v>
      </c>
      <c r="G25" s="43">
        <f>(G29+G30/12)*12*2.54</f>
        <v>193.04</v>
      </c>
    </row>
    <row r="27" spans="1:7">
      <c r="B27" s="28" t="s">
        <v>1761</v>
      </c>
      <c r="C27" s="28">
        <v>5</v>
      </c>
      <c r="D27" s="28">
        <v>5</v>
      </c>
      <c r="E27" s="28">
        <v>5</v>
      </c>
      <c r="F27" s="28">
        <v>5</v>
      </c>
      <c r="G27" s="28">
        <v>6</v>
      </c>
    </row>
    <row r="28" spans="1:7">
      <c r="B28" s="28" t="s">
        <v>1762</v>
      </c>
      <c r="C28" s="28">
        <v>0</v>
      </c>
      <c r="D28" s="28">
        <v>5</v>
      </c>
      <c r="E28" s="28">
        <v>7</v>
      </c>
      <c r="F28" s="28">
        <v>10</v>
      </c>
      <c r="G28" s="28">
        <v>0</v>
      </c>
    </row>
    <row r="29" spans="1:7">
      <c r="B29" s="28" t="s">
        <v>1763</v>
      </c>
      <c r="C29" s="28">
        <v>5</v>
      </c>
      <c r="D29" s="28">
        <v>5</v>
      </c>
      <c r="E29" s="28">
        <v>5</v>
      </c>
      <c r="F29" s="28">
        <v>6</v>
      </c>
      <c r="G29" s="28">
        <v>6</v>
      </c>
    </row>
    <row r="30" spans="1:7">
      <c r="B30" s="28" t="s">
        <v>1764</v>
      </c>
      <c r="C30" s="28">
        <v>4</v>
      </c>
      <c r="D30" s="28">
        <v>9</v>
      </c>
      <c r="E30" s="28">
        <v>11</v>
      </c>
      <c r="F30" s="28">
        <v>1</v>
      </c>
      <c r="G30" s="28">
        <v>4</v>
      </c>
    </row>
    <row r="33" spans="2:7" ht="31" customHeight="1">
      <c r="B33" s="28" t="s">
        <v>139</v>
      </c>
      <c r="C33" s="28">
        <v>48</v>
      </c>
      <c r="D33" s="28">
        <v>51</v>
      </c>
      <c r="E33" s="28">
        <v>54</v>
      </c>
      <c r="F33" s="28">
        <v>56</v>
      </c>
      <c r="G33" s="28">
        <v>58</v>
      </c>
    </row>
    <row r="34" spans="2:7" ht="31" customHeight="1">
      <c r="B34" s="28" t="s">
        <v>12</v>
      </c>
      <c r="C34" s="28">
        <v>700</v>
      </c>
      <c r="D34" s="28">
        <v>700</v>
      </c>
      <c r="E34" s="28">
        <v>700</v>
      </c>
      <c r="F34" s="28">
        <v>700</v>
      </c>
      <c r="G34" s="28">
        <v>700</v>
      </c>
    </row>
    <row r="35" spans="2:7" ht="31" customHeight="1">
      <c r="B35" s="28" t="s">
        <v>176</v>
      </c>
      <c r="C35" s="28">
        <v>44.9</v>
      </c>
      <c r="D35" s="28">
        <v>48.8</v>
      </c>
      <c r="E35" s="28">
        <v>52.4</v>
      </c>
      <c r="F35" s="28">
        <v>54.6</v>
      </c>
      <c r="G35" s="28">
        <v>56.6</v>
      </c>
    </row>
    <row r="36" spans="2:7" ht="31" customHeight="1">
      <c r="B36" s="28" t="s">
        <v>1803</v>
      </c>
      <c r="C36" s="28">
        <v>50.7</v>
      </c>
      <c r="D36" s="28">
        <v>52.4</v>
      </c>
      <c r="E36" s="28">
        <v>53.7</v>
      </c>
      <c r="F36" s="28">
        <v>55.5</v>
      </c>
      <c r="G36" s="28">
        <v>56.8</v>
      </c>
    </row>
    <row r="37" spans="2:7" ht="31" customHeight="1">
      <c r="B37" s="28" t="s">
        <v>1808</v>
      </c>
    </row>
    <row r="38" spans="2:7" ht="31" customHeight="1">
      <c r="B38" s="28" t="s">
        <v>1640</v>
      </c>
      <c r="C38" s="28">
        <v>70</v>
      </c>
      <c r="D38" s="28">
        <v>71</v>
      </c>
      <c r="E38" s="28">
        <v>71</v>
      </c>
      <c r="F38" s="28">
        <v>71</v>
      </c>
      <c r="G38" s="28">
        <v>71</v>
      </c>
    </row>
    <row r="39" spans="2:7" ht="31" customHeight="1">
      <c r="B39" s="28" t="s">
        <v>1641</v>
      </c>
      <c r="C39" s="28">
        <v>73.900000000000006</v>
      </c>
      <c r="D39" s="28">
        <v>73.099999999999994</v>
      </c>
      <c r="E39" s="28">
        <v>73.099999999999994</v>
      </c>
      <c r="F39" s="28">
        <v>72.7</v>
      </c>
      <c r="G39" s="28">
        <v>72.7</v>
      </c>
    </row>
    <row r="40" spans="2:7" ht="31" customHeight="1">
      <c r="B40" s="28" t="s">
        <v>58</v>
      </c>
      <c r="C40" s="28">
        <v>74.3</v>
      </c>
      <c r="D40" s="28">
        <v>77.3</v>
      </c>
      <c r="E40" s="28">
        <v>80.2</v>
      </c>
      <c r="F40" s="28">
        <v>82.2</v>
      </c>
      <c r="G40" s="28">
        <v>84.3</v>
      </c>
    </row>
    <row r="41" spans="2:7" ht="31" customHeight="1">
      <c r="B41" s="28" t="s">
        <v>1231</v>
      </c>
      <c r="C41" s="28">
        <v>9.3000000000000007</v>
      </c>
      <c r="D41" s="28">
        <v>11</v>
      </c>
      <c r="E41" s="28">
        <v>13.2</v>
      </c>
      <c r="F41" s="28">
        <v>15.3</v>
      </c>
      <c r="G41" s="28">
        <v>17.5</v>
      </c>
    </row>
    <row r="42" spans="2:7" ht="31" customHeight="1">
      <c r="B42" s="28" t="s">
        <v>57</v>
      </c>
      <c r="C42" s="28">
        <v>100.2</v>
      </c>
      <c r="D42" s="28">
        <v>100.5</v>
      </c>
      <c r="E42" s="28">
        <v>102</v>
      </c>
      <c r="F42" s="28">
        <v>103.4</v>
      </c>
      <c r="G42" s="28">
        <v>104.8</v>
      </c>
    </row>
    <row r="43" spans="2:7" ht="31" customHeight="1">
      <c r="B43" s="28" t="s">
        <v>978</v>
      </c>
      <c r="C43" s="28">
        <v>59</v>
      </c>
      <c r="D43" s="28">
        <v>59.3</v>
      </c>
      <c r="E43" s="28">
        <v>60.7</v>
      </c>
      <c r="F43" s="28">
        <v>62.1</v>
      </c>
      <c r="G43" s="33">
        <v>63.6</v>
      </c>
    </row>
    <row r="44" spans="2:7" ht="31" customHeight="1">
      <c r="B44" s="28" t="s">
        <v>1804</v>
      </c>
      <c r="C44" s="28">
        <v>42.2</v>
      </c>
      <c r="D44" s="28">
        <v>42.2</v>
      </c>
      <c r="E44" s="28">
        <v>42.2</v>
      </c>
      <c r="F44" s="28">
        <v>42.2</v>
      </c>
      <c r="G44" s="28">
        <v>42.2</v>
      </c>
    </row>
    <row r="45" spans="2:7" ht="31" customHeight="1">
      <c r="B45" s="28" t="s">
        <v>1805</v>
      </c>
      <c r="C45" s="28">
        <v>7</v>
      </c>
      <c r="D45" s="28">
        <v>7</v>
      </c>
      <c r="E45" s="28">
        <v>6.9</v>
      </c>
      <c r="F45" s="28">
        <v>6.9</v>
      </c>
      <c r="G45" s="28">
        <v>6.8</v>
      </c>
    </row>
    <row r="46" spans="2:7" ht="31" customHeight="1">
      <c r="B46" s="28" t="s">
        <v>1806</v>
      </c>
      <c r="C46" s="28">
        <v>28</v>
      </c>
      <c r="D46" s="28">
        <v>28</v>
      </c>
      <c r="E46" s="28">
        <v>28.1</v>
      </c>
      <c r="F46" s="28">
        <v>28.1</v>
      </c>
      <c r="G46" s="28">
        <v>28.2</v>
      </c>
    </row>
    <row r="47" spans="2:7" ht="31" customHeight="1">
      <c r="B47" s="28" t="s">
        <v>1807</v>
      </c>
      <c r="C47" s="28">
        <v>5.5</v>
      </c>
      <c r="D47" s="28">
        <v>5.5</v>
      </c>
      <c r="E47" s="28">
        <v>5.5</v>
      </c>
      <c r="F47" s="28">
        <v>5.5</v>
      </c>
      <c r="G47" s="28">
        <v>5.5</v>
      </c>
    </row>
    <row r="48" spans="2:7" ht="31" customHeight="1">
      <c r="B48" s="28" t="s">
        <v>136</v>
      </c>
      <c r="C48" s="28">
        <v>6.9</v>
      </c>
      <c r="D48" s="28">
        <v>6.2</v>
      </c>
      <c r="E48" s="28">
        <v>6.2</v>
      </c>
      <c r="F48" s="28">
        <v>6.2</v>
      </c>
      <c r="G48" s="81">
        <v>6.2</v>
      </c>
    </row>
    <row r="49" spans="2:7" ht="31" customHeight="1">
      <c r="B49" s="28" t="s">
        <v>55</v>
      </c>
      <c r="C49" s="28">
        <v>51.5</v>
      </c>
      <c r="D49" s="28">
        <v>53.5</v>
      </c>
      <c r="E49" s="28">
        <v>55.5</v>
      </c>
      <c r="F49" s="28">
        <v>57.5</v>
      </c>
      <c r="G49" s="28">
        <v>59.5</v>
      </c>
    </row>
    <row r="50" spans="2:7" ht="31" customHeight="1">
      <c r="B50" s="28" t="s">
        <v>56</v>
      </c>
      <c r="C50" s="28">
        <v>36.5</v>
      </c>
      <c r="D50" s="28">
        <v>37.1</v>
      </c>
      <c r="E50" s="28">
        <v>37.799999999999997</v>
      </c>
      <c r="F50" s="28">
        <v>38.5</v>
      </c>
      <c r="G50" s="28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8" bestFit="1" customWidth="1"/>
    <col min="2" max="2" width="24.6640625" style="28" bestFit="1" customWidth="1"/>
    <col min="3" max="16384" width="10.83203125" style="28"/>
  </cols>
  <sheetData>
    <row r="1" spans="1:12">
      <c r="A1" s="28" t="s">
        <v>73</v>
      </c>
      <c r="B1" s="28" t="str">
        <f>B33</f>
        <v>size</v>
      </c>
      <c r="C1" s="28" t="str">
        <f>C33</f>
        <v>XS</v>
      </c>
      <c r="D1" s="28" t="str">
        <f t="shared" ref="D1:G1" si="0">D33</f>
        <v>SM</v>
      </c>
      <c r="E1" s="28" t="str">
        <f t="shared" si="0"/>
        <v>MD</v>
      </c>
      <c r="F1" s="28" t="str">
        <f t="shared" si="0"/>
        <v>LG</v>
      </c>
      <c r="G1" s="28" t="str">
        <f t="shared" si="0"/>
        <v>XL</v>
      </c>
    </row>
    <row r="2" spans="1:12">
      <c r="A2" s="28" t="s">
        <v>61</v>
      </c>
      <c r="B2" s="28" t="s">
        <v>176</v>
      </c>
      <c r="C2" s="28">
        <f>C35*10</f>
        <v>410</v>
      </c>
      <c r="D2" s="28">
        <f t="shared" ref="D2:G2" si="1">D35*10</f>
        <v>458</v>
      </c>
      <c r="E2" s="28">
        <f t="shared" si="1"/>
        <v>505</v>
      </c>
      <c r="F2" s="28">
        <f t="shared" si="1"/>
        <v>553</v>
      </c>
      <c r="G2" s="28">
        <f t="shared" si="1"/>
        <v>590</v>
      </c>
    </row>
    <row r="3" spans="1:12">
      <c r="A3" s="28" t="s">
        <v>74</v>
      </c>
      <c r="B3" s="28" t="s">
        <v>1803</v>
      </c>
      <c r="C3" s="28">
        <f t="shared" ref="C3:G18" si="2">C36*10</f>
        <v>532</v>
      </c>
      <c r="D3" s="28">
        <f t="shared" si="2"/>
        <v>543</v>
      </c>
      <c r="E3" s="28">
        <f t="shared" si="2"/>
        <v>556</v>
      </c>
      <c r="F3" s="28">
        <f t="shared" si="2"/>
        <v>571</v>
      </c>
      <c r="G3" s="28">
        <f t="shared" si="2"/>
        <v>586</v>
      </c>
      <c r="L3"/>
    </row>
    <row r="4" spans="1:12">
      <c r="A4" s="28" t="s">
        <v>403</v>
      </c>
      <c r="B4" s="28" t="s">
        <v>1808</v>
      </c>
      <c r="C4" s="28">
        <f t="shared" si="2"/>
        <v>503</v>
      </c>
      <c r="D4" s="28">
        <f t="shared" si="2"/>
        <v>516</v>
      </c>
      <c r="E4" s="28">
        <f t="shared" si="2"/>
        <v>532</v>
      </c>
      <c r="F4" s="28">
        <f t="shared" si="2"/>
        <v>550</v>
      </c>
      <c r="G4" s="28">
        <f t="shared" si="2"/>
        <v>567</v>
      </c>
    </row>
    <row r="5" spans="1:12">
      <c r="A5" s="28" t="s">
        <v>63</v>
      </c>
      <c r="B5" s="28" t="s">
        <v>1640</v>
      </c>
      <c r="C5" s="28">
        <f>C38</f>
        <v>69.3</v>
      </c>
      <c r="D5" s="28">
        <f t="shared" ref="D5:G5" si="3">D38</f>
        <v>70.3</v>
      </c>
      <c r="E5" s="28">
        <f t="shared" si="3"/>
        <v>70.5</v>
      </c>
      <c r="F5" s="28">
        <f t="shared" si="3"/>
        <v>70.5</v>
      </c>
      <c r="G5" s="28">
        <f t="shared" si="3"/>
        <v>70.5</v>
      </c>
    </row>
    <row r="6" spans="1:12">
      <c r="A6" s="28" t="s">
        <v>64</v>
      </c>
      <c r="B6" s="28" t="s">
        <v>2409</v>
      </c>
      <c r="C6" s="28">
        <f>C39</f>
        <v>72.400000000000006</v>
      </c>
      <c r="D6" s="28">
        <f t="shared" ref="D6:G6" si="4">D39</f>
        <v>72.400000000000006</v>
      </c>
      <c r="E6" s="28">
        <f t="shared" si="4"/>
        <v>72.400000000000006</v>
      </c>
      <c r="F6" s="28">
        <f t="shared" si="4"/>
        <v>72.400000000000006</v>
      </c>
      <c r="G6" s="28">
        <f t="shared" si="4"/>
        <v>72.400000000000006</v>
      </c>
    </row>
    <row r="7" spans="1:12">
      <c r="A7" s="28" t="s">
        <v>1790</v>
      </c>
      <c r="B7" s="28" t="s">
        <v>2410</v>
      </c>
      <c r="C7" s="28">
        <f>C40</f>
        <v>70.7</v>
      </c>
      <c r="D7" s="28">
        <f t="shared" ref="D7:G7" si="5">D40</f>
        <v>70.900000000000006</v>
      </c>
      <c r="E7" s="28">
        <f t="shared" si="5"/>
        <v>71.099999999999994</v>
      </c>
      <c r="F7" s="28">
        <f t="shared" si="5"/>
        <v>71.2</v>
      </c>
      <c r="G7" s="28">
        <f t="shared" si="5"/>
        <v>71.400000000000006</v>
      </c>
    </row>
    <row r="8" spans="1:12">
      <c r="A8" s="28" t="s">
        <v>58</v>
      </c>
      <c r="B8" s="28" t="s">
        <v>58</v>
      </c>
      <c r="C8" s="28">
        <f t="shared" si="2"/>
        <v>710</v>
      </c>
      <c r="D8" s="28">
        <f t="shared" si="2"/>
        <v>751</v>
      </c>
      <c r="E8" s="28">
        <f t="shared" si="2"/>
        <v>791</v>
      </c>
      <c r="F8" s="28">
        <f t="shared" si="2"/>
        <v>829</v>
      </c>
      <c r="G8" s="28">
        <f t="shared" si="2"/>
        <v>864</v>
      </c>
    </row>
    <row r="9" spans="1:12">
      <c r="A9" s="28" t="s">
        <v>65</v>
      </c>
      <c r="B9" s="28" t="s">
        <v>1231</v>
      </c>
      <c r="C9" s="28">
        <f t="shared" si="2"/>
        <v>105</v>
      </c>
      <c r="D9" s="28">
        <f t="shared" si="2"/>
        <v>123</v>
      </c>
      <c r="E9" s="28">
        <f t="shared" si="2"/>
        <v>150</v>
      </c>
      <c r="F9" s="28">
        <f t="shared" si="2"/>
        <v>177</v>
      </c>
      <c r="G9" s="28">
        <f t="shared" si="2"/>
        <v>205</v>
      </c>
    </row>
    <row r="10" spans="1:12">
      <c r="A10" s="28" t="s">
        <v>57</v>
      </c>
      <c r="B10" s="28" t="s">
        <v>57</v>
      </c>
      <c r="C10" s="28">
        <f t="shared" si="2"/>
        <v>1012</v>
      </c>
      <c r="D10" s="28">
        <f t="shared" si="2"/>
        <v>1016</v>
      </c>
      <c r="E10" s="28">
        <f t="shared" si="2"/>
        <v>1030</v>
      </c>
      <c r="F10" s="28">
        <f t="shared" si="2"/>
        <v>1046</v>
      </c>
      <c r="G10" s="28">
        <f t="shared" si="2"/>
        <v>1062</v>
      </c>
    </row>
    <row r="11" spans="1:12">
      <c r="A11" s="28" t="s">
        <v>135</v>
      </c>
      <c r="B11" s="28" t="s">
        <v>978</v>
      </c>
      <c r="C11" s="28">
        <f t="shared" si="2"/>
        <v>601</v>
      </c>
      <c r="D11" s="28">
        <f t="shared" si="2"/>
        <v>605</v>
      </c>
      <c r="E11" s="28">
        <f t="shared" si="2"/>
        <v>617</v>
      </c>
      <c r="F11" s="28">
        <f t="shared" si="2"/>
        <v>633</v>
      </c>
      <c r="G11" s="28">
        <f t="shared" si="2"/>
        <v>649</v>
      </c>
    </row>
    <row r="12" spans="1:12">
      <c r="A12" s="28" t="s">
        <v>67</v>
      </c>
      <c r="B12" s="28" t="s">
        <v>1804</v>
      </c>
      <c r="C12" s="28">
        <f t="shared" si="2"/>
        <v>420</v>
      </c>
      <c r="D12" s="28">
        <f t="shared" si="2"/>
        <v>420</v>
      </c>
      <c r="E12" s="28">
        <f t="shared" si="2"/>
        <v>420</v>
      </c>
      <c r="F12" s="28">
        <f t="shared" si="2"/>
        <v>420</v>
      </c>
      <c r="G12" s="28">
        <f t="shared" si="2"/>
        <v>420</v>
      </c>
    </row>
    <row r="13" spans="1:12">
      <c r="A13" s="28" t="s">
        <v>66</v>
      </c>
      <c r="B13" s="28" t="s">
        <v>1805</v>
      </c>
      <c r="C13" s="28">
        <f t="shared" si="2"/>
        <v>69</v>
      </c>
      <c r="D13" s="28">
        <f t="shared" si="2"/>
        <v>64</v>
      </c>
      <c r="E13" s="28">
        <f t="shared" si="2"/>
        <v>61</v>
      </c>
      <c r="F13" s="28">
        <f t="shared" si="2"/>
        <v>61</v>
      </c>
      <c r="G13" s="28">
        <f t="shared" si="2"/>
        <v>59</v>
      </c>
    </row>
    <row r="14" spans="1:12">
      <c r="A14" s="28" t="s">
        <v>138</v>
      </c>
      <c r="B14" s="28" t="s">
        <v>1806</v>
      </c>
      <c r="C14" s="28">
        <f t="shared" si="2"/>
        <v>283</v>
      </c>
      <c r="D14" s="28">
        <f t="shared" si="2"/>
        <v>288</v>
      </c>
      <c r="E14" s="28">
        <f t="shared" si="2"/>
        <v>290</v>
      </c>
      <c r="F14" s="28">
        <f t="shared" si="2"/>
        <v>290</v>
      </c>
      <c r="G14" s="28">
        <f t="shared" si="2"/>
        <v>293</v>
      </c>
    </row>
    <row r="15" spans="1:12">
      <c r="A15" s="28" t="s">
        <v>68</v>
      </c>
      <c r="B15" s="28" t="s">
        <v>1807</v>
      </c>
      <c r="C15" s="28">
        <f t="shared" si="2"/>
        <v>55</v>
      </c>
      <c r="D15" s="28">
        <f t="shared" si="2"/>
        <v>55</v>
      </c>
      <c r="E15" s="28">
        <f t="shared" si="2"/>
        <v>55</v>
      </c>
      <c r="F15" s="28">
        <f t="shared" si="2"/>
        <v>55</v>
      </c>
      <c r="G15" s="28">
        <f t="shared" si="2"/>
        <v>55</v>
      </c>
    </row>
    <row r="16" spans="1:12">
      <c r="A16" s="28" t="s">
        <v>136</v>
      </c>
      <c r="B16" s="28" t="s">
        <v>136</v>
      </c>
      <c r="C16" s="28">
        <f t="shared" si="2"/>
        <v>74</v>
      </c>
      <c r="D16" s="28">
        <f t="shared" si="2"/>
        <v>67</v>
      </c>
      <c r="E16" s="28">
        <f t="shared" si="2"/>
        <v>66</v>
      </c>
      <c r="F16" s="28">
        <f t="shared" si="2"/>
        <v>66</v>
      </c>
      <c r="G16" s="28">
        <f t="shared" si="2"/>
        <v>66</v>
      </c>
    </row>
    <row r="17" spans="1:9">
      <c r="A17" s="28" t="s">
        <v>55</v>
      </c>
      <c r="B17" s="28" t="s">
        <v>55</v>
      </c>
      <c r="C17" s="28">
        <f t="shared" si="2"/>
        <v>539</v>
      </c>
      <c r="D17" s="28">
        <f t="shared" si="2"/>
        <v>555</v>
      </c>
      <c r="E17" s="28">
        <f t="shared" si="2"/>
        <v>579</v>
      </c>
      <c r="F17" s="28">
        <f t="shared" si="2"/>
        <v>605</v>
      </c>
      <c r="G17" s="28">
        <f t="shared" si="2"/>
        <v>629</v>
      </c>
    </row>
    <row r="18" spans="1:9">
      <c r="A18" s="28" t="s">
        <v>56</v>
      </c>
      <c r="B18" s="28" t="s">
        <v>56</v>
      </c>
      <c r="C18" s="28">
        <f t="shared" si="2"/>
        <v>361</v>
      </c>
      <c r="D18" s="28">
        <f t="shared" si="2"/>
        <v>367</v>
      </c>
      <c r="E18" s="28">
        <f t="shared" si="2"/>
        <v>373</v>
      </c>
      <c r="F18" s="28">
        <f t="shared" si="2"/>
        <v>379</v>
      </c>
      <c r="G18" s="28">
        <f t="shared" si="2"/>
        <v>386</v>
      </c>
    </row>
    <row r="19" spans="1:9">
      <c r="A19" s="28" t="s">
        <v>70</v>
      </c>
      <c r="B19" s="28" t="s">
        <v>70</v>
      </c>
    </row>
    <row r="20" spans="1:9">
      <c r="A20" s="28" t="s">
        <v>71</v>
      </c>
      <c r="B20" s="28" t="s">
        <v>71</v>
      </c>
    </row>
    <row r="21" spans="1:9">
      <c r="A21" s="28" t="s">
        <v>72</v>
      </c>
      <c r="B21" s="28" t="s">
        <v>72</v>
      </c>
    </row>
    <row r="22" spans="1:9">
      <c r="A22" s="28" t="s">
        <v>69</v>
      </c>
      <c r="B22" s="28" t="s">
        <v>69</v>
      </c>
      <c r="C22" s="28">
        <v>700</v>
      </c>
      <c r="D22" s="28">
        <v>700</v>
      </c>
      <c r="E22" s="28">
        <v>700</v>
      </c>
      <c r="F22" s="28">
        <v>700</v>
      </c>
      <c r="G22" s="28">
        <v>700</v>
      </c>
    </row>
    <row r="23" spans="1:9">
      <c r="A23" s="28" t="s">
        <v>140</v>
      </c>
      <c r="B23" s="28" t="s">
        <v>140</v>
      </c>
      <c r="C23" s="128">
        <v>44</v>
      </c>
      <c r="D23" s="128">
        <v>44</v>
      </c>
      <c r="E23" s="128">
        <v>44</v>
      </c>
      <c r="F23" s="128">
        <v>44</v>
      </c>
      <c r="G23" s="128">
        <v>44</v>
      </c>
    </row>
    <row r="24" spans="1:9">
      <c r="A24" s="28" t="s">
        <v>141</v>
      </c>
      <c r="B24" s="28" t="s">
        <v>141</v>
      </c>
      <c r="C24" s="128">
        <v>45</v>
      </c>
      <c r="D24" s="128">
        <v>45</v>
      </c>
      <c r="E24" s="128">
        <v>45</v>
      </c>
      <c r="F24" s="128">
        <v>45</v>
      </c>
      <c r="G24" s="128">
        <v>45</v>
      </c>
    </row>
    <row r="25" spans="1:9" ht="22">
      <c r="A25" s="28" t="s">
        <v>1758</v>
      </c>
      <c r="B25" s="28" t="s">
        <v>1758</v>
      </c>
      <c r="C25" s="126">
        <v>147</v>
      </c>
      <c r="D25" s="126">
        <v>160</v>
      </c>
      <c r="E25" s="126">
        <v>170</v>
      </c>
      <c r="F25" s="126">
        <v>177</v>
      </c>
      <c r="G25" s="126">
        <v>182</v>
      </c>
    </row>
    <row r="26" spans="1:9" ht="22">
      <c r="A26" s="28" t="s">
        <v>1759</v>
      </c>
      <c r="B26" s="28" t="s">
        <v>1759</v>
      </c>
      <c r="C26" s="126">
        <v>165</v>
      </c>
      <c r="D26" s="126">
        <v>175</v>
      </c>
      <c r="E26" s="126">
        <v>185</v>
      </c>
      <c r="F26" s="126">
        <v>193</v>
      </c>
      <c r="G26" s="126">
        <v>203</v>
      </c>
    </row>
    <row r="27" spans="1:9" ht="22">
      <c r="I27" s="126"/>
    </row>
    <row r="28" spans="1:9" ht="22">
      <c r="C28" s="126">
        <v>147</v>
      </c>
      <c r="D28" s="126">
        <v>160</v>
      </c>
      <c r="E28" s="126">
        <v>170</v>
      </c>
      <c r="F28" s="126">
        <v>177</v>
      </c>
      <c r="G28" s="126">
        <v>182</v>
      </c>
    </row>
    <row r="29" spans="1:9" ht="22">
      <c r="C29" s="126">
        <v>165</v>
      </c>
      <c r="D29" s="126">
        <v>175</v>
      </c>
      <c r="E29" s="126">
        <v>185</v>
      </c>
      <c r="F29" s="126">
        <v>193</v>
      </c>
      <c r="G29" s="126">
        <v>203</v>
      </c>
    </row>
    <row r="30" spans="1:9" ht="22">
      <c r="I30" s="127"/>
    </row>
    <row r="33" spans="2:9" ht="31" customHeight="1">
      <c r="B33" s="28" t="s">
        <v>139</v>
      </c>
      <c r="C33" s="28" t="s">
        <v>17</v>
      </c>
      <c r="D33" s="28" t="s">
        <v>171</v>
      </c>
      <c r="E33" s="28" t="s">
        <v>172</v>
      </c>
      <c r="F33" s="28" t="s">
        <v>173</v>
      </c>
      <c r="G33" s="28" t="s">
        <v>21</v>
      </c>
      <c r="I33" s="127"/>
    </row>
    <row r="34" spans="2:9" ht="31" customHeight="1">
      <c r="B34" s="28" t="s">
        <v>12</v>
      </c>
      <c r="C34" s="28">
        <v>700</v>
      </c>
      <c r="D34" s="28">
        <v>700</v>
      </c>
      <c r="E34" s="28">
        <v>700</v>
      </c>
      <c r="F34" s="28">
        <v>700</v>
      </c>
      <c r="G34" s="28">
        <v>700</v>
      </c>
    </row>
    <row r="35" spans="2:9" ht="31" customHeight="1">
      <c r="B35" s="28" t="s">
        <v>176</v>
      </c>
      <c r="C35" s="28">
        <v>41</v>
      </c>
      <c r="D35" s="28">
        <v>45.8</v>
      </c>
      <c r="E35" s="28">
        <v>50.5</v>
      </c>
      <c r="F35" s="28">
        <v>55.3</v>
      </c>
      <c r="G35" s="28">
        <v>59</v>
      </c>
    </row>
    <row r="36" spans="2:9" ht="31" customHeight="1">
      <c r="B36" s="28" t="s">
        <v>1803</v>
      </c>
      <c r="C36" s="28">
        <v>53.2</v>
      </c>
      <c r="D36" s="28">
        <v>54.3</v>
      </c>
      <c r="E36" s="28">
        <v>55.6</v>
      </c>
      <c r="F36" s="28">
        <v>57.1</v>
      </c>
      <c r="G36" s="28">
        <v>58.6</v>
      </c>
      <c r="I36" s="127"/>
    </row>
    <row r="37" spans="2:9" ht="31" customHeight="1">
      <c r="B37" s="28" t="s">
        <v>1808</v>
      </c>
      <c r="C37" s="28">
        <v>50.3</v>
      </c>
      <c r="D37" s="28">
        <v>51.6</v>
      </c>
      <c r="E37" s="28">
        <v>53.2</v>
      </c>
      <c r="F37" s="28">
        <v>55</v>
      </c>
      <c r="G37" s="28">
        <v>56.7</v>
      </c>
    </row>
    <row r="38" spans="2:9" ht="31" customHeight="1">
      <c r="B38" s="28" t="s">
        <v>1640</v>
      </c>
      <c r="C38" s="28">
        <v>69.3</v>
      </c>
      <c r="D38" s="28">
        <v>70.3</v>
      </c>
      <c r="E38" s="28">
        <v>70.5</v>
      </c>
      <c r="F38" s="28">
        <v>70.5</v>
      </c>
      <c r="G38" s="28">
        <v>70.5</v>
      </c>
    </row>
    <row r="39" spans="2:9" ht="31" customHeight="1">
      <c r="B39" s="28" t="s">
        <v>2409</v>
      </c>
      <c r="C39" s="28">
        <v>72.400000000000006</v>
      </c>
      <c r="D39" s="28">
        <v>72.400000000000006</v>
      </c>
      <c r="E39" s="28">
        <v>72.400000000000006</v>
      </c>
      <c r="F39" s="28">
        <v>72.400000000000006</v>
      </c>
      <c r="G39" s="28">
        <v>72.400000000000006</v>
      </c>
      <c r="I39" s="127"/>
    </row>
    <row r="40" spans="2:9" ht="31" customHeight="1">
      <c r="B40" s="28" t="s">
        <v>2410</v>
      </c>
      <c r="C40" s="28">
        <v>70.7</v>
      </c>
      <c r="D40" s="28">
        <v>70.900000000000006</v>
      </c>
      <c r="E40" s="28">
        <v>71.099999999999994</v>
      </c>
      <c r="F40" s="28">
        <v>71.2</v>
      </c>
      <c r="G40" s="28">
        <v>71.400000000000006</v>
      </c>
    </row>
    <row r="41" spans="2:9" ht="31" customHeight="1">
      <c r="B41" s="28" t="s">
        <v>58</v>
      </c>
      <c r="C41" s="28">
        <v>71</v>
      </c>
      <c r="D41" s="28">
        <v>75.099999999999994</v>
      </c>
      <c r="E41" s="28">
        <v>79.099999999999994</v>
      </c>
      <c r="F41" s="28">
        <v>82.9</v>
      </c>
      <c r="G41" s="28">
        <v>86.4</v>
      </c>
    </row>
    <row r="42" spans="2:9" ht="31" customHeight="1">
      <c r="B42" s="28" t="s">
        <v>1231</v>
      </c>
      <c r="C42" s="28">
        <v>10.5</v>
      </c>
      <c r="D42" s="28">
        <v>12.3</v>
      </c>
      <c r="E42" s="28">
        <v>15</v>
      </c>
      <c r="F42" s="28">
        <v>17.7</v>
      </c>
      <c r="G42" s="28">
        <v>20.5</v>
      </c>
    </row>
    <row r="43" spans="2:9" ht="31" customHeight="1">
      <c r="B43" s="28" t="s">
        <v>57</v>
      </c>
      <c r="C43" s="28">
        <v>101.2</v>
      </c>
      <c r="D43" s="28">
        <v>101.6</v>
      </c>
      <c r="E43" s="28">
        <v>103</v>
      </c>
      <c r="F43" s="28">
        <v>104.6</v>
      </c>
      <c r="G43" s="33">
        <v>106.2</v>
      </c>
    </row>
    <row r="44" spans="2:9" ht="31" customHeight="1">
      <c r="B44" s="28" t="s">
        <v>978</v>
      </c>
      <c r="C44" s="28">
        <v>60.1</v>
      </c>
      <c r="D44" s="28">
        <v>60.5</v>
      </c>
      <c r="E44" s="28">
        <v>61.7</v>
      </c>
      <c r="F44" s="28">
        <v>63.3</v>
      </c>
      <c r="G44" s="28">
        <v>64.900000000000006</v>
      </c>
    </row>
    <row r="45" spans="2:9" ht="31" customHeight="1">
      <c r="B45" s="28" t="s">
        <v>1804</v>
      </c>
      <c r="C45" s="28">
        <v>42</v>
      </c>
      <c r="D45" s="28">
        <v>42</v>
      </c>
      <c r="E45" s="28">
        <v>42</v>
      </c>
      <c r="F45" s="28">
        <v>42</v>
      </c>
      <c r="G45" s="28">
        <v>42</v>
      </c>
    </row>
    <row r="46" spans="2:9" ht="31" customHeight="1">
      <c r="B46" s="28" t="s">
        <v>1805</v>
      </c>
      <c r="C46" s="28">
        <v>6.9</v>
      </c>
      <c r="D46" s="28">
        <v>6.4</v>
      </c>
      <c r="E46" s="28">
        <v>6.1</v>
      </c>
      <c r="F46" s="28">
        <v>6.1</v>
      </c>
      <c r="G46" s="28">
        <v>5.9</v>
      </c>
    </row>
    <row r="47" spans="2:9" ht="31" customHeight="1">
      <c r="B47" s="28" t="s">
        <v>1806</v>
      </c>
      <c r="C47" s="28">
        <v>28.3</v>
      </c>
      <c r="D47" s="28">
        <v>28.8</v>
      </c>
      <c r="E47" s="28">
        <v>29</v>
      </c>
      <c r="F47" s="28">
        <v>29</v>
      </c>
      <c r="G47" s="28">
        <v>29.3</v>
      </c>
    </row>
    <row r="48" spans="2:9" ht="31" customHeight="1">
      <c r="B48" s="28" t="s">
        <v>1807</v>
      </c>
      <c r="C48" s="28">
        <v>5.5</v>
      </c>
      <c r="D48" s="28">
        <v>5.5</v>
      </c>
      <c r="E48" s="28">
        <v>5.5</v>
      </c>
      <c r="F48" s="28">
        <v>5.5</v>
      </c>
      <c r="G48" s="81">
        <v>5.5</v>
      </c>
    </row>
    <row r="49" spans="2:7" ht="31" customHeight="1">
      <c r="B49" s="28" t="s">
        <v>136</v>
      </c>
      <c r="C49" s="28">
        <v>7.4</v>
      </c>
      <c r="D49" s="28">
        <v>6.7</v>
      </c>
      <c r="E49" s="28">
        <v>6.6</v>
      </c>
      <c r="F49" s="28">
        <v>6.6</v>
      </c>
      <c r="G49" s="28">
        <v>6.6</v>
      </c>
    </row>
    <row r="50" spans="2:7" ht="31" customHeight="1">
      <c r="B50" s="28" t="s">
        <v>55</v>
      </c>
      <c r="C50" s="28">
        <v>53.9</v>
      </c>
      <c r="D50" s="28">
        <v>55.5</v>
      </c>
      <c r="E50" s="28">
        <v>57.9</v>
      </c>
      <c r="F50" s="28">
        <v>60.5</v>
      </c>
      <c r="G50" s="28">
        <v>62.9</v>
      </c>
    </row>
    <row r="51" spans="2:7">
      <c r="B51" s="28" t="s">
        <v>56</v>
      </c>
      <c r="C51" s="28">
        <v>36.1</v>
      </c>
      <c r="D51" s="28">
        <v>36.700000000000003</v>
      </c>
      <c r="E51" s="28">
        <v>37.299999999999997</v>
      </c>
      <c r="F51" s="28">
        <v>37.9</v>
      </c>
      <c r="G51" s="28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M31" sqref="M31"/>
    </sheetView>
  </sheetViews>
  <sheetFormatPr baseColWidth="10" defaultRowHeight="20"/>
  <cols>
    <col min="1" max="2" width="29.33203125" style="28" bestFit="1" customWidth="1"/>
    <col min="3" max="3" width="36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139</v>
      </c>
      <c r="D1" s="41" t="s">
        <v>431</v>
      </c>
      <c r="E1" s="41" t="s">
        <v>17</v>
      </c>
      <c r="F1" s="41" t="s">
        <v>18</v>
      </c>
      <c r="G1" s="41" t="s">
        <v>19</v>
      </c>
      <c r="H1" s="41" t="s">
        <v>20</v>
      </c>
      <c r="I1" s="41" t="s">
        <v>21</v>
      </c>
      <c r="J1" s="41" t="s">
        <v>432</v>
      </c>
    </row>
    <row r="2" spans="1:11">
      <c r="A2" s="28" t="s">
        <v>55</v>
      </c>
      <c r="B2" s="28" t="s">
        <v>61</v>
      </c>
      <c r="C2" s="41" t="s">
        <v>449</v>
      </c>
      <c r="D2" s="41">
        <v>432</v>
      </c>
      <c r="E2" s="41">
        <v>531</v>
      </c>
      <c r="F2" s="41">
        <v>492</v>
      </c>
      <c r="G2" s="41">
        <v>522</v>
      </c>
      <c r="H2" s="41">
        <v>552</v>
      </c>
      <c r="I2" s="41">
        <v>582</v>
      </c>
      <c r="J2" s="41">
        <v>612</v>
      </c>
      <c r="K2" s="28" t="s">
        <v>930</v>
      </c>
    </row>
    <row r="3" spans="1:11">
      <c r="A3" s="28" t="s">
        <v>56</v>
      </c>
      <c r="B3" s="28" t="s">
        <v>74</v>
      </c>
      <c r="C3" s="41" t="s">
        <v>450</v>
      </c>
      <c r="D3" s="41">
        <v>516</v>
      </c>
      <c r="E3" s="41">
        <v>531</v>
      </c>
      <c r="F3" s="41">
        <v>555</v>
      </c>
      <c r="G3" s="41">
        <v>577</v>
      </c>
      <c r="H3" s="41">
        <v>591</v>
      </c>
      <c r="I3" s="41">
        <v>616</v>
      </c>
      <c r="J3" s="41">
        <v>631</v>
      </c>
      <c r="K3" s="28" t="s">
        <v>930</v>
      </c>
    </row>
    <row r="4" spans="1:11">
      <c r="A4" s="28" t="s">
        <v>61</v>
      </c>
      <c r="B4" s="28" t="s">
        <v>65</v>
      </c>
      <c r="C4" s="41" t="s">
        <v>451</v>
      </c>
      <c r="D4" s="41">
        <v>117</v>
      </c>
      <c r="E4" s="41">
        <v>133</v>
      </c>
      <c r="F4" s="41">
        <v>124</v>
      </c>
      <c r="G4" s="41">
        <v>143</v>
      </c>
      <c r="H4" s="41">
        <v>169</v>
      </c>
      <c r="I4" s="41">
        <v>190</v>
      </c>
      <c r="J4" s="41">
        <v>209</v>
      </c>
    </row>
    <row r="5" spans="1:11">
      <c r="A5" s="28" t="s">
        <v>74</v>
      </c>
      <c r="B5" s="28" t="s">
        <v>63</v>
      </c>
      <c r="C5" s="41" t="s">
        <v>452</v>
      </c>
      <c r="D5" s="41">
        <v>70</v>
      </c>
      <c r="E5" s="41">
        <v>71</v>
      </c>
      <c r="F5" s="41">
        <v>70.75</v>
      </c>
      <c r="G5" s="41">
        <v>72.25</v>
      </c>
      <c r="H5" s="41">
        <v>72.5</v>
      </c>
      <c r="I5" s="41">
        <v>72.75</v>
      </c>
      <c r="J5" s="41">
        <v>72.75</v>
      </c>
    </row>
    <row r="6" spans="1:11">
      <c r="A6" s="28" t="s">
        <v>63</v>
      </c>
      <c r="B6" s="28" t="s">
        <v>64</v>
      </c>
      <c r="C6" s="41" t="s">
        <v>457</v>
      </c>
      <c r="D6" s="41">
        <v>73.5</v>
      </c>
      <c r="E6" s="41">
        <v>73.5</v>
      </c>
      <c r="F6" s="41">
        <v>73.5</v>
      </c>
      <c r="G6" s="41">
        <v>73.5</v>
      </c>
      <c r="H6" s="41">
        <v>73.5</v>
      </c>
      <c r="I6" s="41">
        <v>73.5</v>
      </c>
      <c r="J6" s="41">
        <v>73.5</v>
      </c>
    </row>
    <row r="7" spans="1:11">
      <c r="A7" s="28" t="s">
        <v>64</v>
      </c>
      <c r="B7" s="28" t="s">
        <v>922</v>
      </c>
      <c r="C7" s="41" t="s">
        <v>459</v>
      </c>
      <c r="D7" s="41">
        <v>415</v>
      </c>
      <c r="E7" s="41">
        <v>415</v>
      </c>
      <c r="F7" s="41">
        <v>430</v>
      </c>
      <c r="G7" s="41">
        <v>430</v>
      </c>
      <c r="H7" s="41">
        <v>430</v>
      </c>
      <c r="I7" s="41">
        <v>430</v>
      </c>
      <c r="J7" s="41">
        <v>430</v>
      </c>
    </row>
    <row r="8" spans="1:11">
      <c r="A8" s="28" t="s">
        <v>65</v>
      </c>
      <c r="B8" s="28" t="s">
        <v>57</v>
      </c>
      <c r="C8" s="41" t="s">
        <v>460</v>
      </c>
      <c r="D8" s="41">
        <v>984</v>
      </c>
      <c r="E8" s="41">
        <v>990</v>
      </c>
      <c r="F8" s="41">
        <f>F33*1000</f>
        <v>1027</v>
      </c>
      <c r="G8" s="41">
        <f t="shared" ref="G8:J8" si="0">G33*1000</f>
        <v>1035</v>
      </c>
      <c r="H8" s="41">
        <f t="shared" si="0"/>
        <v>1047</v>
      </c>
      <c r="I8" s="41">
        <f t="shared" si="0"/>
        <v>1070</v>
      </c>
      <c r="J8" s="41">
        <f t="shared" si="0"/>
        <v>1085</v>
      </c>
    </row>
    <row r="9" spans="1:11">
      <c r="A9" s="28" t="s">
        <v>66</v>
      </c>
      <c r="B9" s="28" t="s">
        <v>932</v>
      </c>
      <c r="C9" s="41" t="s">
        <v>461</v>
      </c>
      <c r="D9" s="41">
        <v>514</v>
      </c>
      <c r="E9" s="41">
        <v>533</v>
      </c>
      <c r="F9" s="41">
        <v>556</v>
      </c>
      <c r="G9" s="41">
        <v>579</v>
      </c>
      <c r="H9" s="41">
        <v>605</v>
      </c>
      <c r="I9" s="41">
        <v>626</v>
      </c>
      <c r="J9" s="41">
        <v>644</v>
      </c>
    </row>
    <row r="10" spans="1:11">
      <c r="A10" s="28" t="s">
        <v>67</v>
      </c>
      <c r="B10" s="28" t="s">
        <v>933</v>
      </c>
      <c r="C10" s="41" t="s">
        <v>462</v>
      </c>
      <c r="D10" s="41">
        <v>364</v>
      </c>
      <c r="E10" s="41">
        <v>373</v>
      </c>
      <c r="F10" s="41">
        <v>390</v>
      </c>
      <c r="G10" s="41">
        <v>405</v>
      </c>
      <c r="H10" s="41">
        <v>412</v>
      </c>
      <c r="I10" s="41">
        <v>431</v>
      </c>
      <c r="J10" s="41">
        <v>440</v>
      </c>
    </row>
    <row r="11" spans="1:11">
      <c r="A11" s="28" t="s">
        <v>57</v>
      </c>
      <c r="B11" s="28" t="s">
        <v>58</v>
      </c>
      <c r="C11" s="41" t="s">
        <v>463</v>
      </c>
      <c r="D11" s="41">
        <v>725</v>
      </c>
      <c r="E11" s="41">
        <v>751</v>
      </c>
      <c r="F11" s="41">
        <v>781</v>
      </c>
      <c r="G11" s="41">
        <v>808</v>
      </c>
      <c r="H11" s="41">
        <v>834</v>
      </c>
      <c r="I11" s="41">
        <v>859</v>
      </c>
      <c r="J11" s="41">
        <v>881</v>
      </c>
    </row>
    <row r="12" spans="1:11">
      <c r="A12" s="28" t="s">
        <v>68</v>
      </c>
      <c r="B12" s="28" t="s">
        <v>66</v>
      </c>
      <c r="C12" s="41" t="s">
        <v>464</v>
      </c>
      <c r="D12" s="41">
        <v>60</v>
      </c>
      <c r="E12" s="41">
        <v>60</v>
      </c>
      <c r="F12" s="41">
        <v>75</v>
      </c>
      <c r="G12" s="41">
        <v>75</v>
      </c>
      <c r="H12" s="41">
        <v>75</v>
      </c>
      <c r="I12" s="41">
        <v>75</v>
      </c>
      <c r="J12" s="41">
        <v>75</v>
      </c>
    </row>
    <row r="13" spans="1:11">
      <c r="A13" s="28" t="s">
        <v>58</v>
      </c>
      <c r="B13" s="28" t="s">
        <v>919</v>
      </c>
      <c r="C13" s="41" t="s">
        <v>465</v>
      </c>
      <c r="D13" s="41">
        <v>603</v>
      </c>
      <c r="E13" s="41">
        <v>624</v>
      </c>
      <c r="F13" s="41">
        <v>647</v>
      </c>
      <c r="G13" s="41">
        <v>669</v>
      </c>
      <c r="H13" s="41">
        <v>696</v>
      </c>
      <c r="I13" s="41">
        <v>709</v>
      </c>
      <c r="J13" s="41">
        <v>737</v>
      </c>
    </row>
    <row r="14" spans="1:11">
      <c r="A14" s="28" t="s">
        <v>70</v>
      </c>
      <c r="B14" s="28" t="s">
        <v>920</v>
      </c>
      <c r="C14" s="41" t="s">
        <v>466</v>
      </c>
      <c r="D14" s="41">
        <v>410</v>
      </c>
      <c r="E14" s="41">
        <v>430</v>
      </c>
      <c r="F14" s="41">
        <v>447</v>
      </c>
      <c r="G14" s="41">
        <v>464</v>
      </c>
      <c r="H14" s="41">
        <v>481</v>
      </c>
      <c r="I14" s="41">
        <v>500</v>
      </c>
      <c r="J14" s="41">
        <v>519</v>
      </c>
    </row>
    <row r="15" spans="1:11" ht="22">
      <c r="A15" s="28" t="s">
        <v>71</v>
      </c>
      <c r="B15" s="28" t="s">
        <v>936</v>
      </c>
      <c r="C15" s="21" t="s">
        <v>931</v>
      </c>
      <c r="D15" s="21">
        <v>27.5</v>
      </c>
      <c r="E15" s="21">
        <v>27.5</v>
      </c>
      <c r="F15" s="21">
        <v>27.5</v>
      </c>
      <c r="G15" s="21">
        <v>27.5</v>
      </c>
      <c r="H15" s="21">
        <v>27.5</v>
      </c>
      <c r="I15" s="21">
        <v>27.5</v>
      </c>
      <c r="J15" s="21">
        <v>27.5</v>
      </c>
    </row>
    <row r="16" spans="1:11" ht="22">
      <c r="A16" s="28" t="s">
        <v>72</v>
      </c>
      <c r="B16" s="28" t="s">
        <v>72</v>
      </c>
      <c r="C16" s="19" t="s">
        <v>911</v>
      </c>
      <c r="D16" s="19">
        <v>70</v>
      </c>
      <c r="E16" s="19">
        <v>80</v>
      </c>
      <c r="F16" s="19">
        <v>80</v>
      </c>
      <c r="G16" s="19">
        <v>80</v>
      </c>
      <c r="H16" s="19">
        <v>90</v>
      </c>
      <c r="I16" s="19">
        <v>90</v>
      </c>
      <c r="J16" s="19">
        <v>100</v>
      </c>
    </row>
    <row r="17" spans="1:10" ht="22">
      <c r="A17" s="28" t="s">
        <v>69</v>
      </c>
      <c r="B17" s="28" t="s">
        <v>71</v>
      </c>
      <c r="C17" s="19" t="s">
        <v>912</v>
      </c>
      <c r="D17" s="19">
        <v>400</v>
      </c>
      <c r="E17" s="19">
        <v>400</v>
      </c>
      <c r="F17" s="19">
        <v>420</v>
      </c>
      <c r="G17" s="19">
        <v>440</v>
      </c>
      <c r="H17" s="19">
        <v>440</v>
      </c>
      <c r="I17" s="19">
        <v>460</v>
      </c>
      <c r="J17" s="19">
        <v>460</v>
      </c>
    </row>
    <row r="18" spans="1:10" ht="22">
      <c r="A18" s="28" t="s">
        <v>140</v>
      </c>
      <c r="B18" s="28" t="s">
        <v>70</v>
      </c>
      <c r="C18" s="19" t="s">
        <v>913</v>
      </c>
      <c r="D18" s="19">
        <v>165</v>
      </c>
      <c r="E18" s="19">
        <v>165</v>
      </c>
      <c r="F18" s="19">
        <v>170</v>
      </c>
      <c r="G18" s="19">
        <v>172.5</v>
      </c>
      <c r="H18" s="19">
        <v>172.5</v>
      </c>
      <c r="I18" s="19">
        <v>175</v>
      </c>
      <c r="J18" s="19">
        <v>175</v>
      </c>
    </row>
    <row r="19" spans="1:10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</row>
    <row r="20" spans="1:10">
      <c r="B20" s="28" t="s">
        <v>140</v>
      </c>
      <c r="C20" s="28" t="s">
        <v>140</v>
      </c>
      <c r="F20" s="28">
        <v>40</v>
      </c>
      <c r="G20" s="28">
        <v>40</v>
      </c>
      <c r="H20" s="28">
        <v>40</v>
      </c>
      <c r="I20" s="28">
        <v>40</v>
      </c>
      <c r="J20" s="28">
        <v>40</v>
      </c>
    </row>
    <row r="21" spans="1:10">
      <c r="B21" s="28" t="s">
        <v>141</v>
      </c>
      <c r="C21" s="28" t="s">
        <v>141</v>
      </c>
    </row>
    <row r="22" spans="1:10">
      <c r="B22" s="28" t="s">
        <v>67</v>
      </c>
      <c r="C22" s="28" t="s">
        <v>935</v>
      </c>
      <c r="D22" s="43">
        <f t="shared" ref="D22:J22" si="1">SQRT(D7^2+D12^2)</f>
        <v>419.31491745465007</v>
      </c>
      <c r="E22" s="43">
        <f t="shared" si="1"/>
        <v>419.31491745465007</v>
      </c>
      <c r="F22" s="43">
        <f t="shared" si="1"/>
        <v>436.49169522454832</v>
      </c>
      <c r="G22" s="43">
        <f t="shared" si="1"/>
        <v>436.49169522454832</v>
      </c>
      <c r="H22" s="43">
        <f t="shared" si="1"/>
        <v>436.49169522454832</v>
      </c>
      <c r="I22" s="43">
        <f t="shared" si="1"/>
        <v>436.49169522454832</v>
      </c>
      <c r="J22" s="43">
        <f t="shared" si="1"/>
        <v>436.49169522454832</v>
      </c>
    </row>
    <row r="23" spans="1:10">
      <c r="B23" s="28" t="s">
        <v>55</v>
      </c>
      <c r="C23" s="28" t="s">
        <v>934</v>
      </c>
      <c r="D23" s="43">
        <f t="shared" ref="D23:J23" si="2">D9-D15*SIN(D5*PI()/180)</f>
        <v>488.15845292838753</v>
      </c>
      <c r="E23" s="43">
        <f t="shared" si="2"/>
        <v>506.99823917101878</v>
      </c>
      <c r="F23" s="43">
        <f t="shared" si="2"/>
        <v>530.03755193919847</v>
      </c>
      <c r="G23" s="43">
        <f t="shared" si="2"/>
        <v>552.80911550980989</v>
      </c>
      <c r="H23" s="43">
        <f t="shared" si="2"/>
        <v>578.77278385442378</v>
      </c>
      <c r="I23" s="43">
        <f t="shared" si="2"/>
        <v>599.73695152742732</v>
      </c>
      <c r="J23" s="43">
        <f t="shared" si="2"/>
        <v>617.73695152742732</v>
      </c>
    </row>
    <row r="24" spans="1:10">
      <c r="B24" s="28" t="s">
        <v>56</v>
      </c>
      <c r="C24" s="28" t="s">
        <v>937</v>
      </c>
      <c r="D24" s="43">
        <f t="shared" ref="D24:J24" si="3">D10-D15*COS(D5*PI()/180)</f>
        <v>354.59444605854412</v>
      </c>
      <c r="E24" s="43">
        <f t="shared" si="3"/>
        <v>364.04687575242821</v>
      </c>
      <c r="F24" s="43">
        <f t="shared" si="3"/>
        <v>380.93350725527335</v>
      </c>
      <c r="G24" s="43">
        <f t="shared" si="3"/>
        <v>396.61623177672971</v>
      </c>
      <c r="H24" s="43">
        <f t="shared" si="3"/>
        <v>403.73059051363248</v>
      </c>
      <c r="I24" s="43">
        <f t="shared" si="3"/>
        <v>422.84510668817177</v>
      </c>
      <c r="J24" s="43">
        <f t="shared" si="3"/>
        <v>431.84510668817177</v>
      </c>
    </row>
    <row r="25" spans="1:10">
      <c r="B25" s="28" t="s">
        <v>938</v>
      </c>
      <c r="C25" s="28" t="s">
        <v>939</v>
      </c>
      <c r="D25" s="43">
        <f>(D23-D12)/TAN(D5*PI()/180)</f>
        <v>155.83693241540001</v>
      </c>
      <c r="E25" s="43">
        <f t="shared" ref="E25:J25" si="4">(E23-E12)/TAN(E5*PI()/180)</f>
        <v>153.91383683843989</v>
      </c>
      <c r="F25" s="43">
        <f t="shared" si="4"/>
        <v>158.9062269310341</v>
      </c>
      <c r="G25" s="43">
        <f t="shared" si="4"/>
        <v>152.9479037220155</v>
      </c>
      <c r="H25" s="43">
        <f t="shared" si="4"/>
        <v>158.83894861949383</v>
      </c>
      <c r="I25" s="43">
        <f t="shared" si="4"/>
        <v>162.93515434619184</v>
      </c>
      <c r="J25" s="43">
        <f t="shared" si="4"/>
        <v>168.5243029085228</v>
      </c>
    </row>
    <row r="26" spans="1:10">
      <c r="B26" s="28" t="s">
        <v>921</v>
      </c>
      <c r="C26" s="28" t="s">
        <v>940</v>
      </c>
      <c r="D26" s="43">
        <f>D8-D7-D24-D25</f>
        <v>58.568621526055864</v>
      </c>
      <c r="E26" s="43">
        <f t="shared" ref="E26:J26" si="5">E8-E7-E24-E25</f>
        <v>57.039287409131902</v>
      </c>
      <c r="F26" s="43">
        <f t="shared" si="5"/>
        <v>57.160265813692547</v>
      </c>
      <c r="G26" s="43">
        <f t="shared" si="5"/>
        <v>55.435864501254798</v>
      </c>
      <c r="H26" s="43">
        <f t="shared" si="5"/>
        <v>54.430460866873688</v>
      </c>
      <c r="I26" s="43">
        <f t="shared" si="5"/>
        <v>54.219738965636395</v>
      </c>
      <c r="J26" s="43">
        <f t="shared" si="5"/>
        <v>54.630590403305433</v>
      </c>
    </row>
    <row r="27" spans="1:10">
      <c r="B27" s="28" t="s">
        <v>68</v>
      </c>
      <c r="C27" s="28" t="s">
        <v>941</v>
      </c>
      <c r="D27" s="43">
        <f>ROUND(D26*SIN(D5*PI()/180),0)</f>
        <v>55</v>
      </c>
      <c r="E27" s="43">
        <f t="shared" ref="E27:J27" si="6">ROUND(E26*SIN(E5*PI()/180),0)</f>
        <v>54</v>
      </c>
      <c r="F27" s="43">
        <f t="shared" si="6"/>
        <v>54</v>
      </c>
      <c r="G27" s="43">
        <f t="shared" si="6"/>
        <v>53</v>
      </c>
      <c r="H27" s="43">
        <f t="shared" si="6"/>
        <v>52</v>
      </c>
      <c r="I27" s="43">
        <f t="shared" si="6"/>
        <v>52</v>
      </c>
      <c r="J27" s="43">
        <f t="shared" si="6"/>
        <v>52</v>
      </c>
    </row>
    <row r="28" spans="1:10">
      <c r="B28" s="28" t="s">
        <v>136</v>
      </c>
      <c r="C28" s="28" t="s">
        <v>986</v>
      </c>
      <c r="F28" s="48">
        <f>((622+2*F20)/2*COS(F5*PI()/180)-F27)/SIN(F5*PI()/180)</f>
        <v>65.376691343745748</v>
      </c>
      <c r="G28" s="48">
        <f t="shared" ref="G28:J28" si="7">((622+2*G20)/2*COS(G5*PI()/180)-G27)/SIN(G5*PI()/180)</f>
        <v>56.706853368169391</v>
      </c>
      <c r="H28" s="48">
        <f t="shared" si="7"/>
        <v>56.146360389201121</v>
      </c>
      <c r="I28" s="48">
        <f t="shared" si="7"/>
        <v>54.539272314391432</v>
      </c>
      <c r="J28" s="48">
        <f t="shared" si="7"/>
        <v>54.539272314391432</v>
      </c>
    </row>
    <row r="29" spans="1:10">
      <c r="D29" s="43"/>
      <c r="E29" s="43"/>
      <c r="F29" s="43"/>
      <c r="G29" s="43"/>
      <c r="H29" s="43"/>
      <c r="I29" s="43"/>
      <c r="J29" s="43"/>
    </row>
    <row r="30" spans="1:10" ht="22">
      <c r="C30" s="21"/>
      <c r="D30" s="21"/>
      <c r="E30" s="21"/>
      <c r="F30" s="21"/>
      <c r="G30" s="21"/>
      <c r="H30" s="21"/>
      <c r="I30" s="21"/>
      <c r="J30" s="21"/>
    </row>
    <row r="31" spans="1:10">
      <c r="C31" s="41" t="s">
        <v>433</v>
      </c>
      <c r="D31" s="41" t="s">
        <v>434</v>
      </c>
      <c r="E31" s="41" t="s">
        <v>435</v>
      </c>
      <c r="F31" s="41" t="s">
        <v>436</v>
      </c>
      <c r="G31" s="41" t="s">
        <v>437</v>
      </c>
      <c r="H31" s="41" t="s">
        <v>907</v>
      </c>
      <c r="I31" s="41" t="s">
        <v>908</v>
      </c>
      <c r="J31" s="41" t="s">
        <v>909</v>
      </c>
    </row>
    <row r="32" spans="1:10">
      <c r="C32" s="41" t="s">
        <v>441</v>
      </c>
      <c r="D32" s="41" t="s">
        <v>442</v>
      </c>
      <c r="E32" s="41" t="s">
        <v>910</v>
      </c>
      <c r="F32" s="41" t="s">
        <v>444</v>
      </c>
      <c r="G32" s="41" t="s">
        <v>445</v>
      </c>
      <c r="H32" s="41" t="s">
        <v>446</v>
      </c>
      <c r="I32" s="41" t="s">
        <v>447</v>
      </c>
      <c r="J32" s="41" t="s">
        <v>448</v>
      </c>
    </row>
    <row r="33" spans="3:11">
      <c r="C33" s="41" t="s">
        <v>460</v>
      </c>
      <c r="D33" s="41">
        <v>984</v>
      </c>
      <c r="E33" s="41">
        <v>990</v>
      </c>
      <c r="F33" s="41">
        <v>1.0269999999999999</v>
      </c>
      <c r="G33" s="41">
        <v>1.0349999999999999</v>
      </c>
      <c r="H33" s="41">
        <v>1.0469999999999999</v>
      </c>
      <c r="I33" s="41">
        <v>1.07</v>
      </c>
      <c r="J33" s="41">
        <v>1.085</v>
      </c>
    </row>
    <row r="36" spans="3:11">
      <c r="D36" s="41"/>
      <c r="E36" s="41"/>
      <c r="F36" s="41"/>
      <c r="G36" s="41"/>
      <c r="H36" s="41"/>
      <c r="I36" s="41"/>
      <c r="J36" s="41"/>
    </row>
    <row r="37" spans="3:11">
      <c r="C37" s="28">
        <f>SQRT(60^2+410.6^2)</f>
        <v>414.96067283539054</v>
      </c>
      <c r="D37" s="41"/>
      <c r="E37" s="41"/>
      <c r="F37" s="41"/>
      <c r="G37" s="41"/>
      <c r="H37" s="41"/>
      <c r="I37" s="41"/>
      <c r="J37" s="41"/>
      <c r="K37" s="41"/>
    </row>
    <row r="38" spans="3:11">
      <c r="D38" s="41"/>
      <c r="E38" s="41"/>
      <c r="F38" s="41"/>
      <c r="G38" s="41"/>
      <c r="H38" s="41"/>
      <c r="I38" s="41"/>
      <c r="J38" s="41"/>
      <c r="K38" s="41"/>
    </row>
    <row r="39" spans="3:11">
      <c r="D39" s="41"/>
      <c r="E39" s="41"/>
      <c r="F39" s="41"/>
      <c r="G39" s="41"/>
      <c r="H39" s="41"/>
      <c r="I39" s="41"/>
      <c r="J39" s="41"/>
      <c r="K39" s="41"/>
    </row>
    <row r="40" spans="3:11">
      <c r="D40" s="41"/>
      <c r="E40" s="41"/>
      <c r="F40" s="41"/>
      <c r="G40" s="41"/>
      <c r="H40" s="41"/>
      <c r="I40" s="41"/>
      <c r="J40" s="41"/>
      <c r="K40" s="41"/>
    </row>
    <row r="41" spans="3:11">
      <c r="D41" s="41"/>
      <c r="E41" s="41"/>
      <c r="F41" s="41"/>
      <c r="G41" s="41"/>
      <c r="H41" s="41"/>
      <c r="I41" s="41"/>
      <c r="J41" s="41"/>
      <c r="K41" s="41"/>
    </row>
    <row r="42" spans="3:11">
      <c r="D42" s="41"/>
      <c r="E42" s="41"/>
      <c r="F42" s="41"/>
      <c r="G42" s="41"/>
      <c r="H42" s="41"/>
      <c r="I42" s="41"/>
      <c r="J42" s="41"/>
      <c r="K42" s="41"/>
    </row>
    <row r="43" spans="3:11">
      <c r="D43" s="41"/>
      <c r="E43" s="41"/>
      <c r="F43" s="41"/>
      <c r="G43" s="41"/>
      <c r="H43" s="41"/>
      <c r="I43" s="41"/>
      <c r="J43" s="41"/>
      <c r="K43" s="41"/>
    </row>
    <row r="44" spans="3:11">
      <c r="D44" s="41"/>
      <c r="E44" s="41"/>
      <c r="F44" s="41"/>
      <c r="G44" s="41"/>
      <c r="H44" s="41"/>
      <c r="I44" s="41"/>
      <c r="J44" s="41"/>
      <c r="K44" s="41"/>
    </row>
    <row r="45" spans="3:11">
      <c r="D45" s="41"/>
      <c r="E45" s="41"/>
      <c r="F45" s="41"/>
      <c r="G45" s="41"/>
      <c r="H45" s="41"/>
      <c r="I45" s="41"/>
      <c r="J45" s="41"/>
      <c r="K45" s="41"/>
    </row>
    <row r="46" spans="3:11">
      <c r="D46" s="41"/>
      <c r="E46" s="41"/>
      <c r="F46" s="41"/>
      <c r="G46" s="41"/>
      <c r="H46" s="41"/>
      <c r="I46" s="41"/>
      <c r="J46" s="41"/>
      <c r="K46" s="41"/>
    </row>
    <row r="47" spans="3:11">
      <c r="D47" s="41"/>
      <c r="E47" s="41"/>
      <c r="F47" s="41"/>
      <c r="G47" s="41"/>
      <c r="H47" s="41"/>
      <c r="I47" s="41"/>
      <c r="J47" s="41"/>
      <c r="K47" s="41"/>
    </row>
    <row r="48" spans="3:11">
      <c r="D48" s="41"/>
      <c r="E48" s="41"/>
      <c r="F48" s="41"/>
      <c r="G48" s="41"/>
      <c r="H48" s="41"/>
      <c r="I48" s="41"/>
      <c r="J48" s="41"/>
      <c r="K48" s="41"/>
    </row>
    <row r="49" spans="4:11">
      <c r="D49" s="41"/>
      <c r="E49" s="41"/>
      <c r="F49" s="41"/>
      <c r="G49" s="41"/>
      <c r="H49" s="41"/>
      <c r="I49" s="41"/>
      <c r="J49" s="41"/>
      <c r="K49" s="41"/>
    </row>
    <row r="50" spans="4:11">
      <c r="D50" s="41"/>
      <c r="E50" s="41"/>
      <c r="F50" s="41"/>
      <c r="G50" s="41"/>
      <c r="H50" s="41"/>
      <c r="I50" s="41"/>
      <c r="J50" s="41"/>
      <c r="K50" s="41"/>
    </row>
    <row r="51" spans="4:11">
      <c r="D51" s="41"/>
      <c r="E51" s="41"/>
      <c r="F51" s="41"/>
      <c r="G51" s="41"/>
      <c r="H51" s="41"/>
      <c r="I51" s="41"/>
      <c r="J51" s="41"/>
      <c r="K51" s="4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0" t="s">
        <v>431</v>
      </c>
      <c r="E1" s="20" t="s">
        <v>17</v>
      </c>
      <c r="F1" s="20" t="s">
        <v>18</v>
      </c>
      <c r="G1" s="20" t="s">
        <v>19</v>
      </c>
      <c r="H1" s="20" t="s">
        <v>20</v>
      </c>
      <c r="I1" s="20" t="s">
        <v>21</v>
      </c>
      <c r="J1" s="20" t="s">
        <v>432</v>
      </c>
    </row>
    <row r="2" spans="1:11" ht="19">
      <c r="A2" s="3" t="s">
        <v>55</v>
      </c>
      <c r="B2" s="3" t="s">
        <v>61</v>
      </c>
      <c r="C2" s="20" t="str">
        <f>C28</f>
        <v>Seat Tube Length in mm (b)</v>
      </c>
      <c r="D2" s="20">
        <v>432</v>
      </c>
      <c r="E2" s="20">
        <v>462</v>
      </c>
      <c r="F2" s="20">
        <v>492</v>
      </c>
      <c r="G2" s="20">
        <v>522</v>
      </c>
      <c r="H2" s="20">
        <v>552</v>
      </c>
      <c r="I2" s="20">
        <v>582</v>
      </c>
      <c r="J2" s="20">
        <v>612</v>
      </c>
    </row>
    <row r="3" spans="1:11" ht="19">
      <c r="A3" s="3" t="s">
        <v>56</v>
      </c>
      <c r="B3" s="3" t="s">
        <v>74</v>
      </c>
      <c r="C3" s="20" t="str">
        <f t="shared" ref="C3:C14" si="0">C29</f>
        <v>Top Tube Length in mm (c)</v>
      </c>
      <c r="D3" s="20">
        <v>513</v>
      </c>
      <c r="E3" s="20">
        <v>523</v>
      </c>
      <c r="F3" s="20">
        <v>547</v>
      </c>
      <c r="G3" s="20">
        <v>569</v>
      </c>
      <c r="H3" s="20">
        <v>580</v>
      </c>
      <c r="I3" s="20">
        <v>604</v>
      </c>
      <c r="J3" s="20">
        <v>615</v>
      </c>
    </row>
    <row r="4" spans="1:11" ht="19">
      <c r="A4" s="3" t="s">
        <v>61</v>
      </c>
      <c r="B4" s="3" t="s">
        <v>65</v>
      </c>
      <c r="C4" s="20" t="str">
        <f t="shared" si="0"/>
        <v>Head Tube Length in mm (d)</v>
      </c>
      <c r="D4" s="20">
        <v>70</v>
      </c>
      <c r="E4" s="20">
        <v>88</v>
      </c>
      <c r="F4" s="20">
        <v>78</v>
      </c>
      <c r="G4" s="20">
        <v>97</v>
      </c>
      <c r="H4" s="20">
        <v>125</v>
      </c>
      <c r="I4" s="20">
        <v>146</v>
      </c>
      <c r="J4" s="20">
        <v>167</v>
      </c>
    </row>
    <row r="5" spans="1:11" ht="19">
      <c r="A5" s="3" t="s">
        <v>74</v>
      </c>
      <c r="B5" s="3" t="s">
        <v>63</v>
      </c>
      <c r="C5" s="20" t="str">
        <f t="shared" si="0"/>
        <v>Head Tube Angle (e)</v>
      </c>
      <c r="D5" s="20">
        <v>70.25</v>
      </c>
      <c r="E5" s="20">
        <v>71.25</v>
      </c>
      <c r="F5" s="20">
        <v>71</v>
      </c>
      <c r="G5" s="20">
        <v>72.5</v>
      </c>
      <c r="H5" s="20">
        <v>72.5</v>
      </c>
      <c r="I5" s="20">
        <v>72.75</v>
      </c>
      <c r="J5" s="20">
        <v>72.75</v>
      </c>
    </row>
    <row r="6" spans="1:11" ht="19">
      <c r="A6" s="3" t="s">
        <v>63</v>
      </c>
      <c r="B6" s="3" t="s">
        <v>64</v>
      </c>
      <c r="C6" s="20" t="str">
        <f t="shared" si="0"/>
        <v>Seat Tube Angle (f)</v>
      </c>
      <c r="D6" s="20">
        <v>73.5</v>
      </c>
      <c r="E6" s="20">
        <v>73.5</v>
      </c>
      <c r="F6" s="20">
        <v>73.5</v>
      </c>
      <c r="G6" s="20">
        <v>73.5</v>
      </c>
      <c r="H6" s="20">
        <v>73.5</v>
      </c>
      <c r="I6" s="20">
        <v>73.5</v>
      </c>
      <c r="J6" s="20">
        <v>73.5</v>
      </c>
    </row>
    <row r="7" spans="1:11" ht="19">
      <c r="A7" s="3" t="s">
        <v>64</v>
      </c>
      <c r="B7" s="3" t="s">
        <v>922</v>
      </c>
      <c r="C7" s="20" t="str">
        <f t="shared" si="0"/>
        <v>Chainstay Length in mm (g)</v>
      </c>
      <c r="D7" s="20">
        <v>415</v>
      </c>
      <c r="E7" s="20">
        <v>415</v>
      </c>
      <c r="F7" s="20">
        <v>425</v>
      </c>
      <c r="G7" s="20">
        <v>425</v>
      </c>
      <c r="H7" s="20">
        <v>425</v>
      </c>
      <c r="I7" s="20">
        <v>425</v>
      </c>
      <c r="J7" s="20">
        <v>425</v>
      </c>
      <c r="K7" t="s">
        <v>924</v>
      </c>
    </row>
    <row r="8" spans="1:11" ht="19">
      <c r="A8" s="3" t="s">
        <v>65</v>
      </c>
      <c r="B8" s="3" t="s">
        <v>57</v>
      </c>
      <c r="C8" s="20" t="str">
        <f t="shared" si="0"/>
        <v>Wheel Base in mm (h)</v>
      </c>
      <c r="D8" s="20">
        <v>988</v>
      </c>
      <c r="E8" s="20">
        <v>990</v>
      </c>
      <c r="F8" s="20">
        <v>1020</v>
      </c>
      <c r="G8" s="20">
        <v>1029</v>
      </c>
      <c r="H8" s="20">
        <v>1040</v>
      </c>
      <c r="I8" s="20">
        <v>1063</v>
      </c>
      <c r="J8" s="20">
        <v>1073</v>
      </c>
    </row>
    <row r="9" spans="1:11" ht="19">
      <c r="A9" s="3" t="s">
        <v>66</v>
      </c>
      <c r="B9" s="3" t="s">
        <v>55</v>
      </c>
      <c r="C9" s="20" t="str">
        <f t="shared" si="0"/>
        <v>Stack in mm (i)</v>
      </c>
      <c r="D9" s="20">
        <v>470</v>
      </c>
      <c r="E9" s="20">
        <v>490</v>
      </c>
      <c r="F9" s="20">
        <v>513</v>
      </c>
      <c r="G9" s="20">
        <v>536</v>
      </c>
      <c r="H9" s="20">
        <v>563</v>
      </c>
      <c r="I9" s="20">
        <v>584</v>
      </c>
      <c r="J9" s="20">
        <v>604</v>
      </c>
    </row>
    <row r="10" spans="1:11" ht="19">
      <c r="A10" s="3" t="s">
        <v>67</v>
      </c>
      <c r="B10" s="3" t="s">
        <v>56</v>
      </c>
      <c r="C10" s="20" t="str">
        <f t="shared" si="0"/>
        <v>Reach in mm (j)</v>
      </c>
      <c r="D10" s="20">
        <v>384</v>
      </c>
      <c r="E10" s="20">
        <v>388</v>
      </c>
      <c r="F10" s="20">
        <v>405</v>
      </c>
      <c r="G10" s="20">
        <v>421</v>
      </c>
      <c r="H10" s="20">
        <v>423</v>
      </c>
      <c r="I10" s="20">
        <v>441</v>
      </c>
      <c r="J10" s="20">
        <v>466</v>
      </c>
    </row>
    <row r="11" spans="1:11" ht="19">
      <c r="A11" s="3" t="s">
        <v>57</v>
      </c>
      <c r="B11" s="3" t="s">
        <v>58</v>
      </c>
      <c r="C11" s="20" t="str">
        <f t="shared" si="0"/>
        <v>Stand-over Height in mm (k)</v>
      </c>
      <c r="D11" s="20">
        <v>753</v>
      </c>
      <c r="E11" s="20">
        <v>778</v>
      </c>
      <c r="F11" s="20">
        <v>805</v>
      </c>
      <c r="G11" s="20">
        <v>834</v>
      </c>
      <c r="H11" s="20">
        <v>860</v>
      </c>
      <c r="I11" s="20">
        <v>888</v>
      </c>
      <c r="J11" s="20">
        <v>912</v>
      </c>
    </row>
    <row r="12" spans="1:11" ht="19">
      <c r="A12" s="3" t="s">
        <v>68</v>
      </c>
      <c r="B12" s="3" t="s">
        <v>66</v>
      </c>
      <c r="C12" s="20" t="str">
        <f t="shared" si="0"/>
        <v>Bottom Bracket Offset in mm (l)</v>
      </c>
      <c r="D12" s="20">
        <v>60</v>
      </c>
      <c r="E12" s="20">
        <v>60</v>
      </c>
      <c r="F12" s="20">
        <v>75</v>
      </c>
      <c r="G12" s="20">
        <v>75</v>
      </c>
      <c r="H12" s="20">
        <v>75</v>
      </c>
      <c r="I12" s="20">
        <v>75</v>
      </c>
      <c r="J12" s="20">
        <v>75</v>
      </c>
    </row>
    <row r="13" spans="1:11" ht="19">
      <c r="A13" s="3" t="s">
        <v>58</v>
      </c>
      <c r="B13" s="3" t="s">
        <v>467</v>
      </c>
      <c r="C13" s="20" t="str">
        <f t="shared" si="0"/>
        <v>Stack+ in mm</v>
      </c>
      <c r="D13" s="20">
        <v>595</v>
      </c>
      <c r="E13" s="20">
        <v>615</v>
      </c>
      <c r="F13" s="20">
        <v>638</v>
      </c>
      <c r="G13" s="20">
        <v>660</v>
      </c>
      <c r="H13" s="20">
        <v>688</v>
      </c>
      <c r="I13" s="20">
        <v>709</v>
      </c>
      <c r="J13" s="20">
        <v>729</v>
      </c>
    </row>
    <row r="14" spans="1:11" ht="19">
      <c r="A14" s="3" t="s">
        <v>70</v>
      </c>
      <c r="B14" s="3" t="s">
        <v>468</v>
      </c>
      <c r="C14" s="20" t="str">
        <f t="shared" si="0"/>
        <v>Reach+ in mm</v>
      </c>
      <c r="D14" s="20">
        <v>404</v>
      </c>
      <c r="E14" s="20">
        <v>425</v>
      </c>
      <c r="F14" s="20">
        <v>442</v>
      </c>
      <c r="G14" s="20">
        <v>461</v>
      </c>
      <c r="H14" s="20">
        <v>478</v>
      </c>
      <c r="I14" s="20">
        <v>497</v>
      </c>
      <c r="J14" s="20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0">
        <v>43</v>
      </c>
      <c r="E15" s="20">
        <v>43</v>
      </c>
      <c r="F15" s="20">
        <v>43</v>
      </c>
      <c r="G15" s="20">
        <v>43</v>
      </c>
      <c r="H15" s="20">
        <v>43</v>
      </c>
      <c r="I15" s="20">
        <v>43</v>
      </c>
      <c r="J15" s="20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20">
        <v>165</v>
      </c>
      <c r="E16" s="20">
        <v>165</v>
      </c>
      <c r="F16" s="20">
        <v>170</v>
      </c>
      <c r="G16" s="20">
        <v>172.5</v>
      </c>
      <c r="H16" s="20">
        <v>172.5</v>
      </c>
      <c r="I16" s="20">
        <v>175</v>
      </c>
      <c r="J16" s="20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6">
        <f>SQRT(D7^2+D12^2)</f>
        <v>419.31491745465007</v>
      </c>
      <c r="E22" s="46">
        <f t="shared" ref="E22:J22" si="3">SQRT(E7^2+E12^2)</f>
        <v>419.31491745465007</v>
      </c>
      <c r="F22" s="46">
        <f t="shared" si="3"/>
        <v>431.5669125408017</v>
      </c>
      <c r="G22" s="46">
        <f t="shared" si="3"/>
        <v>431.5669125408017</v>
      </c>
      <c r="H22" s="46">
        <f t="shared" si="3"/>
        <v>431.5669125408017</v>
      </c>
      <c r="I22" s="46">
        <f t="shared" si="3"/>
        <v>431.5669125408017</v>
      </c>
      <c r="J22" s="46">
        <f t="shared" si="3"/>
        <v>431.5669125408017</v>
      </c>
    </row>
    <row r="25" spans="1:10" ht="20">
      <c r="D25" s="19" t="s">
        <v>431</v>
      </c>
      <c r="E25" s="19" t="s">
        <v>17</v>
      </c>
      <c r="F25" s="19" t="s">
        <v>18</v>
      </c>
      <c r="G25" s="19" t="s">
        <v>19</v>
      </c>
      <c r="H25" s="19" t="s">
        <v>20</v>
      </c>
      <c r="I25" s="19" t="s">
        <v>21</v>
      </c>
      <c r="J25" s="19" t="s">
        <v>432</v>
      </c>
    </row>
    <row r="26" spans="1:10" ht="20">
      <c r="C26" s="19" t="s">
        <v>433</v>
      </c>
      <c r="D26" s="19" t="s">
        <v>434</v>
      </c>
      <c r="E26" s="19" t="s">
        <v>435</v>
      </c>
      <c r="F26" s="19" t="s">
        <v>436</v>
      </c>
      <c r="G26" s="19" t="s">
        <v>437</v>
      </c>
      <c r="H26" s="19" t="s">
        <v>438</v>
      </c>
      <c r="I26" s="19" t="s">
        <v>439</v>
      </c>
      <c r="J26" s="19" t="s">
        <v>440</v>
      </c>
    </row>
    <row r="27" spans="1:10" ht="20">
      <c r="C27" s="19" t="s">
        <v>441</v>
      </c>
      <c r="D27" s="19" t="s">
        <v>442</v>
      </c>
      <c r="E27" s="19" t="s">
        <v>443</v>
      </c>
      <c r="F27" s="19" t="s">
        <v>444</v>
      </c>
      <c r="G27" s="19" t="s">
        <v>445</v>
      </c>
      <c r="H27" s="19" t="s">
        <v>446</v>
      </c>
      <c r="I27" s="19" t="s">
        <v>447</v>
      </c>
      <c r="J27" s="19" t="s">
        <v>448</v>
      </c>
    </row>
    <row r="28" spans="1:10" ht="20">
      <c r="C28" s="19" t="s">
        <v>449</v>
      </c>
      <c r="D28" s="19">
        <v>432</v>
      </c>
      <c r="E28" s="19">
        <v>462</v>
      </c>
      <c r="F28" s="19">
        <v>492</v>
      </c>
      <c r="G28" s="19">
        <v>522</v>
      </c>
      <c r="H28" s="19">
        <v>552</v>
      </c>
      <c r="I28" s="19">
        <v>582</v>
      </c>
      <c r="J28" s="19">
        <v>612</v>
      </c>
    </row>
    <row r="29" spans="1:10" ht="20">
      <c r="C29" s="19" t="s">
        <v>450</v>
      </c>
      <c r="D29" s="19">
        <v>513</v>
      </c>
      <c r="E29" s="19">
        <v>523</v>
      </c>
      <c r="F29" s="19">
        <v>547</v>
      </c>
      <c r="G29" s="19">
        <v>569</v>
      </c>
      <c r="H29" s="19">
        <v>580</v>
      </c>
      <c r="I29" s="19">
        <v>604</v>
      </c>
      <c r="J29" s="19">
        <v>615</v>
      </c>
    </row>
    <row r="30" spans="1:10" ht="20">
      <c r="C30" s="19" t="s">
        <v>451</v>
      </c>
      <c r="D30" s="19">
        <v>70</v>
      </c>
      <c r="E30" s="19">
        <v>88</v>
      </c>
      <c r="F30" s="19">
        <v>78</v>
      </c>
      <c r="G30" s="19">
        <v>97</v>
      </c>
      <c r="H30" s="19">
        <v>125</v>
      </c>
      <c r="I30" s="19">
        <v>146</v>
      </c>
      <c r="J30" s="19">
        <v>167</v>
      </c>
    </row>
    <row r="31" spans="1:10" ht="20">
      <c r="C31" s="19" t="s">
        <v>452</v>
      </c>
      <c r="D31" s="19" t="s">
        <v>453</v>
      </c>
      <c r="E31" s="19" t="s">
        <v>454</v>
      </c>
      <c r="F31" s="19" t="s">
        <v>312</v>
      </c>
      <c r="G31" s="19" t="s">
        <v>455</v>
      </c>
      <c r="H31" s="19" t="s">
        <v>455</v>
      </c>
      <c r="I31" s="19" t="s">
        <v>456</v>
      </c>
      <c r="J31" s="19" t="s">
        <v>456</v>
      </c>
    </row>
    <row r="32" spans="1:10" ht="20">
      <c r="C32" s="19" t="s">
        <v>457</v>
      </c>
      <c r="D32" s="19" t="s">
        <v>458</v>
      </c>
      <c r="E32" s="19" t="s">
        <v>458</v>
      </c>
      <c r="F32" s="19" t="s">
        <v>458</v>
      </c>
      <c r="G32" s="19" t="s">
        <v>458</v>
      </c>
      <c r="H32" s="19" t="s">
        <v>458</v>
      </c>
      <c r="I32" s="19" t="s">
        <v>458</v>
      </c>
      <c r="J32" s="19" t="s">
        <v>458</v>
      </c>
    </row>
    <row r="33" spans="3:10" ht="20">
      <c r="C33" s="19" t="s">
        <v>459</v>
      </c>
      <c r="D33" s="19">
        <v>415</v>
      </c>
      <c r="E33" s="19">
        <v>415</v>
      </c>
      <c r="F33" s="19">
        <v>425</v>
      </c>
      <c r="G33" s="19">
        <v>425</v>
      </c>
      <c r="H33" s="19">
        <v>425</v>
      </c>
      <c r="I33" s="19">
        <v>425</v>
      </c>
      <c r="J33" s="19">
        <v>425</v>
      </c>
    </row>
    <row r="34" spans="3:10" ht="20">
      <c r="C34" s="19" t="s">
        <v>460</v>
      </c>
      <c r="D34" s="19">
        <v>988</v>
      </c>
      <c r="E34" s="19">
        <v>990</v>
      </c>
      <c r="F34" s="19">
        <v>1.02</v>
      </c>
      <c r="G34" s="19">
        <v>1.0289999999999999</v>
      </c>
      <c r="H34" s="19">
        <v>1.04</v>
      </c>
      <c r="I34" s="19">
        <v>1.0629999999999999</v>
      </c>
      <c r="J34" s="19">
        <v>1.073</v>
      </c>
    </row>
    <row r="35" spans="3:10" ht="20">
      <c r="C35" s="19" t="s">
        <v>461</v>
      </c>
      <c r="D35" s="19">
        <v>470</v>
      </c>
      <c r="E35" s="19">
        <v>490</v>
      </c>
      <c r="F35" s="19">
        <v>513</v>
      </c>
      <c r="G35" s="19">
        <v>536</v>
      </c>
      <c r="H35" s="19">
        <v>563</v>
      </c>
      <c r="I35" s="19">
        <v>584</v>
      </c>
      <c r="J35" s="19">
        <v>604</v>
      </c>
    </row>
    <row r="36" spans="3:10" ht="20">
      <c r="C36" s="19" t="s">
        <v>462</v>
      </c>
      <c r="D36" s="19">
        <v>384</v>
      </c>
      <c r="E36" s="19">
        <v>388</v>
      </c>
      <c r="F36" s="19">
        <v>405</v>
      </c>
      <c r="G36" s="19">
        <v>421</v>
      </c>
      <c r="H36" s="19">
        <v>423</v>
      </c>
      <c r="I36" s="19">
        <v>441</v>
      </c>
      <c r="J36" s="19">
        <v>466</v>
      </c>
    </row>
    <row r="37" spans="3:10" ht="20">
      <c r="C37" s="19" t="s">
        <v>463</v>
      </c>
      <c r="D37" s="19">
        <v>753</v>
      </c>
      <c r="E37" s="19">
        <v>778</v>
      </c>
      <c r="F37" s="19">
        <v>805</v>
      </c>
      <c r="G37" s="19">
        <v>834</v>
      </c>
      <c r="H37" s="19">
        <v>860</v>
      </c>
      <c r="I37" s="19">
        <v>888</v>
      </c>
      <c r="J37" s="19">
        <v>912</v>
      </c>
    </row>
    <row r="38" spans="3:10" ht="20">
      <c r="C38" s="19" t="s">
        <v>464</v>
      </c>
      <c r="D38" s="19">
        <v>60</v>
      </c>
      <c r="E38" s="19">
        <v>60</v>
      </c>
      <c r="F38" s="19">
        <v>75</v>
      </c>
      <c r="G38" s="19">
        <v>75</v>
      </c>
      <c r="H38" s="19">
        <v>75</v>
      </c>
      <c r="I38" s="19">
        <v>75</v>
      </c>
      <c r="J38" s="19">
        <v>75</v>
      </c>
    </row>
    <row r="39" spans="3:10" ht="20">
      <c r="C39" s="19" t="s">
        <v>465</v>
      </c>
      <c r="D39" s="19">
        <v>595</v>
      </c>
      <c r="E39" s="19">
        <v>615</v>
      </c>
      <c r="F39" s="19">
        <v>638</v>
      </c>
      <c r="G39" s="19">
        <v>660</v>
      </c>
      <c r="H39" s="19">
        <v>688</v>
      </c>
      <c r="I39" s="19">
        <v>709</v>
      </c>
      <c r="J39" s="19">
        <v>729</v>
      </c>
    </row>
    <row r="40" spans="3:10" ht="20">
      <c r="C40" s="19" t="s">
        <v>466</v>
      </c>
      <c r="D40" s="19">
        <v>404</v>
      </c>
      <c r="E40" s="19">
        <v>425</v>
      </c>
      <c r="F40" s="19">
        <v>442</v>
      </c>
      <c r="G40" s="19">
        <v>461</v>
      </c>
      <c r="H40" s="19">
        <v>478</v>
      </c>
      <c r="I40" s="19">
        <v>497</v>
      </c>
      <c r="J40" s="19">
        <v>516</v>
      </c>
    </row>
    <row r="42" spans="3:10" ht="20">
      <c r="C42" s="19" t="s">
        <v>478</v>
      </c>
      <c r="D42" s="21" t="s">
        <v>472</v>
      </c>
      <c r="E42" s="21" t="s">
        <v>473</v>
      </c>
      <c r="F42" s="21" t="s">
        <v>473</v>
      </c>
      <c r="G42" s="21" t="s">
        <v>474</v>
      </c>
      <c r="H42" s="21" t="s">
        <v>475</v>
      </c>
      <c r="I42" s="21" t="s">
        <v>476</v>
      </c>
      <c r="J42" s="21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52"/>
  <sheetViews>
    <sheetView workbookViewId="0">
      <selection activeCell="F28" sqref="F28"/>
    </sheetView>
  </sheetViews>
  <sheetFormatPr baseColWidth="10" defaultRowHeight="20"/>
  <cols>
    <col min="1" max="2" width="29.33203125" style="28" bestFit="1" customWidth="1"/>
    <col min="3" max="3" width="38.6640625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41" t="s">
        <v>144</v>
      </c>
      <c r="D1" s="41" t="s">
        <v>914</v>
      </c>
      <c r="E1" s="41" t="s">
        <v>431</v>
      </c>
      <c r="F1" s="41" t="s">
        <v>17</v>
      </c>
      <c r="G1" s="41" t="s">
        <v>18</v>
      </c>
      <c r="H1" s="41" t="s">
        <v>19</v>
      </c>
      <c r="I1" s="41" t="s">
        <v>20</v>
      </c>
      <c r="J1" s="41" t="s">
        <v>21</v>
      </c>
      <c r="K1" s="41" t="s">
        <v>432</v>
      </c>
    </row>
    <row r="2" spans="1:12">
      <c r="A2" s="28" t="s">
        <v>55</v>
      </c>
      <c r="B2" s="28" t="s">
        <v>61</v>
      </c>
      <c r="C2" s="41" t="str">
        <f>C34</f>
        <v>Seat Tube Length in mm (b)</v>
      </c>
      <c r="D2" s="41">
        <f t="shared" ref="D2:K2" si="0">D34</f>
        <v>402</v>
      </c>
      <c r="E2" s="41">
        <f t="shared" si="0"/>
        <v>432</v>
      </c>
      <c r="F2" s="41">
        <f t="shared" si="0"/>
        <v>462</v>
      </c>
      <c r="G2" s="41">
        <f t="shared" si="0"/>
        <v>492</v>
      </c>
      <c r="H2" s="41">
        <f t="shared" si="0"/>
        <v>522</v>
      </c>
      <c r="I2" s="41">
        <f t="shared" si="0"/>
        <v>552</v>
      </c>
      <c r="J2" s="41">
        <f t="shared" si="0"/>
        <v>582</v>
      </c>
      <c r="K2" s="41">
        <f t="shared" si="0"/>
        <v>612</v>
      </c>
    </row>
    <row r="3" spans="1:12">
      <c r="A3" s="28" t="s">
        <v>56</v>
      </c>
      <c r="B3" s="28" t="s">
        <v>74</v>
      </c>
      <c r="C3" s="41" t="str">
        <f t="shared" ref="C3:K14" si="1">C35</f>
        <v>Top Tube Length in mm (c)</v>
      </c>
      <c r="D3" s="41">
        <f t="shared" si="1"/>
        <v>524</v>
      </c>
      <c r="E3" s="41">
        <f t="shared" si="1"/>
        <v>532</v>
      </c>
      <c r="F3" s="41">
        <f t="shared" si="1"/>
        <v>541</v>
      </c>
      <c r="G3" s="41">
        <f t="shared" si="1"/>
        <v>562</v>
      </c>
      <c r="H3" s="41">
        <f t="shared" si="1"/>
        <v>574</v>
      </c>
      <c r="I3" s="41">
        <f t="shared" si="1"/>
        <v>588</v>
      </c>
      <c r="J3" s="41">
        <f t="shared" si="1"/>
        <v>612</v>
      </c>
      <c r="K3" s="41">
        <f t="shared" si="1"/>
        <v>627</v>
      </c>
    </row>
    <row r="4" spans="1:12">
      <c r="A4" s="28" t="s">
        <v>61</v>
      </c>
      <c r="B4" s="28" t="s">
        <v>65</v>
      </c>
      <c r="C4" s="41" t="str">
        <f t="shared" si="1"/>
        <v>Head Tube Length in mm (d)</v>
      </c>
      <c r="D4" s="41">
        <f t="shared" si="1"/>
        <v>115</v>
      </c>
      <c r="E4" s="41">
        <f t="shared" si="1"/>
        <v>122</v>
      </c>
      <c r="F4" s="41">
        <f t="shared" si="1"/>
        <v>135</v>
      </c>
      <c r="G4" s="41">
        <f t="shared" si="1"/>
        <v>121</v>
      </c>
      <c r="H4" s="41">
        <f t="shared" si="1"/>
        <v>141</v>
      </c>
      <c r="I4" s="41">
        <f t="shared" si="1"/>
        <v>166</v>
      </c>
      <c r="J4" s="41">
        <f t="shared" si="1"/>
        <v>186</v>
      </c>
      <c r="K4" s="41">
        <f t="shared" si="1"/>
        <v>205</v>
      </c>
    </row>
    <row r="5" spans="1:12">
      <c r="A5" s="28" t="s">
        <v>74</v>
      </c>
      <c r="B5" s="28" t="s">
        <v>63</v>
      </c>
      <c r="C5" s="41" t="str">
        <f t="shared" si="1"/>
        <v>Head Tube Angle (e)</v>
      </c>
      <c r="D5" s="41">
        <f>D37</f>
        <v>69</v>
      </c>
      <c r="E5" s="41">
        <f t="shared" si="1"/>
        <v>69.75</v>
      </c>
      <c r="F5" s="41">
        <f t="shared" si="1"/>
        <v>70.5</v>
      </c>
      <c r="G5" s="41">
        <f t="shared" si="1"/>
        <v>70.25</v>
      </c>
      <c r="H5" s="41">
        <f t="shared" si="1"/>
        <v>71.5</v>
      </c>
      <c r="I5" s="41">
        <f t="shared" si="1"/>
        <v>72</v>
      </c>
      <c r="J5" s="41">
        <f t="shared" si="1"/>
        <v>72.5</v>
      </c>
      <c r="K5" s="41">
        <f t="shared" si="1"/>
        <v>72.5</v>
      </c>
    </row>
    <row r="6" spans="1:12">
      <c r="A6" s="28" t="s">
        <v>63</v>
      </c>
      <c r="B6" s="28" t="s">
        <v>64</v>
      </c>
      <c r="C6" s="41" t="str">
        <f t="shared" si="1"/>
        <v>Seat Tube Angle (f)</v>
      </c>
      <c r="D6" s="41">
        <f t="shared" si="1"/>
        <v>73.5</v>
      </c>
      <c r="E6" s="41">
        <f t="shared" si="1"/>
        <v>73.5</v>
      </c>
      <c r="F6" s="41">
        <f t="shared" si="1"/>
        <v>73.5</v>
      </c>
      <c r="G6" s="41">
        <f t="shared" si="1"/>
        <v>73.5</v>
      </c>
      <c r="H6" s="41">
        <f t="shared" si="1"/>
        <v>73.5</v>
      </c>
      <c r="I6" s="41">
        <f t="shared" si="1"/>
        <v>73.5</v>
      </c>
      <c r="J6" s="41">
        <f t="shared" si="1"/>
        <v>73.5</v>
      </c>
      <c r="K6" s="41">
        <f t="shared" si="1"/>
        <v>73.5</v>
      </c>
    </row>
    <row r="7" spans="1:12">
      <c r="A7" s="28" t="s">
        <v>64</v>
      </c>
      <c r="B7" s="28" t="s">
        <v>922</v>
      </c>
      <c r="C7" s="41" t="str">
        <f t="shared" si="1"/>
        <v>Chainstay Length in mm (g)</v>
      </c>
      <c r="D7" s="41">
        <f t="shared" si="1"/>
        <v>420</v>
      </c>
      <c r="E7" s="41">
        <f t="shared" si="1"/>
        <v>420</v>
      </c>
      <c r="F7" s="41">
        <f t="shared" si="1"/>
        <v>420</v>
      </c>
      <c r="G7" s="41">
        <f t="shared" si="1"/>
        <v>435</v>
      </c>
      <c r="H7" s="41">
        <f t="shared" si="1"/>
        <v>435</v>
      </c>
      <c r="I7" s="41">
        <f t="shared" si="1"/>
        <v>435</v>
      </c>
      <c r="J7" s="41">
        <f t="shared" si="1"/>
        <v>435</v>
      </c>
      <c r="K7" s="41">
        <f t="shared" si="1"/>
        <v>435</v>
      </c>
    </row>
    <row r="8" spans="1:12">
      <c r="A8" s="28" t="s">
        <v>65</v>
      </c>
      <c r="B8" s="28" t="s">
        <v>57</v>
      </c>
      <c r="C8" s="41" t="str">
        <f t="shared" si="1"/>
        <v>Wheel Base in mm (h)</v>
      </c>
      <c r="D8" s="41">
        <f t="shared" si="1"/>
        <v>1007</v>
      </c>
      <c r="E8" s="41">
        <f t="shared" si="1"/>
        <v>1009</v>
      </c>
      <c r="F8" s="41">
        <f t="shared" si="1"/>
        <v>1012</v>
      </c>
      <c r="G8" s="41">
        <f t="shared" si="1"/>
        <v>1044</v>
      </c>
      <c r="H8" s="41">
        <f t="shared" si="1"/>
        <v>1045</v>
      </c>
      <c r="I8" s="41">
        <f t="shared" si="1"/>
        <v>1055</v>
      </c>
      <c r="J8" s="41">
        <f t="shared" si="1"/>
        <v>1074</v>
      </c>
      <c r="K8" s="41">
        <f t="shared" si="1"/>
        <v>1089</v>
      </c>
    </row>
    <row r="9" spans="1:12">
      <c r="A9" s="28" t="s">
        <v>66</v>
      </c>
      <c r="B9" s="28" t="s">
        <v>944</v>
      </c>
      <c r="C9" s="41" t="str">
        <f t="shared" si="1"/>
        <v>Stack in mm (i)</v>
      </c>
      <c r="D9" s="41">
        <f t="shared" si="1"/>
        <v>512</v>
      </c>
      <c r="E9" s="41">
        <f t="shared" si="1"/>
        <v>522</v>
      </c>
      <c r="F9" s="41">
        <f t="shared" si="1"/>
        <v>537</v>
      </c>
      <c r="G9" s="41">
        <f t="shared" si="1"/>
        <v>556</v>
      </c>
      <c r="H9" s="41">
        <f t="shared" si="1"/>
        <v>579</v>
      </c>
      <c r="I9" s="41">
        <f t="shared" si="1"/>
        <v>605</v>
      </c>
      <c r="J9" s="41">
        <f t="shared" si="1"/>
        <v>626</v>
      </c>
      <c r="K9" s="41">
        <f t="shared" si="1"/>
        <v>644</v>
      </c>
      <c r="L9" s="28" t="s">
        <v>943</v>
      </c>
    </row>
    <row r="10" spans="1:12">
      <c r="A10" s="28" t="s">
        <v>67</v>
      </c>
      <c r="B10" s="28" t="s">
        <v>945</v>
      </c>
      <c r="C10" s="41" t="str">
        <f t="shared" si="1"/>
        <v>Reach in mm (j)</v>
      </c>
      <c r="D10" s="41">
        <f t="shared" si="1"/>
        <v>372</v>
      </c>
      <c r="E10" s="41">
        <f t="shared" si="1"/>
        <v>377</v>
      </c>
      <c r="F10" s="41">
        <f t="shared" si="1"/>
        <v>382</v>
      </c>
      <c r="G10" s="41">
        <f t="shared" si="1"/>
        <v>397</v>
      </c>
      <c r="H10" s="41">
        <f t="shared" si="1"/>
        <v>402</v>
      </c>
      <c r="I10" s="41">
        <f t="shared" si="1"/>
        <v>409</v>
      </c>
      <c r="J10" s="41">
        <f t="shared" si="1"/>
        <v>427</v>
      </c>
      <c r="K10" s="41">
        <f t="shared" si="1"/>
        <v>436</v>
      </c>
    </row>
    <row r="11" spans="1:12">
      <c r="A11" s="28" t="s">
        <v>57</v>
      </c>
      <c r="B11" s="28" t="s">
        <v>58</v>
      </c>
      <c r="C11" s="41" t="str">
        <f t="shared" si="1"/>
        <v>Stand-over Height in mm (k)</v>
      </c>
      <c r="D11" s="41">
        <f t="shared" si="1"/>
        <v>709</v>
      </c>
      <c r="E11" s="41">
        <f t="shared" si="1"/>
        <v>730</v>
      </c>
      <c r="F11" s="41">
        <f t="shared" si="1"/>
        <v>752</v>
      </c>
      <c r="G11" s="41">
        <f t="shared" si="1"/>
        <v>780</v>
      </c>
      <c r="H11" s="41">
        <f t="shared" si="1"/>
        <v>807</v>
      </c>
      <c r="I11" s="41">
        <f t="shared" si="1"/>
        <v>835</v>
      </c>
      <c r="J11" s="41">
        <f t="shared" si="1"/>
        <v>860</v>
      </c>
      <c r="K11" s="41">
        <f t="shared" si="1"/>
        <v>884</v>
      </c>
    </row>
    <row r="12" spans="1:12">
      <c r="A12" s="28" t="s">
        <v>68</v>
      </c>
      <c r="B12" s="28" t="s">
        <v>66</v>
      </c>
      <c r="C12" s="41" t="str">
        <f t="shared" si="1"/>
        <v>Bottom Bracket Offset in mm (l)</v>
      </c>
      <c r="D12" s="41">
        <f t="shared" si="1"/>
        <v>60</v>
      </c>
      <c r="E12" s="41">
        <f t="shared" si="1"/>
        <v>60</v>
      </c>
      <c r="F12" s="41">
        <f t="shared" si="1"/>
        <v>60</v>
      </c>
      <c r="G12" s="41">
        <f t="shared" si="1"/>
        <v>75</v>
      </c>
      <c r="H12" s="41">
        <f t="shared" si="1"/>
        <v>75</v>
      </c>
      <c r="I12" s="41">
        <f t="shared" si="1"/>
        <v>75</v>
      </c>
      <c r="J12" s="41">
        <f t="shared" si="1"/>
        <v>75</v>
      </c>
      <c r="K12" s="41">
        <f t="shared" si="1"/>
        <v>75</v>
      </c>
    </row>
    <row r="13" spans="1:12">
      <c r="A13" s="28" t="s">
        <v>58</v>
      </c>
      <c r="B13" s="28" t="s">
        <v>919</v>
      </c>
      <c r="C13" s="41" t="str">
        <f t="shared" si="1"/>
        <v>Stack+ in mm</v>
      </c>
      <c r="D13" s="41">
        <f t="shared" si="1"/>
        <v>602</v>
      </c>
      <c r="E13" s="41">
        <f t="shared" si="1"/>
        <v>612</v>
      </c>
      <c r="F13" s="41">
        <f t="shared" si="1"/>
        <v>626</v>
      </c>
      <c r="G13" s="41">
        <f t="shared" si="1"/>
        <v>645</v>
      </c>
      <c r="H13" s="41">
        <f t="shared" si="1"/>
        <v>670</v>
      </c>
      <c r="I13" s="41">
        <f t="shared" si="1"/>
        <v>697</v>
      </c>
      <c r="J13" s="41">
        <f t="shared" si="1"/>
        <v>717</v>
      </c>
      <c r="K13" s="41">
        <f t="shared" si="1"/>
        <v>738</v>
      </c>
    </row>
    <row r="14" spans="1:12">
      <c r="A14" s="28" t="s">
        <v>70</v>
      </c>
      <c r="B14" s="28" t="s">
        <v>920</v>
      </c>
      <c r="C14" s="41" t="str">
        <f t="shared" si="1"/>
        <v>Reach+ in mm</v>
      </c>
      <c r="D14" s="41">
        <f t="shared" si="1"/>
        <v>417</v>
      </c>
      <c r="E14" s="41">
        <f t="shared" si="1"/>
        <v>423</v>
      </c>
      <c r="F14" s="41">
        <f t="shared" si="1"/>
        <v>429</v>
      </c>
      <c r="G14" s="41">
        <f t="shared" si="1"/>
        <v>444</v>
      </c>
      <c r="H14" s="41">
        <f t="shared" si="1"/>
        <v>460</v>
      </c>
      <c r="I14" s="41">
        <f t="shared" si="1"/>
        <v>477</v>
      </c>
      <c r="J14" s="41">
        <f t="shared" si="1"/>
        <v>496</v>
      </c>
      <c r="K14" s="41">
        <f t="shared" si="1"/>
        <v>515</v>
      </c>
    </row>
    <row r="15" spans="1:12">
      <c r="A15" s="28" t="s">
        <v>71</v>
      </c>
      <c r="B15" s="28" t="s">
        <v>936</v>
      </c>
      <c r="C15" s="41" t="s">
        <v>931</v>
      </c>
      <c r="D15" s="41">
        <v>27.5</v>
      </c>
      <c r="E15" s="41">
        <v>27.5</v>
      </c>
      <c r="F15" s="41">
        <v>27.5</v>
      </c>
      <c r="G15" s="41">
        <v>27.5</v>
      </c>
      <c r="H15" s="41">
        <v>27.5</v>
      </c>
      <c r="I15" s="41">
        <v>27.5</v>
      </c>
      <c r="J15" s="41">
        <v>27.5</v>
      </c>
      <c r="K15" s="41">
        <v>27.5</v>
      </c>
    </row>
    <row r="16" spans="1:12">
      <c r="A16" s="28" t="s">
        <v>72</v>
      </c>
      <c r="B16" s="28" t="s">
        <v>72</v>
      </c>
      <c r="C16" s="41" t="s">
        <v>911</v>
      </c>
      <c r="D16" s="41">
        <v>70</v>
      </c>
      <c r="E16" s="41">
        <v>70</v>
      </c>
      <c r="F16" s="41">
        <v>80</v>
      </c>
      <c r="G16" s="41">
        <v>80</v>
      </c>
      <c r="H16" s="41">
        <v>80</v>
      </c>
      <c r="I16" s="41">
        <v>90</v>
      </c>
      <c r="J16" s="41">
        <v>90</v>
      </c>
      <c r="K16" s="41">
        <v>100</v>
      </c>
    </row>
    <row r="17" spans="1:11">
      <c r="A17" s="28" t="s">
        <v>69</v>
      </c>
      <c r="B17" s="28" t="s">
        <v>71</v>
      </c>
      <c r="C17" s="41" t="s">
        <v>912</v>
      </c>
      <c r="D17" s="41">
        <v>380</v>
      </c>
      <c r="E17" s="41">
        <v>400</v>
      </c>
      <c r="F17" s="41">
        <v>400</v>
      </c>
      <c r="G17" s="41">
        <v>420</v>
      </c>
      <c r="H17" s="41">
        <v>420</v>
      </c>
      <c r="I17" s="41">
        <v>440</v>
      </c>
      <c r="J17" s="41">
        <v>440</v>
      </c>
      <c r="K17" s="41">
        <v>440</v>
      </c>
    </row>
    <row r="18" spans="1:11">
      <c r="A18" s="28" t="s">
        <v>140</v>
      </c>
      <c r="B18" s="28" t="s">
        <v>70</v>
      </c>
      <c r="C18" s="41" t="s">
        <v>913</v>
      </c>
      <c r="D18" s="41">
        <v>165</v>
      </c>
      <c r="E18" s="41">
        <v>165</v>
      </c>
      <c r="F18" s="41">
        <v>170</v>
      </c>
      <c r="G18" s="41">
        <v>172.5</v>
      </c>
      <c r="H18" s="41">
        <v>172.5</v>
      </c>
      <c r="I18" s="41">
        <v>175</v>
      </c>
      <c r="J18" s="41">
        <v>175</v>
      </c>
      <c r="K18" s="41">
        <v>175</v>
      </c>
    </row>
    <row r="19" spans="1:11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650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B20" s="28" t="s">
        <v>140</v>
      </c>
      <c r="C20" s="28" t="s">
        <v>140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B21" s="28" t="s">
        <v>141</v>
      </c>
      <c r="C21" s="28" t="s">
        <v>141</v>
      </c>
      <c r="G21" s="28">
        <v>50</v>
      </c>
      <c r="H21" s="28">
        <v>50</v>
      </c>
      <c r="I21" s="28">
        <v>50</v>
      </c>
      <c r="J21" s="28">
        <v>50</v>
      </c>
      <c r="K21" s="28">
        <v>50</v>
      </c>
    </row>
    <row r="22" spans="1:11">
      <c r="B22" s="28" t="s">
        <v>67</v>
      </c>
      <c r="C22" s="28" t="s">
        <v>935</v>
      </c>
      <c r="D22" s="43">
        <f t="shared" ref="D22:K22" si="2">SQRT(D7^2+D12^2)</f>
        <v>424.26406871192853</v>
      </c>
      <c r="E22" s="43">
        <f t="shared" si="2"/>
        <v>424.26406871192853</v>
      </c>
      <c r="F22" s="43">
        <f t="shared" si="2"/>
        <v>424.26406871192853</v>
      </c>
      <c r="G22" s="43">
        <f t="shared" si="2"/>
        <v>441.41816908686485</v>
      </c>
      <c r="H22" s="43">
        <f t="shared" si="2"/>
        <v>441.41816908686485</v>
      </c>
      <c r="I22" s="43">
        <f t="shared" si="2"/>
        <v>441.41816908686485</v>
      </c>
      <c r="J22" s="43">
        <f t="shared" si="2"/>
        <v>441.41816908686485</v>
      </c>
      <c r="K22" s="43">
        <f t="shared" si="2"/>
        <v>441.41816908686485</v>
      </c>
    </row>
    <row r="23" spans="1:11">
      <c r="B23" s="28" t="s">
        <v>55</v>
      </c>
      <c r="C23" s="28" t="s">
        <v>934</v>
      </c>
      <c r="D23" s="43">
        <f>D9</f>
        <v>512</v>
      </c>
      <c r="E23" s="43">
        <f t="shared" ref="E23:K23" si="3">E9</f>
        <v>522</v>
      </c>
      <c r="F23" s="43">
        <f t="shared" si="3"/>
        <v>537</v>
      </c>
      <c r="G23" s="43">
        <f t="shared" si="3"/>
        <v>556</v>
      </c>
      <c r="H23" s="43">
        <f t="shared" si="3"/>
        <v>579</v>
      </c>
      <c r="I23" s="43">
        <f t="shared" si="3"/>
        <v>605</v>
      </c>
      <c r="J23" s="43">
        <f t="shared" si="3"/>
        <v>626</v>
      </c>
      <c r="K23" s="43">
        <f t="shared" si="3"/>
        <v>644</v>
      </c>
    </row>
    <row r="24" spans="1:11">
      <c r="B24" s="28" t="s">
        <v>56</v>
      </c>
      <c r="C24" s="28" t="s">
        <v>937</v>
      </c>
      <c r="D24" s="43">
        <f>D10</f>
        <v>372</v>
      </c>
      <c r="E24" s="43">
        <f t="shared" ref="E24:K24" si="4">E10</f>
        <v>377</v>
      </c>
      <c r="F24" s="43">
        <f t="shared" si="4"/>
        <v>382</v>
      </c>
      <c r="G24" s="43">
        <f t="shared" si="4"/>
        <v>397</v>
      </c>
      <c r="H24" s="43">
        <f t="shared" si="4"/>
        <v>402</v>
      </c>
      <c r="I24" s="43">
        <f t="shared" si="4"/>
        <v>409</v>
      </c>
      <c r="J24" s="43">
        <f t="shared" si="4"/>
        <v>427</v>
      </c>
      <c r="K24" s="43">
        <f t="shared" si="4"/>
        <v>436</v>
      </c>
    </row>
    <row r="25" spans="1:11">
      <c r="B25" s="28" t="s">
        <v>938</v>
      </c>
      <c r="C25" s="28" t="s">
        <v>939</v>
      </c>
      <c r="D25" s="43">
        <f>(D23-D12)/TAN(D5*PI()/180)</f>
        <v>173.50654383600801</v>
      </c>
      <c r="E25" s="43">
        <f t="shared" ref="E25:K25" si="5">(E23-E12)/TAN(E5*PI()/180)</f>
        <v>170.44079842474014</v>
      </c>
      <c r="F25" s="43">
        <f t="shared" si="5"/>
        <v>168.91455909714307</v>
      </c>
      <c r="G25" s="43">
        <f t="shared" si="5"/>
        <v>172.69664624350423</v>
      </c>
      <c r="H25" s="43">
        <f t="shared" si="5"/>
        <v>168.63604102904486</v>
      </c>
      <c r="I25" s="43">
        <f t="shared" si="5"/>
        <v>172.20743900344038</v>
      </c>
      <c r="J25" s="43">
        <f t="shared" si="5"/>
        <v>173.72963267232001</v>
      </c>
      <c r="K25" s="43">
        <f t="shared" si="5"/>
        <v>179.40501087214173</v>
      </c>
    </row>
    <row r="26" spans="1:11">
      <c r="B26" s="28" t="s">
        <v>921</v>
      </c>
      <c r="C26" s="28" t="s">
        <v>940</v>
      </c>
      <c r="D26" s="43">
        <f>D8-D52-D24-D25</f>
        <v>45.801262347461432</v>
      </c>
      <c r="E26" s="43">
        <f t="shared" ref="E26:K26" si="6">E8-E52-E24-E25</f>
        <v>45.867007758729301</v>
      </c>
      <c r="F26" s="43">
        <f t="shared" si="6"/>
        <v>45.393247086326369</v>
      </c>
      <c r="G26" s="43">
        <f t="shared" si="6"/>
        <v>45.817648043924805</v>
      </c>
      <c r="H26" s="43">
        <f t="shared" si="6"/>
        <v>45.878253258384177</v>
      </c>
      <c r="I26" s="43">
        <f t="shared" si="6"/>
        <v>45.306855283988654</v>
      </c>
      <c r="J26" s="43">
        <f t="shared" si="6"/>
        <v>44.78466161510903</v>
      </c>
      <c r="K26" s="43">
        <f t="shared" si="6"/>
        <v>45.109283415287308</v>
      </c>
    </row>
    <row r="27" spans="1:11">
      <c r="B27" s="28" t="s">
        <v>68</v>
      </c>
      <c r="C27" s="28" t="s">
        <v>941</v>
      </c>
      <c r="D27" s="43">
        <f>ROUND(D26*SIN(D5*PI()/180),0)</f>
        <v>43</v>
      </c>
      <c r="E27" s="43">
        <f t="shared" ref="E27:K27" si="7">ROUND(E26*SIN(E5*PI()/180),0)</f>
        <v>43</v>
      </c>
      <c r="F27" s="43">
        <f t="shared" si="7"/>
        <v>43</v>
      </c>
      <c r="G27" s="43">
        <f t="shared" si="7"/>
        <v>43</v>
      </c>
      <c r="H27" s="43">
        <f t="shared" si="7"/>
        <v>44</v>
      </c>
      <c r="I27" s="43">
        <f t="shared" si="7"/>
        <v>43</v>
      </c>
      <c r="J27" s="43">
        <f t="shared" si="7"/>
        <v>43</v>
      </c>
      <c r="K27" s="43">
        <f t="shared" si="7"/>
        <v>43</v>
      </c>
    </row>
    <row r="28" spans="1:11">
      <c r="B28" s="28" t="s">
        <v>136</v>
      </c>
      <c r="C28" s="28" t="s">
        <v>986</v>
      </c>
      <c r="D28" s="48">
        <f t="shared" ref="D28:E28" si="8">((584+2*D20)/2*COS(D5*PI()/180)-D27)/SIN(D5*PI()/180)</f>
        <v>83.302945080542926</v>
      </c>
      <c r="E28" s="48">
        <f t="shared" si="8"/>
        <v>78.492995421564629</v>
      </c>
      <c r="F28" s="48">
        <f>((584+2*F20)/2*COS(F5*PI()/180)-F27)/SIN(F5*PI()/180)</f>
        <v>73.721464860690446</v>
      </c>
      <c r="G28" s="48">
        <f t="shared" ref="G28:K28" si="9">((622+2*G20)/2*COS(G5*PI()/180)-G27)/SIN(G5*PI()/180)</f>
        <v>82.129538318216547</v>
      </c>
      <c r="H28" s="48">
        <f t="shared" si="9"/>
        <v>72.71827218653354</v>
      </c>
      <c r="I28" s="48">
        <f t="shared" si="9"/>
        <v>70.458536216669174</v>
      </c>
      <c r="J28" s="48">
        <f t="shared" si="9"/>
        <v>67.159616459863329</v>
      </c>
      <c r="K28" s="48">
        <f t="shared" si="9"/>
        <v>67.159616459863329</v>
      </c>
    </row>
    <row r="29" spans="1:11">
      <c r="D29" s="43"/>
      <c r="E29" s="43"/>
      <c r="F29" s="43"/>
      <c r="G29" s="43"/>
      <c r="H29" s="43"/>
      <c r="I29" s="43"/>
      <c r="J29" s="43"/>
    </row>
    <row r="31" spans="1:11">
      <c r="C31" s="41"/>
      <c r="D31" s="41" t="s">
        <v>914</v>
      </c>
      <c r="E31" s="41" t="s">
        <v>431</v>
      </c>
      <c r="F31" s="41" t="s">
        <v>17</v>
      </c>
      <c r="G31" s="41" t="s">
        <v>18</v>
      </c>
      <c r="H31" s="41" t="s">
        <v>19</v>
      </c>
      <c r="I31" s="41" t="s">
        <v>20</v>
      </c>
      <c r="J31" s="41" t="s">
        <v>21</v>
      </c>
      <c r="K31" s="41" t="s">
        <v>432</v>
      </c>
    </row>
    <row r="32" spans="1:11">
      <c r="C32" s="41" t="s">
        <v>433</v>
      </c>
      <c r="D32" s="41" t="s">
        <v>915</v>
      </c>
      <c r="E32" s="41" t="s">
        <v>916</v>
      </c>
      <c r="F32" s="41" t="s">
        <v>435</v>
      </c>
      <c r="G32" s="41" t="s">
        <v>436</v>
      </c>
      <c r="H32" s="41" t="s">
        <v>437</v>
      </c>
      <c r="I32" s="41" t="s">
        <v>907</v>
      </c>
      <c r="J32" s="41" t="s">
        <v>908</v>
      </c>
      <c r="K32" s="41" t="s">
        <v>917</v>
      </c>
    </row>
    <row r="33" spans="3:11">
      <c r="C33" s="41" t="s">
        <v>441</v>
      </c>
      <c r="D33" s="41" t="s">
        <v>918</v>
      </c>
      <c r="E33" s="41" t="s">
        <v>442</v>
      </c>
      <c r="F33" s="41" t="s">
        <v>443</v>
      </c>
      <c r="G33" s="41" t="s">
        <v>444</v>
      </c>
      <c r="H33" s="41" t="s">
        <v>445</v>
      </c>
      <c r="I33" s="41" t="s">
        <v>446</v>
      </c>
      <c r="J33" s="41" t="s">
        <v>447</v>
      </c>
      <c r="K33" s="41" t="s">
        <v>448</v>
      </c>
    </row>
    <row r="34" spans="3:11">
      <c r="C34" s="41" t="s">
        <v>449</v>
      </c>
      <c r="D34" s="41">
        <v>402</v>
      </c>
      <c r="E34" s="41">
        <v>432</v>
      </c>
      <c r="F34" s="41">
        <v>462</v>
      </c>
      <c r="G34" s="41">
        <v>492</v>
      </c>
      <c r="H34" s="41">
        <v>522</v>
      </c>
      <c r="I34" s="41">
        <v>552</v>
      </c>
      <c r="J34" s="41">
        <v>582</v>
      </c>
      <c r="K34" s="41">
        <v>612</v>
      </c>
    </row>
    <row r="35" spans="3:11">
      <c r="C35" s="41" t="s">
        <v>450</v>
      </c>
      <c r="D35" s="41">
        <v>524</v>
      </c>
      <c r="E35" s="41">
        <v>532</v>
      </c>
      <c r="F35" s="41">
        <v>541</v>
      </c>
      <c r="G35" s="41">
        <v>562</v>
      </c>
      <c r="H35" s="41">
        <v>574</v>
      </c>
      <c r="I35" s="41">
        <v>588</v>
      </c>
      <c r="J35" s="41">
        <v>612</v>
      </c>
      <c r="K35" s="41">
        <v>627</v>
      </c>
    </row>
    <row r="36" spans="3:11">
      <c r="C36" s="41" t="s">
        <v>451</v>
      </c>
      <c r="D36" s="41">
        <v>115</v>
      </c>
      <c r="E36" s="41">
        <v>122</v>
      </c>
      <c r="F36" s="41">
        <v>135</v>
      </c>
      <c r="G36" s="41">
        <v>121</v>
      </c>
      <c r="H36" s="41">
        <v>141</v>
      </c>
      <c r="I36" s="41">
        <v>166</v>
      </c>
      <c r="J36" s="41">
        <v>186</v>
      </c>
      <c r="K36" s="41">
        <v>205</v>
      </c>
    </row>
    <row r="37" spans="3:11">
      <c r="C37" s="41" t="s">
        <v>452</v>
      </c>
      <c r="D37" s="41">
        <v>69</v>
      </c>
      <c r="E37" s="41">
        <v>69.75</v>
      </c>
      <c r="F37" s="41">
        <v>70.5</v>
      </c>
      <c r="G37" s="41">
        <v>70.25</v>
      </c>
      <c r="H37" s="41">
        <v>71.5</v>
      </c>
      <c r="I37" s="41">
        <v>72</v>
      </c>
      <c r="J37" s="41">
        <v>72.5</v>
      </c>
      <c r="K37" s="41">
        <v>72.5</v>
      </c>
    </row>
    <row r="38" spans="3:11">
      <c r="C38" s="41" t="s">
        <v>457</v>
      </c>
      <c r="D38" s="41">
        <v>73.5</v>
      </c>
      <c r="E38" s="41">
        <v>73.5</v>
      </c>
      <c r="F38" s="41">
        <v>73.5</v>
      </c>
      <c r="G38" s="41">
        <v>73.5</v>
      </c>
      <c r="H38" s="41">
        <v>73.5</v>
      </c>
      <c r="I38" s="41">
        <v>73.5</v>
      </c>
      <c r="J38" s="41">
        <v>73.5</v>
      </c>
      <c r="K38" s="41">
        <v>73.5</v>
      </c>
    </row>
    <row r="39" spans="3:11">
      <c r="C39" s="41" t="s">
        <v>459</v>
      </c>
      <c r="D39" s="41">
        <v>420</v>
      </c>
      <c r="E39" s="41">
        <v>420</v>
      </c>
      <c r="F39" s="41">
        <v>420</v>
      </c>
      <c r="G39" s="41">
        <v>435</v>
      </c>
      <c r="H39" s="41">
        <v>435</v>
      </c>
      <c r="I39" s="41">
        <v>435</v>
      </c>
      <c r="J39" s="41">
        <v>435</v>
      </c>
      <c r="K39" s="41">
        <v>435</v>
      </c>
    </row>
    <row r="40" spans="3:11">
      <c r="C40" s="41" t="s">
        <v>460</v>
      </c>
      <c r="D40" s="41">
        <v>1007</v>
      </c>
      <c r="E40" s="41">
        <v>1009</v>
      </c>
      <c r="F40" s="41">
        <v>1012</v>
      </c>
      <c r="G40" s="41">
        <v>1044</v>
      </c>
      <c r="H40" s="41">
        <v>1045</v>
      </c>
      <c r="I40" s="41">
        <v>1055</v>
      </c>
      <c r="J40" s="41">
        <v>1074</v>
      </c>
      <c r="K40" s="41">
        <v>1089</v>
      </c>
    </row>
    <row r="41" spans="3:11">
      <c r="C41" s="41" t="s">
        <v>461</v>
      </c>
      <c r="D41" s="41">
        <v>512</v>
      </c>
      <c r="E41" s="41">
        <v>522</v>
      </c>
      <c r="F41" s="41">
        <v>537</v>
      </c>
      <c r="G41" s="41">
        <v>556</v>
      </c>
      <c r="H41" s="41">
        <v>579</v>
      </c>
      <c r="I41" s="41">
        <v>605</v>
      </c>
      <c r="J41" s="41">
        <v>626</v>
      </c>
      <c r="K41" s="41">
        <v>644</v>
      </c>
    </row>
    <row r="42" spans="3:11">
      <c r="C42" s="41" t="s">
        <v>462</v>
      </c>
      <c r="D42" s="41">
        <v>372</v>
      </c>
      <c r="E42" s="41">
        <v>377</v>
      </c>
      <c r="F42" s="41">
        <v>382</v>
      </c>
      <c r="G42" s="41">
        <v>397</v>
      </c>
      <c r="H42" s="41">
        <v>402</v>
      </c>
      <c r="I42" s="41">
        <v>409</v>
      </c>
      <c r="J42" s="41">
        <v>427</v>
      </c>
      <c r="K42" s="41">
        <v>436</v>
      </c>
    </row>
    <row r="43" spans="3:11">
      <c r="C43" s="41" t="s">
        <v>463</v>
      </c>
      <c r="D43" s="41">
        <v>709</v>
      </c>
      <c r="E43" s="41">
        <v>730</v>
      </c>
      <c r="F43" s="41">
        <v>752</v>
      </c>
      <c r="G43" s="41">
        <v>780</v>
      </c>
      <c r="H43" s="41">
        <v>807</v>
      </c>
      <c r="I43" s="41">
        <v>835</v>
      </c>
      <c r="J43" s="41">
        <v>860</v>
      </c>
      <c r="K43" s="41">
        <v>884</v>
      </c>
    </row>
    <row r="44" spans="3:11">
      <c r="C44" s="41" t="s">
        <v>464</v>
      </c>
      <c r="D44" s="41">
        <v>60</v>
      </c>
      <c r="E44" s="41">
        <v>60</v>
      </c>
      <c r="F44" s="41">
        <v>60</v>
      </c>
      <c r="G44" s="41">
        <v>75</v>
      </c>
      <c r="H44" s="41">
        <v>75</v>
      </c>
      <c r="I44" s="41">
        <v>75</v>
      </c>
      <c r="J44" s="41">
        <v>75</v>
      </c>
      <c r="K44" s="41">
        <v>75</v>
      </c>
    </row>
    <row r="45" spans="3:11">
      <c r="C45" s="41" t="s">
        <v>465</v>
      </c>
      <c r="D45" s="41">
        <v>602</v>
      </c>
      <c r="E45" s="41">
        <v>612</v>
      </c>
      <c r="F45" s="41">
        <v>626</v>
      </c>
      <c r="G45" s="41">
        <v>645</v>
      </c>
      <c r="H45" s="41">
        <v>670</v>
      </c>
      <c r="I45" s="41">
        <v>697</v>
      </c>
      <c r="J45" s="41">
        <v>717</v>
      </c>
      <c r="K45" s="41">
        <v>738</v>
      </c>
    </row>
    <row r="46" spans="3:11">
      <c r="C46" s="41" t="s">
        <v>466</v>
      </c>
      <c r="D46" s="41">
        <v>417</v>
      </c>
      <c r="E46" s="41">
        <v>423</v>
      </c>
      <c r="F46" s="41">
        <v>429</v>
      </c>
      <c r="G46" s="41">
        <v>444</v>
      </c>
      <c r="H46" s="41">
        <v>460</v>
      </c>
      <c r="I46" s="41">
        <v>477</v>
      </c>
      <c r="J46" s="41">
        <v>496</v>
      </c>
      <c r="K46" s="41">
        <v>515</v>
      </c>
    </row>
    <row r="51" spans="3:11">
      <c r="C51" s="28" t="s">
        <v>2420</v>
      </c>
      <c r="D51" s="28">
        <f>D7</f>
        <v>420</v>
      </c>
      <c r="E51" s="28">
        <f t="shared" ref="E51:K51" si="10">E7</f>
        <v>420</v>
      </c>
      <c r="F51" s="28">
        <f t="shared" si="10"/>
        <v>420</v>
      </c>
      <c r="G51" s="28">
        <f t="shared" si="10"/>
        <v>435</v>
      </c>
      <c r="H51" s="28">
        <f t="shared" si="10"/>
        <v>435</v>
      </c>
      <c r="I51" s="28">
        <f t="shared" si="10"/>
        <v>435</v>
      </c>
      <c r="J51" s="28">
        <f t="shared" si="10"/>
        <v>435</v>
      </c>
      <c r="K51" s="28">
        <f t="shared" si="10"/>
        <v>435</v>
      </c>
    </row>
    <row r="52" spans="3:11">
      <c r="C52" s="28" t="s">
        <v>2419</v>
      </c>
      <c r="D52" s="28">
        <f>SQRT(D51^2 - D12^2)</f>
        <v>415.69219381653056</v>
      </c>
      <c r="E52" s="28">
        <f t="shared" ref="E52:K52" si="11">SQRT(E51^2 - E12^2)</f>
        <v>415.69219381653056</v>
      </c>
      <c r="F52" s="28">
        <f t="shared" si="11"/>
        <v>415.69219381653056</v>
      </c>
      <c r="G52" s="28">
        <f t="shared" si="11"/>
        <v>428.48570571257102</v>
      </c>
      <c r="H52" s="28">
        <f t="shared" si="11"/>
        <v>428.48570571257102</v>
      </c>
      <c r="I52" s="28">
        <f t="shared" si="11"/>
        <v>428.48570571257102</v>
      </c>
      <c r="J52" s="28">
        <f t="shared" si="11"/>
        <v>428.48570571257102</v>
      </c>
      <c r="K52" s="28">
        <f t="shared" si="11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H28" sqref="H28"/>
    </sheetView>
  </sheetViews>
  <sheetFormatPr baseColWidth="10" defaultRowHeight="20"/>
  <cols>
    <col min="1" max="2" width="29.33203125" style="28" bestFit="1" customWidth="1"/>
    <col min="3" max="3" width="24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>
        <v>48</v>
      </c>
      <c r="E1" s="28">
        <v>51</v>
      </c>
      <c r="F1" s="28">
        <v>54</v>
      </c>
      <c r="G1" s="28">
        <v>56</v>
      </c>
      <c r="H1" s="28">
        <v>58</v>
      </c>
      <c r="I1" s="28">
        <v>61</v>
      </c>
    </row>
    <row r="2" spans="1:9">
      <c r="A2" s="28" t="s">
        <v>55</v>
      </c>
      <c r="B2" s="28" t="s">
        <v>56</v>
      </c>
      <c r="C2" s="28" t="s">
        <v>1732</v>
      </c>
      <c r="D2" s="28">
        <v>370</v>
      </c>
      <c r="E2" s="28">
        <v>379</v>
      </c>
      <c r="F2" s="28">
        <v>388</v>
      </c>
      <c r="G2" s="28">
        <v>397</v>
      </c>
      <c r="H2" s="28">
        <v>406</v>
      </c>
      <c r="I2" s="28">
        <v>415</v>
      </c>
    </row>
    <row r="3" spans="1:9">
      <c r="A3" s="28" t="s">
        <v>56</v>
      </c>
      <c r="B3" s="28" t="s">
        <v>55</v>
      </c>
      <c r="C3" s="28" t="s">
        <v>1733</v>
      </c>
      <c r="D3" s="28">
        <v>505</v>
      </c>
      <c r="E3" s="28">
        <v>530</v>
      </c>
      <c r="F3" s="28">
        <v>555</v>
      </c>
      <c r="G3" s="28">
        <v>580</v>
      </c>
      <c r="H3" s="28">
        <v>605</v>
      </c>
      <c r="I3" s="28">
        <v>630</v>
      </c>
    </row>
    <row r="4" spans="1:9">
      <c r="A4" s="28" t="s">
        <v>61</v>
      </c>
      <c r="B4" s="28" t="s">
        <v>63</v>
      </c>
      <c r="C4" s="28" t="s">
        <v>4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</row>
    <row r="5" spans="1:9">
      <c r="A5" s="28" t="s">
        <v>74</v>
      </c>
      <c r="B5" s="28" t="s">
        <v>135</v>
      </c>
      <c r="C5" s="28" t="s">
        <v>1734</v>
      </c>
      <c r="D5" s="28">
        <v>583</v>
      </c>
      <c r="E5" s="28">
        <v>592</v>
      </c>
      <c r="F5" s="28">
        <v>602</v>
      </c>
      <c r="G5" s="28">
        <v>619</v>
      </c>
      <c r="H5" s="28">
        <v>637</v>
      </c>
      <c r="I5" s="28">
        <v>654</v>
      </c>
    </row>
    <row r="6" spans="1:9">
      <c r="A6" s="28" t="s">
        <v>63</v>
      </c>
      <c r="B6" s="28" t="s">
        <v>66</v>
      </c>
      <c r="C6" s="28" t="s">
        <v>1735</v>
      </c>
      <c r="D6" s="28">
        <v>78.5</v>
      </c>
      <c r="E6" s="28">
        <v>78.5</v>
      </c>
      <c r="F6" s="28">
        <v>76</v>
      </c>
      <c r="G6" s="28">
        <v>76</v>
      </c>
      <c r="H6" s="28">
        <v>73.5</v>
      </c>
      <c r="I6" s="28">
        <v>73.5</v>
      </c>
    </row>
    <row r="7" spans="1:9">
      <c r="A7" s="28" t="s">
        <v>64</v>
      </c>
      <c r="B7" s="28" t="s">
        <v>65</v>
      </c>
      <c r="C7" s="28" t="s">
        <v>1736</v>
      </c>
      <c r="D7" s="28">
        <v>83</v>
      </c>
      <c r="E7" s="28">
        <v>107</v>
      </c>
      <c r="F7" s="28">
        <v>133</v>
      </c>
      <c r="G7" s="28">
        <v>159</v>
      </c>
      <c r="H7" s="28">
        <v>188</v>
      </c>
      <c r="I7" s="28">
        <v>214</v>
      </c>
    </row>
    <row r="8" spans="1:9">
      <c r="A8" s="28" t="s">
        <v>65</v>
      </c>
      <c r="B8" s="28" t="s">
        <v>74</v>
      </c>
      <c r="C8" s="28" t="s">
        <v>1737</v>
      </c>
      <c r="D8" s="28">
        <v>512</v>
      </c>
      <c r="E8" s="28">
        <v>532</v>
      </c>
      <c r="F8" s="28">
        <v>553</v>
      </c>
      <c r="G8" s="28">
        <v>575</v>
      </c>
      <c r="H8" s="28">
        <v>591</v>
      </c>
      <c r="I8" s="28">
        <v>608</v>
      </c>
    </row>
    <row r="9" spans="1:9">
      <c r="A9" s="28" t="s">
        <v>66</v>
      </c>
      <c r="B9" s="28" t="s">
        <v>64</v>
      </c>
      <c r="C9" s="28" t="s">
        <v>5</v>
      </c>
      <c r="D9" s="28">
        <v>74.5</v>
      </c>
      <c r="E9" s="28">
        <v>74</v>
      </c>
      <c r="F9" s="28">
        <v>73.5</v>
      </c>
      <c r="G9" s="28">
        <v>73</v>
      </c>
      <c r="H9" s="28">
        <v>73</v>
      </c>
      <c r="I9" s="28">
        <v>73</v>
      </c>
    </row>
    <row r="10" spans="1:9">
      <c r="A10" s="28" t="s">
        <v>67</v>
      </c>
      <c r="B10" s="28" t="s">
        <v>58</v>
      </c>
      <c r="C10" s="28" t="s">
        <v>1738</v>
      </c>
      <c r="D10" s="28">
        <v>690</v>
      </c>
      <c r="E10" s="28">
        <v>732</v>
      </c>
      <c r="F10" s="28">
        <v>764</v>
      </c>
      <c r="G10" s="28">
        <v>788</v>
      </c>
      <c r="H10" s="28">
        <v>814</v>
      </c>
      <c r="I10" s="28">
        <v>838</v>
      </c>
    </row>
    <row r="11" spans="1:9">
      <c r="A11" s="28" t="s">
        <v>57</v>
      </c>
      <c r="B11" s="28" t="s">
        <v>136</v>
      </c>
      <c r="C11" s="28" t="s">
        <v>1739</v>
      </c>
      <c r="D11" s="28">
        <v>58.6</v>
      </c>
      <c r="E11" s="28">
        <v>58.6</v>
      </c>
      <c r="F11" s="28">
        <v>58.6</v>
      </c>
      <c r="G11" s="28">
        <v>58.6</v>
      </c>
      <c r="H11" s="28">
        <v>58.6</v>
      </c>
      <c r="I11" s="28">
        <v>58.6</v>
      </c>
    </row>
    <row r="12" spans="1:9">
      <c r="A12" s="28" t="s">
        <v>68</v>
      </c>
      <c r="B12" s="28" t="s">
        <v>69</v>
      </c>
      <c r="C12" s="28" t="s">
        <v>12</v>
      </c>
      <c r="D12" s="28">
        <v>700</v>
      </c>
      <c r="E12" s="28">
        <v>700</v>
      </c>
      <c r="F12" s="28">
        <v>700</v>
      </c>
      <c r="G12" s="28">
        <v>700</v>
      </c>
      <c r="H12" s="28">
        <v>700</v>
      </c>
      <c r="I12" s="28">
        <v>700</v>
      </c>
    </row>
    <row r="13" spans="1:9">
      <c r="A13" s="28" t="s">
        <v>58</v>
      </c>
      <c r="B13" s="28" t="s">
        <v>68</v>
      </c>
      <c r="C13" s="28" t="s">
        <v>1740</v>
      </c>
      <c r="D13" s="28">
        <f>VALUE(LEFT(D23,2))</f>
        <v>52</v>
      </c>
      <c r="E13" s="28">
        <f t="shared" ref="E13:I13" si="0">VALUE(LEFT(E23,2))</f>
        <v>49</v>
      </c>
      <c r="F13" s="28">
        <f t="shared" si="0"/>
        <v>46</v>
      </c>
      <c r="G13" s="28">
        <f t="shared" si="0"/>
        <v>46</v>
      </c>
      <c r="H13" s="28">
        <f t="shared" si="0"/>
        <v>46</v>
      </c>
      <c r="I13" s="28">
        <f t="shared" si="0"/>
        <v>46</v>
      </c>
    </row>
    <row r="14" spans="1:9">
      <c r="A14" s="28" t="s">
        <v>70</v>
      </c>
      <c r="B14" s="28" t="s">
        <v>57</v>
      </c>
      <c r="C14" s="28" t="s">
        <v>1744</v>
      </c>
      <c r="D14" s="28">
        <v>990</v>
      </c>
      <c r="E14" s="28">
        <v>1000</v>
      </c>
      <c r="F14" s="28">
        <v>1010</v>
      </c>
      <c r="G14" s="28">
        <v>1027</v>
      </c>
      <c r="H14" s="28">
        <v>1046</v>
      </c>
      <c r="I14" s="28">
        <v>1063</v>
      </c>
    </row>
    <row r="15" spans="1:9">
      <c r="A15" s="28" t="s">
        <v>71</v>
      </c>
      <c r="B15" s="28" t="s">
        <v>67</v>
      </c>
      <c r="C15" s="28" t="s">
        <v>1745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  <c r="I15" s="28">
        <v>420</v>
      </c>
    </row>
    <row r="16" spans="1:9">
      <c r="A16" s="28" t="s">
        <v>72</v>
      </c>
      <c r="B16" s="28" t="s">
        <v>61</v>
      </c>
    </row>
    <row r="17" spans="1:9">
      <c r="A17" s="28" t="s">
        <v>69</v>
      </c>
      <c r="B17" s="28" t="s">
        <v>70</v>
      </c>
    </row>
    <row r="18" spans="1:9">
      <c r="A18" s="28" t="s">
        <v>140</v>
      </c>
      <c r="B18" s="28" t="s">
        <v>71</v>
      </c>
    </row>
    <row r="19" spans="1:9">
      <c r="A19" s="28" t="s">
        <v>141</v>
      </c>
      <c r="B19" s="28" t="s">
        <v>72</v>
      </c>
    </row>
    <row r="20" spans="1:9">
      <c r="B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9">
      <c r="B21" s="28" t="s">
        <v>140</v>
      </c>
      <c r="D21" s="28">
        <v>38</v>
      </c>
      <c r="E21" s="28">
        <v>38</v>
      </c>
      <c r="F21" s="28">
        <v>38</v>
      </c>
      <c r="G21" s="28">
        <v>38</v>
      </c>
      <c r="H21" s="28">
        <v>38</v>
      </c>
      <c r="I21" s="28">
        <v>38</v>
      </c>
    </row>
    <row r="22" spans="1:9">
      <c r="B22" s="28" t="s">
        <v>141</v>
      </c>
      <c r="D22" s="28">
        <v>42</v>
      </c>
      <c r="E22" s="28">
        <v>42</v>
      </c>
      <c r="F22" s="28">
        <v>42</v>
      </c>
      <c r="G22" s="28">
        <v>42</v>
      </c>
      <c r="H22" s="28">
        <v>42</v>
      </c>
      <c r="I22" s="28">
        <v>42</v>
      </c>
    </row>
    <row r="23" spans="1:9">
      <c r="C23" s="28" t="s">
        <v>1740</v>
      </c>
      <c r="D23" s="28" t="s">
        <v>1741</v>
      </c>
      <c r="E23" s="28" t="s">
        <v>1742</v>
      </c>
      <c r="F23" s="28" t="s">
        <v>1743</v>
      </c>
      <c r="G23" s="28" t="s">
        <v>1743</v>
      </c>
      <c r="H23" s="28" t="s">
        <v>1743</v>
      </c>
      <c r="I23" s="28" t="s">
        <v>1743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H22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0.8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8">
      <c r="A2" s="28" t="s">
        <v>55</v>
      </c>
      <c r="B2" s="28" t="s">
        <v>74</v>
      </c>
      <c r="C2" s="28" t="s">
        <v>580</v>
      </c>
      <c r="D2" s="28">
        <v>545</v>
      </c>
      <c r="E2" s="28">
        <v>565</v>
      </c>
      <c r="F2" s="28">
        <v>580</v>
      </c>
      <c r="G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445</v>
      </c>
      <c r="E3" s="28">
        <v>500</v>
      </c>
      <c r="F3" s="28">
        <v>545</v>
      </c>
      <c r="G3" s="28">
        <v>565</v>
      </c>
    </row>
    <row r="4" spans="1:8">
      <c r="A4" s="28" t="s">
        <v>61</v>
      </c>
      <c r="B4" s="28" t="s">
        <v>67</v>
      </c>
      <c r="C4" s="28" t="s">
        <v>1564</v>
      </c>
      <c r="D4" s="28">
        <v>445</v>
      </c>
      <c r="E4" s="28">
        <v>445</v>
      </c>
      <c r="F4" s="28">
        <v>450</v>
      </c>
      <c r="G4" s="28">
        <v>450</v>
      </c>
      <c r="H4" s="28" t="s">
        <v>1572</v>
      </c>
    </row>
    <row r="5" spans="1:8">
      <c r="A5" s="28" t="s">
        <v>74</v>
      </c>
      <c r="B5" s="28" t="s">
        <v>56</v>
      </c>
      <c r="C5" s="28" t="s">
        <v>1</v>
      </c>
      <c r="D5" s="28">
        <v>365</v>
      </c>
      <c r="E5" s="28">
        <v>383</v>
      </c>
      <c r="F5" s="28">
        <v>385</v>
      </c>
      <c r="G5" s="28">
        <v>396</v>
      </c>
    </row>
    <row r="6" spans="1:8">
      <c r="A6" s="28" t="s">
        <v>63</v>
      </c>
      <c r="B6" s="28" t="s">
        <v>55</v>
      </c>
      <c r="C6" s="28" t="s">
        <v>0</v>
      </c>
      <c r="D6" s="28">
        <v>625</v>
      </c>
      <c r="E6" s="28">
        <v>637</v>
      </c>
      <c r="F6" s="28">
        <v>670</v>
      </c>
      <c r="G6" s="28">
        <v>689</v>
      </c>
    </row>
    <row r="7" spans="1:8">
      <c r="A7" s="28" t="s">
        <v>64</v>
      </c>
      <c r="B7" s="28" t="s">
        <v>57</v>
      </c>
      <c r="C7" s="28" t="s">
        <v>1565</v>
      </c>
      <c r="D7" s="28">
        <v>1066</v>
      </c>
      <c r="E7" s="28">
        <v>1081</v>
      </c>
      <c r="F7" s="28">
        <v>1085</v>
      </c>
      <c r="G7" s="28">
        <v>1106</v>
      </c>
    </row>
    <row r="8" spans="1:8">
      <c r="A8" s="28" t="s">
        <v>65</v>
      </c>
      <c r="B8" s="28" t="s">
        <v>66</v>
      </c>
      <c r="C8" s="2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8">
      <c r="A9" s="28" t="s">
        <v>66</v>
      </c>
      <c r="B9" s="28" t="s">
        <v>65</v>
      </c>
      <c r="C9" s="28" t="s">
        <v>6</v>
      </c>
      <c r="D9" s="28">
        <v>130</v>
      </c>
      <c r="E9" s="28">
        <v>140</v>
      </c>
      <c r="F9" s="28">
        <v>170</v>
      </c>
      <c r="G9" s="28">
        <v>190</v>
      </c>
    </row>
    <row r="10" spans="1:8">
      <c r="A10" s="28" t="s">
        <v>67</v>
      </c>
      <c r="B10" s="28" t="s">
        <v>64</v>
      </c>
      <c r="C10" s="28" t="s">
        <v>5</v>
      </c>
      <c r="D10" s="28">
        <v>74</v>
      </c>
      <c r="E10" s="28">
        <v>74</v>
      </c>
      <c r="F10" s="28">
        <v>73.5</v>
      </c>
      <c r="G10" s="28">
        <v>73.5</v>
      </c>
    </row>
    <row r="11" spans="1:8">
      <c r="A11" s="28" t="s">
        <v>57</v>
      </c>
      <c r="B11" s="28" t="s">
        <v>63</v>
      </c>
      <c r="C11" s="28" t="s">
        <v>4</v>
      </c>
      <c r="D11" s="28">
        <v>69.5</v>
      </c>
      <c r="E11" s="28">
        <v>70</v>
      </c>
      <c r="F11" s="28">
        <v>71</v>
      </c>
      <c r="G11" s="28">
        <v>71</v>
      </c>
    </row>
    <row r="12" spans="1:8">
      <c r="A12" s="28" t="s">
        <v>68</v>
      </c>
      <c r="B12" s="28" t="s">
        <v>498</v>
      </c>
      <c r="C12" s="28" t="s">
        <v>181</v>
      </c>
      <c r="D12" s="28">
        <v>485</v>
      </c>
      <c r="E12" s="28">
        <v>485</v>
      </c>
      <c r="F12" s="28">
        <v>485</v>
      </c>
      <c r="G12" s="28">
        <v>485</v>
      </c>
    </row>
    <row r="13" spans="1:8">
      <c r="A13" s="28" t="s">
        <v>58</v>
      </c>
      <c r="B13" s="28" t="s">
        <v>68</v>
      </c>
      <c r="C13" s="28" t="s">
        <v>1566</v>
      </c>
      <c r="D13" s="28">
        <v>50</v>
      </c>
      <c r="E13" s="28">
        <v>50</v>
      </c>
      <c r="F13" s="28">
        <v>50</v>
      </c>
      <c r="G13" s="28">
        <v>50</v>
      </c>
    </row>
    <row r="14" spans="1:8">
      <c r="A14" s="28" t="s">
        <v>70</v>
      </c>
      <c r="B14" s="28" t="s">
        <v>58</v>
      </c>
      <c r="C14" s="28" t="s">
        <v>58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701</v>
      </c>
      <c r="F18" s="28">
        <v>702</v>
      </c>
      <c r="G18" s="28">
        <v>703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0">2.4*25.4</f>
        <v>60.959999999999994</v>
      </c>
      <c r="F20" s="28">
        <f t="shared" si="0"/>
        <v>60.959999999999994</v>
      </c>
      <c r="G20" s="28">
        <f t="shared" si="0"/>
        <v>60.959999999999994</v>
      </c>
    </row>
    <row r="22" spans="1:7">
      <c r="C22" s="28" t="s">
        <v>1567</v>
      </c>
      <c r="D22" s="28" t="s">
        <v>1568</v>
      </c>
      <c r="E22" s="28" t="s">
        <v>1569</v>
      </c>
      <c r="F22" s="28" t="s">
        <v>1570</v>
      </c>
      <c r="G22" s="28" t="s">
        <v>1571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28" t="s">
        <v>73</v>
      </c>
      <c r="B1" s="28" t="s">
        <v>73</v>
      </c>
      <c r="C1" s="33" t="s">
        <v>793</v>
      </c>
      <c r="D1" s="33">
        <v>50</v>
      </c>
      <c r="E1" s="33">
        <v>52</v>
      </c>
      <c r="F1" s="33">
        <v>54</v>
      </c>
      <c r="G1" s="33">
        <v>56</v>
      </c>
      <c r="H1" s="33">
        <v>58</v>
      </c>
      <c r="I1" s="33">
        <v>60</v>
      </c>
      <c r="J1" s="28"/>
    </row>
    <row r="2" spans="1:10" ht="20">
      <c r="A2" s="28" t="s">
        <v>55</v>
      </c>
      <c r="B2" s="28" t="s">
        <v>74</v>
      </c>
      <c r="C2" s="28" t="s">
        <v>580</v>
      </c>
      <c r="D2" s="28">
        <v>518</v>
      </c>
      <c r="E2" s="28">
        <v>530</v>
      </c>
      <c r="F2" s="28">
        <v>545</v>
      </c>
      <c r="G2" s="28">
        <v>560</v>
      </c>
      <c r="H2" s="28">
        <v>575</v>
      </c>
      <c r="I2" s="28">
        <v>590</v>
      </c>
      <c r="J2" s="28"/>
    </row>
    <row r="3" spans="1:10" ht="20">
      <c r="A3" s="28" t="s">
        <v>56</v>
      </c>
      <c r="B3" s="28" t="s">
        <v>63</v>
      </c>
      <c r="C3" s="28" t="s">
        <v>4</v>
      </c>
      <c r="D3" s="28">
        <v>71</v>
      </c>
      <c r="E3" s="28">
        <v>71</v>
      </c>
      <c r="F3" s="28">
        <v>71.5</v>
      </c>
      <c r="G3" s="28">
        <v>71.5</v>
      </c>
      <c r="H3" s="28">
        <v>72</v>
      </c>
      <c r="I3" s="28">
        <v>72</v>
      </c>
      <c r="J3" s="28"/>
    </row>
    <row r="4" spans="1:10" ht="20">
      <c r="A4" s="28" t="s">
        <v>61</v>
      </c>
      <c r="B4" s="28" t="s">
        <v>65</v>
      </c>
      <c r="C4" s="28" t="s">
        <v>796</v>
      </c>
      <c r="D4" s="28">
        <f>VALUE(LEFT(D24,3))</f>
        <v>100</v>
      </c>
      <c r="E4" s="28">
        <f t="shared" ref="E4:I4" si="0">VALUE(LEFT(E24,3))</f>
        <v>120</v>
      </c>
      <c r="F4" s="28">
        <f t="shared" si="0"/>
        <v>130</v>
      </c>
      <c r="G4" s="28">
        <f t="shared" si="0"/>
        <v>150</v>
      </c>
      <c r="H4" s="28">
        <f t="shared" si="0"/>
        <v>170</v>
      </c>
      <c r="I4" s="28">
        <f t="shared" si="0"/>
        <v>190</v>
      </c>
      <c r="J4" s="28"/>
    </row>
    <row r="5" spans="1:10" ht="20">
      <c r="A5" s="28" t="s">
        <v>74</v>
      </c>
      <c r="B5" s="28" t="s">
        <v>64</v>
      </c>
      <c r="C5" s="28" t="s">
        <v>5</v>
      </c>
      <c r="D5" s="28">
        <v>74.5</v>
      </c>
      <c r="E5" s="28">
        <v>74</v>
      </c>
      <c r="F5" s="28">
        <v>73.5</v>
      </c>
      <c r="G5" s="28">
        <v>73.5</v>
      </c>
      <c r="H5" s="28">
        <v>73</v>
      </c>
      <c r="I5" s="28">
        <v>73</v>
      </c>
      <c r="J5" s="28"/>
    </row>
    <row r="6" spans="1:10" ht="20">
      <c r="A6" s="28" t="s">
        <v>63</v>
      </c>
      <c r="B6" s="28" t="s">
        <v>61</v>
      </c>
      <c r="C6" s="28" t="s">
        <v>176</v>
      </c>
      <c r="D6" s="28">
        <v>485</v>
      </c>
      <c r="E6" s="28">
        <v>500</v>
      </c>
      <c r="F6" s="28">
        <v>515</v>
      </c>
      <c r="G6" s="28">
        <v>530</v>
      </c>
      <c r="H6" s="28">
        <v>545</v>
      </c>
      <c r="I6" s="28">
        <v>560</v>
      </c>
      <c r="J6" s="28"/>
    </row>
    <row r="7" spans="1:10" ht="20">
      <c r="A7" s="28" t="s">
        <v>64</v>
      </c>
      <c r="B7" s="28" t="s">
        <v>67</v>
      </c>
      <c r="C7" s="28" t="s">
        <v>8</v>
      </c>
      <c r="D7" s="28">
        <f>VALUE(LEFT(D27,3))</f>
        <v>425</v>
      </c>
      <c r="E7" s="28">
        <f t="shared" ref="E7:I7" si="1">VALUE(LEFT(E27,3))</f>
        <v>425</v>
      </c>
      <c r="F7" s="28">
        <f t="shared" si="1"/>
        <v>425</v>
      </c>
      <c r="G7" s="28">
        <f t="shared" si="1"/>
        <v>425</v>
      </c>
      <c r="H7" s="28">
        <f t="shared" si="1"/>
        <v>425</v>
      </c>
      <c r="I7" s="28">
        <f t="shared" si="1"/>
        <v>425</v>
      </c>
      <c r="J7" s="28" t="s">
        <v>825</v>
      </c>
    </row>
    <row r="8" spans="1:10" ht="20">
      <c r="A8" s="28" t="s">
        <v>65</v>
      </c>
      <c r="B8" s="28" t="s">
        <v>66</v>
      </c>
      <c r="C8" s="28" t="s">
        <v>7</v>
      </c>
      <c r="D8" s="28">
        <v>70.5</v>
      </c>
      <c r="E8" s="28">
        <v>70.5</v>
      </c>
      <c r="F8" s="28">
        <v>68</v>
      </c>
      <c r="G8" s="28">
        <v>68</v>
      </c>
      <c r="H8" s="28">
        <v>65.5</v>
      </c>
      <c r="I8" s="28">
        <v>65.5</v>
      </c>
      <c r="J8" s="28"/>
    </row>
    <row r="9" spans="1:10" ht="20">
      <c r="A9" s="28" t="s">
        <v>66</v>
      </c>
      <c r="B9" s="28" t="s">
        <v>57</v>
      </c>
      <c r="C9" s="28" t="s">
        <v>10</v>
      </c>
      <c r="D9" s="28">
        <f>VALUE(LEFT(D29,3))</f>
        <v>997</v>
      </c>
      <c r="E9" s="28">
        <f>VALUE(LEFT(E29,4))</f>
        <v>1004</v>
      </c>
      <c r="F9" s="28">
        <f t="shared" ref="F9:I9" si="2">VALUE(LEFT(F29,4))</f>
        <v>1012</v>
      </c>
      <c r="G9" s="28">
        <f t="shared" si="2"/>
        <v>1027</v>
      </c>
      <c r="H9" s="28">
        <f t="shared" si="2"/>
        <v>1034</v>
      </c>
      <c r="I9" s="28">
        <f t="shared" si="2"/>
        <v>1044</v>
      </c>
      <c r="J9" s="28"/>
    </row>
    <row r="10" spans="1:10" ht="20">
      <c r="A10" s="28" t="s">
        <v>67</v>
      </c>
      <c r="B10" s="28" t="s">
        <v>58</v>
      </c>
      <c r="C10" s="28" t="s">
        <v>179</v>
      </c>
      <c r="D10" s="28">
        <f>VALUE(LEFT(D30,4)) * 25.4</f>
        <v>739.14</v>
      </c>
      <c r="E10" s="28">
        <f t="shared" ref="E10:I10" si="3">VALUE(LEFT(E30,4)) * 25.4</f>
        <v>756.92</v>
      </c>
      <c r="F10" s="28">
        <f t="shared" si="3"/>
        <v>769.62</v>
      </c>
      <c r="G10" s="28">
        <f t="shared" si="3"/>
        <v>784.8599999999999</v>
      </c>
      <c r="H10" s="28">
        <f t="shared" si="3"/>
        <v>807.72</v>
      </c>
      <c r="I10" s="28">
        <f t="shared" si="3"/>
        <v>820.41999999999985</v>
      </c>
      <c r="J10" s="28" t="s">
        <v>825</v>
      </c>
    </row>
    <row r="11" spans="1:10" ht="20">
      <c r="A11" s="28" t="s">
        <v>57</v>
      </c>
      <c r="B11" s="28" t="s">
        <v>56</v>
      </c>
      <c r="C11" s="28" t="s">
        <v>1</v>
      </c>
      <c r="D11" s="28">
        <v>369</v>
      </c>
      <c r="E11" s="28">
        <v>371</v>
      </c>
      <c r="F11" s="28">
        <v>378</v>
      </c>
      <c r="G11" s="28">
        <v>388</v>
      </c>
      <c r="H11" s="28">
        <v>392</v>
      </c>
      <c r="I11" s="28">
        <v>401</v>
      </c>
      <c r="J11" s="28"/>
    </row>
    <row r="12" spans="1:10" ht="20">
      <c r="A12" s="28" t="s">
        <v>68</v>
      </c>
      <c r="B12" s="28" t="s">
        <v>55</v>
      </c>
      <c r="C12" s="28" t="s">
        <v>0</v>
      </c>
      <c r="D12" s="28">
        <f>VALUE(LEFT(D32,3))</f>
        <v>531</v>
      </c>
      <c r="E12" s="28">
        <f t="shared" ref="E12:I12" si="4">VALUE(LEFT(E32,3))</f>
        <v>551</v>
      </c>
      <c r="F12" s="28">
        <f t="shared" si="4"/>
        <v>560</v>
      </c>
      <c r="G12" s="28">
        <f t="shared" si="4"/>
        <v>579</v>
      </c>
      <c r="H12" s="28">
        <f t="shared" si="4"/>
        <v>597</v>
      </c>
      <c r="I12" s="28">
        <f t="shared" si="4"/>
        <v>616</v>
      </c>
      <c r="J12" s="28"/>
    </row>
    <row r="13" spans="1:10" ht="20">
      <c r="A13" s="28" t="s">
        <v>58</v>
      </c>
      <c r="B13" s="28" t="s">
        <v>68</v>
      </c>
      <c r="C13" s="28" t="s">
        <v>68</v>
      </c>
      <c r="D13" s="28">
        <v>50</v>
      </c>
      <c r="E13" s="28">
        <v>50</v>
      </c>
      <c r="F13" s="28">
        <v>50</v>
      </c>
      <c r="G13" s="28">
        <v>50</v>
      </c>
      <c r="H13" s="28">
        <v>50</v>
      </c>
      <c r="I13" s="28">
        <v>50</v>
      </c>
      <c r="J13" s="28" t="s">
        <v>824</v>
      </c>
    </row>
    <row r="14" spans="1:10" ht="20">
      <c r="A14" s="28" t="s">
        <v>70</v>
      </c>
      <c r="B14" s="28" t="s">
        <v>70</v>
      </c>
      <c r="C14" s="28" t="s">
        <v>70</v>
      </c>
      <c r="D14" s="28"/>
      <c r="E14" s="28"/>
      <c r="F14" s="28"/>
      <c r="G14" s="28"/>
      <c r="H14" s="28"/>
      <c r="I14" s="28"/>
      <c r="J14" s="28"/>
    </row>
    <row r="15" spans="1:10" ht="20">
      <c r="A15" s="28" t="s">
        <v>71</v>
      </c>
      <c r="B15" s="28" t="s">
        <v>71</v>
      </c>
      <c r="C15" s="28" t="s">
        <v>71</v>
      </c>
      <c r="D15" s="28"/>
      <c r="E15" s="28"/>
      <c r="F15" s="28"/>
      <c r="G15" s="28"/>
      <c r="H15" s="28"/>
      <c r="I15" s="28"/>
      <c r="J15" s="28"/>
    </row>
    <row r="16" spans="1:10" ht="20">
      <c r="A16" s="28" t="s">
        <v>72</v>
      </c>
      <c r="B16" s="28" t="s">
        <v>72</v>
      </c>
      <c r="C16" s="28" t="s">
        <v>72</v>
      </c>
      <c r="D16" s="28"/>
      <c r="E16" s="28"/>
      <c r="F16" s="28"/>
      <c r="G16" s="28"/>
      <c r="H16" s="28"/>
      <c r="I16" s="28"/>
      <c r="J16" s="28"/>
    </row>
    <row r="17" spans="1:10" ht="20">
      <c r="A17" s="28" t="s">
        <v>69</v>
      </c>
      <c r="B17" s="28" t="s">
        <v>69</v>
      </c>
      <c r="C17" s="28" t="s">
        <v>69</v>
      </c>
      <c r="D17" s="28"/>
      <c r="E17" s="28"/>
      <c r="F17" s="28"/>
      <c r="G17" s="28"/>
      <c r="H17" s="28"/>
      <c r="I17" s="28"/>
      <c r="J17" s="28"/>
    </row>
    <row r="18" spans="1:10" ht="20">
      <c r="A18" s="28" t="s">
        <v>140</v>
      </c>
      <c r="B18" s="28" t="s">
        <v>140</v>
      </c>
      <c r="C18" s="28" t="s">
        <v>140</v>
      </c>
      <c r="D18" s="28"/>
      <c r="E18" s="28"/>
      <c r="F18" s="28"/>
      <c r="G18" s="28"/>
      <c r="H18" s="28"/>
      <c r="I18" s="28"/>
      <c r="J18" s="28"/>
    </row>
    <row r="19" spans="1:10" ht="20">
      <c r="A19" s="28" t="s">
        <v>141</v>
      </c>
      <c r="B19" s="28" t="s">
        <v>141</v>
      </c>
      <c r="C19" s="28" t="s">
        <v>141</v>
      </c>
      <c r="D19" s="28">
        <v>42</v>
      </c>
      <c r="E19" s="28">
        <v>42</v>
      </c>
      <c r="F19" s="28">
        <v>42</v>
      </c>
      <c r="G19" s="28">
        <v>42</v>
      </c>
      <c r="H19" s="28">
        <v>42</v>
      </c>
      <c r="I19" s="28">
        <v>42</v>
      </c>
      <c r="J19" s="28" t="s">
        <v>826</v>
      </c>
    </row>
    <row r="21" spans="1:10" ht="19">
      <c r="D21" s="33">
        <v>50</v>
      </c>
      <c r="E21" s="33">
        <v>52</v>
      </c>
      <c r="F21" s="33">
        <v>54</v>
      </c>
      <c r="G21" s="33">
        <v>56</v>
      </c>
      <c r="H21" s="33">
        <v>58</v>
      </c>
      <c r="I21" s="33">
        <v>60</v>
      </c>
    </row>
    <row r="22" spans="1:10" ht="20">
      <c r="D22" s="28">
        <v>518</v>
      </c>
      <c r="E22" s="28">
        <v>530</v>
      </c>
      <c r="F22" s="28">
        <v>545</v>
      </c>
      <c r="G22" s="28">
        <v>560</v>
      </c>
      <c r="H22" s="28">
        <v>575</v>
      </c>
      <c r="I22" s="28">
        <v>590</v>
      </c>
    </row>
    <row r="23" spans="1:10" ht="20">
      <c r="D23" s="28" t="s">
        <v>312</v>
      </c>
      <c r="E23" s="28" t="s">
        <v>312</v>
      </c>
      <c r="F23" s="28" t="s">
        <v>794</v>
      </c>
      <c r="G23" s="28" t="s">
        <v>794</v>
      </c>
      <c r="H23" s="28" t="s">
        <v>795</v>
      </c>
      <c r="I23" s="28" t="s">
        <v>795</v>
      </c>
    </row>
    <row r="24" spans="1:10" ht="20">
      <c r="D24" s="28" t="s">
        <v>797</v>
      </c>
      <c r="E24" s="28" t="s">
        <v>798</v>
      </c>
      <c r="F24" s="28" t="s">
        <v>799</v>
      </c>
      <c r="G24" s="28" t="s">
        <v>800</v>
      </c>
      <c r="H24" s="28" t="s">
        <v>801</v>
      </c>
      <c r="I24" s="28" t="s">
        <v>802</v>
      </c>
    </row>
    <row r="25" spans="1:10" ht="20">
      <c r="D25" s="28" t="s">
        <v>803</v>
      </c>
      <c r="E25" s="28" t="s">
        <v>33</v>
      </c>
      <c r="F25" s="28" t="s">
        <v>34</v>
      </c>
      <c r="G25" s="28" t="s">
        <v>34</v>
      </c>
      <c r="H25" s="28" t="s">
        <v>804</v>
      </c>
      <c r="I25" s="28" t="s">
        <v>804</v>
      </c>
    </row>
    <row r="26" spans="1:10" ht="20">
      <c r="D26" s="28">
        <v>485</v>
      </c>
      <c r="E26" s="28">
        <v>500</v>
      </c>
      <c r="F26" s="28">
        <v>515</v>
      </c>
      <c r="G26" s="28">
        <v>530</v>
      </c>
      <c r="H26" s="28">
        <v>545</v>
      </c>
      <c r="I26" s="28">
        <v>560</v>
      </c>
    </row>
    <row r="27" spans="1:10" ht="20">
      <c r="D27" s="28" t="s">
        <v>805</v>
      </c>
      <c r="E27" s="28" t="s">
        <v>805</v>
      </c>
      <c r="F27" s="28" t="s">
        <v>805</v>
      </c>
      <c r="G27" s="28" t="s">
        <v>805</v>
      </c>
      <c r="H27" s="28" t="s">
        <v>805</v>
      </c>
      <c r="I27" s="28" t="s">
        <v>805</v>
      </c>
    </row>
    <row r="28" spans="1:10" ht="20">
      <c r="D28" s="28">
        <v>70.5</v>
      </c>
      <c r="E28" s="28">
        <v>70.5</v>
      </c>
      <c r="F28" s="28">
        <v>68</v>
      </c>
      <c r="G28" s="28">
        <v>68</v>
      </c>
      <c r="H28" s="28">
        <v>65.5</v>
      </c>
      <c r="I28" s="28">
        <v>65.5</v>
      </c>
    </row>
    <row r="29" spans="1:10" ht="20">
      <c r="D29" s="28" t="s">
        <v>806</v>
      </c>
      <c r="E29" s="28" t="s">
        <v>807</v>
      </c>
      <c r="F29" s="28" t="s">
        <v>808</v>
      </c>
      <c r="G29" s="28" t="s">
        <v>809</v>
      </c>
      <c r="H29" s="28" t="s">
        <v>810</v>
      </c>
      <c r="I29" s="28" t="s">
        <v>811</v>
      </c>
    </row>
    <row r="30" spans="1:10" ht="20">
      <c r="D30" s="28" t="s">
        <v>812</v>
      </c>
      <c r="E30" s="28" t="s">
        <v>813</v>
      </c>
      <c r="F30" s="28" t="s">
        <v>814</v>
      </c>
      <c r="G30" s="28" t="s">
        <v>815</v>
      </c>
      <c r="H30" s="28" t="s">
        <v>816</v>
      </c>
      <c r="I30" s="28" t="s">
        <v>817</v>
      </c>
    </row>
    <row r="31" spans="1:10" ht="20">
      <c r="D31" s="28">
        <v>369</v>
      </c>
      <c r="E31" s="28">
        <v>371</v>
      </c>
      <c r="F31" s="28">
        <v>378</v>
      </c>
      <c r="G31" s="28">
        <v>388</v>
      </c>
      <c r="H31" s="28">
        <v>392</v>
      </c>
      <c r="I31" s="28">
        <v>401</v>
      </c>
    </row>
    <row r="32" spans="1:10" ht="20">
      <c r="D32" s="28" t="s">
        <v>818</v>
      </c>
      <c r="E32" s="28" t="s">
        <v>819</v>
      </c>
      <c r="F32" s="28" t="s">
        <v>820</v>
      </c>
      <c r="G32" s="28" t="s">
        <v>821</v>
      </c>
      <c r="H32" s="28" t="s">
        <v>822</v>
      </c>
      <c r="I32" s="28" t="s">
        <v>823</v>
      </c>
    </row>
    <row r="33" spans="4:9" ht="20">
      <c r="D33" s="28">
        <v>50</v>
      </c>
      <c r="E33" s="28">
        <v>50</v>
      </c>
      <c r="F33" s="28">
        <v>50</v>
      </c>
      <c r="G33" s="28">
        <v>50</v>
      </c>
      <c r="H33" s="28">
        <v>50</v>
      </c>
      <c r="I33" s="28">
        <v>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topLeftCell="B1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3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793</v>
      </c>
      <c r="D1" s="28" t="s">
        <v>171</v>
      </c>
      <c r="E1" s="28" t="s">
        <v>172</v>
      </c>
      <c r="F1" s="28" t="s">
        <v>173</v>
      </c>
      <c r="G1" s="28" t="s">
        <v>21</v>
      </c>
    </row>
    <row r="2" spans="1:8">
      <c r="A2" s="28" t="s">
        <v>55</v>
      </c>
      <c r="B2" s="28" t="s">
        <v>74</v>
      </c>
      <c r="C2" s="28" t="s">
        <v>580</v>
      </c>
      <c r="D2" s="28">
        <v>575</v>
      </c>
      <c r="E2" s="28">
        <v>600</v>
      </c>
      <c r="F2" s="28">
        <v>620</v>
      </c>
      <c r="G2" s="28">
        <v>640</v>
      </c>
    </row>
    <row r="3" spans="1:8">
      <c r="A3" s="28" t="s">
        <v>56</v>
      </c>
      <c r="B3" s="28" t="s">
        <v>63</v>
      </c>
      <c r="C3" s="28" t="s">
        <v>4</v>
      </c>
      <c r="D3" s="28">
        <v>68</v>
      </c>
      <c r="E3" s="28">
        <v>68</v>
      </c>
      <c r="F3" s="28">
        <v>68</v>
      </c>
      <c r="G3" s="28">
        <v>68</v>
      </c>
    </row>
    <row r="4" spans="1:8">
      <c r="A4" s="28" t="s">
        <v>61</v>
      </c>
      <c r="B4" s="28" t="s">
        <v>65</v>
      </c>
      <c r="C4" s="28" t="s">
        <v>6</v>
      </c>
      <c r="D4" s="28">
        <v>90</v>
      </c>
      <c r="E4" s="28">
        <v>110</v>
      </c>
      <c r="F4" s="28">
        <v>120</v>
      </c>
      <c r="G4" s="28">
        <v>140</v>
      </c>
    </row>
    <row r="5" spans="1:8">
      <c r="A5" s="28" t="s">
        <v>74</v>
      </c>
      <c r="B5" s="28" t="s">
        <v>64</v>
      </c>
      <c r="C5" s="28" t="s">
        <v>5</v>
      </c>
      <c r="D5" s="28">
        <v>74</v>
      </c>
      <c r="E5" s="28">
        <v>73.5</v>
      </c>
      <c r="F5" s="28">
        <v>73.5</v>
      </c>
      <c r="G5" s="28">
        <v>73.5</v>
      </c>
    </row>
    <row r="6" spans="1:8">
      <c r="A6" s="28" t="s">
        <v>63</v>
      </c>
      <c r="B6" s="28" t="s">
        <v>61</v>
      </c>
      <c r="C6" s="28" t="s">
        <v>176</v>
      </c>
      <c r="D6" s="28">
        <f>VALUE(LEFT(D28,2))*(25.4)</f>
        <v>381</v>
      </c>
      <c r="E6" s="28">
        <f>VALUE(LEFT(E28,4))*(25.4)</f>
        <v>411.47999999999996</v>
      </c>
      <c r="F6" s="28">
        <f t="shared" ref="F6:G6" si="0">VALUE(LEFT(F28,4))*(25.4)</f>
        <v>462.28</v>
      </c>
      <c r="G6" s="28">
        <f t="shared" si="0"/>
        <v>513.07999999999993</v>
      </c>
    </row>
    <row r="7" spans="1:8">
      <c r="A7" s="28" t="s">
        <v>64</v>
      </c>
      <c r="B7" s="28" t="s">
        <v>67</v>
      </c>
      <c r="C7" s="28" t="s">
        <v>8</v>
      </c>
      <c r="D7" s="28">
        <f>VALUE(LEFT(D29,3))</f>
        <v>440</v>
      </c>
      <c r="E7" s="28">
        <f t="shared" ref="E7:G7" si="1">VALUE(LEFT(E29,3))</f>
        <v>440</v>
      </c>
      <c r="F7" s="28">
        <f t="shared" si="1"/>
        <v>440</v>
      </c>
      <c r="G7" s="28">
        <f t="shared" si="1"/>
        <v>440</v>
      </c>
    </row>
    <row r="8" spans="1:8">
      <c r="A8" s="28" t="s">
        <v>65</v>
      </c>
      <c r="B8" s="28" t="s">
        <v>66</v>
      </c>
      <c r="C8" s="28" t="s">
        <v>7</v>
      </c>
      <c r="D8" s="28">
        <v>60</v>
      </c>
      <c r="E8" s="28">
        <v>60</v>
      </c>
      <c r="F8" s="28">
        <v>60</v>
      </c>
      <c r="G8" s="28">
        <v>60</v>
      </c>
    </row>
    <row r="9" spans="1:8">
      <c r="A9" s="28" t="s">
        <v>66</v>
      </c>
      <c r="B9" s="28" t="s">
        <v>57</v>
      </c>
      <c r="C9" s="28" t="s">
        <v>10</v>
      </c>
      <c r="D9" s="28">
        <f>VALUE(LEFT(D31,4))</f>
        <v>1105</v>
      </c>
      <c r="E9" s="28">
        <f t="shared" ref="E9:G9" si="2">VALUE(LEFT(E31,4))</f>
        <v>1126</v>
      </c>
      <c r="F9" s="28">
        <f t="shared" si="2"/>
        <v>1147</v>
      </c>
      <c r="G9" s="28">
        <f t="shared" si="2"/>
        <v>1169</v>
      </c>
    </row>
    <row r="10" spans="1:8">
      <c r="A10" s="28" t="s">
        <v>67</v>
      </c>
      <c r="B10" s="28" t="s">
        <v>58</v>
      </c>
      <c r="C10" s="28" t="s">
        <v>179</v>
      </c>
      <c r="D10" s="28">
        <f>VALUE(LEFT(D32,3))*(25.4)</f>
        <v>736.59999999999991</v>
      </c>
      <c r="E10" s="28">
        <f t="shared" ref="E10:G10" si="3">VALUE(LEFT(E32,3))*(25.4)</f>
        <v>762</v>
      </c>
      <c r="F10" s="28">
        <f t="shared" si="3"/>
        <v>787.4</v>
      </c>
      <c r="G10" s="28">
        <f t="shared" si="3"/>
        <v>838.19999999999993</v>
      </c>
    </row>
    <row r="11" spans="1:8">
      <c r="A11" s="28" t="s">
        <v>57</v>
      </c>
      <c r="B11" s="28" t="s">
        <v>56</v>
      </c>
      <c r="C11" s="28" t="s">
        <v>1</v>
      </c>
      <c r="D11" s="28">
        <v>393</v>
      </c>
      <c r="E11" s="28">
        <v>406</v>
      </c>
      <c r="F11" s="28">
        <v>423</v>
      </c>
      <c r="G11" s="28">
        <v>438</v>
      </c>
    </row>
    <row r="12" spans="1:8">
      <c r="A12" s="28" t="s">
        <v>68</v>
      </c>
      <c r="B12" s="28" t="s">
        <v>55</v>
      </c>
      <c r="C12" s="28" t="s">
        <v>0</v>
      </c>
      <c r="D12" s="28">
        <v>628</v>
      </c>
      <c r="E12" s="28">
        <v>646</v>
      </c>
      <c r="F12" s="28">
        <v>656</v>
      </c>
      <c r="G12" s="28">
        <v>674</v>
      </c>
    </row>
    <row r="13" spans="1:8">
      <c r="A13" s="28" t="s">
        <v>58</v>
      </c>
      <c r="B13" s="28" t="s">
        <v>498</v>
      </c>
      <c r="C13" s="28" t="s">
        <v>498</v>
      </c>
      <c r="D13" s="28">
        <v>490</v>
      </c>
      <c r="E13" s="28">
        <v>490</v>
      </c>
      <c r="F13" s="28">
        <v>490</v>
      </c>
      <c r="G13" s="28">
        <v>490</v>
      </c>
      <c r="H13" s="71" t="s">
        <v>1671</v>
      </c>
    </row>
    <row r="14" spans="1:8">
      <c r="A14" s="28" t="s">
        <v>70</v>
      </c>
      <c r="B14" s="28" t="s">
        <v>68</v>
      </c>
      <c r="C14" s="28" t="s">
        <v>68</v>
      </c>
      <c r="D14" s="28">
        <v>44</v>
      </c>
      <c r="E14" s="28">
        <v>44</v>
      </c>
      <c r="F14" s="28">
        <v>44</v>
      </c>
      <c r="G14" s="28">
        <v>44</v>
      </c>
      <c r="H14" s="71" t="s">
        <v>1671</v>
      </c>
    </row>
    <row r="15" spans="1:8">
      <c r="A15" s="28" t="s">
        <v>71</v>
      </c>
      <c r="B15" s="28" t="s">
        <v>70</v>
      </c>
      <c r="C15" s="28" t="s">
        <v>70</v>
      </c>
      <c r="D15" s="33"/>
      <c r="E15" s="33"/>
      <c r="F15" s="33"/>
      <c r="G15" s="33"/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29</v>
      </c>
      <c r="F18" s="28">
        <v>29</v>
      </c>
      <c r="G18" s="28">
        <v>29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4">2.4*25.4</f>
        <v>60.959999999999994</v>
      </c>
      <c r="F20" s="28">
        <f t="shared" si="4"/>
        <v>60.959999999999994</v>
      </c>
      <c r="G20" s="28">
        <f t="shared" si="4"/>
        <v>60.959999999999994</v>
      </c>
    </row>
    <row r="24" spans="1:7">
      <c r="C24" s="28" t="s">
        <v>580</v>
      </c>
      <c r="D24" s="28">
        <v>575</v>
      </c>
      <c r="E24" s="28">
        <v>600</v>
      </c>
      <c r="F24" s="28">
        <v>620</v>
      </c>
      <c r="G24" s="28">
        <v>640</v>
      </c>
    </row>
    <row r="25" spans="1:7">
      <c r="C25" s="28" t="s">
        <v>4</v>
      </c>
      <c r="D25" s="28" t="s">
        <v>1189</v>
      </c>
      <c r="E25" s="28" t="s">
        <v>1189</v>
      </c>
      <c r="F25" s="28" t="s">
        <v>1189</v>
      </c>
      <c r="G25" s="28" t="s">
        <v>1189</v>
      </c>
    </row>
    <row r="26" spans="1:7">
      <c r="C26" s="28" t="s">
        <v>6</v>
      </c>
      <c r="D26" s="28">
        <v>90</v>
      </c>
      <c r="E26" s="28">
        <v>110</v>
      </c>
      <c r="F26" s="28">
        <v>120</v>
      </c>
      <c r="G26" s="28">
        <v>140</v>
      </c>
    </row>
    <row r="27" spans="1:7">
      <c r="C27" s="28" t="s">
        <v>5</v>
      </c>
      <c r="D27" s="28" t="s">
        <v>33</v>
      </c>
      <c r="E27" s="28" t="s">
        <v>34</v>
      </c>
      <c r="F27" s="28" t="s">
        <v>34</v>
      </c>
      <c r="G27" s="28" t="s">
        <v>34</v>
      </c>
    </row>
    <row r="28" spans="1:7">
      <c r="C28" s="28" t="s">
        <v>176</v>
      </c>
      <c r="D28" s="28" t="s">
        <v>755</v>
      </c>
      <c r="E28" s="28" t="s">
        <v>1660</v>
      </c>
      <c r="F28" s="28" t="s">
        <v>1661</v>
      </c>
      <c r="G28" s="28" t="s">
        <v>1662</v>
      </c>
    </row>
    <row r="29" spans="1:7">
      <c r="C29" s="28" t="s">
        <v>8</v>
      </c>
      <c r="D29" s="28" t="s">
        <v>1663</v>
      </c>
      <c r="E29" s="28" t="s">
        <v>1663</v>
      </c>
      <c r="F29" s="28" t="s">
        <v>1663</v>
      </c>
      <c r="G29" s="28" t="s">
        <v>1663</v>
      </c>
    </row>
    <row r="30" spans="1:7">
      <c r="C30" s="28" t="s">
        <v>7</v>
      </c>
      <c r="D30" s="28">
        <v>60</v>
      </c>
      <c r="E30" s="28">
        <v>60</v>
      </c>
      <c r="F30" s="28">
        <v>60</v>
      </c>
      <c r="G30" s="28">
        <v>60</v>
      </c>
    </row>
    <row r="31" spans="1:7">
      <c r="C31" s="28" t="s">
        <v>10</v>
      </c>
      <c r="D31" s="28" t="s">
        <v>1664</v>
      </c>
      <c r="E31" s="28" t="s">
        <v>1665</v>
      </c>
      <c r="F31" s="28" t="s">
        <v>1666</v>
      </c>
      <c r="G31" s="28" t="s">
        <v>1667</v>
      </c>
    </row>
    <row r="32" spans="1:7">
      <c r="C32" s="28" t="s">
        <v>179</v>
      </c>
      <c r="D32" s="28" t="s">
        <v>1668</v>
      </c>
      <c r="E32" s="28" t="s">
        <v>1669</v>
      </c>
      <c r="F32" s="28" t="s">
        <v>816</v>
      </c>
      <c r="G32" s="28" t="s">
        <v>1670</v>
      </c>
    </row>
    <row r="33" spans="3:7">
      <c r="C33" s="28" t="s">
        <v>1</v>
      </c>
      <c r="D33" s="28">
        <v>393</v>
      </c>
      <c r="E33" s="28">
        <v>406</v>
      </c>
      <c r="F33" s="28">
        <v>423</v>
      </c>
      <c r="G33" s="28">
        <v>438</v>
      </c>
    </row>
    <row r="34" spans="3:7">
      <c r="C34" s="28" t="s">
        <v>0</v>
      </c>
      <c r="D34" s="28">
        <v>628</v>
      </c>
      <c r="E34" s="28">
        <v>646</v>
      </c>
      <c r="F34" s="28">
        <v>656</v>
      </c>
      <c r="G34" s="28">
        <v>674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8" customWidth="1"/>
    <col min="3" max="7" width="11.5" style="28" customWidth="1"/>
    <col min="8" max="16384" width="10.83203125" style="28"/>
  </cols>
  <sheetData>
    <row r="1" spans="1:10">
      <c r="A1" s="28" t="s">
        <v>73</v>
      </c>
      <c r="B1" s="28" t="s">
        <v>170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10">
      <c r="A2" s="28" t="s">
        <v>61</v>
      </c>
      <c r="B2" s="28" t="str">
        <f>_xlfn.CONCAT(B26," ",C26)</f>
        <v>1 SEAT TUBE LENGTH</v>
      </c>
      <c r="C2" s="28">
        <v>460</v>
      </c>
      <c r="D2" s="28">
        <v>480</v>
      </c>
      <c r="E2" s="28">
        <v>500</v>
      </c>
      <c r="F2" s="28">
        <v>520</v>
      </c>
      <c r="G2" s="28">
        <v>540</v>
      </c>
    </row>
    <row r="3" spans="1:10">
      <c r="A3" s="28" t="s">
        <v>64</v>
      </c>
      <c r="B3" s="28" t="str">
        <f t="shared" ref="B3:B14" si="0">_xlfn.CONCAT(B27," ",C27)</f>
        <v>2 SEAT TUBE ANGLE</v>
      </c>
      <c r="C3" s="28">
        <v>72.5</v>
      </c>
      <c r="D3" s="28">
        <v>72.5</v>
      </c>
      <c r="E3" s="28">
        <v>72.5</v>
      </c>
      <c r="F3" s="28">
        <v>72.5</v>
      </c>
      <c r="G3" s="28">
        <v>72.5</v>
      </c>
    </row>
    <row r="4" spans="1:10">
      <c r="A4" s="28" t="s">
        <v>63</v>
      </c>
      <c r="B4" s="28" t="str">
        <f t="shared" si="0"/>
        <v>3 HEAD TUBE ANGLE</v>
      </c>
      <c r="C4" s="28">
        <v>70.5</v>
      </c>
      <c r="D4" s="28">
        <v>70.8</v>
      </c>
      <c r="E4" s="28">
        <v>71</v>
      </c>
      <c r="F4" s="28">
        <v>71.2</v>
      </c>
      <c r="G4" s="28">
        <v>71.400000000000006</v>
      </c>
    </row>
    <row r="5" spans="1:10">
      <c r="A5" s="28" t="s">
        <v>65</v>
      </c>
      <c r="B5" s="28" t="str">
        <f t="shared" si="0"/>
        <v>4 HEAD TUBE LENGTH</v>
      </c>
      <c r="C5" s="28">
        <v>135</v>
      </c>
      <c r="D5" s="28">
        <v>145</v>
      </c>
      <c r="E5" s="28">
        <v>155</v>
      </c>
      <c r="F5" s="28">
        <v>170</v>
      </c>
      <c r="G5" s="28">
        <v>185</v>
      </c>
    </row>
    <row r="6" spans="1:10">
      <c r="A6" s="28" t="s">
        <v>57</v>
      </c>
      <c r="B6" s="28" t="str">
        <f t="shared" si="0"/>
        <v>5 WHEELBASE</v>
      </c>
      <c r="C6" s="28">
        <v>1010</v>
      </c>
      <c r="D6" s="28">
        <v>1035</v>
      </c>
      <c r="E6" s="28">
        <v>1056.5</v>
      </c>
      <c r="F6" s="28">
        <v>1079.5</v>
      </c>
      <c r="G6" s="28">
        <v>1107.4000000000001</v>
      </c>
    </row>
    <row r="7" spans="1:10">
      <c r="A7" s="28" t="s">
        <v>74</v>
      </c>
      <c r="B7" s="28" t="str">
        <f t="shared" si="0"/>
        <v>6 TOP TUBE LENGTH</v>
      </c>
      <c r="C7" s="28">
        <v>522</v>
      </c>
      <c r="D7" s="28">
        <v>547</v>
      </c>
      <c r="E7" s="28">
        <v>570</v>
      </c>
      <c r="F7" s="28">
        <v>596</v>
      </c>
      <c r="G7" s="28">
        <v>625</v>
      </c>
      <c r="J7"/>
    </row>
    <row r="8" spans="1:10">
      <c r="A8" s="28" t="s">
        <v>1913</v>
      </c>
      <c r="B8" s="28" t="str">
        <f t="shared" si="0"/>
        <v>7 CHAIN STAY LENGTH</v>
      </c>
      <c r="C8" s="28">
        <v>420</v>
      </c>
      <c r="D8" s="28">
        <v>425</v>
      </c>
      <c r="E8" s="28">
        <v>425</v>
      </c>
      <c r="F8" s="28">
        <v>425</v>
      </c>
      <c r="G8" s="28">
        <v>425</v>
      </c>
    </row>
    <row r="9" spans="1:10">
      <c r="A9" s="28" t="s">
        <v>66</v>
      </c>
      <c r="B9" s="28" t="str">
        <f t="shared" si="0"/>
        <v>8 BOTTOM BRACKET HEIGHT</v>
      </c>
      <c r="C9" s="28">
        <v>65</v>
      </c>
      <c r="D9" s="28">
        <v>70</v>
      </c>
      <c r="E9" s="28">
        <v>70</v>
      </c>
      <c r="F9" s="28">
        <v>70</v>
      </c>
      <c r="G9" s="28">
        <v>70</v>
      </c>
    </row>
    <row r="10" spans="1:10">
      <c r="A10" s="28" t="s">
        <v>498</v>
      </c>
      <c r="B10" s="28" t="str">
        <f t="shared" si="0"/>
        <v>9 FORK LENGTH</v>
      </c>
      <c r="C10" s="28">
        <v>10</v>
      </c>
      <c r="D10" s="28">
        <v>410</v>
      </c>
      <c r="E10" s="28">
        <v>410</v>
      </c>
      <c r="F10" s="28">
        <v>410</v>
      </c>
      <c r="G10" s="28">
        <v>410</v>
      </c>
    </row>
    <row r="11" spans="1:10">
      <c r="A11" s="28" t="s">
        <v>58</v>
      </c>
      <c r="B11" s="28" t="str">
        <f t="shared" si="0"/>
        <v>10 STANDOVER HEIGHT</v>
      </c>
      <c r="C11" s="28">
        <v>739</v>
      </c>
      <c r="D11" s="28">
        <v>749.6</v>
      </c>
      <c r="E11" s="28">
        <v>767.4</v>
      </c>
      <c r="F11" s="28">
        <v>774.4</v>
      </c>
      <c r="G11" s="28">
        <v>800</v>
      </c>
    </row>
    <row r="12" spans="1:10">
      <c r="A12" s="28" t="s">
        <v>56</v>
      </c>
      <c r="B12" s="28" t="str">
        <f t="shared" si="0"/>
        <v>11 REACH</v>
      </c>
      <c r="C12" s="28">
        <v>360</v>
      </c>
      <c r="D12" s="28">
        <v>380</v>
      </c>
      <c r="E12" s="28">
        <v>400</v>
      </c>
      <c r="F12" s="28">
        <v>420</v>
      </c>
      <c r="G12" s="28">
        <v>445</v>
      </c>
    </row>
    <row r="13" spans="1:10">
      <c r="A13" s="28" t="s">
        <v>55</v>
      </c>
      <c r="B13" s="28" t="str">
        <f t="shared" si="0"/>
        <v>12 STACK</v>
      </c>
      <c r="C13" s="28">
        <v>564</v>
      </c>
      <c r="D13" s="28">
        <v>580</v>
      </c>
      <c r="E13" s="28">
        <v>590</v>
      </c>
      <c r="F13" s="28">
        <v>605</v>
      </c>
      <c r="G13" s="28">
        <v>620</v>
      </c>
    </row>
    <row r="14" spans="1:10">
      <c r="A14" s="28" t="s">
        <v>68</v>
      </c>
      <c r="B14" s="28" t="str">
        <f t="shared" si="0"/>
        <v>13 FORK OFFSET</v>
      </c>
      <c r="C14" s="28">
        <v>55</v>
      </c>
      <c r="D14" s="28">
        <v>55</v>
      </c>
      <c r="E14" s="28">
        <v>55</v>
      </c>
      <c r="F14" s="28">
        <v>55</v>
      </c>
      <c r="G14" s="28">
        <v>55</v>
      </c>
    </row>
    <row r="15" spans="1:10">
      <c r="A15" s="28" t="s">
        <v>67</v>
      </c>
      <c r="B15" s="28" t="s">
        <v>67</v>
      </c>
      <c r="C15" s="28">
        <f>SQRT(C8^2+C9^2)</f>
        <v>425</v>
      </c>
      <c r="D15" s="28">
        <f t="shared" ref="D15:G15" si="1">SQRT(D8^2+D9^2)</f>
        <v>430.72613108563542</v>
      </c>
      <c r="E15" s="28">
        <f t="shared" si="1"/>
        <v>430.72613108563542</v>
      </c>
      <c r="F15" s="28">
        <f t="shared" si="1"/>
        <v>430.72613108563542</v>
      </c>
      <c r="G15" s="28">
        <f t="shared" si="1"/>
        <v>430.72613108563542</v>
      </c>
    </row>
    <row r="16" spans="1:10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172.5</v>
      </c>
      <c r="G16" s="28">
        <v>175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  <c r="C18" s="28">
        <v>70</v>
      </c>
      <c r="D18" s="28">
        <v>70</v>
      </c>
      <c r="E18" s="28">
        <v>70</v>
      </c>
      <c r="F18" s="28">
        <v>70</v>
      </c>
      <c r="G18" s="28">
        <v>70</v>
      </c>
    </row>
    <row r="19" spans="1:7">
      <c r="A19" s="28" t="s">
        <v>69</v>
      </c>
      <c r="B19" s="28" t="s">
        <v>69</v>
      </c>
      <c r="C19" s="28">
        <v>650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47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47</v>
      </c>
      <c r="D21" s="28">
        <v>47</v>
      </c>
      <c r="E21" s="28">
        <v>47</v>
      </c>
      <c r="F21" s="28">
        <v>47</v>
      </c>
      <c r="G21" s="28">
        <v>47</v>
      </c>
    </row>
    <row r="22" spans="1:7">
      <c r="A22" s="28" t="s">
        <v>1758</v>
      </c>
      <c r="B22" s="28" t="s">
        <v>1758</v>
      </c>
      <c r="C22" s="28">
        <v>148</v>
      </c>
      <c r="D22" s="28">
        <v>158</v>
      </c>
      <c r="E22" s="28">
        <v>168</v>
      </c>
      <c r="F22" s="28">
        <v>178</v>
      </c>
      <c r="G22" s="28">
        <v>188</v>
      </c>
    </row>
    <row r="23" spans="1:7">
      <c r="A23" s="28" t="s">
        <v>1759</v>
      </c>
      <c r="B23" s="28" t="s">
        <v>1759</v>
      </c>
      <c r="C23" s="28">
        <v>160</v>
      </c>
      <c r="D23" s="28">
        <v>170</v>
      </c>
      <c r="E23" s="28">
        <v>180</v>
      </c>
      <c r="F23" s="28">
        <v>190</v>
      </c>
      <c r="G23" s="28">
        <v>200</v>
      </c>
    </row>
    <row r="26" spans="1:7">
      <c r="B26" s="28">
        <v>1</v>
      </c>
      <c r="C26" s="28" t="s">
        <v>412</v>
      </c>
    </row>
    <row r="27" spans="1:7">
      <c r="B27" s="28">
        <v>2</v>
      </c>
      <c r="C27" s="28" t="s">
        <v>32</v>
      </c>
    </row>
    <row r="28" spans="1:7">
      <c r="B28" s="28">
        <v>3</v>
      </c>
      <c r="C28" s="28" t="s">
        <v>35</v>
      </c>
    </row>
    <row r="29" spans="1:7">
      <c r="B29" s="28">
        <v>4</v>
      </c>
      <c r="C29" s="28" t="s">
        <v>30</v>
      </c>
    </row>
    <row r="30" spans="1:7">
      <c r="B30" s="28">
        <v>5</v>
      </c>
      <c r="C30" s="28" t="s">
        <v>37</v>
      </c>
    </row>
    <row r="31" spans="1:7">
      <c r="B31" s="28">
        <v>6</v>
      </c>
      <c r="C31" s="28" t="s">
        <v>1920</v>
      </c>
    </row>
    <row r="32" spans="1:7">
      <c r="B32" s="28">
        <v>7</v>
      </c>
      <c r="C32" s="28" t="s">
        <v>673</v>
      </c>
    </row>
    <row r="33" spans="2:3">
      <c r="B33" s="28">
        <v>8</v>
      </c>
      <c r="C33" s="28" t="s">
        <v>2344</v>
      </c>
    </row>
    <row r="34" spans="2:3">
      <c r="B34" s="28">
        <v>9</v>
      </c>
      <c r="C34" s="28" t="s">
        <v>570</v>
      </c>
    </row>
    <row r="35" spans="2:3">
      <c r="B35" s="28">
        <v>10</v>
      </c>
      <c r="C35" s="28" t="s">
        <v>1832</v>
      </c>
    </row>
    <row r="36" spans="2:3">
      <c r="B36" s="28">
        <v>11</v>
      </c>
      <c r="C36" s="28" t="s">
        <v>41</v>
      </c>
    </row>
    <row r="37" spans="2:3">
      <c r="B37" s="28">
        <v>12</v>
      </c>
      <c r="C37" s="28" t="s">
        <v>40</v>
      </c>
    </row>
    <row r="38" spans="2:3">
      <c r="B38" s="28">
        <v>13</v>
      </c>
      <c r="C38" s="28" t="s">
        <v>571</v>
      </c>
    </row>
    <row r="42" spans="2:3">
      <c r="C42" s="123" t="s">
        <v>2359</v>
      </c>
    </row>
    <row r="43" spans="2:3">
      <c r="C43" s="124" t="s">
        <v>18</v>
      </c>
    </row>
    <row r="44" spans="2:3">
      <c r="C44" s="123" t="s">
        <v>2360</v>
      </c>
    </row>
    <row r="45" spans="2:3">
      <c r="C45" s="124" t="s">
        <v>19</v>
      </c>
    </row>
    <row r="46" spans="2:3">
      <c r="C46" s="123" t="s">
        <v>2361</v>
      </c>
    </row>
    <row r="47" spans="2:3">
      <c r="C47" s="124" t="s">
        <v>20</v>
      </c>
    </row>
    <row r="48" spans="2:3">
      <c r="C48" s="123" t="s">
        <v>2362</v>
      </c>
    </row>
    <row r="49" spans="3:3">
      <c r="C49" s="124" t="s">
        <v>21</v>
      </c>
    </row>
    <row r="50" spans="3:3">
      <c r="C50" s="123" t="s">
        <v>2363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42.1640625" style="28" bestFit="1" customWidth="1"/>
    <col min="4" max="7" width="18.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21</v>
      </c>
    </row>
    <row r="2" spans="1:7">
      <c r="A2" s="28" t="s">
        <v>55</v>
      </c>
      <c r="B2" s="28" t="s">
        <v>61</v>
      </c>
      <c r="C2" s="28" t="s">
        <v>1647</v>
      </c>
      <c r="D2" s="28">
        <v>435</v>
      </c>
      <c r="E2" s="28">
        <v>470</v>
      </c>
      <c r="F2" s="28">
        <v>505</v>
      </c>
      <c r="G2" s="28">
        <v>540</v>
      </c>
    </row>
    <row r="3" spans="1:7">
      <c r="A3" s="28" t="s">
        <v>56</v>
      </c>
      <c r="B3" s="28" t="s">
        <v>74</v>
      </c>
      <c r="C3" s="28" t="s">
        <v>1648</v>
      </c>
      <c r="D3" s="28">
        <v>561</v>
      </c>
      <c r="E3" s="28">
        <v>588</v>
      </c>
      <c r="F3" s="28">
        <v>613</v>
      </c>
      <c r="G3" s="28">
        <v>639</v>
      </c>
    </row>
    <row r="4" spans="1:7">
      <c r="A4" s="28" t="s">
        <v>61</v>
      </c>
      <c r="B4" s="28" t="s">
        <v>67</v>
      </c>
      <c r="C4" s="28" t="s">
        <v>8</v>
      </c>
      <c r="D4" s="28">
        <v>438</v>
      </c>
      <c r="E4" s="28">
        <v>438</v>
      </c>
      <c r="F4" s="28">
        <v>438</v>
      </c>
      <c r="G4" s="28">
        <v>438</v>
      </c>
    </row>
    <row r="5" spans="1:7">
      <c r="A5" s="28" t="s">
        <v>74</v>
      </c>
      <c r="B5" s="28" t="s">
        <v>63</v>
      </c>
      <c r="C5" s="28" t="s">
        <v>490</v>
      </c>
      <c r="D5" s="28">
        <v>68</v>
      </c>
      <c r="E5" s="28">
        <v>69</v>
      </c>
      <c r="F5" s="28">
        <v>69</v>
      </c>
      <c r="G5" s="28">
        <v>69</v>
      </c>
    </row>
    <row r="6" spans="1:7">
      <c r="A6" s="28" t="s">
        <v>63</v>
      </c>
      <c r="B6" s="28" t="s">
        <v>64</v>
      </c>
      <c r="C6" s="28" t="s">
        <v>488</v>
      </c>
      <c r="D6" s="28">
        <v>74</v>
      </c>
      <c r="E6" s="28">
        <v>74</v>
      </c>
      <c r="F6" s="28">
        <v>74</v>
      </c>
      <c r="G6" s="28">
        <v>74</v>
      </c>
    </row>
    <row r="7" spans="1:7">
      <c r="A7" s="28" t="s">
        <v>64</v>
      </c>
      <c r="B7" s="28" t="s">
        <v>66</v>
      </c>
      <c r="C7" s="28" t="s">
        <v>177</v>
      </c>
      <c r="D7" s="28">
        <v>70</v>
      </c>
      <c r="E7" s="28">
        <v>70</v>
      </c>
      <c r="F7" s="28">
        <v>70</v>
      </c>
      <c r="G7" s="28">
        <v>70</v>
      </c>
    </row>
    <row r="8" spans="1:7">
      <c r="A8" s="28" t="s">
        <v>65</v>
      </c>
      <c r="B8" s="28" t="s">
        <v>65</v>
      </c>
      <c r="C8" s="28" t="s">
        <v>6</v>
      </c>
      <c r="D8" s="28">
        <v>100</v>
      </c>
      <c r="E8" s="28">
        <v>113</v>
      </c>
      <c r="F8" s="28">
        <v>126</v>
      </c>
      <c r="G8" s="28">
        <v>139</v>
      </c>
    </row>
    <row r="9" spans="1:7">
      <c r="A9" s="28" t="s">
        <v>66</v>
      </c>
      <c r="B9" s="28" t="s">
        <v>56</v>
      </c>
      <c r="C9" s="28" t="s">
        <v>1</v>
      </c>
      <c r="D9" s="28">
        <v>388</v>
      </c>
      <c r="E9" s="28">
        <v>410</v>
      </c>
      <c r="F9" s="28">
        <v>432</v>
      </c>
      <c r="G9" s="28">
        <v>454</v>
      </c>
    </row>
    <row r="10" spans="1:7">
      <c r="A10" s="28" t="s">
        <v>67</v>
      </c>
      <c r="B10" s="28" t="s">
        <v>55</v>
      </c>
      <c r="C10" s="28" t="s">
        <v>0</v>
      </c>
      <c r="D10" s="28">
        <v>604</v>
      </c>
      <c r="E10" s="28">
        <v>621</v>
      </c>
      <c r="F10" s="28">
        <v>633</v>
      </c>
      <c r="G10" s="28">
        <v>645</v>
      </c>
    </row>
    <row r="11" spans="1:7">
      <c r="A11" s="28" t="s">
        <v>57</v>
      </c>
      <c r="B11" s="28" t="s">
        <v>57</v>
      </c>
      <c r="C11" s="28" t="s">
        <v>10</v>
      </c>
      <c r="D11" s="28">
        <v>1092</v>
      </c>
      <c r="E11" s="28">
        <v>1109</v>
      </c>
      <c r="F11" s="28">
        <v>1136</v>
      </c>
      <c r="G11" s="28">
        <v>1162</v>
      </c>
    </row>
    <row r="12" spans="1:7">
      <c r="A12" s="28" t="s">
        <v>68</v>
      </c>
      <c r="B12" s="28" t="s">
        <v>68</v>
      </c>
      <c r="C12" s="28" t="s">
        <v>250</v>
      </c>
      <c r="D12" s="28">
        <v>44</v>
      </c>
      <c r="E12" s="28">
        <v>44</v>
      </c>
      <c r="F12" s="28">
        <v>44</v>
      </c>
      <c r="G12" s="28">
        <v>44</v>
      </c>
    </row>
    <row r="13" spans="1:7">
      <c r="A13" s="28" t="s">
        <v>58</v>
      </c>
      <c r="B13" s="28" t="s">
        <v>498</v>
      </c>
      <c r="C13" s="28" t="s">
        <v>1657</v>
      </c>
      <c r="D13" s="28">
        <v>483</v>
      </c>
      <c r="E13" s="28">
        <v>483</v>
      </c>
      <c r="F13" s="28">
        <v>483</v>
      </c>
      <c r="G13" s="28">
        <v>483</v>
      </c>
    </row>
    <row r="14" spans="1:7">
      <c r="A14" s="28" t="s">
        <v>70</v>
      </c>
      <c r="B14" s="28" t="s">
        <v>58</v>
      </c>
      <c r="C14" s="28" t="s">
        <v>58</v>
      </c>
    </row>
    <row r="15" spans="1:7">
      <c r="A15" s="28" t="s">
        <v>71</v>
      </c>
      <c r="B15" s="28" t="s">
        <v>70</v>
      </c>
      <c r="C15" s="28" t="s">
        <v>70</v>
      </c>
    </row>
    <row r="16" spans="1:7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  <c r="G18" s="28">
        <v>32</v>
      </c>
    </row>
    <row r="19" spans="1:7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G19" si="0">2.4*25.4</f>
        <v>60.959999999999994</v>
      </c>
      <c r="F19" s="28">
        <f t="shared" si="0"/>
        <v>60.959999999999994</v>
      </c>
      <c r="G19" s="28">
        <f t="shared" si="0"/>
        <v>60.959999999999994</v>
      </c>
    </row>
    <row r="20" spans="1:7">
      <c r="B20" s="28" t="s">
        <v>141</v>
      </c>
      <c r="C20" s="28" t="s">
        <v>141</v>
      </c>
    </row>
    <row r="24" spans="1:7">
      <c r="C24" s="28" t="s">
        <v>1649</v>
      </c>
      <c r="D24" s="28" t="s">
        <v>1650</v>
      </c>
      <c r="E24" s="28" t="s">
        <v>1651</v>
      </c>
      <c r="F24" s="28" t="s">
        <v>1652</v>
      </c>
      <c r="G24" s="28" t="s">
        <v>1653</v>
      </c>
    </row>
    <row r="25" spans="1:7">
      <c r="C25" s="28" t="s">
        <v>14</v>
      </c>
      <c r="D25" s="28" t="s">
        <v>1654</v>
      </c>
      <c r="E25" s="28" t="s">
        <v>1655</v>
      </c>
      <c r="F25" s="28" t="s">
        <v>1655</v>
      </c>
      <c r="G25" s="28" t="s">
        <v>1655</v>
      </c>
    </row>
    <row r="26" spans="1:7">
      <c r="C26" s="28" t="s">
        <v>1656</v>
      </c>
    </row>
    <row r="27" spans="1:7">
      <c r="C27" s="28" t="s">
        <v>1657</v>
      </c>
      <c r="D27" s="28">
        <v>483</v>
      </c>
      <c r="E27" s="28">
        <v>483</v>
      </c>
      <c r="F27" s="28">
        <v>483</v>
      </c>
      <c r="G27" s="28">
        <v>483</v>
      </c>
    </row>
    <row r="28" spans="1:7">
      <c r="C28" s="28" t="s">
        <v>250</v>
      </c>
      <c r="D28" s="28">
        <v>44</v>
      </c>
      <c r="E28" s="28">
        <v>44</v>
      </c>
      <c r="F28" s="28">
        <v>44</v>
      </c>
      <c r="G28" s="28">
        <v>44</v>
      </c>
    </row>
    <row r="29" spans="1:7">
      <c r="C29" s="28" t="s">
        <v>1658</v>
      </c>
      <c r="D29" s="28" t="s">
        <v>1659</v>
      </c>
      <c r="E29" s="28" t="s">
        <v>1659</v>
      </c>
      <c r="F29" s="28" t="s">
        <v>1659</v>
      </c>
      <c r="G29" s="28" t="s">
        <v>1659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3.5" style="28" bestFit="1" customWidth="1"/>
    <col min="3" max="16384" width="10.83203125" style="28"/>
  </cols>
  <sheetData>
    <row r="1" spans="1:8">
      <c r="A1" s="28" t="s">
        <v>73</v>
      </c>
      <c r="B1" s="28" t="s">
        <v>139</v>
      </c>
      <c r="C1" s="28" t="s">
        <v>1765</v>
      </c>
      <c r="D1" s="28" t="s">
        <v>1766</v>
      </c>
      <c r="E1" s="28" t="s">
        <v>1767</v>
      </c>
      <c r="F1" s="28" t="s">
        <v>1768</v>
      </c>
      <c r="G1" s="28" t="s">
        <v>1769</v>
      </c>
    </row>
    <row r="2" spans="1:8">
      <c r="A2" s="28" t="s">
        <v>61</v>
      </c>
      <c r="B2" s="28" t="s">
        <v>1770</v>
      </c>
      <c r="C2" s="28">
        <v>400</v>
      </c>
      <c r="D2" s="28">
        <v>440</v>
      </c>
      <c r="E2" s="28">
        <v>490</v>
      </c>
      <c r="F2" s="28">
        <v>530</v>
      </c>
      <c r="G2" s="28">
        <v>570</v>
      </c>
    </row>
    <row r="3" spans="1:8">
      <c r="A3" s="28" t="s">
        <v>64</v>
      </c>
      <c r="B3" s="28" t="s">
        <v>1771</v>
      </c>
      <c r="C3" s="28">
        <v>74</v>
      </c>
      <c r="D3" s="28">
        <v>74</v>
      </c>
      <c r="E3" s="28">
        <v>73.5</v>
      </c>
      <c r="F3" s="28">
        <v>73</v>
      </c>
      <c r="G3" s="28">
        <v>73</v>
      </c>
    </row>
    <row r="4" spans="1:8">
      <c r="A4" s="28" t="s">
        <v>63</v>
      </c>
      <c r="B4" s="28" t="s">
        <v>1772</v>
      </c>
      <c r="C4" s="28">
        <v>70</v>
      </c>
      <c r="D4" s="28">
        <v>70.5</v>
      </c>
      <c r="E4" s="28">
        <v>71</v>
      </c>
      <c r="F4" s="28">
        <v>71</v>
      </c>
      <c r="G4" s="28">
        <v>71.5</v>
      </c>
    </row>
    <row r="5" spans="1:8">
      <c r="A5" s="28" t="s">
        <v>74</v>
      </c>
      <c r="B5" s="28" t="s">
        <v>1773</v>
      </c>
      <c r="C5" s="28">
        <v>530</v>
      </c>
      <c r="D5" s="28">
        <v>545</v>
      </c>
      <c r="E5" s="28">
        <v>565</v>
      </c>
      <c r="F5" s="28">
        <v>586</v>
      </c>
      <c r="G5" s="28">
        <v>601</v>
      </c>
    </row>
    <row r="6" spans="1:8">
      <c r="A6" s="28" t="s">
        <v>56</v>
      </c>
      <c r="B6" s="28" t="s">
        <v>1774</v>
      </c>
      <c r="C6" s="28">
        <v>381</v>
      </c>
      <c r="D6" s="28">
        <v>388</v>
      </c>
      <c r="E6" s="28">
        <v>395</v>
      </c>
      <c r="F6" s="28">
        <v>402</v>
      </c>
      <c r="G6" s="28">
        <v>409</v>
      </c>
    </row>
    <row r="7" spans="1:8">
      <c r="A7" s="28" t="s">
        <v>67</v>
      </c>
      <c r="B7" s="28" t="s">
        <v>1775</v>
      </c>
      <c r="C7" s="28">
        <v>430</v>
      </c>
      <c r="D7" s="28">
        <v>430</v>
      </c>
      <c r="E7" s="28">
        <v>430</v>
      </c>
      <c r="F7" s="28">
        <v>430</v>
      </c>
      <c r="G7" s="28">
        <v>430</v>
      </c>
    </row>
    <row r="8" spans="1:8">
      <c r="A8" s="28" t="s">
        <v>57</v>
      </c>
      <c r="B8" s="28" t="s">
        <v>1776</v>
      </c>
      <c r="C8" s="28">
        <v>1022</v>
      </c>
      <c r="D8" s="28">
        <v>1035</v>
      </c>
      <c r="E8" s="28">
        <v>1046</v>
      </c>
      <c r="F8" s="28">
        <v>1062</v>
      </c>
      <c r="G8" s="28">
        <v>1073</v>
      </c>
    </row>
    <row r="9" spans="1:8">
      <c r="A9" s="28" t="s">
        <v>138</v>
      </c>
      <c r="B9" s="28" t="s">
        <v>1777</v>
      </c>
      <c r="C9" s="28">
        <v>283</v>
      </c>
      <c r="D9" s="28">
        <v>283</v>
      </c>
      <c r="E9" s="28">
        <v>283</v>
      </c>
      <c r="F9" s="28">
        <v>283</v>
      </c>
      <c r="G9" s="28">
        <v>283</v>
      </c>
    </row>
    <row r="10" spans="1:8">
      <c r="A10" s="28" t="s">
        <v>58</v>
      </c>
      <c r="B10" s="28" t="s">
        <v>1778</v>
      </c>
      <c r="C10" s="28">
        <v>686</v>
      </c>
      <c r="D10" s="28">
        <v>716</v>
      </c>
      <c r="E10" s="28">
        <v>747</v>
      </c>
      <c r="F10" s="28">
        <v>780</v>
      </c>
      <c r="G10" s="28">
        <v>814</v>
      </c>
    </row>
    <row r="11" spans="1:8">
      <c r="A11" s="28" t="s">
        <v>55</v>
      </c>
      <c r="B11" s="28" t="s">
        <v>1779</v>
      </c>
      <c r="C11" s="28">
        <v>519</v>
      </c>
      <c r="D11" s="28">
        <v>544</v>
      </c>
      <c r="E11" s="28">
        <v>575</v>
      </c>
      <c r="F11" s="28">
        <v>603</v>
      </c>
      <c r="G11" s="28">
        <v>629</v>
      </c>
    </row>
    <row r="12" spans="1:8">
      <c r="A12" s="28" t="s">
        <v>65</v>
      </c>
      <c r="B12" s="28" t="s">
        <v>1780</v>
      </c>
      <c r="C12" s="28">
        <v>100</v>
      </c>
      <c r="D12" s="28">
        <v>130</v>
      </c>
      <c r="E12" s="28">
        <v>155</v>
      </c>
      <c r="F12" s="28">
        <v>185</v>
      </c>
      <c r="G12" s="28">
        <v>210</v>
      </c>
    </row>
    <row r="13" spans="1:8">
      <c r="A13" s="28" t="s">
        <v>66</v>
      </c>
      <c r="B13" s="28" t="s">
        <v>66</v>
      </c>
      <c r="C13" s="28">
        <f>C25-C9</f>
        <v>73</v>
      </c>
      <c r="D13" s="28">
        <f t="shared" ref="D13:G13" si="0">D25-D9</f>
        <v>73</v>
      </c>
      <c r="E13" s="28">
        <f t="shared" si="0"/>
        <v>73</v>
      </c>
      <c r="F13" s="28">
        <f t="shared" si="0"/>
        <v>73</v>
      </c>
      <c r="G13" s="28">
        <f t="shared" si="0"/>
        <v>73</v>
      </c>
    </row>
    <row r="14" spans="1:8">
      <c r="A14" s="28" t="s">
        <v>68</v>
      </c>
      <c r="B14" s="28" t="s">
        <v>68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 t="s">
        <v>1788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7">
      <c r="A17" s="28" t="s">
        <v>72</v>
      </c>
      <c r="B17" s="28" t="s">
        <v>72</v>
      </c>
    </row>
    <row r="18" spans="1:7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140</v>
      </c>
      <c r="B19" s="28" t="s">
        <v>140</v>
      </c>
      <c r="C19" s="28">
        <v>45</v>
      </c>
      <c r="D19" s="28">
        <v>45</v>
      </c>
      <c r="E19" s="28">
        <v>45</v>
      </c>
      <c r="F19" s="28">
        <v>45</v>
      </c>
      <c r="G19" s="28">
        <v>45</v>
      </c>
    </row>
    <row r="20" spans="1:7">
      <c r="A20" s="28" t="s">
        <v>141</v>
      </c>
      <c r="B20" s="28" t="s">
        <v>141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1758</v>
      </c>
      <c r="B21" s="28" t="s">
        <v>1758</v>
      </c>
      <c r="C21" s="28">
        <f>VALUE(LEFT(C24,3))</f>
        <v>147</v>
      </c>
      <c r="D21" s="28">
        <f t="shared" ref="D21:G21" si="1">VALUE(LEFT(D24,3))</f>
        <v>157</v>
      </c>
      <c r="E21" s="28">
        <f t="shared" si="1"/>
        <v>169</v>
      </c>
      <c r="F21" s="28">
        <f t="shared" si="1"/>
        <v>178</v>
      </c>
      <c r="G21" s="28">
        <f t="shared" si="1"/>
        <v>185</v>
      </c>
    </row>
    <row r="22" spans="1:7">
      <c r="A22" s="28" t="s">
        <v>1759</v>
      </c>
      <c r="B22" s="28" t="s">
        <v>1759</v>
      </c>
      <c r="C22" s="28">
        <f>VALUE(RIGHT(C24,3))</f>
        <v>160</v>
      </c>
      <c r="D22" s="28">
        <f t="shared" ref="D22:G22" si="2">VALUE(RIGHT(D24,3))</f>
        <v>171</v>
      </c>
      <c r="E22" s="28">
        <f t="shared" si="2"/>
        <v>180</v>
      </c>
      <c r="F22" s="28">
        <f t="shared" si="2"/>
        <v>187</v>
      </c>
      <c r="G22" s="28">
        <f t="shared" si="2"/>
        <v>193</v>
      </c>
    </row>
    <row r="24" spans="1:7">
      <c r="B24" s="28" t="s">
        <v>1781</v>
      </c>
      <c r="C24" s="28" t="s">
        <v>1782</v>
      </c>
      <c r="D24" s="28" t="s">
        <v>1783</v>
      </c>
      <c r="E24" s="28" t="s">
        <v>1784</v>
      </c>
      <c r="F24" s="28" t="s">
        <v>1785</v>
      </c>
      <c r="G24" s="28" t="s">
        <v>1786</v>
      </c>
    </row>
    <row r="25" spans="1:7">
      <c r="B25" s="28" t="s">
        <v>1787</v>
      </c>
      <c r="C25" s="28">
        <f>622/2+C19</f>
        <v>356</v>
      </c>
      <c r="D25" s="28">
        <f t="shared" ref="D25:G25" si="3">622/2+D19</f>
        <v>356</v>
      </c>
      <c r="E25" s="28">
        <f t="shared" si="3"/>
        <v>356</v>
      </c>
      <c r="F25" s="28">
        <f t="shared" si="3"/>
        <v>356</v>
      </c>
      <c r="G25" s="28">
        <f t="shared" si="3"/>
        <v>356</v>
      </c>
    </row>
    <row r="29" spans="1:7">
      <c r="C29" s="28">
        <f>1.9*25.4</f>
        <v>48.26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28" customFormat="1" ht="20">
      <c r="A1" s="28" t="s">
        <v>73</v>
      </c>
      <c r="B1" s="28" t="s">
        <v>73</v>
      </c>
      <c r="C1" s="28" t="str" cm="1">
        <f t="array" ref="C1:G14">TRANSPOSE(C26:P30)</f>
        <v>FRAME SIZE</v>
      </c>
      <c r="D1" s="28" t="str">
        <v>SML</v>
      </c>
      <c r="E1" s="28" t="str">
        <v>MED</v>
      </c>
      <c r="F1" s="28" t="str">
        <v>LG</v>
      </c>
      <c r="G1" s="28" t="str">
        <v>XL</v>
      </c>
    </row>
    <row r="2" spans="1:7" s="28" customFormat="1" ht="20">
      <c r="A2" s="28" t="s">
        <v>55</v>
      </c>
      <c r="B2" s="28" t="s">
        <v>74</v>
      </c>
      <c r="C2" s="28" t="str">
        <v>A - TOP TUBE (MM)</v>
      </c>
      <c r="D2" s="28">
        <v>545</v>
      </c>
      <c r="E2" s="28">
        <v>571</v>
      </c>
      <c r="F2" s="28">
        <v>598</v>
      </c>
      <c r="G2" s="28">
        <v>625</v>
      </c>
    </row>
    <row r="3" spans="1:7" s="28" customFormat="1" ht="20">
      <c r="A3" s="28" t="s">
        <v>56</v>
      </c>
      <c r="B3" s="28" t="s">
        <v>61</v>
      </c>
      <c r="C3" s="28" t="str">
        <v>B - SEAT TUBE</v>
      </c>
      <c r="D3" s="28">
        <v>440</v>
      </c>
      <c r="E3" s="28">
        <v>470</v>
      </c>
      <c r="F3" s="28">
        <v>500</v>
      </c>
      <c r="G3" s="28">
        <v>530</v>
      </c>
    </row>
    <row r="4" spans="1:7" s="28" customFormat="1" ht="20">
      <c r="A4" s="28" t="s">
        <v>61</v>
      </c>
      <c r="B4" s="28" t="s">
        <v>65</v>
      </c>
      <c r="C4" s="28" t="str">
        <v>C - HEAD TUBE</v>
      </c>
      <c r="D4" s="28">
        <v>110</v>
      </c>
      <c r="E4" s="28">
        <v>135</v>
      </c>
      <c r="F4" s="28">
        <v>160</v>
      </c>
      <c r="G4" s="28">
        <v>185</v>
      </c>
    </row>
    <row r="5" spans="1:7" s="28" customFormat="1" ht="20">
      <c r="A5" s="28" t="s">
        <v>74</v>
      </c>
      <c r="B5" s="28" t="s">
        <v>67</v>
      </c>
      <c r="C5" s="28" t="str">
        <v>D - CHAIN STAY</v>
      </c>
      <c r="D5" s="28">
        <v>435</v>
      </c>
      <c r="E5" s="28">
        <v>435</v>
      </c>
      <c r="F5" s="28">
        <v>435</v>
      </c>
      <c r="G5" s="28">
        <v>435</v>
      </c>
    </row>
    <row r="6" spans="1:7" s="28" customFormat="1" ht="20">
      <c r="A6" s="28" t="s">
        <v>63</v>
      </c>
      <c r="B6" s="28" t="s">
        <v>66</v>
      </c>
      <c r="C6" s="28" t="str">
        <v>E - BB DROP</v>
      </c>
      <c r="D6" s="28">
        <v>75</v>
      </c>
      <c r="E6" s="28">
        <v>75</v>
      </c>
      <c r="F6" s="28">
        <v>75</v>
      </c>
      <c r="G6" s="28">
        <v>75</v>
      </c>
    </row>
    <row r="7" spans="1:7" s="28" customFormat="1" ht="20">
      <c r="A7" s="28" t="s">
        <v>64</v>
      </c>
      <c r="B7" s="28" t="s">
        <v>64</v>
      </c>
      <c r="C7" s="28" t="str">
        <v>F - SEAT ANGLE</v>
      </c>
      <c r="D7" s="28">
        <v>75.5</v>
      </c>
      <c r="E7" s="28">
        <v>75</v>
      </c>
      <c r="F7" s="28">
        <v>74.5</v>
      </c>
      <c r="G7" s="28">
        <v>74</v>
      </c>
    </row>
    <row r="8" spans="1:7" s="28" customFormat="1" ht="20">
      <c r="A8" s="28" t="s">
        <v>65</v>
      </c>
      <c r="B8" s="28" t="s">
        <v>63</v>
      </c>
      <c r="C8" s="28" t="str">
        <v>G - HEAD ANGLE</v>
      </c>
      <c r="D8" s="28">
        <v>71</v>
      </c>
      <c r="E8" s="28">
        <v>71</v>
      </c>
      <c r="F8" s="28">
        <v>71</v>
      </c>
      <c r="G8" s="28">
        <v>71</v>
      </c>
    </row>
    <row r="9" spans="1:7" s="28" customFormat="1" ht="20">
      <c r="A9" s="28" t="s">
        <v>66</v>
      </c>
      <c r="B9" s="28" t="s">
        <v>166</v>
      </c>
      <c r="C9" s="28" t="str">
        <v>H - FORK LENGTH</v>
      </c>
      <c r="D9" s="28">
        <v>399</v>
      </c>
      <c r="E9" s="28">
        <v>399</v>
      </c>
      <c r="F9" s="28">
        <v>399</v>
      </c>
      <c r="G9" s="28">
        <v>399</v>
      </c>
    </row>
    <row r="10" spans="1:7" s="28" customFormat="1" ht="20">
      <c r="A10" s="28" t="s">
        <v>67</v>
      </c>
      <c r="B10" s="28" t="s">
        <v>55</v>
      </c>
      <c r="C10" s="28" t="str">
        <v>I - STACK</v>
      </c>
      <c r="D10" s="28">
        <v>550</v>
      </c>
      <c r="E10" s="28">
        <v>574</v>
      </c>
      <c r="F10" s="28">
        <v>595</v>
      </c>
      <c r="G10" s="28">
        <v>621</v>
      </c>
    </row>
    <row r="11" spans="1:7" s="28" customFormat="1" ht="20">
      <c r="A11" s="28" t="s">
        <v>57</v>
      </c>
      <c r="B11" s="28" t="s">
        <v>56</v>
      </c>
      <c r="C11" s="28" t="str">
        <v>J - REACH</v>
      </c>
      <c r="D11" s="28">
        <v>400</v>
      </c>
      <c r="E11" s="28">
        <v>415</v>
      </c>
      <c r="F11" s="28">
        <v>430</v>
      </c>
      <c r="G11" s="28">
        <v>445</v>
      </c>
    </row>
    <row r="12" spans="1:7" s="28" customFormat="1" ht="20">
      <c r="A12" s="28" t="s">
        <v>68</v>
      </c>
      <c r="B12" s="28" t="s">
        <v>57</v>
      </c>
      <c r="C12" s="28" t="str">
        <v>K - WHEEL BASE</v>
      </c>
      <c r="D12" s="28">
        <v>1045</v>
      </c>
      <c r="E12" s="28">
        <v>1068</v>
      </c>
      <c r="F12" s="28">
        <v>1092</v>
      </c>
      <c r="G12" s="28">
        <v>1115</v>
      </c>
    </row>
    <row r="13" spans="1:7" s="28" customFormat="1" ht="20">
      <c r="A13" s="28" t="s">
        <v>58</v>
      </c>
      <c r="B13" s="28" t="s">
        <v>776</v>
      </c>
      <c r="C13" s="28" t="str">
        <v>DOWN TUBE OD</v>
      </c>
      <c r="D13" s="28">
        <v>38</v>
      </c>
      <c r="E13" s="28">
        <v>42</v>
      </c>
      <c r="F13" s="28">
        <v>42</v>
      </c>
      <c r="G13" s="28">
        <v>42</v>
      </c>
    </row>
    <row r="14" spans="1:7" s="28" customFormat="1" ht="20">
      <c r="A14" s="28" t="s">
        <v>70</v>
      </c>
      <c r="B14" s="28" t="s">
        <v>777</v>
      </c>
      <c r="C14" s="28" t="str">
        <v>TOP TUBE OD</v>
      </c>
      <c r="D14" s="28">
        <v>32</v>
      </c>
      <c r="E14" s="28">
        <v>32</v>
      </c>
      <c r="F14" s="28">
        <v>32</v>
      </c>
      <c r="G14" s="28">
        <v>35</v>
      </c>
    </row>
    <row r="15" spans="1:7" s="28" customFormat="1" ht="20">
      <c r="A15" s="28" t="s">
        <v>71</v>
      </c>
      <c r="B15" s="28" t="s">
        <v>68</v>
      </c>
      <c r="C15" s="28" t="s">
        <v>68</v>
      </c>
      <c r="D15" s="28">
        <v>50</v>
      </c>
      <c r="E15" s="28">
        <v>50</v>
      </c>
      <c r="F15" s="28">
        <v>50</v>
      </c>
      <c r="G15" s="28">
        <v>50</v>
      </c>
    </row>
    <row r="16" spans="1:7" s="28" customFormat="1" ht="20">
      <c r="A16" s="28" t="s">
        <v>72</v>
      </c>
      <c r="B16" s="28" t="s">
        <v>58</v>
      </c>
      <c r="C16" s="28" t="s">
        <v>58</v>
      </c>
    </row>
    <row r="17" spans="1:16" s="28" customFormat="1" ht="20">
      <c r="A17" s="28" t="s">
        <v>69</v>
      </c>
      <c r="B17" s="28" t="s">
        <v>70</v>
      </c>
      <c r="C17" s="28" t="s">
        <v>70</v>
      </c>
    </row>
    <row r="18" spans="1:16" s="28" customFormat="1" ht="20">
      <c r="A18" s="28" t="s">
        <v>140</v>
      </c>
      <c r="B18" s="28" t="s">
        <v>71</v>
      </c>
      <c r="C18" s="28" t="s">
        <v>71</v>
      </c>
    </row>
    <row r="19" spans="1:16" s="28" customFormat="1" ht="20">
      <c r="A19" s="28" t="s">
        <v>141</v>
      </c>
      <c r="B19" s="28" t="s">
        <v>72</v>
      </c>
      <c r="C19" s="28" t="s">
        <v>72</v>
      </c>
    </row>
    <row r="20" spans="1:16" s="28" customFormat="1" ht="2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</row>
    <row r="21" spans="1:16" s="28" customFormat="1" ht="20">
      <c r="B21" s="28" t="s">
        <v>140</v>
      </c>
      <c r="C21" s="28" t="s">
        <v>140</v>
      </c>
    </row>
    <row r="22" spans="1:16" s="28" customFormat="1" ht="2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</row>
    <row r="23" spans="1:16" s="28" customFormat="1" ht="20"/>
    <row r="24" spans="1:16" s="28" customFormat="1" ht="20"/>
    <row r="25" spans="1:16" s="28" customFormat="1" ht="20"/>
    <row r="26" spans="1:16" ht="22">
      <c r="C26" s="37" t="s">
        <v>760</v>
      </c>
      <c r="D26" s="37" t="s">
        <v>761</v>
      </c>
      <c r="E26" s="37" t="s">
        <v>762</v>
      </c>
      <c r="F26" s="37" t="s">
        <v>763</v>
      </c>
      <c r="G26" s="37" t="s">
        <v>764</v>
      </c>
      <c r="H26" s="37" t="s">
        <v>765</v>
      </c>
      <c r="I26" s="37" t="s">
        <v>766</v>
      </c>
      <c r="J26" s="37" t="s">
        <v>767</v>
      </c>
      <c r="K26" s="37" t="s">
        <v>768</v>
      </c>
      <c r="L26" s="37" t="s">
        <v>769</v>
      </c>
      <c r="M26" s="37" t="s">
        <v>770</v>
      </c>
      <c r="N26" s="37" t="s">
        <v>771</v>
      </c>
      <c r="O26" s="37" t="s">
        <v>772</v>
      </c>
      <c r="P26" s="37" t="s">
        <v>773</v>
      </c>
    </row>
    <row r="27" spans="1:16" ht="22">
      <c r="C27" s="36" t="s">
        <v>774</v>
      </c>
      <c r="D27" s="36">
        <v>545</v>
      </c>
      <c r="E27" s="36">
        <v>440</v>
      </c>
      <c r="F27" s="36">
        <v>110</v>
      </c>
      <c r="G27" s="36">
        <v>435</v>
      </c>
      <c r="H27" s="36">
        <v>75</v>
      </c>
      <c r="I27" s="36">
        <v>75.5</v>
      </c>
      <c r="J27" s="36">
        <v>71</v>
      </c>
      <c r="K27" s="36">
        <v>399</v>
      </c>
      <c r="L27" s="36">
        <v>550</v>
      </c>
      <c r="M27" s="36">
        <v>400</v>
      </c>
      <c r="N27" s="36">
        <v>1045</v>
      </c>
      <c r="O27" s="36">
        <v>38</v>
      </c>
      <c r="P27" s="36">
        <v>32</v>
      </c>
    </row>
    <row r="28" spans="1:16" ht="22">
      <c r="C28" s="36" t="s">
        <v>775</v>
      </c>
      <c r="D28" s="36">
        <v>571</v>
      </c>
      <c r="E28" s="36">
        <v>470</v>
      </c>
      <c r="F28" s="36">
        <v>135</v>
      </c>
      <c r="G28" s="36">
        <v>435</v>
      </c>
      <c r="H28" s="36">
        <v>75</v>
      </c>
      <c r="I28" s="36">
        <v>75</v>
      </c>
      <c r="J28" s="36">
        <v>71</v>
      </c>
      <c r="K28" s="36">
        <v>399</v>
      </c>
      <c r="L28" s="36">
        <v>574</v>
      </c>
      <c r="M28" s="36">
        <v>415</v>
      </c>
      <c r="N28" s="36">
        <v>1068</v>
      </c>
      <c r="O28" s="36">
        <v>42</v>
      </c>
      <c r="P28" s="36">
        <v>32</v>
      </c>
    </row>
    <row r="29" spans="1:16" ht="22">
      <c r="C29" s="36" t="s">
        <v>173</v>
      </c>
      <c r="D29" s="36">
        <v>598</v>
      </c>
      <c r="E29" s="36">
        <v>500</v>
      </c>
      <c r="F29" s="36">
        <v>160</v>
      </c>
      <c r="G29" s="36">
        <v>435</v>
      </c>
      <c r="H29" s="36">
        <v>75</v>
      </c>
      <c r="I29" s="36">
        <v>74.5</v>
      </c>
      <c r="J29" s="36">
        <v>71</v>
      </c>
      <c r="K29" s="36">
        <v>399</v>
      </c>
      <c r="L29" s="36">
        <v>595</v>
      </c>
      <c r="M29" s="36">
        <v>430</v>
      </c>
      <c r="N29" s="36">
        <v>1092</v>
      </c>
      <c r="O29" s="36">
        <v>42</v>
      </c>
      <c r="P29" s="36">
        <v>32</v>
      </c>
    </row>
    <row r="30" spans="1:16" ht="22">
      <c r="C30" s="36" t="s">
        <v>21</v>
      </c>
      <c r="D30" s="36">
        <v>625</v>
      </c>
      <c r="E30" s="36">
        <v>530</v>
      </c>
      <c r="F30" s="36">
        <v>185</v>
      </c>
      <c r="G30" s="36">
        <v>435</v>
      </c>
      <c r="H30" s="36">
        <v>75</v>
      </c>
      <c r="I30" s="36">
        <v>74</v>
      </c>
      <c r="J30" s="36">
        <v>71</v>
      </c>
      <c r="K30" s="36">
        <v>399</v>
      </c>
      <c r="L30" s="36">
        <v>621</v>
      </c>
      <c r="M30" s="36">
        <v>445</v>
      </c>
      <c r="N30" s="36">
        <v>1115</v>
      </c>
      <c r="O30" s="36">
        <v>42</v>
      </c>
      <c r="P30" s="36">
        <v>35</v>
      </c>
    </row>
    <row r="33" spans="1:4" ht="51" customHeight="1">
      <c r="A33" s="37" t="s">
        <v>778</v>
      </c>
      <c r="B33" s="37" t="s">
        <v>779</v>
      </c>
      <c r="C33" s="37" t="s">
        <v>780</v>
      </c>
      <c r="D33" s="37" t="s">
        <v>781</v>
      </c>
    </row>
    <row r="34" spans="1:4" ht="22">
      <c r="A34" s="36">
        <v>50</v>
      </c>
      <c r="B34" s="36">
        <v>158</v>
      </c>
      <c r="C34" s="36" t="s">
        <v>782</v>
      </c>
      <c r="D34" s="36">
        <v>660</v>
      </c>
    </row>
    <row r="35" spans="1:4" ht="22">
      <c r="A35" s="36">
        <v>51</v>
      </c>
      <c r="B35" s="36">
        <v>162</v>
      </c>
      <c r="C35" s="36" t="s">
        <v>783</v>
      </c>
      <c r="D35" s="36">
        <v>680</v>
      </c>
    </row>
    <row r="36" spans="1:4" ht="22">
      <c r="A36" s="36">
        <v>52</v>
      </c>
      <c r="B36" s="36">
        <v>166</v>
      </c>
      <c r="C36" s="36" t="s">
        <v>784</v>
      </c>
      <c r="D36" s="36">
        <v>700</v>
      </c>
    </row>
    <row r="37" spans="1:4" ht="22">
      <c r="A37" s="36">
        <v>53</v>
      </c>
      <c r="B37" s="36">
        <v>170</v>
      </c>
      <c r="C37" s="36" t="s">
        <v>785</v>
      </c>
      <c r="D37" s="36">
        <v>720</v>
      </c>
    </row>
    <row r="38" spans="1:4" ht="22">
      <c r="A38" s="36">
        <v>54</v>
      </c>
      <c r="B38" s="36">
        <v>174</v>
      </c>
      <c r="C38" s="36" t="s">
        <v>786</v>
      </c>
      <c r="D38" s="36">
        <v>740</v>
      </c>
    </row>
    <row r="39" spans="1:4" ht="22">
      <c r="A39" s="36">
        <v>55</v>
      </c>
      <c r="B39" s="36">
        <v>178</v>
      </c>
      <c r="C39" s="36" t="s">
        <v>787</v>
      </c>
      <c r="D39" s="36">
        <v>760</v>
      </c>
    </row>
    <row r="40" spans="1:4" ht="22">
      <c r="A40" s="36">
        <v>56</v>
      </c>
      <c r="B40" s="36">
        <v>182</v>
      </c>
      <c r="C40" s="36" t="s">
        <v>788</v>
      </c>
      <c r="D40" s="36">
        <v>780</v>
      </c>
    </row>
    <row r="41" spans="1:4" ht="22">
      <c r="A41" s="36">
        <v>57</v>
      </c>
      <c r="B41" s="36">
        <v>186</v>
      </c>
      <c r="C41" s="36" t="s">
        <v>789</v>
      </c>
      <c r="D41" s="36">
        <v>800</v>
      </c>
    </row>
    <row r="42" spans="1:4" ht="22">
      <c r="A42" s="36">
        <v>58</v>
      </c>
      <c r="B42" s="36">
        <v>190</v>
      </c>
      <c r="C42" s="36" t="s">
        <v>790</v>
      </c>
      <c r="D42" s="36">
        <v>820</v>
      </c>
    </row>
    <row r="43" spans="1:4" ht="22">
      <c r="A43" s="36">
        <v>59</v>
      </c>
      <c r="B43" s="36">
        <v>194</v>
      </c>
      <c r="C43" s="36" t="s">
        <v>791</v>
      </c>
      <c r="D43" s="36">
        <v>840</v>
      </c>
    </row>
    <row r="44" spans="1:4" ht="22">
      <c r="A44" s="36">
        <v>60</v>
      </c>
      <c r="B44" s="36">
        <v>198</v>
      </c>
      <c r="C44" s="36" t="s">
        <v>792</v>
      </c>
      <c r="D44" s="36">
        <v>860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0" sqref="C20"/>
    </sheetView>
  </sheetViews>
  <sheetFormatPr baseColWidth="10" defaultRowHeight="20"/>
  <cols>
    <col min="1" max="1" width="29.33203125" style="28" bestFit="1" customWidth="1"/>
    <col min="2" max="2" width="32" style="28" bestFit="1" customWidth="1"/>
    <col min="3" max="16384" width="10.83203125" style="28"/>
  </cols>
  <sheetData>
    <row r="1" spans="1:24">
      <c r="A1" s="28" t="s">
        <v>73</v>
      </c>
      <c r="B1" s="28" t="s">
        <v>2124</v>
      </c>
      <c r="C1" s="28">
        <v>49</v>
      </c>
      <c r="D1" s="28">
        <v>52</v>
      </c>
      <c r="E1" s="28">
        <v>54</v>
      </c>
      <c r="F1" s="28">
        <v>56</v>
      </c>
      <c r="G1" s="28">
        <v>58</v>
      </c>
      <c r="H1" s="28">
        <v>60</v>
      </c>
      <c r="I1"/>
    </row>
    <row r="2" spans="1:24">
      <c r="A2" s="28" t="s">
        <v>56</v>
      </c>
      <c r="B2" s="28" t="s">
        <v>1</v>
      </c>
      <c r="C2" s="28">
        <v>367</v>
      </c>
      <c r="D2" s="28">
        <v>378</v>
      </c>
      <c r="E2" s="28">
        <v>389</v>
      </c>
      <c r="F2" s="28">
        <v>397</v>
      </c>
      <c r="G2" s="28">
        <v>405</v>
      </c>
      <c r="H2" s="28">
        <v>415</v>
      </c>
    </row>
    <row r="3" spans="1:24">
      <c r="A3" s="28" t="s">
        <v>55</v>
      </c>
      <c r="B3" s="28" t="s">
        <v>0</v>
      </c>
      <c r="C3" s="28">
        <v>520</v>
      </c>
      <c r="D3" s="28">
        <v>543</v>
      </c>
      <c r="E3" s="28">
        <v>565</v>
      </c>
      <c r="F3" s="28">
        <v>587</v>
      </c>
      <c r="G3" s="28">
        <v>605</v>
      </c>
      <c r="H3" s="28">
        <v>630</v>
      </c>
      <c r="R3" s="28" t="s">
        <v>2124</v>
      </c>
      <c r="S3" s="28">
        <v>49</v>
      </c>
      <c r="T3" s="28">
        <v>52</v>
      </c>
      <c r="U3" s="28">
        <v>54</v>
      </c>
      <c r="V3" s="28">
        <v>56</v>
      </c>
      <c r="W3" s="28">
        <v>58</v>
      </c>
      <c r="X3" s="28">
        <v>60</v>
      </c>
    </row>
    <row r="4" spans="1:24">
      <c r="A4" s="28" t="s">
        <v>74</v>
      </c>
      <c r="B4" s="28" t="s">
        <v>1720</v>
      </c>
      <c r="C4" s="28">
        <v>511</v>
      </c>
      <c r="D4" s="28">
        <v>534</v>
      </c>
      <c r="E4" s="28">
        <v>554</v>
      </c>
      <c r="F4" s="28">
        <v>571</v>
      </c>
      <c r="G4" s="28">
        <v>588</v>
      </c>
      <c r="H4" s="28">
        <v>611</v>
      </c>
      <c r="R4" s="28" t="s">
        <v>1</v>
      </c>
      <c r="S4" s="28">
        <v>367</v>
      </c>
      <c r="T4" s="28">
        <v>378</v>
      </c>
      <c r="U4" s="28">
        <v>389</v>
      </c>
      <c r="V4" s="28">
        <v>397</v>
      </c>
      <c r="W4" s="28">
        <v>405</v>
      </c>
      <c r="X4" s="28">
        <v>415</v>
      </c>
    </row>
    <row r="5" spans="1:24">
      <c r="A5" s="28" t="s">
        <v>68</v>
      </c>
      <c r="B5" s="28" t="s">
        <v>182</v>
      </c>
      <c r="C5" s="28">
        <v>57</v>
      </c>
      <c r="D5" s="28">
        <v>57</v>
      </c>
      <c r="E5" s="28">
        <v>55</v>
      </c>
      <c r="F5" s="28">
        <v>55</v>
      </c>
      <c r="G5" s="28">
        <v>53</v>
      </c>
      <c r="H5" s="28">
        <v>53</v>
      </c>
      <c r="R5" s="28" t="s">
        <v>0</v>
      </c>
      <c r="S5" s="28">
        <v>520</v>
      </c>
      <c r="T5" s="28">
        <v>543</v>
      </c>
      <c r="U5" s="28">
        <v>565</v>
      </c>
      <c r="V5" s="28">
        <v>587</v>
      </c>
      <c r="W5" s="28">
        <v>605</v>
      </c>
      <c r="X5" s="28">
        <v>630</v>
      </c>
    </row>
    <row r="6" spans="1:24">
      <c r="A6" s="28" t="s">
        <v>61</v>
      </c>
      <c r="B6" s="28" t="s">
        <v>2412</v>
      </c>
      <c r="C6" s="28">
        <v>439</v>
      </c>
      <c r="D6" s="28">
        <v>459</v>
      </c>
      <c r="E6" s="28">
        <v>480</v>
      </c>
      <c r="F6" s="28">
        <v>500</v>
      </c>
      <c r="G6" s="28">
        <v>518</v>
      </c>
      <c r="H6" s="28">
        <v>540</v>
      </c>
      <c r="R6" s="28" t="s">
        <v>1720</v>
      </c>
      <c r="S6" s="28">
        <v>511</v>
      </c>
      <c r="T6" s="28">
        <v>534</v>
      </c>
      <c r="U6" s="28">
        <v>554</v>
      </c>
      <c r="V6" s="28">
        <v>571</v>
      </c>
      <c r="W6" s="28">
        <v>588</v>
      </c>
      <c r="X6" s="28">
        <v>611</v>
      </c>
    </row>
    <row r="7" spans="1:24">
      <c r="A7" s="28" t="s">
        <v>2417</v>
      </c>
      <c r="B7" s="28" t="s">
        <v>2413</v>
      </c>
      <c r="C7" s="28">
        <v>764</v>
      </c>
      <c r="D7" s="28">
        <v>784</v>
      </c>
      <c r="E7" s="28">
        <v>805</v>
      </c>
      <c r="F7" s="28">
        <v>825</v>
      </c>
      <c r="G7" s="28">
        <v>843</v>
      </c>
      <c r="H7" s="28">
        <v>865</v>
      </c>
      <c r="R7" s="28" t="s">
        <v>182</v>
      </c>
      <c r="S7" s="28">
        <v>57</v>
      </c>
      <c r="T7" s="28">
        <v>57</v>
      </c>
      <c r="U7" s="28">
        <v>55</v>
      </c>
      <c r="V7" s="28">
        <v>55</v>
      </c>
      <c r="W7" s="28">
        <v>53</v>
      </c>
      <c r="X7" s="28">
        <v>53</v>
      </c>
    </row>
    <row r="8" spans="1:24">
      <c r="A8" s="28" t="s">
        <v>2418</v>
      </c>
      <c r="B8" s="28" t="s">
        <v>2414</v>
      </c>
      <c r="C8" s="28">
        <v>800</v>
      </c>
      <c r="D8" s="28">
        <v>820</v>
      </c>
      <c r="E8" s="28">
        <v>841</v>
      </c>
      <c r="F8" s="28">
        <v>861</v>
      </c>
      <c r="G8" s="28">
        <v>879</v>
      </c>
      <c r="H8" s="28">
        <v>901</v>
      </c>
      <c r="R8" s="28" t="s">
        <v>2412</v>
      </c>
      <c r="S8" s="28">
        <v>439</v>
      </c>
      <c r="T8" s="28">
        <v>459</v>
      </c>
      <c r="U8" s="28">
        <v>480</v>
      </c>
      <c r="V8" s="28">
        <v>500</v>
      </c>
      <c r="W8" s="28">
        <v>518</v>
      </c>
      <c r="X8" s="28">
        <v>540</v>
      </c>
    </row>
    <row r="9" spans="1:24">
      <c r="A9" s="28" t="s">
        <v>64</v>
      </c>
      <c r="B9" s="28" t="s">
        <v>5</v>
      </c>
      <c r="C9" s="28">
        <v>74.5</v>
      </c>
      <c r="D9" s="28">
        <v>74</v>
      </c>
      <c r="E9" s="28">
        <v>73.75</v>
      </c>
      <c r="F9" s="28">
        <v>73.5</v>
      </c>
      <c r="G9" s="28">
        <v>73.2</v>
      </c>
      <c r="H9" s="28">
        <v>72.75</v>
      </c>
      <c r="R9" s="28" t="s">
        <v>2413</v>
      </c>
      <c r="S9" s="28">
        <v>764</v>
      </c>
      <c r="T9" s="28">
        <v>784</v>
      </c>
      <c r="U9" s="28">
        <v>805</v>
      </c>
      <c r="V9" s="28">
        <v>825</v>
      </c>
      <c r="W9" s="28">
        <v>843</v>
      </c>
      <c r="X9" s="28">
        <v>865</v>
      </c>
    </row>
    <row r="10" spans="1:24">
      <c r="A10" s="28" t="s">
        <v>63</v>
      </c>
      <c r="B10" s="28" t="s">
        <v>4</v>
      </c>
      <c r="C10" s="28">
        <v>71</v>
      </c>
      <c r="D10" s="28">
        <v>71</v>
      </c>
      <c r="E10" s="28">
        <v>71.25</v>
      </c>
      <c r="F10" s="28">
        <v>71.25</v>
      </c>
      <c r="G10" s="28">
        <v>71.5</v>
      </c>
      <c r="H10" s="28">
        <v>71.5</v>
      </c>
      <c r="R10" s="28" t="s">
        <v>2414</v>
      </c>
      <c r="S10" s="28">
        <v>800</v>
      </c>
      <c r="T10" s="28">
        <v>820</v>
      </c>
      <c r="U10" s="28">
        <v>841</v>
      </c>
      <c r="V10" s="28">
        <v>861</v>
      </c>
      <c r="W10" s="28">
        <v>879</v>
      </c>
      <c r="X10" s="28">
        <v>901</v>
      </c>
    </row>
    <row r="11" spans="1:24">
      <c r="A11" s="28" t="s">
        <v>65</v>
      </c>
      <c r="B11" s="28" t="s">
        <v>6</v>
      </c>
      <c r="C11" s="28">
        <v>92</v>
      </c>
      <c r="D11" s="28">
        <v>117</v>
      </c>
      <c r="E11" s="28">
        <v>140</v>
      </c>
      <c r="F11" s="28">
        <v>163</v>
      </c>
      <c r="G11" s="28">
        <v>183</v>
      </c>
      <c r="H11" s="28">
        <v>209</v>
      </c>
      <c r="R11" s="28" t="s">
        <v>5</v>
      </c>
      <c r="S11" s="28">
        <v>74.5</v>
      </c>
      <c r="T11" s="28">
        <v>74</v>
      </c>
      <c r="U11" s="28">
        <v>73.75</v>
      </c>
      <c r="V11" s="28">
        <v>73.5</v>
      </c>
      <c r="W11" s="28">
        <v>73.2</v>
      </c>
      <c r="X11" s="28">
        <v>72.75</v>
      </c>
    </row>
    <row r="12" spans="1:24">
      <c r="A12" s="28" t="s">
        <v>66</v>
      </c>
      <c r="B12" s="28" t="s">
        <v>177</v>
      </c>
      <c r="C12" s="28">
        <v>77</v>
      </c>
      <c r="D12" s="28">
        <v>77</v>
      </c>
      <c r="E12" s="28">
        <v>75</v>
      </c>
      <c r="F12" s="28">
        <v>75</v>
      </c>
      <c r="G12" s="28">
        <v>73</v>
      </c>
      <c r="H12" s="28">
        <v>73</v>
      </c>
      <c r="R12" s="28" t="s">
        <v>4</v>
      </c>
      <c r="S12" s="28">
        <v>71</v>
      </c>
      <c r="T12" s="28">
        <v>71</v>
      </c>
      <c r="U12" s="28">
        <v>71.25</v>
      </c>
      <c r="V12" s="28">
        <v>71.25</v>
      </c>
      <c r="W12" s="28">
        <v>71.5</v>
      </c>
      <c r="X12" s="28">
        <v>71.5</v>
      </c>
    </row>
    <row r="13" spans="1:24">
      <c r="A13" s="28" t="s">
        <v>67</v>
      </c>
      <c r="B13" s="28" t="s">
        <v>8</v>
      </c>
      <c r="C13" s="28">
        <v>420</v>
      </c>
      <c r="D13" s="28">
        <v>420</v>
      </c>
      <c r="E13" s="28">
        <v>420</v>
      </c>
      <c r="F13" s="28">
        <v>420</v>
      </c>
      <c r="G13" s="28">
        <v>420</v>
      </c>
      <c r="H13" s="28">
        <v>420</v>
      </c>
      <c r="R13" s="28" t="s">
        <v>6</v>
      </c>
      <c r="S13" s="28">
        <v>92</v>
      </c>
      <c r="T13" s="28">
        <v>117</v>
      </c>
      <c r="U13" s="28">
        <v>140</v>
      </c>
      <c r="V13" s="28">
        <v>163</v>
      </c>
      <c r="W13" s="28">
        <v>183</v>
      </c>
      <c r="X13" s="28">
        <v>209</v>
      </c>
    </row>
    <row r="14" spans="1:24">
      <c r="A14" s="28" t="s">
        <v>57</v>
      </c>
      <c r="B14" s="28" t="s">
        <v>1565</v>
      </c>
      <c r="C14" s="28">
        <v>993</v>
      </c>
      <c r="D14" s="28">
        <v>1012</v>
      </c>
      <c r="E14" s="28">
        <v>1027</v>
      </c>
      <c r="F14" s="28">
        <v>1042</v>
      </c>
      <c r="G14" s="28">
        <v>1053</v>
      </c>
      <c r="H14" s="28">
        <v>1071</v>
      </c>
      <c r="R14" s="28" t="s">
        <v>177</v>
      </c>
      <c r="S14" s="28">
        <v>77</v>
      </c>
      <c r="T14" s="28">
        <v>77</v>
      </c>
      <c r="U14" s="28">
        <v>75</v>
      </c>
      <c r="V14" s="28">
        <v>75</v>
      </c>
      <c r="W14" s="28">
        <v>73</v>
      </c>
      <c r="X14" s="28">
        <v>73</v>
      </c>
    </row>
    <row r="15" spans="1:24">
      <c r="A15" s="28" t="s">
        <v>135</v>
      </c>
      <c r="B15" s="28" t="s">
        <v>481</v>
      </c>
      <c r="C15" s="28">
        <v>580</v>
      </c>
      <c r="D15" s="28">
        <v>599</v>
      </c>
      <c r="E15" s="28">
        <v>613</v>
      </c>
      <c r="F15" s="28">
        <v>629</v>
      </c>
      <c r="G15" s="28">
        <v>639</v>
      </c>
      <c r="H15" s="28">
        <v>657</v>
      </c>
      <c r="R15" s="28" t="s">
        <v>8</v>
      </c>
      <c r="S15" s="28">
        <v>420</v>
      </c>
      <c r="T15" s="28">
        <v>420</v>
      </c>
      <c r="U15" s="28">
        <v>420</v>
      </c>
      <c r="V15" s="28">
        <v>420</v>
      </c>
      <c r="W15" s="28">
        <v>420</v>
      </c>
      <c r="X15" s="28">
        <v>420</v>
      </c>
    </row>
    <row r="16" spans="1:24">
      <c r="A16" s="28" t="s">
        <v>2419</v>
      </c>
      <c r="B16" s="28" t="s">
        <v>1286</v>
      </c>
      <c r="C16" s="28">
        <v>412.9</v>
      </c>
      <c r="D16" s="28">
        <v>412.9</v>
      </c>
      <c r="E16" s="28">
        <v>413.2</v>
      </c>
      <c r="F16" s="28">
        <v>413.2</v>
      </c>
      <c r="G16" s="28">
        <v>413.6</v>
      </c>
      <c r="H16" s="28">
        <v>413.6</v>
      </c>
      <c r="R16" s="28" t="s">
        <v>1565</v>
      </c>
      <c r="S16" s="28">
        <v>993</v>
      </c>
      <c r="T16" s="28">
        <v>1012</v>
      </c>
      <c r="U16" s="28">
        <v>1027</v>
      </c>
      <c r="V16" s="28">
        <v>1042</v>
      </c>
      <c r="W16" s="28">
        <v>1053</v>
      </c>
      <c r="X16" s="28">
        <v>1071</v>
      </c>
    </row>
    <row r="17" spans="1:24">
      <c r="A17" s="28" t="s">
        <v>58</v>
      </c>
      <c r="B17" s="28" t="s">
        <v>2416</v>
      </c>
      <c r="C17" s="28">
        <v>702</v>
      </c>
      <c r="D17" s="28">
        <v>722</v>
      </c>
      <c r="E17" s="28">
        <v>744</v>
      </c>
      <c r="F17" s="28">
        <v>764</v>
      </c>
      <c r="G17" s="28">
        <v>784</v>
      </c>
      <c r="H17" s="28">
        <v>807</v>
      </c>
      <c r="R17" s="28" t="s">
        <v>481</v>
      </c>
      <c r="S17" s="28">
        <v>580</v>
      </c>
      <c r="T17" s="28">
        <v>599</v>
      </c>
      <c r="U17" s="28">
        <v>613</v>
      </c>
      <c r="V17" s="28">
        <v>629</v>
      </c>
      <c r="W17" s="28">
        <v>639</v>
      </c>
      <c r="X17" s="28">
        <v>657</v>
      </c>
    </row>
    <row r="18" spans="1:24">
      <c r="A18" s="28" t="s">
        <v>136</v>
      </c>
      <c r="B18" s="28" t="s">
        <v>2415</v>
      </c>
      <c r="C18" s="28">
        <v>61.4</v>
      </c>
      <c r="D18" s="28">
        <v>61.4</v>
      </c>
      <c r="E18" s="28">
        <v>61.9</v>
      </c>
      <c r="F18" s="28">
        <v>61.9</v>
      </c>
      <c r="G18" s="28">
        <v>62.4</v>
      </c>
      <c r="H18" s="28">
        <v>62.4</v>
      </c>
      <c r="R18" s="28" t="s">
        <v>1286</v>
      </c>
      <c r="S18" s="28">
        <v>412.9</v>
      </c>
      <c r="T18" s="28">
        <v>412.9</v>
      </c>
      <c r="U18" s="28">
        <v>413.2</v>
      </c>
      <c r="V18" s="28">
        <v>413.2</v>
      </c>
      <c r="W18" s="28">
        <v>413.6</v>
      </c>
      <c r="X18" s="28">
        <v>413.6</v>
      </c>
    </row>
    <row r="19" spans="1:24">
      <c r="A19" s="28" t="s">
        <v>70</v>
      </c>
      <c r="B19" s="28" t="s">
        <v>70</v>
      </c>
      <c r="C19" s="28">
        <v>165</v>
      </c>
      <c r="D19" s="28">
        <v>170</v>
      </c>
      <c r="E19" s="28">
        <v>172.5</v>
      </c>
      <c r="F19" s="28">
        <v>172.5</v>
      </c>
      <c r="G19" s="28">
        <v>172.5</v>
      </c>
      <c r="H19" s="28">
        <v>175</v>
      </c>
    </row>
    <row r="20" spans="1:24">
      <c r="A20" s="28" t="s">
        <v>71</v>
      </c>
      <c r="B20" s="28" t="s">
        <v>71</v>
      </c>
    </row>
    <row r="21" spans="1:24">
      <c r="A21" s="28" t="s">
        <v>72</v>
      </c>
      <c r="B21" s="28" t="s">
        <v>72</v>
      </c>
      <c r="C21" s="28">
        <v>80</v>
      </c>
      <c r="D21" s="28">
        <v>80</v>
      </c>
      <c r="E21" s="28">
        <v>90</v>
      </c>
      <c r="F21" s="28">
        <v>90</v>
      </c>
      <c r="G21" s="28">
        <v>90</v>
      </c>
      <c r="H21" s="28">
        <v>100</v>
      </c>
    </row>
    <row r="22" spans="1:24">
      <c r="A22" s="28" t="s">
        <v>69</v>
      </c>
      <c r="B22" s="28" t="s">
        <v>69</v>
      </c>
      <c r="C22" s="28">
        <v>700</v>
      </c>
    </row>
    <row r="23" spans="1:24">
      <c r="A23" s="28" t="s">
        <v>140</v>
      </c>
      <c r="B23" s="28" t="s">
        <v>140</v>
      </c>
      <c r="C23" s="28">
        <v>40</v>
      </c>
    </row>
    <row r="24" spans="1:24">
      <c r="A24" s="28" t="s">
        <v>141</v>
      </c>
      <c r="B24" s="28" t="s">
        <v>141</v>
      </c>
      <c r="C24" s="28">
        <v>50</v>
      </c>
    </row>
    <row r="25" spans="1:24">
      <c r="A25" s="28" t="s">
        <v>1758</v>
      </c>
      <c r="B25" s="28" t="s">
        <v>1758</v>
      </c>
      <c r="R25" s="28" t="s">
        <v>2416</v>
      </c>
      <c r="S25" s="28">
        <v>702</v>
      </c>
      <c r="T25" s="28">
        <v>722</v>
      </c>
      <c r="U25" s="28">
        <v>744</v>
      </c>
      <c r="V25" s="28">
        <v>764</v>
      </c>
      <c r="W25" s="28">
        <v>784</v>
      </c>
      <c r="X25" s="28">
        <v>807</v>
      </c>
    </row>
    <row r="26" spans="1:24">
      <c r="A26" s="28" t="s">
        <v>1759</v>
      </c>
      <c r="B26" s="28" t="s">
        <v>1759</v>
      </c>
    </row>
    <row r="29" spans="1:24">
      <c r="R29" s="28" t="s">
        <v>2415</v>
      </c>
      <c r="S29" s="28">
        <v>61.4</v>
      </c>
      <c r="T29" s="28">
        <v>61.4</v>
      </c>
      <c r="U29" s="28">
        <v>61.9</v>
      </c>
      <c r="V29" s="28">
        <v>61.9</v>
      </c>
      <c r="W29" s="28">
        <v>62.4</v>
      </c>
      <c r="X29" s="28">
        <v>62.4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0.1640625" style="28" bestFit="1" customWidth="1"/>
    <col min="4" max="7" width="21.83203125" style="28" bestFit="1" customWidth="1"/>
    <col min="8" max="16384" width="10.83203125" style="28"/>
  </cols>
  <sheetData>
    <row r="1" spans="1:8">
      <c r="A1" s="28" t="s">
        <v>73</v>
      </c>
      <c r="B1" s="28" t="s">
        <v>73</v>
      </c>
      <c r="C1" s="28" t="s">
        <v>78</v>
      </c>
      <c r="D1" s="28" t="str">
        <f>D26</f>
        <v>S</v>
      </c>
      <c r="E1" s="28" t="str">
        <f t="shared" ref="E1:G1" si="0">E26</f>
        <v>M</v>
      </c>
      <c r="F1" s="28" t="str">
        <f t="shared" si="0"/>
        <v>L</v>
      </c>
      <c r="G1" s="28" t="str">
        <f t="shared" si="0"/>
        <v>XL</v>
      </c>
    </row>
    <row r="2" spans="1:8">
      <c r="A2" s="28" t="s">
        <v>55</v>
      </c>
      <c r="B2" s="28" t="s">
        <v>63</v>
      </c>
      <c r="C2" s="28" t="s">
        <v>118</v>
      </c>
      <c r="D2" s="28">
        <v>66.67</v>
      </c>
      <c r="E2" s="28">
        <v>66.67</v>
      </c>
      <c r="F2" s="28">
        <v>66.67</v>
      </c>
      <c r="G2" s="28">
        <v>66.67</v>
      </c>
      <c r="H2" s="28" t="s">
        <v>925</v>
      </c>
    </row>
    <row r="3" spans="1:8">
      <c r="A3" s="28" t="s">
        <v>56</v>
      </c>
      <c r="B3" s="28" t="s">
        <v>64</v>
      </c>
      <c r="C3" s="28" t="s">
        <v>119</v>
      </c>
      <c r="D3" s="28">
        <v>73</v>
      </c>
      <c r="E3" s="28">
        <v>73.5</v>
      </c>
      <c r="F3" s="28">
        <v>74</v>
      </c>
      <c r="G3" s="28">
        <v>74.5</v>
      </c>
    </row>
    <row r="4" spans="1:8">
      <c r="A4" s="28" t="s">
        <v>61</v>
      </c>
      <c r="B4" s="28" t="s">
        <v>74</v>
      </c>
      <c r="C4" s="28" t="s">
        <v>120</v>
      </c>
      <c r="D4" s="28">
        <v>586</v>
      </c>
      <c r="E4" s="28">
        <v>605</v>
      </c>
      <c r="F4" s="28">
        <v>624</v>
      </c>
      <c r="G4" s="28">
        <v>643</v>
      </c>
      <c r="H4" s="42"/>
    </row>
    <row r="5" spans="1:8">
      <c r="A5" s="28" t="s">
        <v>74</v>
      </c>
      <c r="B5" s="28" t="s">
        <v>61</v>
      </c>
      <c r="C5" s="28" t="s">
        <v>121</v>
      </c>
      <c r="D5" s="28">
        <v>450</v>
      </c>
      <c r="E5" s="28">
        <v>470</v>
      </c>
      <c r="F5" s="28">
        <v>490</v>
      </c>
      <c r="G5" s="28">
        <v>510</v>
      </c>
    </row>
    <row r="6" spans="1:8">
      <c r="A6" s="28" t="s">
        <v>63</v>
      </c>
      <c r="B6" s="28" t="s">
        <v>138</v>
      </c>
      <c r="C6" s="28" t="s">
        <v>122</v>
      </c>
      <c r="D6" s="28">
        <v>278</v>
      </c>
      <c r="E6" s="28">
        <v>278</v>
      </c>
      <c r="F6" s="28">
        <v>278</v>
      </c>
      <c r="G6" s="28">
        <v>278</v>
      </c>
    </row>
    <row r="7" spans="1:8">
      <c r="A7" s="28" t="s">
        <v>64</v>
      </c>
      <c r="B7" s="28" t="s">
        <v>66</v>
      </c>
      <c r="C7" s="28" t="s">
        <v>123</v>
      </c>
      <c r="D7" s="28">
        <v>80</v>
      </c>
      <c r="E7" s="28">
        <v>80</v>
      </c>
      <c r="F7" s="28">
        <v>80</v>
      </c>
      <c r="G7" s="28">
        <v>80</v>
      </c>
    </row>
    <row r="8" spans="1:8">
      <c r="A8" s="28" t="s">
        <v>65</v>
      </c>
      <c r="B8" s="28" t="s">
        <v>65</v>
      </c>
      <c r="C8" s="28" t="s">
        <v>124</v>
      </c>
      <c r="D8" s="28">
        <v>140</v>
      </c>
      <c r="E8" s="28">
        <v>160</v>
      </c>
      <c r="F8" s="28">
        <v>180</v>
      </c>
      <c r="G8" s="28">
        <v>200</v>
      </c>
    </row>
    <row r="9" spans="1:8">
      <c r="A9" s="28" t="s">
        <v>66</v>
      </c>
      <c r="B9" s="28" t="s">
        <v>922</v>
      </c>
      <c r="C9" s="28" t="s">
        <v>125</v>
      </c>
      <c r="D9" s="28">
        <v>430</v>
      </c>
      <c r="E9" s="28">
        <v>430</v>
      </c>
      <c r="F9" s="28">
        <v>430</v>
      </c>
      <c r="G9" s="28">
        <v>430</v>
      </c>
      <c r="H9" s="28" t="s">
        <v>924</v>
      </c>
    </row>
    <row r="10" spans="1:8">
      <c r="A10" s="28" t="s">
        <v>67</v>
      </c>
      <c r="B10" s="28" t="s">
        <v>57</v>
      </c>
      <c r="C10" s="28" t="s">
        <v>126</v>
      </c>
      <c r="D10" s="28">
        <v>1090</v>
      </c>
      <c r="E10" s="28">
        <v>1120</v>
      </c>
      <c r="F10" s="28">
        <v>1150</v>
      </c>
      <c r="G10" s="28">
        <v>1180</v>
      </c>
    </row>
    <row r="11" spans="1:8">
      <c r="A11" s="28" t="s">
        <v>57</v>
      </c>
      <c r="B11" s="28" t="s">
        <v>137</v>
      </c>
      <c r="C11" s="28" t="s">
        <v>127</v>
      </c>
      <c r="D11" s="28">
        <v>428</v>
      </c>
      <c r="E11" s="28">
        <v>428</v>
      </c>
      <c r="F11" s="28">
        <v>428</v>
      </c>
      <c r="G11" s="28">
        <v>428</v>
      </c>
    </row>
    <row r="12" spans="1:8">
      <c r="A12" s="28" t="s">
        <v>68</v>
      </c>
      <c r="B12" s="28" t="s">
        <v>68</v>
      </c>
      <c r="C12" s="28" t="s">
        <v>128</v>
      </c>
      <c r="D12" s="28">
        <v>57</v>
      </c>
      <c r="E12" s="28">
        <v>57</v>
      </c>
      <c r="F12" s="28">
        <v>57</v>
      </c>
      <c r="G12" s="28">
        <v>57</v>
      </c>
    </row>
    <row r="13" spans="1:8">
      <c r="A13" s="28" t="s">
        <v>58</v>
      </c>
      <c r="B13" s="28" t="s">
        <v>136</v>
      </c>
      <c r="C13" s="28" t="s">
        <v>129</v>
      </c>
      <c r="D13" s="28">
        <v>93</v>
      </c>
      <c r="E13" s="28">
        <v>93</v>
      </c>
      <c r="F13" s="28">
        <v>93</v>
      </c>
      <c r="G13" s="28">
        <v>93</v>
      </c>
    </row>
    <row r="14" spans="1:8">
      <c r="A14" s="28" t="s">
        <v>70</v>
      </c>
      <c r="B14" s="28" t="s">
        <v>135</v>
      </c>
      <c r="C14" s="28" t="s">
        <v>130</v>
      </c>
      <c r="D14" s="28">
        <v>680</v>
      </c>
      <c r="E14" s="28">
        <v>708</v>
      </c>
      <c r="F14" s="28">
        <v>736</v>
      </c>
      <c r="G14" s="28">
        <v>763</v>
      </c>
    </row>
    <row r="15" spans="1:8">
      <c r="A15" s="28" t="s">
        <v>71</v>
      </c>
      <c r="B15" s="28" t="s">
        <v>56</v>
      </c>
      <c r="C15" s="28" t="s">
        <v>131</v>
      </c>
      <c r="D15" s="28">
        <v>400</v>
      </c>
      <c r="E15" s="28">
        <v>420</v>
      </c>
      <c r="F15" s="28">
        <v>440</v>
      </c>
      <c r="G15" s="28">
        <v>460</v>
      </c>
    </row>
    <row r="16" spans="1:8">
      <c r="A16" s="28" t="s">
        <v>72</v>
      </c>
      <c r="B16" s="28" t="s">
        <v>55</v>
      </c>
      <c r="C16" s="28" t="s">
        <v>132</v>
      </c>
      <c r="D16" s="28">
        <v>575</v>
      </c>
      <c r="E16" s="28">
        <v>594</v>
      </c>
      <c r="F16" s="28">
        <v>612</v>
      </c>
      <c r="G16" s="28">
        <v>631</v>
      </c>
      <c r="H16" s="28" t="s">
        <v>926</v>
      </c>
    </row>
    <row r="17" spans="1:7">
      <c r="A17" s="28" t="s">
        <v>69</v>
      </c>
      <c r="B17" s="28" t="s">
        <v>58</v>
      </c>
      <c r="C17" s="28" t="s">
        <v>113</v>
      </c>
      <c r="D17" s="28">
        <v>662</v>
      </c>
      <c r="E17" s="28">
        <v>671</v>
      </c>
      <c r="F17" s="28">
        <v>682</v>
      </c>
      <c r="G17" s="28">
        <v>696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141</v>
      </c>
      <c r="B19" s="28" t="s">
        <v>140</v>
      </c>
      <c r="C19" s="28" t="s">
        <v>140</v>
      </c>
      <c r="D19" s="28">
        <v>50</v>
      </c>
      <c r="E19" s="28">
        <v>50</v>
      </c>
      <c r="F19" s="28">
        <v>50</v>
      </c>
      <c r="G19" s="28">
        <v>50</v>
      </c>
    </row>
    <row r="20" spans="1:7">
      <c r="B20" s="28" t="s">
        <v>141</v>
      </c>
      <c r="C20" s="28" t="s">
        <v>141</v>
      </c>
      <c r="D20" s="28">
        <v>50</v>
      </c>
      <c r="E20" s="28">
        <v>50</v>
      </c>
      <c r="F20" s="28">
        <v>50</v>
      </c>
      <c r="G20" s="28">
        <v>50</v>
      </c>
    </row>
    <row r="21" spans="1:7">
      <c r="B21" s="28" t="s">
        <v>70</v>
      </c>
      <c r="C21" s="28" t="s">
        <v>70</v>
      </c>
      <c r="D21" s="28">
        <f>VALUE(LEFT(D51,4))</f>
        <v>172</v>
      </c>
      <c r="E21" s="28">
        <v>172.5</v>
      </c>
      <c r="F21" s="28">
        <v>172.5</v>
      </c>
      <c r="G21" s="28">
        <v>172.5</v>
      </c>
    </row>
    <row r="22" spans="1:7">
      <c r="A22" s="28" t="s">
        <v>922</v>
      </c>
      <c r="B22" s="28" t="s">
        <v>71</v>
      </c>
      <c r="C22" s="28" t="s">
        <v>71</v>
      </c>
      <c r="D22" s="28">
        <f>VALUE(LEFT(D50,2))*10</f>
        <v>420</v>
      </c>
      <c r="E22" s="28">
        <f t="shared" ref="E22:G22" si="1">VALUE(LEFT(E50,2))*10</f>
        <v>440</v>
      </c>
      <c r="F22" s="28">
        <f t="shared" si="1"/>
        <v>460</v>
      </c>
      <c r="G22" s="28">
        <f t="shared" si="1"/>
        <v>460</v>
      </c>
    </row>
    <row r="23" spans="1:7">
      <c r="A23" s="28" t="s">
        <v>166</v>
      </c>
      <c r="B23" s="28" t="s">
        <v>72</v>
      </c>
      <c r="C23" s="28" t="s">
        <v>72</v>
      </c>
      <c r="D23" s="28">
        <v>50</v>
      </c>
      <c r="E23" s="28">
        <v>50</v>
      </c>
      <c r="F23" s="28">
        <v>50</v>
      </c>
      <c r="G23" s="28">
        <v>50</v>
      </c>
    </row>
    <row r="24" spans="1:7">
      <c r="B24" s="28" t="s">
        <v>67</v>
      </c>
      <c r="C24" s="28" t="s">
        <v>67</v>
      </c>
      <c r="D24" s="43">
        <f>SQRT(D9^2+D7^2)</f>
        <v>437.37855457258075</v>
      </c>
      <c r="E24" s="43">
        <f t="shared" ref="E24:G24" si="2">SQRT(E9^2+E7^2)</f>
        <v>437.37855457258075</v>
      </c>
      <c r="F24" s="43">
        <f t="shared" si="2"/>
        <v>437.37855457258075</v>
      </c>
      <c r="G24" s="43">
        <f t="shared" si="2"/>
        <v>437.37855457258075</v>
      </c>
    </row>
    <row r="26" spans="1:7">
      <c r="C26" s="28" t="s">
        <v>78</v>
      </c>
      <c r="D26" s="28" t="s">
        <v>18</v>
      </c>
      <c r="E26" s="28" t="s">
        <v>19</v>
      </c>
      <c r="F26" s="28" t="s">
        <v>20</v>
      </c>
      <c r="G26" s="28" t="s">
        <v>21</v>
      </c>
    </row>
    <row r="27" spans="1:7">
      <c r="C27" s="28" t="s">
        <v>118</v>
      </c>
      <c r="D27" s="28">
        <v>66.67</v>
      </c>
      <c r="E27" s="28">
        <v>66.67</v>
      </c>
      <c r="F27" s="28">
        <v>66.67</v>
      </c>
      <c r="G27" s="28">
        <v>66.67</v>
      </c>
    </row>
    <row r="28" spans="1:7">
      <c r="C28" s="28" t="s">
        <v>119</v>
      </c>
      <c r="D28" s="28">
        <v>73</v>
      </c>
      <c r="E28" s="28">
        <v>73.5</v>
      </c>
      <c r="F28" s="28">
        <v>74</v>
      </c>
      <c r="G28" s="28">
        <v>74.5</v>
      </c>
    </row>
    <row r="29" spans="1:7">
      <c r="C29" s="28" t="s">
        <v>120</v>
      </c>
      <c r="D29" s="28" t="s">
        <v>79</v>
      </c>
      <c r="E29" s="28" t="s">
        <v>80</v>
      </c>
      <c r="F29" s="28" t="s">
        <v>81</v>
      </c>
      <c r="G29" s="28" t="s">
        <v>82</v>
      </c>
    </row>
    <row r="30" spans="1:7">
      <c r="C30" s="28" t="s">
        <v>121</v>
      </c>
      <c r="D30" s="28" t="s">
        <v>83</v>
      </c>
      <c r="E30" s="28" t="s">
        <v>84</v>
      </c>
      <c r="F30" s="28" t="s">
        <v>85</v>
      </c>
      <c r="G30" s="28" t="s">
        <v>86</v>
      </c>
    </row>
    <row r="31" spans="1:7">
      <c r="C31" s="28" t="s">
        <v>122</v>
      </c>
      <c r="D31" s="28" t="s">
        <v>87</v>
      </c>
      <c r="E31" s="28" t="s">
        <v>87</v>
      </c>
      <c r="F31" s="28" t="s">
        <v>87</v>
      </c>
      <c r="G31" s="28" t="s">
        <v>87</v>
      </c>
    </row>
    <row r="32" spans="1:7">
      <c r="C32" s="28" t="s">
        <v>123</v>
      </c>
      <c r="D32" s="28" t="s">
        <v>88</v>
      </c>
      <c r="E32" s="28" t="s">
        <v>88</v>
      </c>
      <c r="F32" s="28" t="s">
        <v>88</v>
      </c>
      <c r="G32" s="28" t="s">
        <v>88</v>
      </c>
    </row>
    <row r="33" spans="3:7">
      <c r="C33" s="28" t="s">
        <v>124</v>
      </c>
      <c r="D33" s="28" t="s">
        <v>89</v>
      </c>
      <c r="E33" s="28" t="s">
        <v>90</v>
      </c>
      <c r="F33" s="28" t="s">
        <v>91</v>
      </c>
      <c r="G33" s="28" t="s">
        <v>92</v>
      </c>
    </row>
    <row r="34" spans="3:7">
      <c r="C34" s="28" t="s">
        <v>125</v>
      </c>
      <c r="D34" s="28" t="s">
        <v>93</v>
      </c>
      <c r="E34" s="28" t="s">
        <v>93</v>
      </c>
      <c r="F34" s="28" t="s">
        <v>93</v>
      </c>
      <c r="G34" s="28" t="s">
        <v>93</v>
      </c>
    </row>
    <row r="35" spans="3:7">
      <c r="C35" s="28" t="s">
        <v>126</v>
      </c>
      <c r="D35" s="28" t="s">
        <v>94</v>
      </c>
      <c r="E35" s="28" t="s">
        <v>95</v>
      </c>
      <c r="F35" s="28" t="s">
        <v>96</v>
      </c>
      <c r="G35" s="28" t="s">
        <v>97</v>
      </c>
    </row>
    <row r="36" spans="3:7">
      <c r="C36" s="28" t="s">
        <v>127</v>
      </c>
      <c r="D36" s="28" t="s">
        <v>98</v>
      </c>
      <c r="E36" s="28" t="s">
        <v>98</v>
      </c>
      <c r="F36" s="28" t="s">
        <v>98</v>
      </c>
      <c r="G36" s="28" t="s">
        <v>98</v>
      </c>
    </row>
    <row r="37" spans="3:7">
      <c r="C37" s="28" t="s">
        <v>128</v>
      </c>
      <c r="D37" s="28" t="s">
        <v>99</v>
      </c>
      <c r="E37" s="28" t="s">
        <v>99</v>
      </c>
      <c r="F37" s="28" t="s">
        <v>99</v>
      </c>
      <c r="G37" s="28" t="s">
        <v>99</v>
      </c>
    </row>
    <row r="38" spans="3:7">
      <c r="C38" s="28" t="s">
        <v>129</v>
      </c>
      <c r="D38" s="28" t="s">
        <v>100</v>
      </c>
      <c r="E38" s="28" t="s">
        <v>100</v>
      </c>
      <c r="F38" s="28" t="s">
        <v>100</v>
      </c>
      <c r="G38" s="28" t="s">
        <v>100</v>
      </c>
    </row>
    <row r="39" spans="3:7">
      <c r="C39" s="28" t="s">
        <v>130</v>
      </c>
      <c r="D39" s="28" t="s">
        <v>101</v>
      </c>
      <c r="E39" s="28" t="s">
        <v>102</v>
      </c>
      <c r="F39" s="28" t="s">
        <v>103</v>
      </c>
      <c r="G39" s="28" t="s">
        <v>104</v>
      </c>
    </row>
    <row r="40" spans="3:7">
      <c r="C40" s="28" t="s">
        <v>131</v>
      </c>
      <c r="D40" s="28" t="s">
        <v>105</v>
      </c>
      <c r="E40" s="28" t="s">
        <v>106</v>
      </c>
      <c r="F40" s="28" t="s">
        <v>107</v>
      </c>
      <c r="G40" s="28" t="s">
        <v>108</v>
      </c>
    </row>
    <row r="41" spans="3:7">
      <c r="C41" s="28" t="s">
        <v>132</v>
      </c>
      <c r="D41" s="28" t="s">
        <v>109</v>
      </c>
      <c r="E41" s="28" t="s">
        <v>110</v>
      </c>
      <c r="F41" s="28" t="s">
        <v>111</v>
      </c>
      <c r="G41" s="28" t="s">
        <v>112</v>
      </c>
    </row>
    <row r="42" spans="3:7">
      <c r="C42" s="28" t="s">
        <v>113</v>
      </c>
      <c r="D42" s="28" t="s">
        <v>114</v>
      </c>
      <c r="E42" s="28" t="s">
        <v>115</v>
      </c>
      <c r="F42" s="28" t="s">
        <v>116</v>
      </c>
      <c r="G42" s="28" t="s">
        <v>117</v>
      </c>
    </row>
    <row r="44" spans="3:7">
      <c r="C44" s="28" t="s">
        <v>1024</v>
      </c>
      <c r="D44" s="28" t="s">
        <v>1025</v>
      </c>
      <c r="E44" s="28" t="s">
        <v>1026</v>
      </c>
      <c r="F44" s="28" t="s">
        <v>1027</v>
      </c>
      <c r="G44" s="28" t="s">
        <v>1028</v>
      </c>
    </row>
    <row r="45" spans="3:7">
      <c r="C45" s="28" t="s">
        <v>14</v>
      </c>
      <c r="D45" s="28" t="s">
        <v>1029</v>
      </c>
      <c r="E45" s="28" t="s">
        <v>1029</v>
      </c>
      <c r="F45" s="28" t="s">
        <v>1029</v>
      </c>
      <c r="G45" s="28" t="s">
        <v>1029</v>
      </c>
    </row>
    <row r="46" spans="3:7">
      <c r="C46" s="28" t="s">
        <v>1030</v>
      </c>
      <c r="D46" s="28" t="s">
        <v>1031</v>
      </c>
      <c r="E46" s="28" t="s">
        <v>1031</v>
      </c>
      <c r="F46" s="28" t="s">
        <v>1031</v>
      </c>
      <c r="G46" s="28" t="s">
        <v>1031</v>
      </c>
    </row>
    <row r="47" spans="3:7">
      <c r="C47" s="28" t="s">
        <v>1032</v>
      </c>
      <c r="D47" s="28" t="s">
        <v>1033</v>
      </c>
      <c r="E47" s="28" t="s">
        <v>1033</v>
      </c>
      <c r="F47" s="28" t="s">
        <v>1033</v>
      </c>
      <c r="G47" s="28" t="s">
        <v>1033</v>
      </c>
    </row>
    <row r="48" spans="3:7">
      <c r="C48" s="28" t="s">
        <v>1034</v>
      </c>
      <c r="D48" s="28" t="s">
        <v>1035</v>
      </c>
      <c r="E48" s="28" t="s">
        <v>1035</v>
      </c>
      <c r="F48" s="28" t="s">
        <v>1035</v>
      </c>
      <c r="G48" s="28" t="s">
        <v>1035</v>
      </c>
    </row>
    <row r="49" spans="3:7">
      <c r="C49" s="28" t="s">
        <v>1036</v>
      </c>
      <c r="D49" s="28" t="s">
        <v>1037</v>
      </c>
      <c r="E49" s="28" t="s">
        <v>1037</v>
      </c>
      <c r="F49" s="28" t="s">
        <v>1037</v>
      </c>
      <c r="G49" s="28" t="s">
        <v>1037</v>
      </c>
    </row>
    <row r="50" spans="3:7">
      <c r="C50" s="28" t="s">
        <v>13</v>
      </c>
      <c r="D50" s="28" t="s">
        <v>540</v>
      </c>
      <c r="E50" s="28" t="s">
        <v>541</v>
      </c>
      <c r="F50" s="28" t="s">
        <v>542</v>
      </c>
      <c r="G50" s="28" t="s">
        <v>542</v>
      </c>
    </row>
    <row r="51" spans="3:7">
      <c r="C51" s="28" t="s">
        <v>59</v>
      </c>
      <c r="D51" s="28" t="s">
        <v>1038</v>
      </c>
      <c r="E51" s="28" t="s">
        <v>1038</v>
      </c>
      <c r="F51" s="28" t="s">
        <v>1038</v>
      </c>
      <c r="G51" s="28" t="s">
        <v>1038</v>
      </c>
    </row>
    <row r="52" spans="3:7">
      <c r="C52" s="28" t="s">
        <v>1039</v>
      </c>
      <c r="D52" s="28" t="s">
        <v>1040</v>
      </c>
      <c r="E52" s="28" t="s">
        <v>1041</v>
      </c>
      <c r="F52" s="28" t="s">
        <v>1042</v>
      </c>
      <c r="G52" s="28" t="s">
        <v>1043</v>
      </c>
    </row>
    <row r="53" spans="3:7">
      <c r="C53" s="50" t="s">
        <v>1044</v>
      </c>
      <c r="D53" s="50" t="s">
        <v>1045</v>
      </c>
      <c r="E53" s="50" t="s">
        <v>1046</v>
      </c>
      <c r="F53" s="50" t="s">
        <v>1047</v>
      </c>
      <c r="G53" s="50" t="s">
        <v>1048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8" bestFit="1" customWidth="1"/>
    <col min="2" max="2" width="32" style="28" bestFit="1" customWidth="1"/>
    <col min="3" max="16384" width="10.83203125" style="28"/>
  </cols>
  <sheetData>
    <row r="1" spans="1:11">
      <c r="A1" s="28" t="s">
        <v>73</v>
      </c>
      <c r="B1" s="28" t="s">
        <v>139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</row>
    <row r="2" spans="1:11">
      <c r="A2" s="28" t="s">
        <v>74</v>
      </c>
      <c r="B2" s="85" t="s">
        <v>1887</v>
      </c>
      <c r="C2" s="28">
        <v>515.4</v>
      </c>
      <c r="D2" s="28">
        <v>532.4</v>
      </c>
      <c r="E2" s="28">
        <v>559.29999999999995</v>
      </c>
      <c r="F2" s="28">
        <v>579</v>
      </c>
      <c r="G2" s="28">
        <v>594.4</v>
      </c>
    </row>
    <row r="3" spans="1:11">
      <c r="A3" s="28" t="s">
        <v>61</v>
      </c>
      <c r="B3" s="85" t="s">
        <v>1888</v>
      </c>
      <c r="C3" s="28">
        <v>410</v>
      </c>
      <c r="D3" s="28">
        <v>440</v>
      </c>
      <c r="E3" s="28">
        <v>470</v>
      </c>
      <c r="F3" s="28">
        <v>492</v>
      </c>
      <c r="G3" s="28">
        <v>520</v>
      </c>
    </row>
    <row r="4" spans="1:11">
      <c r="A4" s="28" t="s">
        <v>922</v>
      </c>
      <c r="B4" s="85" t="s">
        <v>1889</v>
      </c>
      <c r="C4" s="28">
        <v>430</v>
      </c>
      <c r="D4" s="28">
        <v>430</v>
      </c>
      <c r="E4" s="28">
        <v>430</v>
      </c>
      <c r="F4" s="28">
        <v>430</v>
      </c>
      <c r="G4" s="28">
        <v>430</v>
      </c>
    </row>
    <row r="5" spans="1:11">
      <c r="A5" s="28" t="s">
        <v>63</v>
      </c>
      <c r="B5" s="85" t="s">
        <v>1890</v>
      </c>
      <c r="C5" s="28">
        <v>68.900000000000006</v>
      </c>
      <c r="D5" s="28">
        <v>68.900000000000006</v>
      </c>
      <c r="E5" s="28">
        <v>68.900000000000006</v>
      </c>
      <c r="F5" s="28">
        <v>68.900000000000006</v>
      </c>
      <c r="G5" s="28">
        <v>68.900000000000006</v>
      </c>
    </row>
    <row r="6" spans="1:11">
      <c r="A6" s="28" t="s">
        <v>64</v>
      </c>
      <c r="B6" s="85" t="s">
        <v>1891</v>
      </c>
      <c r="C6" s="28">
        <v>75.5</v>
      </c>
      <c r="D6" s="28">
        <v>75.2</v>
      </c>
      <c r="E6" s="28">
        <v>74</v>
      </c>
      <c r="F6" s="28">
        <v>73.5</v>
      </c>
      <c r="G6" s="28">
        <v>73.099999999999994</v>
      </c>
    </row>
    <row r="7" spans="1:11">
      <c r="A7" s="28" t="s">
        <v>65</v>
      </c>
      <c r="B7" s="85" t="s">
        <v>1892</v>
      </c>
      <c r="C7" s="28">
        <v>93.7</v>
      </c>
      <c r="D7" s="28">
        <v>125.8</v>
      </c>
      <c r="E7" s="28">
        <v>158</v>
      </c>
      <c r="F7" s="28">
        <v>178</v>
      </c>
      <c r="G7" s="28">
        <v>206.1</v>
      </c>
      <c r="K7"/>
    </row>
    <row r="8" spans="1:11">
      <c r="A8" s="28" t="s">
        <v>138</v>
      </c>
      <c r="B8" s="85" t="s">
        <v>1893</v>
      </c>
      <c r="C8" s="28">
        <v>284</v>
      </c>
      <c r="D8" s="28">
        <v>284</v>
      </c>
      <c r="E8" s="28">
        <v>284</v>
      </c>
      <c r="F8" s="28">
        <v>284</v>
      </c>
      <c r="G8" s="28">
        <v>284</v>
      </c>
    </row>
    <row r="9" spans="1:11">
      <c r="A9" s="28" t="s">
        <v>66</v>
      </c>
      <c r="B9" s="85" t="s">
        <v>1894</v>
      </c>
      <c r="C9" s="28">
        <v>77</v>
      </c>
      <c r="D9" s="28">
        <v>77</v>
      </c>
      <c r="E9" s="28">
        <v>77</v>
      </c>
      <c r="F9" s="28">
        <v>77</v>
      </c>
      <c r="G9" s="28">
        <v>77</v>
      </c>
    </row>
    <row r="10" spans="1:11">
      <c r="A10" s="28" t="s">
        <v>57</v>
      </c>
      <c r="B10" s="85" t="s">
        <v>1895</v>
      </c>
      <c r="C10" s="28">
        <v>1032</v>
      </c>
      <c r="D10" s="28">
        <v>1047</v>
      </c>
      <c r="E10" s="28">
        <v>1064</v>
      </c>
      <c r="F10" s="28">
        <v>1079</v>
      </c>
      <c r="G10" s="28">
        <v>1090</v>
      </c>
    </row>
    <row r="11" spans="1:11">
      <c r="A11" s="28" t="s">
        <v>68</v>
      </c>
      <c r="B11" s="85" t="s">
        <v>1896</v>
      </c>
      <c r="C11" s="28">
        <v>50</v>
      </c>
      <c r="D11" s="28">
        <v>50</v>
      </c>
      <c r="E11" s="28">
        <v>50</v>
      </c>
      <c r="F11" s="28">
        <v>50</v>
      </c>
      <c r="G11" s="28">
        <v>50</v>
      </c>
    </row>
    <row r="12" spans="1:11">
      <c r="A12" s="28" t="s">
        <v>498</v>
      </c>
      <c r="B12" s="85" t="s">
        <v>1897</v>
      </c>
      <c r="C12" s="28">
        <v>400</v>
      </c>
      <c r="D12" s="28">
        <v>400</v>
      </c>
      <c r="E12" s="28">
        <v>400</v>
      </c>
      <c r="F12" s="28">
        <v>400</v>
      </c>
      <c r="G12" s="28">
        <v>400</v>
      </c>
    </row>
    <row r="13" spans="1:11">
      <c r="A13" s="28" t="s">
        <v>136</v>
      </c>
      <c r="B13" s="85" t="s">
        <v>1898</v>
      </c>
      <c r="C13" s="28">
        <v>80</v>
      </c>
      <c r="D13" s="28">
        <v>80</v>
      </c>
      <c r="E13" s="28">
        <v>80</v>
      </c>
      <c r="F13" s="28">
        <v>80</v>
      </c>
      <c r="G13" s="28">
        <v>80</v>
      </c>
    </row>
    <row r="14" spans="1:11">
      <c r="A14" s="28" t="s">
        <v>58</v>
      </c>
      <c r="B14" s="85" t="s">
        <v>1899</v>
      </c>
      <c r="C14" s="28">
        <v>699</v>
      </c>
      <c r="D14" s="28">
        <v>730</v>
      </c>
      <c r="E14" s="28">
        <v>760</v>
      </c>
      <c r="F14" s="28">
        <v>788</v>
      </c>
      <c r="G14" s="28">
        <v>808</v>
      </c>
    </row>
    <row r="15" spans="1:11">
      <c r="A15" s="28" t="s">
        <v>55</v>
      </c>
      <c r="B15" s="85" t="s">
        <v>1900</v>
      </c>
      <c r="C15" s="28">
        <v>526</v>
      </c>
      <c r="D15" s="28">
        <v>555.70000000000005</v>
      </c>
      <c r="E15" s="28">
        <v>585.4</v>
      </c>
      <c r="F15" s="28">
        <v>604.70000000000005</v>
      </c>
      <c r="G15" s="28">
        <v>631</v>
      </c>
    </row>
    <row r="16" spans="1:11">
      <c r="A16" s="28" t="s">
        <v>56</v>
      </c>
      <c r="B16" s="85" t="s">
        <v>1901</v>
      </c>
      <c r="C16" s="28">
        <v>379</v>
      </c>
      <c r="D16" s="28">
        <v>385.7</v>
      </c>
      <c r="E16" s="28">
        <v>391.5</v>
      </c>
      <c r="F16" s="28">
        <v>400</v>
      </c>
      <c r="G16" s="28">
        <v>401.5</v>
      </c>
    </row>
    <row r="17" spans="1:7">
      <c r="A17" s="28" t="s">
        <v>67</v>
      </c>
      <c r="B17" s="28" t="s">
        <v>935</v>
      </c>
      <c r="C17" s="28">
        <f>SQRT(C9^2 +C4^2)</f>
        <v>436.83978756518962</v>
      </c>
      <c r="D17" s="28">
        <f t="shared" ref="D17:G17" si="0">SQRT(D9^2 +D4^2)</f>
        <v>436.83978756518962</v>
      </c>
      <c r="E17" s="28">
        <f t="shared" si="0"/>
        <v>436.83978756518962</v>
      </c>
      <c r="F17" s="28">
        <f t="shared" si="0"/>
        <v>436.83978756518962</v>
      </c>
      <c r="G17" s="28">
        <f t="shared" si="0"/>
        <v>436.83978756518962</v>
      </c>
    </row>
    <row r="18" spans="1:7">
      <c r="A18" s="28" t="s">
        <v>70</v>
      </c>
      <c r="B18" s="28" t="s">
        <v>70</v>
      </c>
    </row>
    <row r="19" spans="1:7">
      <c r="A19" s="28" t="s">
        <v>71</v>
      </c>
      <c r="B19" s="28" t="s">
        <v>71</v>
      </c>
    </row>
    <row r="20" spans="1:7">
      <c r="A20" s="28" t="s">
        <v>72</v>
      </c>
      <c r="B20" s="28" t="s">
        <v>72</v>
      </c>
    </row>
    <row r="21" spans="1:7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A22" s="28" t="s">
        <v>140</v>
      </c>
      <c r="B22" s="28" t="s">
        <v>140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141</v>
      </c>
      <c r="B23" s="28" t="s">
        <v>141</v>
      </c>
      <c r="C23" s="28">
        <v>50</v>
      </c>
      <c r="D23" s="28">
        <v>50</v>
      </c>
      <c r="E23" s="28">
        <v>50</v>
      </c>
      <c r="F23" s="28">
        <v>50</v>
      </c>
      <c r="G23" s="28">
        <v>50</v>
      </c>
    </row>
    <row r="24" spans="1:7">
      <c r="A24" s="28" t="s">
        <v>1758</v>
      </c>
      <c r="B24" s="28" t="s">
        <v>1758</v>
      </c>
      <c r="C24" s="28">
        <f>C30*2.54</f>
        <v>157.47999999999999</v>
      </c>
      <c r="D24" s="28">
        <f t="shared" ref="D24:G24" si="1">D30*2.54</f>
        <v>165.1</v>
      </c>
      <c r="E24" s="28">
        <f t="shared" si="1"/>
        <v>172.72</v>
      </c>
      <c r="F24" s="28">
        <f t="shared" si="1"/>
        <v>180.34</v>
      </c>
      <c r="G24" s="28">
        <f t="shared" si="1"/>
        <v>187.96</v>
      </c>
    </row>
    <row r="25" spans="1:7">
      <c r="A25" s="28" t="s">
        <v>1759</v>
      </c>
      <c r="B25" s="28" t="s">
        <v>1759</v>
      </c>
      <c r="C25" s="28">
        <f>C31*2.54</f>
        <v>166.37</v>
      </c>
      <c r="D25" s="28">
        <f t="shared" ref="D25:G25" si="2">D31*2.54</f>
        <v>173.99</v>
      </c>
      <c r="E25" s="28">
        <f t="shared" si="2"/>
        <v>181.61</v>
      </c>
      <c r="F25" s="28">
        <f t="shared" si="2"/>
        <v>189.23</v>
      </c>
      <c r="G25" s="28">
        <f t="shared" si="2"/>
        <v>196.85</v>
      </c>
    </row>
    <row r="29" spans="1:7">
      <c r="C29" s="28" t="s">
        <v>2411</v>
      </c>
      <c r="D29" s="28" t="s">
        <v>2002</v>
      </c>
      <c r="E29" s="28" t="s">
        <v>2003</v>
      </c>
      <c r="F29" s="28" t="s">
        <v>2004</v>
      </c>
      <c r="G29" s="28" t="s">
        <v>2005</v>
      </c>
    </row>
    <row r="30" spans="1:7">
      <c r="C30" s="28">
        <v>62</v>
      </c>
      <c r="D30" s="28">
        <v>65</v>
      </c>
      <c r="E30" s="28">
        <v>68</v>
      </c>
      <c r="F30" s="28">
        <v>71</v>
      </c>
      <c r="G30" s="28">
        <v>74</v>
      </c>
    </row>
    <row r="31" spans="1:7">
      <c r="C31" s="28">
        <v>65.5</v>
      </c>
      <c r="D31" s="28">
        <v>68.5</v>
      </c>
      <c r="E31" s="28">
        <v>71.5</v>
      </c>
      <c r="F31" s="28">
        <v>74.5</v>
      </c>
      <c r="G31" s="28">
        <v>77.5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 ht="20">
      <c r="A2" s="28" t="s">
        <v>55</v>
      </c>
      <c r="B2" s="28" t="s">
        <v>74</v>
      </c>
      <c r="C2" s="28" t="s">
        <v>975</v>
      </c>
      <c r="D2" s="28">
        <v>533.55999999999995</v>
      </c>
      <c r="E2" s="28">
        <v>560.54</v>
      </c>
      <c r="F2" s="28">
        <v>588.30999999999995</v>
      </c>
      <c r="G2" s="28">
        <v>612.15</v>
      </c>
    </row>
    <row r="3" spans="1:7" ht="20">
      <c r="A3" s="28" t="s">
        <v>56</v>
      </c>
      <c r="B3" s="28" t="s">
        <v>61</v>
      </c>
      <c r="C3" s="28" t="s">
        <v>970</v>
      </c>
      <c r="D3" s="28">
        <v>465</v>
      </c>
      <c r="E3" s="28">
        <v>490</v>
      </c>
      <c r="F3" s="28">
        <v>510</v>
      </c>
      <c r="G3" s="28">
        <v>530</v>
      </c>
    </row>
    <row r="4" spans="1:7" ht="20">
      <c r="A4" s="28" t="s">
        <v>61</v>
      </c>
      <c r="B4" s="28" t="s">
        <v>64</v>
      </c>
      <c r="C4" s="28" t="s">
        <v>976</v>
      </c>
      <c r="D4" s="28">
        <v>74.010000000000005</v>
      </c>
      <c r="E4" s="28">
        <v>74.14</v>
      </c>
      <c r="F4" s="28">
        <v>73.989999999999995</v>
      </c>
      <c r="G4" s="28">
        <v>73.97</v>
      </c>
    </row>
    <row r="5" spans="1:7" ht="20">
      <c r="A5" s="28" t="s">
        <v>74</v>
      </c>
      <c r="B5" s="28" t="s">
        <v>63</v>
      </c>
      <c r="C5" s="28" t="s">
        <v>971</v>
      </c>
      <c r="D5" s="28">
        <v>70.09</v>
      </c>
      <c r="E5" s="28">
        <v>70.06</v>
      </c>
      <c r="F5" s="28">
        <v>70.03</v>
      </c>
      <c r="G5" s="28">
        <v>70</v>
      </c>
    </row>
    <row r="6" spans="1:7" ht="20">
      <c r="A6" s="28" t="s">
        <v>63</v>
      </c>
      <c r="B6" s="28" t="s">
        <v>67</v>
      </c>
      <c r="C6" s="28" t="s">
        <v>977</v>
      </c>
      <c r="D6" s="28">
        <v>425</v>
      </c>
      <c r="E6" s="28">
        <v>425</v>
      </c>
      <c r="F6" s="28">
        <v>425</v>
      </c>
      <c r="G6" s="28">
        <v>425</v>
      </c>
    </row>
    <row r="7" spans="1:7" ht="20">
      <c r="A7" s="28" t="s">
        <v>64</v>
      </c>
      <c r="B7" s="28" t="s">
        <v>66</v>
      </c>
      <c r="C7" s="28" t="s">
        <v>357</v>
      </c>
      <c r="D7" s="28">
        <v>72.36</v>
      </c>
      <c r="E7" s="28">
        <v>72.09</v>
      </c>
      <c r="F7" s="28">
        <v>71.89</v>
      </c>
      <c r="G7" s="28">
        <v>71.08</v>
      </c>
    </row>
    <row r="8" spans="1:7" ht="20">
      <c r="A8" s="28" t="s">
        <v>65</v>
      </c>
      <c r="B8" s="28" t="s">
        <v>57</v>
      </c>
      <c r="C8" s="28" t="s">
        <v>57</v>
      </c>
      <c r="D8" s="43">
        <v>1024.02</v>
      </c>
      <c r="E8" s="43">
        <v>1052.77</v>
      </c>
      <c r="F8" s="43">
        <v>1082.71</v>
      </c>
      <c r="G8" s="43">
        <v>1108.92</v>
      </c>
    </row>
    <row r="9" spans="1:7" ht="20">
      <c r="A9" s="28" t="s">
        <v>66</v>
      </c>
      <c r="B9" s="28" t="s">
        <v>135</v>
      </c>
      <c r="C9" s="28" t="s">
        <v>978</v>
      </c>
      <c r="D9" s="28">
        <v>609.45000000000005</v>
      </c>
      <c r="E9" s="28">
        <v>638.09</v>
      </c>
      <c r="F9" s="28">
        <v>667.71</v>
      </c>
      <c r="G9" s="28">
        <v>693.76</v>
      </c>
    </row>
    <row r="10" spans="1:7" ht="20">
      <c r="A10" s="28" t="s">
        <v>67</v>
      </c>
      <c r="B10" s="28" t="s">
        <v>65</v>
      </c>
      <c r="C10" s="28" t="s">
        <v>987</v>
      </c>
      <c r="D10" s="28">
        <v>116</v>
      </c>
      <c r="E10" s="28">
        <v>141</v>
      </c>
      <c r="F10" s="28">
        <v>170</v>
      </c>
      <c r="G10" s="28">
        <v>202</v>
      </c>
    </row>
    <row r="11" spans="1:7" ht="20">
      <c r="A11" s="28" t="s">
        <v>57</v>
      </c>
      <c r="B11" s="28" t="s">
        <v>55</v>
      </c>
      <c r="C11" s="28" t="s">
        <v>55</v>
      </c>
      <c r="D11" s="28">
        <v>536.25</v>
      </c>
      <c r="E11" s="28">
        <v>561.07000000000005</v>
      </c>
      <c r="F11" s="28">
        <v>586.07000000000005</v>
      </c>
      <c r="G11" s="28">
        <v>616.02</v>
      </c>
    </row>
    <row r="12" spans="1:7" ht="20">
      <c r="A12" s="28" t="s">
        <v>68</v>
      </c>
      <c r="B12" s="28" t="s">
        <v>56</v>
      </c>
      <c r="C12" s="28" t="s">
        <v>56</v>
      </c>
      <c r="D12" s="28">
        <v>380.31</v>
      </c>
      <c r="E12" s="28">
        <v>400.49</v>
      </c>
      <c r="F12" s="28">
        <v>420.46</v>
      </c>
      <c r="G12" s="28">
        <v>435.61</v>
      </c>
    </row>
    <row r="13" spans="1:7" ht="20">
      <c r="A13" s="28" t="s">
        <v>58</v>
      </c>
      <c r="B13" s="28" t="s">
        <v>985</v>
      </c>
      <c r="C13" s="28" t="s">
        <v>979</v>
      </c>
      <c r="D13" s="28"/>
      <c r="E13" s="28"/>
      <c r="F13" s="28"/>
      <c r="G13" s="28"/>
    </row>
    <row r="14" spans="1:7" ht="20">
      <c r="A14" s="28" t="s">
        <v>70</v>
      </c>
      <c r="B14" s="28" t="s">
        <v>984</v>
      </c>
      <c r="C14" s="28" t="s">
        <v>980</v>
      </c>
      <c r="D14" s="28">
        <v>75.09</v>
      </c>
      <c r="E14" s="28">
        <v>75.31</v>
      </c>
      <c r="F14" s="28">
        <v>75.510000000000005</v>
      </c>
      <c r="G14" s="28">
        <v>75.739999999999995</v>
      </c>
    </row>
    <row r="15" spans="1:7" ht="20">
      <c r="A15" s="28" t="s">
        <v>71</v>
      </c>
      <c r="B15" s="28" t="s">
        <v>68</v>
      </c>
      <c r="C15" s="28" t="s">
        <v>981</v>
      </c>
      <c r="D15" s="28">
        <v>53</v>
      </c>
      <c r="E15" s="28">
        <v>53</v>
      </c>
      <c r="F15" s="28">
        <v>53</v>
      </c>
      <c r="G15" s="28">
        <v>53</v>
      </c>
    </row>
    <row r="16" spans="1:7" ht="20">
      <c r="A16" s="28" t="s">
        <v>72</v>
      </c>
      <c r="B16" s="28" t="s">
        <v>69</v>
      </c>
      <c r="C16" s="28" t="s">
        <v>982</v>
      </c>
      <c r="D16" s="28">
        <v>700</v>
      </c>
      <c r="E16" s="28">
        <v>700</v>
      </c>
      <c r="F16" s="28">
        <v>700</v>
      </c>
      <c r="G16" s="28">
        <v>700</v>
      </c>
    </row>
    <row r="17" spans="1:7" ht="20">
      <c r="A17" s="28" t="s">
        <v>69</v>
      </c>
      <c r="B17" s="28" t="s">
        <v>166</v>
      </c>
      <c r="C17" s="28" t="s">
        <v>983</v>
      </c>
      <c r="D17" s="28">
        <v>405</v>
      </c>
      <c r="E17" s="28">
        <v>405</v>
      </c>
      <c r="F17" s="28">
        <v>405</v>
      </c>
      <c r="G17" s="28">
        <v>405</v>
      </c>
    </row>
    <row r="18" spans="1:7" ht="20">
      <c r="A18" s="28" t="s">
        <v>140</v>
      </c>
      <c r="B18" s="28" t="s">
        <v>58</v>
      </c>
      <c r="C18" s="28" t="s">
        <v>58</v>
      </c>
      <c r="D18" s="28"/>
      <c r="E18" s="28"/>
      <c r="F18" s="28"/>
      <c r="G18" s="28"/>
    </row>
    <row r="19" spans="1:7" ht="20">
      <c r="A19" s="28" t="s">
        <v>141</v>
      </c>
      <c r="B19" s="28" t="s">
        <v>70</v>
      </c>
      <c r="C19" s="28" t="s">
        <v>70</v>
      </c>
      <c r="D19" s="28"/>
      <c r="E19" s="28"/>
      <c r="F19" s="28"/>
      <c r="G19" s="28"/>
    </row>
    <row r="20" spans="1:7" ht="20">
      <c r="A20" s="28"/>
      <c r="B20" s="28" t="s">
        <v>71</v>
      </c>
      <c r="C20" s="28" t="s">
        <v>71</v>
      </c>
      <c r="D20" s="28"/>
      <c r="E20" s="28"/>
      <c r="F20" s="28"/>
      <c r="G20" s="28"/>
    </row>
    <row r="21" spans="1:7" ht="20">
      <c r="A21" s="28"/>
      <c r="B21" s="28" t="s">
        <v>72</v>
      </c>
      <c r="C21" s="28" t="s">
        <v>72</v>
      </c>
      <c r="D21" s="28"/>
      <c r="E21" s="28"/>
      <c r="F21" s="28"/>
      <c r="G21" s="28"/>
    </row>
    <row r="22" spans="1:7" ht="20">
      <c r="A22" s="28"/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7" ht="20">
      <c r="A23" s="28"/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7" ht="20">
      <c r="A24" s="28"/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5" spans="1:7" ht="20">
      <c r="A25" s="28"/>
      <c r="B25" s="28"/>
      <c r="C25" s="28"/>
      <c r="D25" s="28"/>
      <c r="E25" s="28"/>
      <c r="F25" s="28"/>
      <c r="G25" s="28"/>
    </row>
    <row r="26" spans="1:7" ht="20">
      <c r="A26" s="28"/>
      <c r="B26" s="28"/>
      <c r="C26" s="28" t="s">
        <v>922</v>
      </c>
      <c r="D26" s="28">
        <f>SQRT(D6^2 - D7^2)</f>
        <v>418.79473540148518</v>
      </c>
      <c r="E26" s="28">
        <f t="shared" ref="E26:G26" si="0">SQRT(E6^2 - E7^2)</f>
        <v>418.84129679390497</v>
      </c>
      <c r="F26" s="28">
        <f t="shared" si="0"/>
        <v>418.87567117224654</v>
      </c>
      <c r="G26" s="28">
        <f t="shared" si="0"/>
        <v>419.01388234759003</v>
      </c>
    </row>
    <row r="27" spans="1:7" ht="20">
      <c r="A27" s="28"/>
      <c r="B27" s="28"/>
      <c r="C27" s="28" t="s">
        <v>939</v>
      </c>
      <c r="D27" s="43">
        <f>(D11-D7)/TAN(D5*PI()/180)</f>
        <v>168.01741514876571</v>
      </c>
      <c r="E27" s="43">
        <f t="shared" ref="E27:G27" si="1">(E11-E7)/TAN(E5*PI()/180)</f>
        <v>177.3944925940234</v>
      </c>
      <c r="F27" s="43">
        <f t="shared" si="1"/>
        <v>186.84138382987223</v>
      </c>
      <c r="G27" s="43">
        <f t="shared" si="1"/>
        <v>198.34193946102434</v>
      </c>
    </row>
    <row r="28" spans="1:7" ht="20">
      <c r="A28" s="28"/>
      <c r="B28" s="28"/>
      <c r="C28" s="28" t="s">
        <v>940</v>
      </c>
      <c r="D28" s="43">
        <f>D15/SIN(D5*PI()/180)</f>
        <v>56.369263886562749</v>
      </c>
      <c r="E28" s="43">
        <f t="shared" ref="E28:G28" si="2">E15/SIN(E5*PI()/180)</f>
        <v>56.379963706905251</v>
      </c>
      <c r="F28" s="43">
        <f t="shared" si="2"/>
        <v>56.390683052786002</v>
      </c>
      <c r="G28" s="43">
        <f t="shared" si="2"/>
        <v>56.401421941223347</v>
      </c>
    </row>
    <row r="29" spans="1:7" ht="20">
      <c r="A29" s="28"/>
      <c r="B29" s="28"/>
      <c r="C29" s="28" t="s">
        <v>990</v>
      </c>
      <c r="D29" s="43">
        <f>D12+D27+D28</f>
        <v>604.69667903532843</v>
      </c>
      <c r="E29" s="43">
        <f t="shared" ref="E29:G29" si="3">E12+E27+E28</f>
        <v>634.26445630092871</v>
      </c>
      <c r="F29" s="43">
        <f t="shared" si="3"/>
        <v>663.6920668826582</v>
      </c>
      <c r="G29" s="43">
        <f t="shared" si="3"/>
        <v>690.35336140224774</v>
      </c>
    </row>
    <row r="30" spans="1:7" ht="20">
      <c r="A30" s="28"/>
      <c r="B30" s="28"/>
      <c r="C30" s="28" t="s">
        <v>989</v>
      </c>
      <c r="D30" s="43">
        <f>D26+D29</f>
        <v>1023.4914144368136</v>
      </c>
      <c r="E30" s="43">
        <f t="shared" ref="E30:G30" si="4">E26+E29</f>
        <v>1053.1057530948337</v>
      </c>
      <c r="F30" s="43">
        <f t="shared" si="4"/>
        <v>1082.5677380549048</v>
      </c>
      <c r="G30" s="43">
        <f t="shared" si="4"/>
        <v>1109.3672437498378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8" bestFit="1" customWidth="1"/>
    <col min="2" max="2" width="29.33203125" style="28" customWidth="1"/>
    <col min="3" max="3" width="23.83203125" style="28" bestFit="1" customWidth="1"/>
    <col min="4" max="7" width="11.33203125" style="28" customWidth="1"/>
    <col min="8" max="8" width="36.83203125" style="28" customWidth="1"/>
    <col min="9" max="16384" width="10.83203125" style="28"/>
  </cols>
  <sheetData>
    <row r="1" spans="1:13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  <c r="I1" s="28" t="s">
        <v>18</v>
      </c>
      <c r="J1" s="28" t="s">
        <v>19</v>
      </c>
      <c r="K1" s="28" t="s">
        <v>20</v>
      </c>
      <c r="L1" s="28" t="s">
        <v>21</v>
      </c>
    </row>
    <row r="2" spans="1:13">
      <c r="A2" s="28" t="s">
        <v>55</v>
      </c>
      <c r="B2" s="28" t="s">
        <v>74</v>
      </c>
      <c r="C2" s="28" t="s">
        <v>975</v>
      </c>
      <c r="D2" s="28">
        <v>535.21</v>
      </c>
      <c r="E2" s="28">
        <v>562.36</v>
      </c>
      <c r="F2" s="28">
        <v>590.03</v>
      </c>
      <c r="G2" s="28">
        <v>613.92999999999995</v>
      </c>
      <c r="H2" s="28" t="s">
        <v>1010</v>
      </c>
      <c r="I2" s="28">
        <v>534.96</v>
      </c>
      <c r="J2" s="28">
        <v>562.1</v>
      </c>
      <c r="K2" s="28">
        <v>589.77</v>
      </c>
      <c r="L2" s="28">
        <v>613.65</v>
      </c>
      <c r="M2" s="28" t="s">
        <v>1012</v>
      </c>
    </row>
    <row r="3" spans="1:13">
      <c r="A3" s="28" t="s">
        <v>56</v>
      </c>
      <c r="B3" s="28" t="s">
        <v>61</v>
      </c>
      <c r="C3" s="28" t="s">
        <v>970</v>
      </c>
      <c r="D3" s="28">
        <v>465</v>
      </c>
      <c r="E3" s="28">
        <v>490</v>
      </c>
      <c r="F3" s="28">
        <v>510</v>
      </c>
      <c r="G3" s="28">
        <v>530</v>
      </c>
      <c r="H3" s="28" t="s">
        <v>1011</v>
      </c>
      <c r="I3" s="28">
        <v>465</v>
      </c>
      <c r="J3" s="28">
        <v>490</v>
      </c>
      <c r="K3" s="28">
        <v>510</v>
      </c>
      <c r="L3" s="28">
        <v>530</v>
      </c>
    </row>
    <row r="4" spans="1:13">
      <c r="A4" s="28" t="s">
        <v>61</v>
      </c>
      <c r="B4" s="28" t="s">
        <v>64</v>
      </c>
      <c r="C4" s="28" t="s">
        <v>976</v>
      </c>
      <c r="D4" s="28">
        <v>73.41</v>
      </c>
      <c r="E4" s="28">
        <v>73.41</v>
      </c>
      <c r="F4" s="28">
        <v>73.41</v>
      </c>
      <c r="G4" s="28">
        <v>73.59</v>
      </c>
      <c r="I4" s="28">
        <v>73.5</v>
      </c>
      <c r="J4" s="28">
        <v>73.5</v>
      </c>
      <c r="K4" s="28">
        <v>73.5</v>
      </c>
      <c r="L4" s="28">
        <v>73.5</v>
      </c>
    </row>
    <row r="5" spans="1:13">
      <c r="A5" s="28" t="s">
        <v>74</v>
      </c>
      <c r="B5" s="28" t="s">
        <v>63</v>
      </c>
      <c r="C5" s="28" t="s">
        <v>971</v>
      </c>
      <c r="D5" s="28">
        <v>69.41</v>
      </c>
      <c r="E5" s="28">
        <v>69.400000000000006</v>
      </c>
      <c r="F5" s="28">
        <v>69.39</v>
      </c>
      <c r="G5" s="28">
        <v>69.38</v>
      </c>
      <c r="I5" s="28">
        <v>69.5</v>
      </c>
      <c r="J5" s="28">
        <v>69.5</v>
      </c>
      <c r="K5" s="28">
        <v>69.5</v>
      </c>
      <c r="L5" s="28">
        <v>69.5</v>
      </c>
    </row>
    <row r="6" spans="1:13">
      <c r="A6" s="28" t="s">
        <v>63</v>
      </c>
      <c r="B6" s="28" t="s">
        <v>67</v>
      </c>
      <c r="C6" s="28" t="s">
        <v>977</v>
      </c>
      <c r="D6" s="28">
        <v>435</v>
      </c>
      <c r="E6" s="28">
        <v>435</v>
      </c>
      <c r="F6" s="28">
        <v>435</v>
      </c>
      <c r="G6" s="28">
        <v>435</v>
      </c>
      <c r="I6" s="28">
        <v>430</v>
      </c>
      <c r="J6" s="28">
        <v>430</v>
      </c>
      <c r="K6" s="28">
        <v>430</v>
      </c>
      <c r="L6" s="28">
        <v>430</v>
      </c>
    </row>
    <row r="7" spans="1:13">
      <c r="A7" s="28" t="s">
        <v>64</v>
      </c>
      <c r="B7" s="28" t="s">
        <v>66</v>
      </c>
      <c r="C7" s="28" t="s">
        <v>357</v>
      </c>
      <c r="D7" s="28">
        <v>70.97</v>
      </c>
      <c r="E7" s="28">
        <v>70.989999999999995</v>
      </c>
      <c r="F7" s="28">
        <v>71.099999999999994</v>
      </c>
      <c r="G7" s="28">
        <v>71.02</v>
      </c>
      <c r="I7" s="28">
        <v>70</v>
      </c>
      <c r="J7" s="28">
        <v>70</v>
      </c>
      <c r="K7" s="28">
        <v>70</v>
      </c>
      <c r="L7" s="28">
        <v>70</v>
      </c>
    </row>
    <row r="8" spans="1:13">
      <c r="A8" s="28" t="s">
        <v>65</v>
      </c>
      <c r="B8" s="28" t="s">
        <v>57</v>
      </c>
      <c r="C8" s="28" t="s">
        <v>57</v>
      </c>
      <c r="D8" s="43">
        <v>1027.83</v>
      </c>
      <c r="E8" s="43">
        <v>1056.9100000000001</v>
      </c>
      <c r="F8" s="43">
        <v>1086.52</v>
      </c>
      <c r="G8" s="43">
        <v>1112.74</v>
      </c>
      <c r="H8" s="28" t="s">
        <v>1010</v>
      </c>
      <c r="I8" s="43">
        <v>1023.03</v>
      </c>
      <c r="J8" s="43">
        <v>1052.1199999999999</v>
      </c>
      <c r="K8" s="43">
        <v>1081.73</v>
      </c>
      <c r="L8" s="43">
        <v>1107.94</v>
      </c>
    </row>
    <row r="9" spans="1:13">
      <c r="A9" s="28" t="s">
        <v>66</v>
      </c>
      <c r="B9" s="28" t="s">
        <v>135</v>
      </c>
      <c r="C9" s="28" t="s">
        <v>978</v>
      </c>
      <c r="D9" s="28">
        <v>602.85</v>
      </c>
      <c r="E9" s="28">
        <v>631.75</v>
      </c>
      <c r="F9" s="28">
        <v>661.18</v>
      </c>
      <c r="G9" s="28">
        <v>687.25</v>
      </c>
      <c r="I9" s="33">
        <v>602.85</v>
      </c>
      <c r="J9" s="28">
        <v>631.75</v>
      </c>
      <c r="K9" s="28">
        <v>661.18</v>
      </c>
      <c r="L9" s="28">
        <v>687.25</v>
      </c>
    </row>
    <row r="10" spans="1:13">
      <c r="A10" s="28" t="s">
        <v>67</v>
      </c>
      <c r="B10" s="28" t="s">
        <v>65</v>
      </c>
      <c r="C10" s="28" t="s">
        <v>987</v>
      </c>
      <c r="D10" s="28">
        <v>116</v>
      </c>
      <c r="E10" s="28">
        <v>141</v>
      </c>
      <c r="F10" s="28">
        <v>170</v>
      </c>
      <c r="G10" s="28">
        <v>202</v>
      </c>
      <c r="I10" s="28">
        <v>116</v>
      </c>
      <c r="J10" s="28">
        <v>141</v>
      </c>
      <c r="K10" s="28">
        <v>170</v>
      </c>
      <c r="L10" s="28">
        <v>202</v>
      </c>
    </row>
    <row r="11" spans="1:13">
      <c r="A11" s="28" t="s">
        <v>57</v>
      </c>
      <c r="B11" s="28" t="s">
        <v>55</v>
      </c>
      <c r="C11" s="28" t="s">
        <v>55</v>
      </c>
      <c r="D11" s="28">
        <v>540.61</v>
      </c>
      <c r="E11" s="28">
        <v>565.62</v>
      </c>
      <c r="F11" s="28">
        <v>590.64</v>
      </c>
      <c r="G11" s="28">
        <v>620.64</v>
      </c>
      <c r="I11" s="28">
        <v>540</v>
      </c>
      <c r="J11" s="28">
        <v>565</v>
      </c>
      <c r="K11" s="28">
        <v>590</v>
      </c>
      <c r="L11" s="28">
        <v>620</v>
      </c>
    </row>
    <row r="12" spans="1:13">
      <c r="A12" s="28" t="s">
        <v>68</v>
      </c>
      <c r="B12" s="28" t="s">
        <v>56</v>
      </c>
      <c r="C12" s="28" t="s">
        <v>56</v>
      </c>
      <c r="D12" s="28">
        <v>374.13</v>
      </c>
      <c r="E12" s="28">
        <v>394.11</v>
      </c>
      <c r="F12" s="28">
        <v>414.1</v>
      </c>
      <c r="G12" s="28">
        <v>429.07</v>
      </c>
      <c r="I12" s="28">
        <v>375</v>
      </c>
      <c r="J12" s="28">
        <v>395</v>
      </c>
      <c r="K12" s="28">
        <v>415</v>
      </c>
      <c r="L12" s="28">
        <v>430</v>
      </c>
    </row>
    <row r="13" spans="1:13">
      <c r="A13" s="28" t="s">
        <v>58</v>
      </c>
      <c r="B13" s="28" t="s">
        <v>985</v>
      </c>
      <c r="C13" s="28" t="s">
        <v>979</v>
      </c>
      <c r="D13" s="28">
        <v>88.13</v>
      </c>
      <c r="E13" s="28">
        <v>88.14</v>
      </c>
      <c r="F13" s="28">
        <v>87.49</v>
      </c>
      <c r="G13" s="28">
        <v>87.49</v>
      </c>
      <c r="I13" s="28">
        <v>87.49</v>
      </c>
      <c r="J13" s="28">
        <v>87.49</v>
      </c>
      <c r="K13" s="28">
        <v>87.49</v>
      </c>
      <c r="L13" s="28">
        <v>87.49</v>
      </c>
    </row>
    <row r="14" spans="1:13">
      <c r="A14" s="28" t="s">
        <v>70</v>
      </c>
      <c r="B14" s="28" t="s">
        <v>984</v>
      </c>
      <c r="C14" s="28" t="s">
        <v>980</v>
      </c>
      <c r="I14" s="28">
        <v>75.95</v>
      </c>
      <c r="J14" s="28">
        <v>75.95</v>
      </c>
      <c r="K14" s="28">
        <v>75.95</v>
      </c>
      <c r="L14" s="28">
        <v>75.95</v>
      </c>
    </row>
    <row r="15" spans="1:13">
      <c r="A15" s="28" t="s">
        <v>71</v>
      </c>
      <c r="B15" s="28" t="s">
        <v>68</v>
      </c>
      <c r="C15" s="28" t="s">
        <v>981</v>
      </c>
      <c r="D15" s="28">
        <v>45</v>
      </c>
      <c r="E15" s="28">
        <v>45</v>
      </c>
      <c r="F15" s="28">
        <v>45</v>
      </c>
      <c r="G15" s="28">
        <v>45</v>
      </c>
      <c r="I15" s="28" t="s">
        <v>1013</v>
      </c>
      <c r="J15" s="28" t="s">
        <v>1013</v>
      </c>
      <c r="K15" s="28" t="s">
        <v>1013</v>
      </c>
      <c r="L15" s="28" t="s">
        <v>1013</v>
      </c>
    </row>
    <row r="16" spans="1:13">
      <c r="A16" s="28" t="s">
        <v>72</v>
      </c>
      <c r="B16" s="28" t="s">
        <v>69</v>
      </c>
      <c r="C16" s="28" t="s">
        <v>982</v>
      </c>
      <c r="D16" s="28">
        <v>700</v>
      </c>
      <c r="E16" s="28">
        <v>700</v>
      </c>
      <c r="F16" s="28">
        <v>700</v>
      </c>
      <c r="G16" s="28">
        <v>700</v>
      </c>
      <c r="I16" s="28">
        <v>700</v>
      </c>
      <c r="J16" s="28">
        <v>700</v>
      </c>
      <c r="K16" s="28">
        <v>700</v>
      </c>
      <c r="L16" s="28">
        <v>700</v>
      </c>
    </row>
    <row r="17" spans="1:12">
      <c r="A17" s="28" t="s">
        <v>69</v>
      </c>
      <c r="B17" s="28" t="s">
        <v>166</v>
      </c>
      <c r="C17" s="28" t="s">
        <v>983</v>
      </c>
      <c r="D17" s="28">
        <v>405</v>
      </c>
      <c r="E17" s="28">
        <v>405</v>
      </c>
      <c r="F17" s="28">
        <v>405</v>
      </c>
      <c r="G17" s="28">
        <v>405</v>
      </c>
      <c r="I17" s="28">
        <v>405</v>
      </c>
      <c r="J17" s="28">
        <v>405</v>
      </c>
      <c r="K17" s="28">
        <v>405</v>
      </c>
      <c r="L17" s="28">
        <v>405</v>
      </c>
    </row>
    <row r="18" spans="1:12">
      <c r="A18" s="28" t="s">
        <v>140</v>
      </c>
      <c r="B18" s="28" t="s">
        <v>58</v>
      </c>
      <c r="C18" s="28" t="s">
        <v>58</v>
      </c>
    </row>
    <row r="19" spans="1:12">
      <c r="A19" s="28" t="s">
        <v>141</v>
      </c>
      <c r="B19" s="28" t="s">
        <v>70</v>
      </c>
      <c r="C19" s="28" t="s">
        <v>70</v>
      </c>
    </row>
    <row r="20" spans="1:12">
      <c r="B20" s="28" t="s">
        <v>71</v>
      </c>
      <c r="C20" s="28" t="s">
        <v>71</v>
      </c>
    </row>
    <row r="21" spans="1:12">
      <c r="B21" s="28" t="s">
        <v>72</v>
      </c>
      <c r="C21" s="28" t="s">
        <v>72</v>
      </c>
    </row>
    <row r="22" spans="1:12"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12"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12"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6" spans="1:12">
      <c r="C26" s="28" t="s">
        <v>922</v>
      </c>
      <c r="D26" s="28">
        <f>SQRT(D6^2 - D7^2)</f>
        <v>429.17159633414695</v>
      </c>
      <c r="E26" s="28">
        <f t="shared" ref="E26:G26" si="0">SQRT(E6^2 - E7^2)</f>
        <v>429.16828855356965</v>
      </c>
      <c r="F26" s="28">
        <f t="shared" si="0"/>
        <v>429.15007864382363</v>
      </c>
      <c r="G26" s="28">
        <f t="shared" si="0"/>
        <v>429.16332508731455</v>
      </c>
      <c r="I26" s="28">
        <f>SQRT(I6^2 - I7^2)</f>
        <v>424.26406871192853</v>
      </c>
    </row>
    <row r="27" spans="1:12">
      <c r="C27" s="28" t="s">
        <v>939</v>
      </c>
      <c r="D27" s="43">
        <f>(D11-D7)/TAN(D5*PI()/180)</f>
        <v>176.43252859061752</v>
      </c>
      <c r="E27" s="43">
        <f t="shared" ref="E27:G27" si="1">(E11-E7)/TAN(E5*PI()/180)</f>
        <v>185.91919413868081</v>
      </c>
      <c r="F27" s="43">
        <f t="shared" si="1"/>
        <v>195.38574223705527</v>
      </c>
      <c r="G27" s="43">
        <f t="shared" si="1"/>
        <v>206.80756408924441</v>
      </c>
      <c r="I27" s="43">
        <f>(I11-I7)/TAN(I5*PI()/180)</f>
        <v>175.72579935785819</v>
      </c>
    </row>
    <row r="28" spans="1:12">
      <c r="C28" s="28" t="s">
        <v>940</v>
      </c>
      <c r="D28" s="43">
        <f>D15/SIN(D5*PI()/180)</f>
        <v>48.070712431586628</v>
      </c>
      <c r="E28" s="43">
        <f t="shared" ref="E28:G28" si="2">E15/SIN(E5*PI()/180)</f>
        <v>48.073865263788697</v>
      </c>
      <c r="F28" s="43">
        <f t="shared" si="2"/>
        <v>48.07701997419575</v>
      </c>
      <c r="G28" s="43">
        <f t="shared" si="2"/>
        <v>48.080176563369776</v>
      </c>
      <c r="I28" s="43" t="e">
        <f>I15/SIN(I5*PI()/180)</f>
        <v>#VALUE!</v>
      </c>
    </row>
    <row r="29" spans="1:12">
      <c r="C29" s="28" t="s">
        <v>990</v>
      </c>
      <c r="D29" s="43">
        <f>D12+D27+D28</f>
        <v>598.63324102220417</v>
      </c>
      <c r="E29" s="43">
        <f t="shared" ref="E29:G29" si="3">E12+E27+E28</f>
        <v>628.10305940246951</v>
      </c>
      <c r="F29" s="43">
        <f t="shared" si="3"/>
        <v>657.56276221125108</v>
      </c>
      <c r="G29" s="43">
        <f t="shared" si="3"/>
        <v>683.95774065261412</v>
      </c>
      <c r="I29" s="43" t="e">
        <f>I12+I27+I28</f>
        <v>#VALUE!</v>
      </c>
    </row>
    <row r="30" spans="1:12">
      <c r="C30" s="28" t="s">
        <v>989</v>
      </c>
      <c r="D30" s="43">
        <f>D26+D29</f>
        <v>1027.8048373563511</v>
      </c>
      <c r="E30" s="43">
        <f t="shared" ref="E30:G30" si="4">E26+E29</f>
        <v>1057.2713479560391</v>
      </c>
      <c r="F30" s="43">
        <f t="shared" si="4"/>
        <v>1086.7128408550748</v>
      </c>
      <c r="G30" s="43">
        <f t="shared" si="4"/>
        <v>1113.1210657399288</v>
      </c>
      <c r="I30" s="43" t="e">
        <f>I26+I29</f>
        <v>#VALUE!</v>
      </c>
    </row>
    <row r="31" spans="1:12">
      <c r="F31" s="48"/>
    </row>
    <row r="36" spans="3:6">
      <c r="C36" s="28" t="s">
        <v>988</v>
      </c>
      <c r="D36" s="28" t="s">
        <v>972</v>
      </c>
      <c r="E36" s="28" t="s">
        <v>973</v>
      </c>
      <c r="F36" s="28" t="s">
        <v>974</v>
      </c>
    </row>
    <row r="41" spans="3:6">
      <c r="D41" s="49"/>
    </row>
  </sheetData>
  <phoneticPr fontId="47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B21" sqref="B21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8" t="s">
        <v>73</v>
      </c>
      <c r="B1" s="103" t="s">
        <v>1927</v>
      </c>
      <c r="C1" s="103" t="s">
        <v>17</v>
      </c>
      <c r="D1" s="103" t="s">
        <v>18</v>
      </c>
      <c r="E1" s="103" t="s">
        <v>19</v>
      </c>
      <c r="F1" s="103" t="s">
        <v>20</v>
      </c>
      <c r="G1" s="103" t="s">
        <v>21</v>
      </c>
    </row>
    <row r="2" spans="1:8" ht="20">
      <c r="A2" s="103" t="s">
        <v>2175</v>
      </c>
      <c r="B2" s="103" t="s">
        <v>2145</v>
      </c>
      <c r="C2" s="35">
        <v>48</v>
      </c>
      <c r="D2" s="35">
        <v>51</v>
      </c>
      <c r="E2" s="35">
        <v>54</v>
      </c>
      <c r="F2" s="35">
        <v>57</v>
      </c>
      <c r="G2" s="35">
        <v>60</v>
      </c>
    </row>
    <row r="3" spans="1:8" ht="20">
      <c r="A3" s="103" t="s">
        <v>2176</v>
      </c>
      <c r="B3" s="103" t="s">
        <v>2146</v>
      </c>
      <c r="C3" s="35">
        <v>445</v>
      </c>
      <c r="D3" s="35">
        <v>485</v>
      </c>
      <c r="E3" s="35">
        <v>515</v>
      </c>
      <c r="F3" s="35">
        <v>545</v>
      </c>
      <c r="G3" s="35">
        <v>585</v>
      </c>
    </row>
    <row r="4" spans="1:8" ht="20">
      <c r="A4" s="28" t="s">
        <v>71</v>
      </c>
      <c r="B4" s="103" t="s">
        <v>2147</v>
      </c>
      <c r="C4" s="35">
        <v>420</v>
      </c>
      <c r="D4" s="35">
        <v>420</v>
      </c>
      <c r="E4" s="35">
        <v>440</v>
      </c>
      <c r="F4" s="35">
        <v>440</v>
      </c>
      <c r="G4" s="35">
        <v>440</v>
      </c>
    </row>
    <row r="5" spans="1:8" ht="20">
      <c r="A5" s="28" t="s">
        <v>72</v>
      </c>
      <c r="B5" s="103" t="s">
        <v>2148</v>
      </c>
      <c r="C5" s="35">
        <v>80</v>
      </c>
      <c r="D5" s="35">
        <v>90</v>
      </c>
      <c r="E5" s="35">
        <v>90</v>
      </c>
      <c r="F5" s="35">
        <v>90</v>
      </c>
      <c r="G5" s="35">
        <v>100</v>
      </c>
    </row>
    <row r="6" spans="1:8" ht="20">
      <c r="A6" s="28" t="s">
        <v>70</v>
      </c>
      <c r="B6" s="103" t="s">
        <v>2149</v>
      </c>
      <c r="C6" s="35">
        <v>170</v>
      </c>
      <c r="D6" s="35">
        <v>170</v>
      </c>
      <c r="E6" s="35">
        <v>172.5</v>
      </c>
      <c r="F6" s="35">
        <v>172.5</v>
      </c>
      <c r="G6" s="35">
        <v>175</v>
      </c>
    </row>
    <row r="7" spans="1:8" ht="20">
      <c r="A7" s="103" t="s">
        <v>2174</v>
      </c>
      <c r="B7" s="103" t="s">
        <v>2150</v>
      </c>
      <c r="C7" s="35">
        <v>350</v>
      </c>
      <c r="D7" s="35">
        <v>350</v>
      </c>
      <c r="E7" s="35">
        <v>350</v>
      </c>
      <c r="F7" s="35">
        <v>350</v>
      </c>
      <c r="G7" s="35">
        <v>350</v>
      </c>
    </row>
    <row r="8" spans="1:8" ht="20">
      <c r="A8" s="28" t="s">
        <v>61</v>
      </c>
      <c r="B8" s="103" t="s">
        <v>2152</v>
      </c>
      <c r="C8" s="35">
        <v>445</v>
      </c>
      <c r="D8" s="35">
        <v>485</v>
      </c>
      <c r="E8" s="35">
        <v>515</v>
      </c>
      <c r="F8" s="35">
        <v>545</v>
      </c>
      <c r="G8" s="35">
        <v>585</v>
      </c>
      <c r="H8" s="103" t="s">
        <v>2151</v>
      </c>
    </row>
    <row r="9" spans="1:8" ht="20">
      <c r="A9" s="28" t="s">
        <v>74</v>
      </c>
      <c r="B9" s="103" t="s">
        <v>2154</v>
      </c>
      <c r="C9" s="35">
        <v>532</v>
      </c>
      <c r="D9" s="35">
        <v>549</v>
      </c>
      <c r="E9" s="35">
        <v>567</v>
      </c>
      <c r="F9" s="35">
        <v>591</v>
      </c>
      <c r="G9" s="35">
        <v>606</v>
      </c>
      <c r="H9" s="103" t="s">
        <v>2153</v>
      </c>
    </row>
    <row r="10" spans="1:8" ht="20">
      <c r="A10" s="28" t="s">
        <v>63</v>
      </c>
      <c r="B10" s="103" t="s">
        <v>2156</v>
      </c>
      <c r="C10" s="35">
        <v>70.5</v>
      </c>
      <c r="D10" s="35">
        <v>70.5</v>
      </c>
      <c r="E10" s="35">
        <v>70.5</v>
      </c>
      <c r="F10" s="35">
        <v>70.5</v>
      </c>
      <c r="G10" s="35">
        <v>70.5</v>
      </c>
      <c r="H10" s="103" t="s">
        <v>2155</v>
      </c>
    </row>
    <row r="11" spans="1:8" ht="20">
      <c r="A11" s="28" t="s">
        <v>64</v>
      </c>
      <c r="B11" s="103" t="s">
        <v>2158</v>
      </c>
      <c r="C11" s="35">
        <v>74</v>
      </c>
      <c r="D11" s="35">
        <v>73.5</v>
      </c>
      <c r="E11" s="35">
        <v>73.5</v>
      </c>
      <c r="F11" s="35">
        <v>73.5</v>
      </c>
      <c r="G11" s="35">
        <v>73.5</v>
      </c>
      <c r="H11" s="103" t="s">
        <v>2157</v>
      </c>
    </row>
    <row r="12" spans="1:8" ht="20">
      <c r="A12" s="28" t="s">
        <v>67</v>
      </c>
      <c r="B12" s="103" t="s">
        <v>2160</v>
      </c>
      <c r="C12" s="35">
        <v>425</v>
      </c>
      <c r="D12" s="35">
        <v>425</v>
      </c>
      <c r="E12" s="35">
        <v>425</v>
      </c>
      <c r="F12" s="35">
        <v>425</v>
      </c>
      <c r="G12" s="35">
        <v>425</v>
      </c>
      <c r="H12" s="103" t="s">
        <v>2159</v>
      </c>
    </row>
    <row r="13" spans="1:8" ht="20">
      <c r="A13" s="28" t="s">
        <v>66</v>
      </c>
      <c r="B13" s="103" t="s">
        <v>2162</v>
      </c>
      <c r="C13" s="35">
        <v>75</v>
      </c>
      <c r="D13" s="35">
        <v>75</v>
      </c>
      <c r="E13" s="35">
        <v>75</v>
      </c>
      <c r="F13" s="35">
        <v>75</v>
      </c>
      <c r="G13" s="35">
        <v>75</v>
      </c>
      <c r="H13" s="103" t="s">
        <v>2161</v>
      </c>
    </row>
    <row r="14" spans="1:8" ht="20">
      <c r="A14" s="28" t="s">
        <v>65</v>
      </c>
      <c r="B14" s="103" t="s">
        <v>2164</v>
      </c>
      <c r="C14" s="35">
        <v>115</v>
      </c>
      <c r="D14" s="35">
        <v>120</v>
      </c>
      <c r="E14" s="35">
        <v>130</v>
      </c>
      <c r="F14" s="35">
        <v>150</v>
      </c>
      <c r="G14" s="35">
        <v>180</v>
      </c>
      <c r="H14" s="103" t="s">
        <v>2163</v>
      </c>
    </row>
    <row r="15" spans="1:8" ht="20">
      <c r="A15" s="28" t="s">
        <v>498</v>
      </c>
      <c r="B15" s="103" t="s">
        <v>2166</v>
      </c>
      <c r="C15" s="35">
        <v>425</v>
      </c>
      <c r="D15" s="35">
        <v>425</v>
      </c>
      <c r="E15" s="35">
        <v>425</v>
      </c>
      <c r="F15" s="35">
        <v>425</v>
      </c>
      <c r="G15" s="35">
        <v>425</v>
      </c>
      <c r="H15" s="103" t="s">
        <v>2165</v>
      </c>
    </row>
    <row r="16" spans="1:8" ht="20">
      <c r="A16" s="28" t="s">
        <v>68</v>
      </c>
      <c r="B16" s="103" t="s">
        <v>2168</v>
      </c>
      <c r="C16" s="35">
        <v>50</v>
      </c>
      <c r="D16" s="35">
        <v>50</v>
      </c>
      <c r="E16" s="35">
        <v>50</v>
      </c>
      <c r="F16" s="35">
        <v>50</v>
      </c>
      <c r="G16" s="35">
        <v>50</v>
      </c>
      <c r="H16" s="103" t="s">
        <v>2167</v>
      </c>
    </row>
    <row r="17" spans="1:8" ht="20">
      <c r="A17" s="28" t="s">
        <v>57</v>
      </c>
      <c r="B17" s="103" t="s">
        <v>2170</v>
      </c>
      <c r="C17" s="35">
        <v>1016</v>
      </c>
      <c r="D17" s="35">
        <v>1028</v>
      </c>
      <c r="E17" s="35">
        <v>1046</v>
      </c>
      <c r="F17" s="35">
        <v>1068</v>
      </c>
      <c r="G17" s="35">
        <v>1088</v>
      </c>
      <c r="H17" s="103" t="s">
        <v>2169</v>
      </c>
    </row>
    <row r="18" spans="1:8" ht="20">
      <c r="A18" s="28" t="s">
        <v>55</v>
      </c>
      <c r="B18" s="103" t="s">
        <v>2172</v>
      </c>
      <c r="C18" s="35">
        <v>569</v>
      </c>
      <c r="D18" s="35">
        <v>574</v>
      </c>
      <c r="E18" s="35">
        <v>583</v>
      </c>
      <c r="F18" s="35">
        <v>611</v>
      </c>
      <c r="G18" s="35">
        <v>630</v>
      </c>
      <c r="H18" s="103" t="s">
        <v>2171</v>
      </c>
    </row>
    <row r="19" spans="1:8" ht="20">
      <c r="A19" s="28" t="s">
        <v>56</v>
      </c>
      <c r="B19" s="103" t="s">
        <v>2173</v>
      </c>
      <c r="C19" s="35">
        <v>370</v>
      </c>
      <c r="D19" s="35">
        <v>380</v>
      </c>
      <c r="E19" s="35">
        <v>395</v>
      </c>
      <c r="F19" s="35">
        <v>410</v>
      </c>
      <c r="G19" s="35">
        <v>420</v>
      </c>
      <c r="H19" s="103" t="s">
        <v>1145</v>
      </c>
    </row>
    <row r="20" spans="1:8" ht="20">
      <c r="A20" s="28" t="s">
        <v>58</v>
      </c>
      <c r="B20" s="28" t="s">
        <v>2240</v>
      </c>
    </row>
    <row r="21" spans="1:8" ht="20">
      <c r="A21" s="28" t="s">
        <v>69</v>
      </c>
      <c r="B21" s="103" t="s">
        <v>982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8" ht="20">
      <c r="A22" s="28" t="s">
        <v>140</v>
      </c>
      <c r="B22" s="103" t="s">
        <v>2177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 ht="20">
      <c r="A23" s="28" t="s">
        <v>141</v>
      </c>
      <c r="B23" s="103" t="s">
        <v>2178</v>
      </c>
      <c r="C23" s="28">
        <v>47</v>
      </c>
      <c r="D23" s="28">
        <v>47</v>
      </c>
      <c r="E23" s="28">
        <v>47</v>
      </c>
      <c r="F23" s="28">
        <v>47</v>
      </c>
      <c r="G23" s="28">
        <v>47</v>
      </c>
    </row>
    <row r="24" spans="1:8" ht="20">
      <c r="A24" s="28" t="s">
        <v>1758</v>
      </c>
      <c r="B24" s="103" t="s">
        <v>2179</v>
      </c>
      <c r="C24" s="28"/>
    </row>
    <row r="25" spans="1:8" ht="20">
      <c r="A25" s="28" t="s">
        <v>1759</v>
      </c>
      <c r="B25" s="103" t="s">
        <v>2180</v>
      </c>
      <c r="C25" s="28"/>
    </row>
    <row r="26" spans="1:8" ht="20">
      <c r="C26" s="35"/>
      <c r="D26" s="35"/>
      <c r="E26" s="35"/>
      <c r="F26" s="35"/>
      <c r="G26" s="35"/>
    </row>
    <row r="27" spans="1:8" ht="20">
      <c r="C27" s="35"/>
      <c r="D27" s="35"/>
      <c r="E27" s="35"/>
      <c r="F27" s="35"/>
      <c r="G27" s="35"/>
    </row>
    <row r="28" spans="1:8" ht="20">
      <c r="C28" s="35"/>
      <c r="D28" s="35"/>
      <c r="E28" s="35"/>
      <c r="F28" s="35"/>
      <c r="G28" s="35"/>
    </row>
    <row r="29" spans="1:8" ht="20">
      <c r="C29" s="35"/>
      <c r="D29" s="35"/>
      <c r="E29" s="35"/>
      <c r="F29" s="35"/>
      <c r="G29" s="35"/>
    </row>
    <row r="30" spans="1:8" ht="20">
      <c r="C30" s="35"/>
      <c r="D30" s="35"/>
      <c r="E30" s="35"/>
      <c r="F30" s="35"/>
      <c r="G30" s="35"/>
    </row>
    <row r="31" spans="1:8" ht="20">
      <c r="C31" s="35"/>
      <c r="D31" s="35"/>
      <c r="E31" s="35"/>
      <c r="F31" s="35"/>
      <c r="G31" s="35"/>
    </row>
    <row r="32" spans="1:8" ht="20">
      <c r="C32" s="35"/>
      <c r="D32" s="35"/>
      <c r="E32" s="35"/>
      <c r="F32" s="35"/>
      <c r="G32" s="35"/>
    </row>
    <row r="33" spans="3:7" ht="20">
      <c r="C33" s="35"/>
      <c r="D33" s="35"/>
      <c r="E33" s="35"/>
      <c r="F33" s="35"/>
      <c r="G33" s="35"/>
    </row>
    <row r="34" spans="3:7" ht="20">
      <c r="C34" s="35"/>
      <c r="D34" s="35"/>
      <c r="E34" s="35"/>
      <c r="F34" s="35"/>
      <c r="G34" s="35"/>
    </row>
    <row r="35" spans="3:7" ht="20">
      <c r="C35" s="35"/>
      <c r="D35" s="35"/>
      <c r="E35" s="35"/>
      <c r="F35" s="35"/>
      <c r="G35" s="35"/>
    </row>
    <row r="36" spans="3:7" ht="20">
      <c r="C36" s="35"/>
      <c r="D36" s="35"/>
      <c r="E36" s="35"/>
      <c r="F36" s="35"/>
      <c r="G36" s="35"/>
    </row>
    <row r="37" spans="3:7" ht="20">
      <c r="C37" s="35"/>
      <c r="D37" s="35"/>
      <c r="E37" s="35"/>
      <c r="F37" s="35"/>
      <c r="G37" s="35"/>
    </row>
    <row r="38" spans="3:7" ht="20">
      <c r="C38" s="35"/>
      <c r="D38" s="35"/>
      <c r="E38" s="35"/>
      <c r="F38" s="35"/>
      <c r="G38" s="35"/>
    </row>
    <row r="39" spans="3:7" ht="20">
      <c r="C39" s="35"/>
      <c r="D39" s="35"/>
      <c r="E39" s="35"/>
      <c r="F39" s="35"/>
      <c r="G39" s="35"/>
    </row>
    <row r="40" spans="3:7" ht="20">
      <c r="C40" s="35"/>
      <c r="D40" s="35"/>
      <c r="E40" s="35"/>
      <c r="F40" s="35"/>
      <c r="G40" s="35"/>
    </row>
    <row r="41" spans="3:7" ht="20">
      <c r="C41" s="35"/>
      <c r="D41" s="35"/>
      <c r="E41" s="35"/>
      <c r="F41" s="35"/>
      <c r="G41" s="35"/>
    </row>
    <row r="42" spans="3:7" ht="20">
      <c r="C42" s="35"/>
      <c r="D42" s="35"/>
      <c r="E42" s="35"/>
      <c r="F42" s="35"/>
      <c r="G42" s="35"/>
    </row>
    <row r="43" spans="3:7" ht="20">
      <c r="C43" s="35"/>
      <c r="D43" s="35"/>
      <c r="E43" s="35"/>
      <c r="F43" s="35"/>
      <c r="G43" s="35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7" width="10.5" style="28" bestFit="1" customWidth="1"/>
    <col min="8" max="16384" width="10.83203125" style="28"/>
  </cols>
  <sheetData>
    <row r="1" spans="1:10">
      <c r="A1" s="28" t="s">
        <v>73</v>
      </c>
      <c r="B1" s="28" t="s">
        <v>73</v>
      </c>
      <c r="C1" s="28" t="s">
        <v>139</v>
      </c>
      <c r="D1" s="28" t="s">
        <v>1916</v>
      </c>
      <c r="E1" s="28" t="s">
        <v>1917</v>
      </c>
      <c r="F1" s="28" t="s">
        <v>1918</v>
      </c>
      <c r="G1" s="28" t="s">
        <v>1919</v>
      </c>
    </row>
    <row r="2" spans="1:10">
      <c r="A2" s="28" t="s">
        <v>55</v>
      </c>
      <c r="B2" s="28" t="s">
        <v>56</v>
      </c>
      <c r="C2" s="28" t="s">
        <v>41</v>
      </c>
      <c r="D2" s="28">
        <v>375</v>
      </c>
      <c r="E2" s="28">
        <v>400</v>
      </c>
      <c r="F2" s="28">
        <v>425</v>
      </c>
      <c r="G2" s="28">
        <v>450</v>
      </c>
      <c r="J2"/>
    </row>
    <row r="3" spans="1:10">
      <c r="A3" s="28" t="s">
        <v>56</v>
      </c>
      <c r="B3" s="28" t="s">
        <v>55</v>
      </c>
      <c r="C3" s="28" t="s">
        <v>40</v>
      </c>
      <c r="D3" s="28">
        <v>593</v>
      </c>
      <c r="E3" s="28">
        <v>598</v>
      </c>
      <c r="F3" s="28">
        <v>598</v>
      </c>
      <c r="G3" s="28">
        <v>602.70000000000005</v>
      </c>
    </row>
    <row r="4" spans="1:10">
      <c r="A4" s="28" t="s">
        <v>61</v>
      </c>
      <c r="B4" s="28" t="s">
        <v>63</v>
      </c>
      <c r="C4" s="28" t="s">
        <v>194</v>
      </c>
      <c r="D4" s="28">
        <v>69</v>
      </c>
      <c r="E4" s="28">
        <v>69</v>
      </c>
      <c r="F4" s="28">
        <v>69</v>
      </c>
      <c r="G4" s="28">
        <v>69</v>
      </c>
    </row>
    <row r="5" spans="1:10">
      <c r="A5" s="28" t="s">
        <v>74</v>
      </c>
      <c r="B5" s="28" t="s">
        <v>64</v>
      </c>
      <c r="C5" s="28" t="s">
        <v>32</v>
      </c>
      <c r="D5" s="28">
        <v>73</v>
      </c>
      <c r="E5" s="28">
        <v>73</v>
      </c>
      <c r="F5" s="28">
        <v>73</v>
      </c>
      <c r="G5" s="28">
        <v>73</v>
      </c>
    </row>
    <row r="6" spans="1:10">
      <c r="A6" s="28" t="s">
        <v>63</v>
      </c>
      <c r="B6" s="28" t="s">
        <v>61</v>
      </c>
      <c r="C6" s="28" t="s">
        <v>412</v>
      </c>
      <c r="D6" s="28">
        <v>440</v>
      </c>
      <c r="E6" s="28">
        <v>460</v>
      </c>
      <c r="F6" s="28">
        <v>480</v>
      </c>
      <c r="G6" s="28">
        <v>500</v>
      </c>
    </row>
    <row r="7" spans="1:10">
      <c r="A7" s="28" t="s">
        <v>64</v>
      </c>
      <c r="B7" s="28" t="s">
        <v>66</v>
      </c>
      <c r="C7" s="28" t="s">
        <v>187</v>
      </c>
      <c r="D7" s="28">
        <v>70</v>
      </c>
      <c r="E7" s="28">
        <v>70</v>
      </c>
      <c r="F7" s="28">
        <v>70</v>
      </c>
      <c r="G7" s="28">
        <v>70</v>
      </c>
    </row>
    <row r="8" spans="1:10">
      <c r="A8" s="28" t="s">
        <v>65</v>
      </c>
      <c r="B8" s="28" t="s">
        <v>65</v>
      </c>
      <c r="C8" s="28" t="s">
        <v>30</v>
      </c>
      <c r="D8" s="28">
        <v>180</v>
      </c>
      <c r="E8" s="28">
        <v>185</v>
      </c>
      <c r="F8" s="28">
        <v>185</v>
      </c>
      <c r="G8" s="28">
        <v>190</v>
      </c>
    </row>
    <row r="9" spans="1:10">
      <c r="A9" s="28" t="s">
        <v>66</v>
      </c>
      <c r="B9" s="28" t="s">
        <v>74</v>
      </c>
      <c r="C9" s="28" t="s">
        <v>1920</v>
      </c>
      <c r="D9" s="28">
        <v>556.4</v>
      </c>
      <c r="E9" s="28">
        <v>582.79999999999995</v>
      </c>
      <c r="F9" s="28">
        <v>607.79999999999995</v>
      </c>
      <c r="G9" s="28">
        <v>634.20000000000005</v>
      </c>
    </row>
    <row r="10" spans="1:10">
      <c r="A10" s="28" t="s">
        <v>67</v>
      </c>
      <c r="B10" s="28" t="s">
        <v>57</v>
      </c>
      <c r="C10" s="28" t="s">
        <v>37</v>
      </c>
      <c r="D10" s="28">
        <v>1051.5999999999999</v>
      </c>
      <c r="E10" s="28">
        <v>1078.4000000000001</v>
      </c>
      <c r="F10" s="28">
        <v>1103.4000000000001</v>
      </c>
      <c r="G10" s="28">
        <v>1130.2</v>
      </c>
    </row>
    <row r="11" spans="1:10">
      <c r="A11" s="28" t="s">
        <v>57</v>
      </c>
      <c r="B11" s="28" t="s">
        <v>67</v>
      </c>
      <c r="C11" s="28" t="s">
        <v>36</v>
      </c>
      <c r="D11" s="28">
        <v>430</v>
      </c>
      <c r="E11" s="28">
        <v>430</v>
      </c>
      <c r="F11" s="28">
        <v>430</v>
      </c>
      <c r="G11" s="28">
        <v>430</v>
      </c>
    </row>
    <row r="12" spans="1:10">
      <c r="A12" s="28" t="s">
        <v>68</v>
      </c>
      <c r="B12" s="28" t="s">
        <v>135</v>
      </c>
      <c r="C12" s="28" t="s">
        <v>207</v>
      </c>
      <c r="D12" s="28">
        <v>631.20000000000005</v>
      </c>
      <c r="E12" s="28">
        <v>657.8</v>
      </c>
      <c r="F12" s="28">
        <v>682.7</v>
      </c>
      <c r="G12" s="28">
        <v>709.4</v>
      </c>
    </row>
    <row r="13" spans="1:10">
      <c r="A13" s="28" t="s">
        <v>58</v>
      </c>
      <c r="B13" s="28" t="s">
        <v>498</v>
      </c>
      <c r="C13" s="28" t="s">
        <v>1921</v>
      </c>
      <c r="D13" s="28">
        <v>398</v>
      </c>
      <c r="E13" s="28">
        <v>398</v>
      </c>
      <c r="F13" s="28">
        <v>398</v>
      </c>
      <c r="G13" s="28">
        <v>398</v>
      </c>
    </row>
    <row r="14" spans="1:10">
      <c r="A14" s="28" t="s">
        <v>70</v>
      </c>
      <c r="B14" s="28" t="s">
        <v>68</v>
      </c>
      <c r="C14" s="28" t="s">
        <v>1922</v>
      </c>
      <c r="D14" s="28">
        <v>48</v>
      </c>
      <c r="E14" s="28">
        <v>48</v>
      </c>
      <c r="F14" s="28">
        <v>48</v>
      </c>
      <c r="G14" s="28">
        <v>48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1758</v>
      </c>
      <c r="B20" s="28" t="s">
        <v>140</v>
      </c>
      <c r="C20" s="28" t="s">
        <v>140</v>
      </c>
      <c r="D20" s="28">
        <v>44</v>
      </c>
      <c r="E20" s="28">
        <v>44</v>
      </c>
      <c r="F20" s="28">
        <v>44</v>
      </c>
      <c r="G20" s="28">
        <v>44</v>
      </c>
    </row>
    <row r="21" spans="1:7">
      <c r="A21" s="28" t="s">
        <v>1759</v>
      </c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B22" s="28" t="s">
        <v>1758</v>
      </c>
      <c r="C22" s="28" t="s">
        <v>1758</v>
      </c>
      <c r="D22" s="28">
        <f>(D26*12+D27)*25.4</f>
        <v>1524</v>
      </c>
      <c r="E22" s="28">
        <f t="shared" ref="E22:G22" si="0">(E26*12+E27)*25.4</f>
        <v>1625.6</v>
      </c>
      <c r="F22" s="28">
        <f t="shared" si="0"/>
        <v>1752.6</v>
      </c>
      <c r="G22" s="28">
        <f t="shared" si="0"/>
        <v>1879.6</v>
      </c>
    </row>
    <row r="23" spans="1:7">
      <c r="B23" s="28" t="s">
        <v>1759</v>
      </c>
      <c r="C23" s="28" t="s">
        <v>1759</v>
      </c>
      <c r="D23" s="28">
        <f>(D28*12+D29)*25.4</f>
        <v>1625.6</v>
      </c>
      <c r="E23" s="28">
        <f t="shared" ref="E23:G23" si="1">(E28*12+E29)*25.4</f>
        <v>1752.6</v>
      </c>
      <c r="F23" s="28">
        <f t="shared" si="1"/>
        <v>1879.6</v>
      </c>
      <c r="G23" s="28">
        <f t="shared" si="1"/>
        <v>1955.8</v>
      </c>
    </row>
    <row r="26" spans="1:7">
      <c r="C26" s="28" t="s">
        <v>1923</v>
      </c>
      <c r="D26" s="28">
        <v>5</v>
      </c>
      <c r="E26" s="28">
        <v>5</v>
      </c>
      <c r="F26" s="28">
        <v>5</v>
      </c>
      <c r="G26" s="28">
        <v>6</v>
      </c>
    </row>
    <row r="27" spans="1:7">
      <c r="C27" s="28" t="s">
        <v>1924</v>
      </c>
      <c r="D27" s="28">
        <v>0</v>
      </c>
      <c r="E27" s="28">
        <v>4</v>
      </c>
      <c r="F27" s="28">
        <v>9</v>
      </c>
      <c r="G27" s="28">
        <v>2</v>
      </c>
    </row>
    <row r="28" spans="1:7">
      <c r="C28" s="28" t="s">
        <v>1925</v>
      </c>
      <c r="D28" s="28">
        <v>5</v>
      </c>
      <c r="E28" s="28">
        <v>5</v>
      </c>
      <c r="F28" s="28">
        <v>6</v>
      </c>
      <c r="G28" s="28">
        <v>6</v>
      </c>
    </row>
    <row r="29" spans="1:7">
      <c r="C29" s="28" t="s">
        <v>1926</v>
      </c>
      <c r="D29" s="28">
        <v>4</v>
      </c>
      <c r="E29" s="28">
        <v>9</v>
      </c>
      <c r="F29" s="28">
        <v>2</v>
      </c>
      <c r="G29" s="28">
        <v>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8" bestFit="1" customWidth="1"/>
    <col min="3" max="3" width="21.5" style="28" bestFit="1" customWidth="1"/>
    <col min="4" max="6" width="11.1640625" style="28" bestFit="1" customWidth="1"/>
    <col min="7" max="7" width="13.332031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144</v>
      </c>
      <c r="D1" s="28" t="str">
        <f>D22</f>
        <v>Small</v>
      </c>
      <c r="E1" s="28" t="str">
        <f t="shared" ref="E1:G1" si="0">E22</f>
        <v>Medium</v>
      </c>
      <c r="F1" s="28" t="str">
        <f t="shared" si="0"/>
        <v>Large</v>
      </c>
      <c r="G1" s="28" t="str">
        <f t="shared" si="0"/>
        <v>Extra-Large</v>
      </c>
    </row>
    <row r="2" spans="1:7">
      <c r="A2" s="28" t="s">
        <v>55</v>
      </c>
      <c r="B2" s="28" t="s">
        <v>61</v>
      </c>
      <c r="C2" s="28" t="str">
        <f>C23</f>
        <v>Frame Seat Tube</v>
      </c>
      <c r="D2" s="28">
        <f>VALUE(LEFT(D23,3))</f>
        <v>430</v>
      </c>
      <c r="E2" s="28">
        <f t="shared" ref="E2:G2" si="1">VALUE(LEFT(E23,3))</f>
        <v>460</v>
      </c>
      <c r="F2" s="28">
        <f t="shared" si="1"/>
        <v>490</v>
      </c>
      <c r="G2" s="28">
        <f t="shared" si="1"/>
        <v>520</v>
      </c>
    </row>
    <row r="3" spans="1:7">
      <c r="A3" s="28" t="s">
        <v>56</v>
      </c>
      <c r="B3" s="28" t="s">
        <v>74</v>
      </c>
      <c r="C3" s="28" t="str">
        <f t="shared" ref="C3:C14" si="2">C24</f>
        <v>Frame Top Tube</v>
      </c>
      <c r="D3" s="28">
        <f t="shared" ref="D3:G14" si="3">VALUE(LEFT(D24,3))</f>
        <v>541</v>
      </c>
      <c r="E3" s="28">
        <f t="shared" si="3"/>
        <v>566</v>
      </c>
      <c r="F3" s="28">
        <f t="shared" si="3"/>
        <v>593</v>
      </c>
      <c r="G3" s="28">
        <f t="shared" si="3"/>
        <v>614</v>
      </c>
    </row>
    <row r="4" spans="1:7">
      <c r="A4" s="28" t="s">
        <v>61</v>
      </c>
      <c r="B4" s="28" t="s">
        <v>56</v>
      </c>
      <c r="C4" s="28" t="str">
        <f t="shared" si="2"/>
        <v>Frame Reach</v>
      </c>
      <c r="D4" s="28">
        <f t="shared" si="3"/>
        <v>355</v>
      </c>
      <c r="E4" s="28">
        <f t="shared" si="3"/>
        <v>375</v>
      </c>
      <c r="F4" s="28">
        <f t="shared" si="3"/>
        <v>395</v>
      </c>
      <c r="G4" s="28">
        <f t="shared" si="3"/>
        <v>410</v>
      </c>
    </row>
    <row r="5" spans="1:7">
      <c r="A5" s="28" t="s">
        <v>74</v>
      </c>
      <c r="B5" s="28" t="s">
        <v>55</v>
      </c>
      <c r="C5" s="28" t="str">
        <f t="shared" si="2"/>
        <v>Frame Stack</v>
      </c>
      <c r="D5" s="28">
        <f t="shared" si="3"/>
        <v>589</v>
      </c>
      <c r="E5" s="28">
        <f t="shared" si="3"/>
        <v>608</v>
      </c>
      <c r="F5" s="28">
        <f t="shared" si="3"/>
        <v>627</v>
      </c>
      <c r="G5" s="28">
        <f t="shared" si="3"/>
        <v>646</v>
      </c>
    </row>
    <row r="6" spans="1:7">
      <c r="A6" s="28" t="s">
        <v>63</v>
      </c>
      <c r="B6" s="28" t="s">
        <v>65</v>
      </c>
      <c r="C6" s="28" t="str">
        <f t="shared" si="2"/>
        <v>Frame Head Tube</v>
      </c>
      <c r="D6" s="28">
        <f t="shared" si="3"/>
        <v>120</v>
      </c>
      <c r="E6" s="28">
        <f t="shared" si="3"/>
        <v>140</v>
      </c>
      <c r="F6" s="28">
        <f t="shared" si="3"/>
        <v>160</v>
      </c>
      <c r="G6" s="28">
        <f t="shared" si="3"/>
        <v>180</v>
      </c>
    </row>
    <row r="7" spans="1:7">
      <c r="A7" s="28" t="s">
        <v>64</v>
      </c>
      <c r="B7" s="28" t="s">
        <v>63</v>
      </c>
      <c r="C7" s="28" t="str">
        <f t="shared" si="2"/>
        <v>Frame Head Angle</v>
      </c>
      <c r="D7" s="28">
        <f>VALUE(LEFT(D28,2))</f>
        <v>71</v>
      </c>
      <c r="E7" s="28">
        <f t="shared" ref="E7:G7" si="4">VALUE(LEFT(E28,2))</f>
        <v>71</v>
      </c>
      <c r="F7" s="28">
        <f t="shared" si="4"/>
        <v>71</v>
      </c>
      <c r="G7" s="28">
        <f t="shared" si="4"/>
        <v>71</v>
      </c>
    </row>
    <row r="8" spans="1:7">
      <c r="A8" s="28" t="s">
        <v>65</v>
      </c>
      <c r="B8" s="28" t="s">
        <v>64</v>
      </c>
      <c r="C8" s="28" t="str">
        <f t="shared" si="2"/>
        <v>Frame Seat Angle</v>
      </c>
      <c r="D8" s="28">
        <f>VALUE(LEFT(D29,4))</f>
        <v>72.5</v>
      </c>
      <c r="E8" s="28">
        <f t="shared" ref="E8:G8" si="5">VALUE(LEFT(E29,4))</f>
        <v>72.5</v>
      </c>
      <c r="F8" s="28">
        <f t="shared" si="5"/>
        <v>72.5</v>
      </c>
      <c r="G8" s="28">
        <f t="shared" si="5"/>
        <v>72.5</v>
      </c>
    </row>
    <row r="9" spans="1:7">
      <c r="A9" s="28" t="s">
        <v>66</v>
      </c>
      <c r="B9" s="28" t="s">
        <v>66</v>
      </c>
      <c r="C9" s="28" t="str">
        <f t="shared" si="2"/>
        <v>Frame BB Drop</v>
      </c>
      <c r="D9" s="28">
        <f>VALUE(LEFT(D30,2))</f>
        <v>73</v>
      </c>
      <c r="E9" s="28">
        <f t="shared" ref="E9:G9" si="6">VALUE(LEFT(E30,2))</f>
        <v>73</v>
      </c>
      <c r="F9" s="28">
        <f t="shared" si="6"/>
        <v>73</v>
      </c>
      <c r="G9" s="28">
        <f t="shared" si="6"/>
        <v>73</v>
      </c>
    </row>
    <row r="10" spans="1:7">
      <c r="A10" s="28" t="s">
        <v>67</v>
      </c>
      <c r="B10" s="28" t="s">
        <v>57</v>
      </c>
      <c r="C10" s="28" t="str">
        <f t="shared" si="2"/>
        <v>Frame Wheel Base</v>
      </c>
      <c r="D10" s="28">
        <f>VALUE(LEFT(D31,4))</f>
        <v>1030</v>
      </c>
      <c r="E10" s="28">
        <f t="shared" ref="E10:G10" si="7">VALUE(LEFT(E31,4))</f>
        <v>1056</v>
      </c>
      <c r="F10" s="28">
        <f t="shared" si="7"/>
        <v>1083</v>
      </c>
      <c r="G10" s="28">
        <f t="shared" si="7"/>
        <v>1104</v>
      </c>
    </row>
    <row r="11" spans="1:7">
      <c r="A11" s="28" t="s">
        <v>57</v>
      </c>
      <c r="B11" s="28" t="s">
        <v>68</v>
      </c>
      <c r="C11" s="28" t="str">
        <f t="shared" si="2"/>
        <v>Fork Offset</v>
      </c>
      <c r="D11" s="28">
        <f>VALUE(LEFT(D32,2))</f>
        <v>55</v>
      </c>
      <c r="E11" s="28">
        <f t="shared" ref="E11:G11" si="8">VALUE(LEFT(E32,2))</f>
        <v>55</v>
      </c>
      <c r="F11" s="28">
        <f t="shared" si="8"/>
        <v>55</v>
      </c>
      <c r="G11" s="28">
        <f t="shared" si="8"/>
        <v>55</v>
      </c>
    </row>
    <row r="12" spans="1:7">
      <c r="A12" s="28" t="s">
        <v>68</v>
      </c>
      <c r="B12" s="28" t="s">
        <v>58</v>
      </c>
      <c r="C12" s="28" t="str">
        <f t="shared" si="2"/>
        <v>Standover</v>
      </c>
      <c r="D12" s="28">
        <f t="shared" si="3"/>
        <v>775</v>
      </c>
      <c r="E12" s="28">
        <f t="shared" si="3"/>
        <v>796</v>
      </c>
      <c r="F12" s="28">
        <f t="shared" si="3"/>
        <v>830</v>
      </c>
      <c r="G12" s="28">
        <f t="shared" si="3"/>
        <v>839</v>
      </c>
    </row>
    <row r="13" spans="1:7">
      <c r="A13" s="28" t="s">
        <v>58</v>
      </c>
      <c r="B13" s="28" t="s">
        <v>72</v>
      </c>
      <c r="C13" s="28" t="str">
        <f t="shared" si="2"/>
        <v>Stem Length</v>
      </c>
      <c r="D13" s="28">
        <f t="shared" si="3"/>
        <v>100</v>
      </c>
      <c r="E13" s="28">
        <f t="shared" si="3"/>
        <v>100</v>
      </c>
      <c r="F13" s="28">
        <f t="shared" si="3"/>
        <v>100</v>
      </c>
      <c r="G13" s="28">
        <f t="shared" si="3"/>
        <v>100</v>
      </c>
    </row>
    <row r="14" spans="1:7">
      <c r="A14" s="28" t="s">
        <v>70</v>
      </c>
      <c r="B14" s="28" t="s">
        <v>71</v>
      </c>
      <c r="C14" s="28" t="str">
        <f t="shared" si="2"/>
        <v>Handle Bar Width</v>
      </c>
      <c r="D14" s="28">
        <f t="shared" si="3"/>
        <v>440</v>
      </c>
      <c r="E14" s="28">
        <f t="shared" si="3"/>
        <v>440</v>
      </c>
      <c r="F14" s="28">
        <f t="shared" si="3"/>
        <v>460</v>
      </c>
      <c r="G14" s="28">
        <f t="shared" si="3"/>
        <v>480</v>
      </c>
    </row>
    <row r="15" spans="1:7">
      <c r="A15" s="28" t="s">
        <v>71</v>
      </c>
      <c r="B15" s="28" t="s">
        <v>67</v>
      </c>
      <c r="C15" s="28" t="s">
        <v>1274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</row>
    <row r="18" spans="1:7">
      <c r="A18" s="28" t="s">
        <v>140</v>
      </c>
      <c r="B18" s="28" t="s">
        <v>140</v>
      </c>
      <c r="C18" s="28" t="s">
        <v>140</v>
      </c>
      <c r="D18" s="28">
        <f>2.1*25.4</f>
        <v>53.339999999999996</v>
      </c>
      <c r="E18" s="28">
        <f t="shared" ref="E18:G18" si="9">2.1*25.4</f>
        <v>53.339999999999996</v>
      </c>
      <c r="F18" s="28">
        <f t="shared" si="9"/>
        <v>53.339999999999996</v>
      </c>
      <c r="G18" s="28">
        <f t="shared" si="9"/>
        <v>53.339999999999996</v>
      </c>
    </row>
    <row r="19" spans="1:7">
      <c r="A19" s="28" t="s">
        <v>141</v>
      </c>
      <c r="B19" s="28" t="s">
        <v>141</v>
      </c>
      <c r="C19" s="28" t="s">
        <v>141</v>
      </c>
      <c r="D19" s="28">
        <f>2.2*25.4</f>
        <v>55.88</v>
      </c>
      <c r="E19" s="28">
        <f t="shared" ref="E19:G19" si="10">2.2*25.4</f>
        <v>55.88</v>
      </c>
      <c r="F19" s="28">
        <f t="shared" si="10"/>
        <v>55.88</v>
      </c>
      <c r="G19" s="28">
        <f t="shared" si="10"/>
        <v>55.88</v>
      </c>
    </row>
    <row r="22" spans="1:7">
      <c r="D22" s="28" t="s">
        <v>223</v>
      </c>
      <c r="E22" s="28" t="s">
        <v>224</v>
      </c>
      <c r="F22" s="28" t="s">
        <v>226</v>
      </c>
      <c r="G22" s="28" t="s">
        <v>1273</v>
      </c>
    </row>
    <row r="23" spans="1:7">
      <c r="C23" s="28" t="s">
        <v>1242</v>
      </c>
      <c r="D23" s="28" t="s">
        <v>240</v>
      </c>
      <c r="E23" s="28" t="s">
        <v>241</v>
      </c>
      <c r="F23" s="28" t="s">
        <v>242</v>
      </c>
      <c r="G23" s="28" t="s">
        <v>829</v>
      </c>
    </row>
    <row r="24" spans="1:7">
      <c r="C24" s="28" t="s">
        <v>1243</v>
      </c>
      <c r="D24" s="28" t="s">
        <v>1244</v>
      </c>
      <c r="E24" s="28" t="s">
        <v>1258</v>
      </c>
      <c r="F24" s="28" t="s">
        <v>1262</v>
      </c>
      <c r="G24" s="28" t="s">
        <v>1266</v>
      </c>
    </row>
    <row r="25" spans="1:7">
      <c r="C25" s="28" t="s">
        <v>1245</v>
      </c>
      <c r="D25" s="28" t="s">
        <v>1174</v>
      </c>
      <c r="E25" s="28" t="s">
        <v>1259</v>
      </c>
      <c r="F25" s="28" t="s">
        <v>612</v>
      </c>
      <c r="G25" s="28" t="s">
        <v>1267</v>
      </c>
    </row>
    <row r="26" spans="1:7">
      <c r="C26" s="28" t="s">
        <v>1246</v>
      </c>
      <c r="D26" s="28" t="s">
        <v>1247</v>
      </c>
      <c r="E26" s="28" t="s">
        <v>1183</v>
      </c>
      <c r="F26" s="28" t="s">
        <v>634</v>
      </c>
      <c r="G26" s="28" t="s">
        <v>1268</v>
      </c>
    </row>
    <row r="27" spans="1:7">
      <c r="C27" s="28" t="s">
        <v>1248</v>
      </c>
      <c r="D27" s="28" t="s">
        <v>1035</v>
      </c>
      <c r="E27" s="28" t="s">
        <v>245</v>
      </c>
      <c r="F27" s="28" t="s">
        <v>861</v>
      </c>
      <c r="G27" s="28" t="s">
        <v>1269</v>
      </c>
    </row>
    <row r="28" spans="1:7">
      <c r="C28" s="28" t="s">
        <v>1249</v>
      </c>
      <c r="D28" s="28" t="s">
        <v>312</v>
      </c>
      <c r="E28" s="28" t="s">
        <v>312</v>
      </c>
      <c r="F28" s="28" t="s">
        <v>312</v>
      </c>
      <c r="G28" s="28" t="s">
        <v>312</v>
      </c>
    </row>
    <row r="29" spans="1:7">
      <c r="C29" s="28" t="s">
        <v>1250</v>
      </c>
      <c r="D29" s="28" t="s">
        <v>296</v>
      </c>
      <c r="E29" s="28" t="s">
        <v>296</v>
      </c>
      <c r="F29" s="28" t="s">
        <v>296</v>
      </c>
      <c r="G29" s="28" t="s">
        <v>296</v>
      </c>
    </row>
    <row r="30" spans="1:7">
      <c r="C30" s="28" t="s">
        <v>1251</v>
      </c>
      <c r="D30" s="28" t="s">
        <v>1252</v>
      </c>
      <c r="E30" s="28" t="s">
        <v>1252</v>
      </c>
      <c r="F30" s="28" t="s">
        <v>1252</v>
      </c>
      <c r="G30" s="28" t="s">
        <v>1252</v>
      </c>
    </row>
    <row r="31" spans="1:7">
      <c r="C31" s="28" t="s">
        <v>1253</v>
      </c>
      <c r="D31" s="28" t="s">
        <v>1254</v>
      </c>
      <c r="E31" s="28" t="s">
        <v>1260</v>
      </c>
      <c r="F31" s="28" t="s">
        <v>1263</v>
      </c>
      <c r="G31" s="28" t="s">
        <v>1270</v>
      </c>
    </row>
    <row r="32" spans="1:7">
      <c r="C32" s="28" t="s">
        <v>250</v>
      </c>
      <c r="D32" s="28" t="s">
        <v>251</v>
      </c>
      <c r="E32" s="28" t="s">
        <v>251</v>
      </c>
      <c r="F32" s="28" t="s">
        <v>251</v>
      </c>
      <c r="G32" s="28" t="s">
        <v>251</v>
      </c>
    </row>
    <row r="33" spans="3:7">
      <c r="C33" s="28" t="s">
        <v>15</v>
      </c>
      <c r="D33" s="28" t="s">
        <v>1255</v>
      </c>
      <c r="E33" s="28" t="s">
        <v>1261</v>
      </c>
      <c r="F33" s="28" t="s">
        <v>1264</v>
      </c>
      <c r="G33" s="28" t="s">
        <v>1271</v>
      </c>
    </row>
    <row r="34" spans="3:7">
      <c r="C34" s="28" t="s">
        <v>14</v>
      </c>
      <c r="D34" s="28" t="s">
        <v>1256</v>
      </c>
      <c r="E34" s="28" t="s">
        <v>1256</v>
      </c>
      <c r="F34" s="28" t="s">
        <v>1256</v>
      </c>
      <c r="G34" s="28" t="s">
        <v>1256</v>
      </c>
    </row>
    <row r="35" spans="3:7">
      <c r="C35" s="28" t="s">
        <v>1257</v>
      </c>
      <c r="D35" s="28" t="s">
        <v>614</v>
      </c>
      <c r="E35" s="28" t="s">
        <v>614</v>
      </c>
      <c r="F35" s="28" t="s">
        <v>241</v>
      </c>
      <c r="G35" s="28" t="s">
        <v>1272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7"/>
  <sheetViews>
    <sheetView workbookViewId="0">
      <selection activeCell="C20" sqref="C20:H20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3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C28</f>
        <v>74</v>
      </c>
      <c r="D3" s="28">
        <f t="shared" si="0"/>
        <v>73.5</v>
      </c>
      <c r="E3" s="28">
        <f t="shared" si="0"/>
        <v>73.5</v>
      </c>
      <c r="F3" s="28">
        <f t="shared" si="0"/>
        <v>73</v>
      </c>
      <c r="G3" s="28">
        <f t="shared" si="0"/>
        <v>73</v>
      </c>
      <c r="H3" s="28">
        <f t="shared" si="0"/>
        <v>73</v>
      </c>
    </row>
    <row r="4" spans="1:8">
      <c r="A4" s="28" t="s">
        <v>74</v>
      </c>
      <c r="B4" s="28" t="s">
        <v>2093</v>
      </c>
      <c r="C4" s="28">
        <f>C29</f>
        <v>540</v>
      </c>
      <c r="D4" s="28">
        <f t="shared" ref="D4:H6" si="1">D29</f>
        <v>550</v>
      </c>
      <c r="E4" s="28">
        <f t="shared" si="1"/>
        <v>560</v>
      </c>
      <c r="F4" s="28">
        <f t="shared" si="1"/>
        <v>575</v>
      </c>
      <c r="G4" s="28">
        <f t="shared" si="1"/>
        <v>585</v>
      </c>
      <c r="H4" s="28">
        <f t="shared" si="1"/>
        <v>600</v>
      </c>
    </row>
    <row r="5" spans="1:8">
      <c r="A5" s="28" t="s">
        <v>65</v>
      </c>
      <c r="B5" s="28" t="s">
        <v>2094</v>
      </c>
      <c r="C5" s="28">
        <f>C30</f>
        <v>125</v>
      </c>
      <c r="D5" s="28">
        <f t="shared" si="1"/>
        <v>135</v>
      </c>
      <c r="E5" s="28">
        <f t="shared" si="1"/>
        <v>150</v>
      </c>
      <c r="F5" s="28">
        <f t="shared" si="1"/>
        <v>165</v>
      </c>
      <c r="G5" s="28">
        <f t="shared" si="1"/>
        <v>180</v>
      </c>
      <c r="H5" s="28">
        <f t="shared" si="1"/>
        <v>195</v>
      </c>
    </row>
    <row r="6" spans="1:8">
      <c r="A6" s="28" t="s">
        <v>63</v>
      </c>
      <c r="B6" s="28" t="s">
        <v>35</v>
      </c>
      <c r="C6" s="28">
        <f>C31</f>
        <v>70</v>
      </c>
      <c r="D6" s="28">
        <f t="shared" si="1"/>
        <v>71</v>
      </c>
      <c r="E6" s="28">
        <f t="shared" si="1"/>
        <v>71.5</v>
      </c>
      <c r="F6" s="28">
        <f t="shared" si="1"/>
        <v>72</v>
      </c>
      <c r="G6" s="28">
        <f t="shared" si="1"/>
        <v>72</v>
      </c>
      <c r="H6" s="28">
        <f t="shared" si="1"/>
        <v>72</v>
      </c>
    </row>
    <row r="7" spans="1:8">
      <c r="A7" s="28" t="s">
        <v>68</v>
      </c>
      <c r="B7" s="28" t="s">
        <v>2095</v>
      </c>
      <c r="C7" s="28">
        <f t="shared" ref="C7:H7" si="2">C32</f>
        <v>50</v>
      </c>
      <c r="D7" s="28">
        <f t="shared" si="2"/>
        <v>50</v>
      </c>
      <c r="E7" s="28">
        <f t="shared" si="2"/>
        <v>50</v>
      </c>
      <c r="F7" s="28">
        <f t="shared" si="2"/>
        <v>50</v>
      </c>
      <c r="G7" s="28">
        <f t="shared" si="2"/>
        <v>50</v>
      </c>
      <c r="H7" s="28">
        <f t="shared" si="2"/>
        <v>50</v>
      </c>
    </row>
    <row r="8" spans="1:8">
      <c r="A8" s="28" t="s">
        <v>136</v>
      </c>
      <c r="B8" s="28" t="s">
        <v>2096</v>
      </c>
      <c r="C8" s="28">
        <f>VALUE(MID(C33,6,2))</f>
        <v>82</v>
      </c>
      <c r="D8" s="28">
        <f t="shared" ref="D8:H8" si="3">VALUE(MID(D33,6,2))</f>
        <v>75</v>
      </c>
      <c r="E8" s="28">
        <f t="shared" si="3"/>
        <v>72</v>
      </c>
      <c r="F8" s="28">
        <f t="shared" si="3"/>
        <v>68</v>
      </c>
      <c r="G8" s="28">
        <f t="shared" si="3"/>
        <v>68</v>
      </c>
      <c r="H8" s="28">
        <f t="shared" si="3"/>
        <v>68</v>
      </c>
    </row>
    <row r="9" spans="1:8">
      <c r="A9" s="28" t="s">
        <v>57</v>
      </c>
      <c r="B9" s="28" t="s">
        <v>2101</v>
      </c>
      <c r="C9" s="28">
        <f t="shared" ref="C9:H9" si="4">VALUE(MID(C34,8,5))</f>
        <v>1034</v>
      </c>
      <c r="D9" s="28">
        <f t="shared" si="4"/>
        <v>1030</v>
      </c>
      <c r="E9" s="28">
        <f t="shared" si="4"/>
        <v>1036</v>
      </c>
      <c r="F9" s="28">
        <f t="shared" si="4"/>
        <v>1041</v>
      </c>
      <c r="G9" s="28">
        <f t="shared" si="4"/>
        <v>1051</v>
      </c>
      <c r="H9" s="28">
        <f t="shared" si="4"/>
        <v>1066</v>
      </c>
    </row>
    <row r="10" spans="1:8">
      <c r="A10" s="28" t="s">
        <v>67</v>
      </c>
      <c r="B10" s="28" t="s">
        <v>2108</v>
      </c>
      <c r="C10" s="28">
        <f>VALUE(MID(C35,7,5))</f>
        <v>435</v>
      </c>
      <c r="D10" s="28">
        <f t="shared" ref="D10:H10" si="5">VALUE(MID(D35,7,5))</f>
        <v>435</v>
      </c>
      <c r="E10" s="28">
        <f t="shared" si="5"/>
        <v>435</v>
      </c>
      <c r="F10" s="28">
        <f t="shared" si="5"/>
        <v>435</v>
      </c>
      <c r="G10" s="28">
        <f t="shared" si="5"/>
        <v>435</v>
      </c>
      <c r="H10" s="28">
        <f t="shared" si="5"/>
        <v>435</v>
      </c>
    </row>
    <row r="11" spans="1:8">
      <c r="A11" s="28" t="s">
        <v>66</v>
      </c>
      <c r="B11" s="28" t="s">
        <v>2110</v>
      </c>
      <c r="C11" s="28">
        <v>69</v>
      </c>
      <c r="D11" s="28">
        <v>69</v>
      </c>
      <c r="E11" s="28">
        <v>69</v>
      </c>
      <c r="F11" s="28">
        <v>69</v>
      </c>
      <c r="G11" s="28">
        <v>69</v>
      </c>
      <c r="H11" s="28">
        <v>69</v>
      </c>
    </row>
    <row r="12" spans="1:8">
      <c r="A12" s="28" t="s">
        <v>55</v>
      </c>
      <c r="B12" s="28" t="s">
        <v>2112</v>
      </c>
      <c r="C12" s="28">
        <f t="shared" ref="C12:H13" si="6">C37</f>
        <v>556</v>
      </c>
      <c r="D12" s="28">
        <f t="shared" si="6"/>
        <v>570</v>
      </c>
      <c r="E12" s="28">
        <f t="shared" si="6"/>
        <v>586</v>
      </c>
      <c r="F12" s="28">
        <f t="shared" si="6"/>
        <v>602</v>
      </c>
      <c r="G12" s="28">
        <f t="shared" si="6"/>
        <v>616</v>
      </c>
      <c r="H12" s="28">
        <f t="shared" si="6"/>
        <v>630</v>
      </c>
    </row>
    <row r="13" spans="1:8">
      <c r="A13" s="28" t="s">
        <v>56</v>
      </c>
      <c r="B13" s="28" t="s">
        <v>2113</v>
      </c>
      <c r="C13" s="28">
        <f t="shared" si="6"/>
        <v>381</v>
      </c>
      <c r="D13" s="28">
        <f t="shared" si="6"/>
        <v>381</v>
      </c>
      <c r="E13" s="28">
        <f t="shared" si="6"/>
        <v>387</v>
      </c>
      <c r="F13" s="28">
        <f t="shared" si="6"/>
        <v>391</v>
      </c>
      <c r="G13" s="28">
        <f t="shared" si="6"/>
        <v>397</v>
      </c>
      <c r="H13" s="28">
        <f t="shared" si="6"/>
        <v>407</v>
      </c>
    </row>
    <row r="14" spans="1:8">
      <c r="A14" s="28" t="s">
        <v>58</v>
      </c>
      <c r="B14" s="28" t="s">
        <v>2114</v>
      </c>
      <c r="C14" s="28">
        <f>VALUE(MID(C39,7,5))</f>
        <v>731</v>
      </c>
      <c r="D14" s="28">
        <f t="shared" ref="D14:H14" si="7">VALUE(MID(D39,7,5))</f>
        <v>747</v>
      </c>
      <c r="E14" s="28">
        <f t="shared" si="7"/>
        <v>764</v>
      </c>
      <c r="F14" s="28">
        <f t="shared" si="7"/>
        <v>780</v>
      </c>
      <c r="G14" s="28">
        <f t="shared" si="7"/>
        <v>797</v>
      </c>
      <c r="H14" s="28">
        <f t="shared" si="7"/>
        <v>814</v>
      </c>
    </row>
    <row r="15" spans="1:8">
      <c r="A15" s="28" t="s">
        <v>71</v>
      </c>
      <c r="B15" s="28" t="s">
        <v>2121</v>
      </c>
      <c r="C15" s="28">
        <f t="shared" ref="C15:H17" si="8">C40</f>
        <v>420</v>
      </c>
      <c r="D15" s="28">
        <f t="shared" si="8"/>
        <v>420</v>
      </c>
      <c r="E15" s="28">
        <f t="shared" si="8"/>
        <v>440</v>
      </c>
      <c r="F15" s="28">
        <f t="shared" si="8"/>
        <v>440</v>
      </c>
      <c r="G15" s="28">
        <f t="shared" si="8"/>
        <v>460</v>
      </c>
      <c r="H15" s="28">
        <f t="shared" si="8"/>
        <v>460</v>
      </c>
    </row>
    <row r="16" spans="1:8">
      <c r="A16" s="28" t="s">
        <v>72</v>
      </c>
      <c r="B16" s="28" t="s">
        <v>2122</v>
      </c>
      <c r="C16" s="28">
        <f t="shared" si="8"/>
        <v>50</v>
      </c>
      <c r="D16" s="28">
        <f t="shared" si="8"/>
        <v>60</v>
      </c>
      <c r="E16" s="28">
        <f t="shared" si="8"/>
        <v>70</v>
      </c>
      <c r="F16" s="28">
        <f t="shared" si="8"/>
        <v>80</v>
      </c>
      <c r="G16" s="28">
        <f t="shared" si="8"/>
        <v>80</v>
      </c>
      <c r="H16" s="28">
        <f t="shared" si="8"/>
        <v>90</v>
      </c>
    </row>
    <row r="17" spans="1:15">
      <c r="A17" s="28" t="s">
        <v>70</v>
      </c>
      <c r="B17" s="28" t="s">
        <v>2123</v>
      </c>
      <c r="C17" s="28">
        <f t="shared" si="8"/>
        <v>170</v>
      </c>
      <c r="D17" s="28">
        <f t="shared" si="8"/>
        <v>170</v>
      </c>
      <c r="E17" s="28">
        <f t="shared" si="8"/>
        <v>172.5</v>
      </c>
      <c r="F17" s="28">
        <f t="shared" si="8"/>
        <v>172.5</v>
      </c>
      <c r="G17" s="28">
        <f t="shared" si="8"/>
        <v>175</v>
      </c>
      <c r="H17" s="28">
        <f t="shared" si="8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15">
      <c r="A21" s="28" t="s">
        <v>141</v>
      </c>
      <c r="B21" s="28" t="s">
        <v>141</v>
      </c>
      <c r="C21" s="28">
        <v>53</v>
      </c>
      <c r="D21" s="28">
        <v>53</v>
      </c>
      <c r="E21" s="28">
        <v>53</v>
      </c>
      <c r="F21" s="28">
        <v>53</v>
      </c>
      <c r="G21" s="28">
        <v>53</v>
      </c>
      <c r="H21" s="28">
        <v>53</v>
      </c>
    </row>
    <row r="22" spans="1:15">
      <c r="A22" s="28" t="s">
        <v>1758</v>
      </c>
      <c r="B22" s="28" t="s">
        <v>1758</v>
      </c>
      <c r="C22" s="28">
        <f>VALUE(LEFT(C46,3))</f>
        <v>155</v>
      </c>
      <c r="D22" s="28">
        <f t="shared" ref="D22:H23" si="9">VALUE(LEFT(D46,3))</f>
        <v>159</v>
      </c>
      <c r="E22" s="28">
        <f t="shared" si="9"/>
        <v>169</v>
      </c>
      <c r="F22" s="28">
        <f t="shared" si="9"/>
        <v>174</v>
      </c>
      <c r="G22" s="28">
        <f t="shared" si="9"/>
        <v>179</v>
      </c>
      <c r="H22" s="28">
        <f t="shared" si="9"/>
        <v>189</v>
      </c>
    </row>
    <row r="23" spans="1:15">
      <c r="A23" s="28" t="s">
        <v>1759</v>
      </c>
      <c r="B23" s="28" t="s">
        <v>1759</v>
      </c>
      <c r="C23" s="28">
        <f>VALUE(LEFT(C47,3))</f>
        <v>166</v>
      </c>
      <c r="D23" s="28">
        <f t="shared" si="9"/>
        <v>171</v>
      </c>
      <c r="E23" s="28">
        <f t="shared" si="9"/>
        <v>181</v>
      </c>
      <c r="F23" s="28">
        <f t="shared" si="9"/>
        <v>186</v>
      </c>
      <c r="G23" s="28">
        <f t="shared" si="9"/>
        <v>191</v>
      </c>
      <c r="H23" s="28">
        <f t="shared" si="9"/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/>
      <c r="K25" s="101"/>
      <c r="L25" s="101"/>
      <c r="M25" s="101"/>
      <c r="N25" s="101"/>
      <c r="O25" s="101"/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/>
      <c r="K26" s="102"/>
      <c r="L26" s="102"/>
      <c r="M26" s="102"/>
      <c r="N26" s="102"/>
      <c r="O26" s="102"/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/>
      <c r="K27" s="102"/>
      <c r="L27" s="102"/>
      <c r="M27" s="102"/>
      <c r="N27" s="102"/>
      <c r="O27" s="102"/>
    </row>
    <row r="28" spans="1:15">
      <c r="A28" s="28" t="s">
        <v>1280</v>
      </c>
      <c r="B28" s="28" t="s">
        <v>32</v>
      </c>
      <c r="C28" s="28">
        <v>74</v>
      </c>
      <c r="D28" s="28">
        <v>73.5</v>
      </c>
      <c r="E28" s="28">
        <v>73.5</v>
      </c>
      <c r="F28" s="28">
        <v>73</v>
      </c>
      <c r="G28" s="28">
        <v>73</v>
      </c>
      <c r="H28" s="28">
        <v>73</v>
      </c>
    </row>
    <row r="29" spans="1:15">
      <c r="A29" s="28" t="s">
        <v>28</v>
      </c>
      <c r="B29" s="28" t="s">
        <v>2093</v>
      </c>
      <c r="C29" s="28">
        <v>540</v>
      </c>
      <c r="D29" s="28">
        <v>550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125</v>
      </c>
      <c r="D30" s="28">
        <v>135</v>
      </c>
      <c r="E30" s="28">
        <v>150</v>
      </c>
      <c r="F30" s="28">
        <v>165</v>
      </c>
      <c r="G30" s="28">
        <v>180</v>
      </c>
      <c r="H30" s="28">
        <v>195</v>
      </c>
    </row>
    <row r="31" spans="1:15">
      <c r="A31" s="28" t="s">
        <v>31</v>
      </c>
      <c r="B31" s="28" t="s">
        <v>35</v>
      </c>
      <c r="C31" s="28">
        <v>70</v>
      </c>
      <c r="D31" s="28">
        <v>71</v>
      </c>
      <c r="E31" s="28">
        <v>71.5</v>
      </c>
      <c r="F31" s="28">
        <v>72</v>
      </c>
      <c r="G31" s="28">
        <v>72</v>
      </c>
      <c r="H31" s="28">
        <v>72</v>
      </c>
    </row>
    <row r="32" spans="1:15">
      <c r="A32" s="28" t="s">
        <v>581</v>
      </c>
      <c r="B32" s="28" t="s">
        <v>2095</v>
      </c>
      <c r="C32" s="28">
        <v>50</v>
      </c>
      <c r="D32" s="28">
        <v>50</v>
      </c>
      <c r="E32" s="28">
        <v>50</v>
      </c>
      <c r="F32" s="28">
        <v>50</v>
      </c>
      <c r="G32" s="28">
        <v>50</v>
      </c>
      <c r="H32" s="28">
        <v>50</v>
      </c>
    </row>
    <row r="33" spans="1:8">
      <c r="A33" s="28" t="s">
        <v>894</v>
      </c>
      <c r="B33" s="28" t="s">
        <v>2096</v>
      </c>
      <c r="C33" s="28" t="s">
        <v>2384</v>
      </c>
      <c r="D33" s="28" t="s">
        <v>2385</v>
      </c>
      <c r="E33" s="28" t="s">
        <v>2386</v>
      </c>
      <c r="F33" s="28" t="s">
        <v>2387</v>
      </c>
      <c r="G33" s="28" t="s">
        <v>2387</v>
      </c>
      <c r="H33" s="28" t="s">
        <v>2387</v>
      </c>
    </row>
    <row r="34" spans="1:8">
      <c r="A34" s="28" t="s">
        <v>1281</v>
      </c>
      <c r="B34" s="28" t="s">
        <v>2101</v>
      </c>
      <c r="C34" s="28" t="s">
        <v>2103</v>
      </c>
      <c r="D34" s="28" t="s">
        <v>2388</v>
      </c>
      <c r="E34" s="28" t="s">
        <v>2104</v>
      </c>
      <c r="F34" s="28" t="s">
        <v>2105</v>
      </c>
      <c r="G34" s="28" t="s">
        <v>2106</v>
      </c>
      <c r="H34" s="28" t="s">
        <v>2389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2390</v>
      </c>
      <c r="D36" s="28" t="s">
        <v>2390</v>
      </c>
      <c r="E36" s="28" t="s">
        <v>2390</v>
      </c>
      <c r="F36" s="28" t="s">
        <v>2390</v>
      </c>
      <c r="G36" s="28" t="s">
        <v>2390</v>
      </c>
      <c r="H36" s="28" t="s">
        <v>2390</v>
      </c>
    </row>
    <row r="37" spans="1:8">
      <c r="A37" s="28" t="s">
        <v>1862</v>
      </c>
      <c r="B37" s="28" t="s">
        <v>2112</v>
      </c>
      <c r="C37" s="28">
        <v>556</v>
      </c>
      <c r="D37" s="28">
        <v>570</v>
      </c>
      <c r="E37" s="28">
        <v>586</v>
      </c>
      <c r="F37" s="28">
        <v>602</v>
      </c>
      <c r="G37" s="28">
        <v>616</v>
      </c>
      <c r="H37" s="28">
        <v>630</v>
      </c>
    </row>
    <row r="38" spans="1:8">
      <c r="A38" s="28" t="s">
        <v>20</v>
      </c>
      <c r="B38" s="28" t="s">
        <v>2113</v>
      </c>
      <c r="C38" s="28">
        <v>381</v>
      </c>
      <c r="D38" s="28">
        <v>381</v>
      </c>
      <c r="E38" s="28">
        <v>387</v>
      </c>
      <c r="F38" s="28">
        <v>391</v>
      </c>
      <c r="G38" s="28">
        <v>397</v>
      </c>
      <c r="H38" s="28">
        <v>407</v>
      </c>
    </row>
    <row r="39" spans="1:8">
      <c r="A39" s="28" t="s">
        <v>19</v>
      </c>
      <c r="B39" s="28" t="s">
        <v>2114</v>
      </c>
      <c r="C39" s="28" t="s">
        <v>2391</v>
      </c>
      <c r="D39" s="28" t="s">
        <v>2392</v>
      </c>
      <c r="E39" s="28" t="s">
        <v>2393</v>
      </c>
      <c r="F39" s="28" t="s">
        <v>2394</v>
      </c>
      <c r="G39" s="28" t="s">
        <v>2395</v>
      </c>
      <c r="H39" s="28" t="s">
        <v>2396</v>
      </c>
    </row>
    <row r="40" spans="1:8">
      <c r="A40" s="28" t="s">
        <v>1875</v>
      </c>
      <c r="B40" s="28" t="s">
        <v>2121</v>
      </c>
      <c r="C40" s="28">
        <v>420</v>
      </c>
      <c r="D40" s="28">
        <v>420</v>
      </c>
      <c r="E40" s="28">
        <v>440</v>
      </c>
      <c r="F40" s="28">
        <v>440</v>
      </c>
      <c r="G40" s="28">
        <v>460</v>
      </c>
      <c r="H40" s="28">
        <v>460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90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2383</v>
      </c>
      <c r="D43" s="28" t="s">
        <v>2383</v>
      </c>
      <c r="E43" s="28" t="s">
        <v>2383</v>
      </c>
      <c r="F43" s="28" t="s">
        <v>2383</v>
      </c>
      <c r="G43" s="28" t="s">
        <v>2383</v>
      </c>
      <c r="H43" s="28" t="s">
        <v>2383</v>
      </c>
    </row>
    <row r="44" spans="1:8" ht="22">
      <c r="C44" s="102"/>
      <c r="D44" s="102"/>
      <c r="E44" s="102"/>
      <c r="F44" s="102"/>
      <c r="G44" s="102"/>
      <c r="H44" s="102"/>
    </row>
    <row r="45" spans="1:8">
      <c r="C45" s="101" t="s">
        <v>17</v>
      </c>
      <c r="D45" s="101" t="s">
        <v>18</v>
      </c>
      <c r="E45" s="101" t="s">
        <v>19</v>
      </c>
      <c r="F45" s="101" t="s">
        <v>1721</v>
      </c>
      <c r="G45" s="101" t="s">
        <v>20</v>
      </c>
      <c r="H45" s="101" t="s">
        <v>21</v>
      </c>
    </row>
    <row r="46" spans="1:8" ht="22">
      <c r="C46" s="102" t="s">
        <v>2397</v>
      </c>
      <c r="D46" s="102" t="s">
        <v>2399</v>
      </c>
      <c r="E46" s="102" t="s">
        <v>2402</v>
      </c>
      <c r="F46" s="102" t="s">
        <v>2403</v>
      </c>
      <c r="G46" s="102" t="s">
        <v>2406</v>
      </c>
      <c r="H46" s="102" t="s">
        <v>2407</v>
      </c>
    </row>
    <row r="47" spans="1:8" ht="22">
      <c r="C47" s="102" t="s">
        <v>2398</v>
      </c>
      <c r="D47" s="102" t="s">
        <v>2400</v>
      </c>
      <c r="E47" s="102" t="s">
        <v>2401</v>
      </c>
      <c r="F47" s="102" t="s">
        <v>2404</v>
      </c>
      <c r="G47" s="102" t="s">
        <v>2405</v>
      </c>
      <c r="H47" s="102" t="s">
        <v>2408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7"/>
  <sheetViews>
    <sheetView topLeftCell="A6" workbookViewId="0">
      <selection activeCell="C20" sqref="C20:H21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C28</f>
        <v>74</v>
      </c>
      <c r="D3" s="28">
        <f t="shared" ref="D3:H3" si="1">D28</f>
        <v>73.5</v>
      </c>
      <c r="E3" s="28">
        <f t="shared" si="1"/>
        <v>73.5</v>
      </c>
      <c r="F3" s="28">
        <f t="shared" si="1"/>
        <v>73</v>
      </c>
      <c r="G3" s="28">
        <f t="shared" si="1"/>
        <v>73</v>
      </c>
      <c r="H3" s="28">
        <f t="shared" si="1"/>
        <v>73</v>
      </c>
    </row>
    <row r="4" spans="1:8">
      <c r="A4" s="28" t="s">
        <v>74</v>
      </c>
      <c r="B4" s="28" t="s">
        <v>2093</v>
      </c>
      <c r="C4" s="28">
        <f>C29</f>
        <v>540</v>
      </c>
      <c r="D4" s="28">
        <f t="shared" ref="D4:H6" si="2">D29</f>
        <v>550</v>
      </c>
      <c r="E4" s="28">
        <f t="shared" si="2"/>
        <v>560</v>
      </c>
      <c r="F4" s="28">
        <f t="shared" si="2"/>
        <v>575</v>
      </c>
      <c r="G4" s="28">
        <f t="shared" si="2"/>
        <v>585</v>
      </c>
      <c r="H4" s="28">
        <f t="shared" si="2"/>
        <v>600</v>
      </c>
    </row>
    <row r="5" spans="1:8">
      <c r="A5" s="28" t="s">
        <v>65</v>
      </c>
      <c r="B5" s="28" t="s">
        <v>2094</v>
      </c>
      <c r="C5" s="28">
        <f>C30</f>
        <v>125</v>
      </c>
      <c r="D5" s="28">
        <f t="shared" si="2"/>
        <v>135</v>
      </c>
      <c r="E5" s="28">
        <f t="shared" si="2"/>
        <v>150</v>
      </c>
      <c r="F5" s="28">
        <f t="shared" si="2"/>
        <v>165</v>
      </c>
      <c r="G5" s="28">
        <f t="shared" si="2"/>
        <v>180</v>
      </c>
      <c r="H5" s="28">
        <f t="shared" si="2"/>
        <v>195</v>
      </c>
    </row>
    <row r="6" spans="1:8">
      <c r="A6" s="28" t="s">
        <v>63</v>
      </c>
      <c r="B6" s="28" t="s">
        <v>35</v>
      </c>
      <c r="C6" s="28">
        <f>C31</f>
        <v>70</v>
      </c>
      <c r="D6" s="28">
        <f t="shared" si="2"/>
        <v>71</v>
      </c>
      <c r="E6" s="28">
        <f t="shared" si="2"/>
        <v>71.5</v>
      </c>
      <c r="F6" s="28">
        <f t="shared" si="2"/>
        <v>72</v>
      </c>
      <c r="G6" s="28">
        <f t="shared" si="2"/>
        <v>72</v>
      </c>
      <c r="H6" s="28">
        <f t="shared" si="2"/>
        <v>72</v>
      </c>
    </row>
    <row r="7" spans="1:8">
      <c r="A7" s="28" t="s">
        <v>68</v>
      </c>
      <c r="B7" s="28" t="s">
        <v>2095</v>
      </c>
      <c r="C7" s="28">
        <f t="shared" ref="C7:H7" si="3">C32</f>
        <v>50</v>
      </c>
      <c r="D7" s="28">
        <f t="shared" si="3"/>
        <v>50</v>
      </c>
      <c r="E7" s="28">
        <f t="shared" si="3"/>
        <v>50</v>
      </c>
      <c r="F7" s="28">
        <f t="shared" si="3"/>
        <v>50</v>
      </c>
      <c r="G7" s="28">
        <f t="shared" si="3"/>
        <v>50</v>
      </c>
      <c r="H7" s="28">
        <f t="shared" si="3"/>
        <v>50</v>
      </c>
    </row>
    <row r="8" spans="1:8">
      <c r="A8" s="28" t="s">
        <v>136</v>
      </c>
      <c r="B8" s="28" t="s">
        <v>2096</v>
      </c>
      <c r="C8" s="28">
        <f>VALUE(LEFT(C33,2))</f>
        <v>78</v>
      </c>
      <c r="D8" s="28">
        <f t="shared" ref="D8:H8" si="4">VALUE(LEFT(D33,2))</f>
        <v>72</v>
      </c>
      <c r="E8" s="28">
        <f t="shared" si="4"/>
        <v>68</v>
      </c>
      <c r="F8" s="28">
        <f t="shared" si="4"/>
        <v>65</v>
      </c>
      <c r="G8" s="28">
        <f t="shared" si="4"/>
        <v>65</v>
      </c>
      <c r="H8" s="28">
        <f t="shared" si="4"/>
        <v>65</v>
      </c>
    </row>
    <row r="9" spans="1:8">
      <c r="A9" s="28" t="s">
        <v>57</v>
      </c>
      <c r="B9" s="28" t="s">
        <v>2101</v>
      </c>
      <c r="C9" s="28">
        <f>VALUE(LEFT(C34,4))</f>
        <v>1024</v>
      </c>
      <c r="D9" s="28">
        <f t="shared" ref="D9:H9" si="5">VALUE(LEFT(D34,4))</f>
        <v>1020</v>
      </c>
      <c r="E9" s="28">
        <f t="shared" si="5"/>
        <v>1026</v>
      </c>
      <c r="F9" s="28">
        <f t="shared" si="5"/>
        <v>1031</v>
      </c>
      <c r="G9" s="28">
        <f t="shared" si="5"/>
        <v>1041</v>
      </c>
      <c r="H9" s="28">
        <f t="shared" si="5"/>
        <v>1056</v>
      </c>
    </row>
    <row r="10" spans="1:8">
      <c r="A10" s="28" t="s">
        <v>67</v>
      </c>
      <c r="B10" s="28" t="s">
        <v>2108</v>
      </c>
      <c r="C10" s="28">
        <f>VALUE(LEFT(C35,3))</f>
        <v>425</v>
      </c>
      <c r="D10" s="28">
        <f t="shared" ref="D10:H10" si="6">VALUE(LEFT(D35,3))</f>
        <v>425</v>
      </c>
      <c r="E10" s="28">
        <f t="shared" si="6"/>
        <v>425</v>
      </c>
      <c r="F10" s="28">
        <f t="shared" si="6"/>
        <v>425</v>
      </c>
      <c r="G10" s="28">
        <f t="shared" si="6"/>
        <v>425</v>
      </c>
      <c r="H10" s="28">
        <f t="shared" si="6"/>
        <v>425</v>
      </c>
    </row>
    <row r="11" spans="1:8">
      <c r="A11" s="28" t="s">
        <v>66</v>
      </c>
      <c r="B11" s="28" t="s">
        <v>2110</v>
      </c>
      <c r="C11" s="28">
        <f t="shared" ref="C11:H11" si="7">VALUE(LEFT(C36,2))</f>
        <v>80</v>
      </c>
      <c r="D11" s="28">
        <f t="shared" si="7"/>
        <v>80</v>
      </c>
      <c r="E11" s="28">
        <f t="shared" si="7"/>
        <v>80</v>
      </c>
      <c r="F11" s="28">
        <f t="shared" si="7"/>
        <v>80</v>
      </c>
      <c r="G11" s="28">
        <f t="shared" si="7"/>
        <v>80</v>
      </c>
      <c r="H11" s="28">
        <f t="shared" si="7"/>
        <v>80</v>
      </c>
    </row>
    <row r="12" spans="1:8">
      <c r="A12" s="28" t="s">
        <v>55</v>
      </c>
      <c r="B12" s="28" t="s">
        <v>2112</v>
      </c>
      <c r="C12" s="28">
        <f t="shared" ref="C12:H13" si="8">C37</f>
        <v>556</v>
      </c>
      <c r="D12" s="28">
        <f t="shared" si="8"/>
        <v>570</v>
      </c>
      <c r="E12" s="28">
        <f t="shared" si="8"/>
        <v>586</v>
      </c>
      <c r="F12" s="28">
        <f t="shared" si="8"/>
        <v>602</v>
      </c>
      <c r="G12" s="28">
        <f t="shared" si="8"/>
        <v>616</v>
      </c>
      <c r="H12" s="28">
        <f t="shared" si="8"/>
        <v>630</v>
      </c>
    </row>
    <row r="13" spans="1:8">
      <c r="A13" s="28" t="s">
        <v>56</v>
      </c>
      <c r="B13" s="28" t="s">
        <v>2113</v>
      </c>
      <c r="C13" s="28">
        <f t="shared" si="8"/>
        <v>381</v>
      </c>
      <c r="D13" s="28">
        <f t="shared" si="8"/>
        <v>381</v>
      </c>
      <c r="E13" s="28">
        <f t="shared" si="8"/>
        <v>387</v>
      </c>
      <c r="F13" s="28">
        <f t="shared" si="8"/>
        <v>391</v>
      </c>
      <c r="G13" s="28">
        <f t="shared" si="8"/>
        <v>397</v>
      </c>
      <c r="H13" s="28">
        <f t="shared" si="8"/>
        <v>407</v>
      </c>
    </row>
    <row r="14" spans="1:8">
      <c r="A14" s="28" t="s">
        <v>58</v>
      </c>
      <c r="B14" s="28" t="s">
        <v>2114</v>
      </c>
      <c r="C14" s="28">
        <f>VALUE(MID(C39,7,5))</f>
        <v>731</v>
      </c>
      <c r="D14" s="28">
        <f t="shared" ref="D14:H14" si="9">VALUE(MID(D39,7,5))</f>
        <v>747</v>
      </c>
      <c r="E14" s="28">
        <f t="shared" si="9"/>
        <v>764</v>
      </c>
      <c r="F14" s="28">
        <f t="shared" si="9"/>
        <v>780</v>
      </c>
      <c r="G14" s="28">
        <f t="shared" si="9"/>
        <v>797</v>
      </c>
      <c r="H14" s="28">
        <f t="shared" si="9"/>
        <v>814</v>
      </c>
    </row>
    <row r="15" spans="1:8">
      <c r="A15" s="28" t="s">
        <v>71</v>
      </c>
      <c r="B15" s="28" t="s">
        <v>2121</v>
      </c>
      <c r="C15" s="28">
        <f t="shared" ref="C15:H17" si="10">C40</f>
        <v>420</v>
      </c>
      <c r="D15" s="28">
        <f t="shared" si="10"/>
        <v>420</v>
      </c>
      <c r="E15" s="28">
        <f t="shared" si="10"/>
        <v>440</v>
      </c>
      <c r="F15" s="28">
        <f t="shared" si="10"/>
        <v>440</v>
      </c>
      <c r="G15" s="28">
        <f t="shared" si="10"/>
        <v>460</v>
      </c>
      <c r="H15" s="28">
        <f t="shared" si="10"/>
        <v>460</v>
      </c>
    </row>
    <row r="16" spans="1:8">
      <c r="A16" s="28" t="s">
        <v>72</v>
      </c>
      <c r="B16" s="28" t="s">
        <v>2122</v>
      </c>
      <c r="C16" s="28">
        <f t="shared" si="10"/>
        <v>50</v>
      </c>
      <c r="D16" s="28">
        <f t="shared" si="10"/>
        <v>60</v>
      </c>
      <c r="E16" s="28">
        <f t="shared" si="10"/>
        <v>70</v>
      </c>
      <c r="F16" s="28">
        <f t="shared" si="10"/>
        <v>80</v>
      </c>
      <c r="G16" s="28">
        <f t="shared" si="10"/>
        <v>80</v>
      </c>
      <c r="H16" s="28">
        <f t="shared" si="10"/>
        <v>90</v>
      </c>
    </row>
    <row r="17" spans="1:15">
      <c r="A17" s="28" t="s">
        <v>70</v>
      </c>
      <c r="B17" s="28" t="s">
        <v>2123</v>
      </c>
      <c r="C17" s="28">
        <f t="shared" si="10"/>
        <v>170</v>
      </c>
      <c r="D17" s="28">
        <f t="shared" si="10"/>
        <v>170</v>
      </c>
      <c r="E17" s="28">
        <f t="shared" si="10"/>
        <v>172.5</v>
      </c>
      <c r="F17" s="28">
        <f t="shared" si="10"/>
        <v>172.5</v>
      </c>
      <c r="G17" s="28">
        <f t="shared" si="10"/>
        <v>175</v>
      </c>
      <c r="H17" s="28">
        <f t="shared" si="10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15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  <c r="H21" s="28">
        <v>42</v>
      </c>
    </row>
    <row r="22" spans="1:15">
      <c r="A22" s="28" t="s">
        <v>1758</v>
      </c>
      <c r="B22" s="28" t="s">
        <v>1758</v>
      </c>
      <c r="C22" s="28">
        <f>VALUE(LEFT(C46,3))</f>
        <v>155</v>
      </c>
      <c r="D22" s="28">
        <f t="shared" ref="D22:H22" si="11">VALUE(LEFT(D46,3))</f>
        <v>159</v>
      </c>
      <c r="E22" s="28">
        <f t="shared" si="11"/>
        <v>169</v>
      </c>
      <c r="F22" s="28">
        <f t="shared" si="11"/>
        <v>174</v>
      </c>
      <c r="G22" s="28">
        <f t="shared" si="11"/>
        <v>179</v>
      </c>
      <c r="H22" s="28">
        <f t="shared" si="11"/>
        <v>189</v>
      </c>
    </row>
    <row r="23" spans="1:15">
      <c r="A23" s="28" t="s">
        <v>1759</v>
      </c>
      <c r="B23" s="28" t="s">
        <v>1759</v>
      </c>
      <c r="C23" s="28">
        <f>VALUE(LEFT(C47,3))</f>
        <v>166</v>
      </c>
      <c r="D23" s="28">
        <f t="shared" ref="D23:H23" si="12">VALUE(LEFT(D47,3))</f>
        <v>171</v>
      </c>
      <c r="E23" s="28">
        <f t="shared" si="12"/>
        <v>181</v>
      </c>
      <c r="F23" s="28">
        <f t="shared" si="12"/>
        <v>186</v>
      </c>
      <c r="G23" s="28">
        <f t="shared" si="12"/>
        <v>191</v>
      </c>
      <c r="H23" s="28">
        <f t="shared" si="12"/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/>
      <c r="K25" s="101"/>
      <c r="L25" s="101"/>
      <c r="M25" s="101"/>
      <c r="N25" s="101"/>
      <c r="O25" s="101"/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/>
      <c r="K26" s="102"/>
      <c r="L26" s="102"/>
      <c r="M26" s="102"/>
      <c r="N26" s="102"/>
      <c r="O26" s="102"/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/>
      <c r="K27" s="102"/>
      <c r="L27" s="102"/>
      <c r="M27" s="102"/>
      <c r="N27" s="102"/>
      <c r="O27" s="102"/>
    </row>
    <row r="28" spans="1:15">
      <c r="A28" s="28" t="s">
        <v>1280</v>
      </c>
      <c r="B28" s="28" t="s">
        <v>32</v>
      </c>
      <c r="C28" s="28">
        <v>74</v>
      </c>
      <c r="D28" s="28">
        <v>73.5</v>
      </c>
      <c r="E28" s="28">
        <v>73.5</v>
      </c>
      <c r="F28" s="28">
        <v>73</v>
      </c>
      <c r="G28" s="28">
        <v>73</v>
      </c>
      <c r="H28" s="28">
        <v>73</v>
      </c>
    </row>
    <row r="29" spans="1:15">
      <c r="A29" s="28" t="s">
        <v>28</v>
      </c>
      <c r="B29" s="28" t="s">
        <v>2093</v>
      </c>
      <c r="C29" s="28">
        <v>540</v>
      </c>
      <c r="D29" s="28">
        <v>550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125</v>
      </c>
      <c r="D30" s="28">
        <v>135</v>
      </c>
      <c r="E30" s="28">
        <v>150</v>
      </c>
      <c r="F30" s="28">
        <v>165</v>
      </c>
      <c r="G30" s="28">
        <v>180</v>
      </c>
      <c r="H30" s="28">
        <v>195</v>
      </c>
    </row>
    <row r="31" spans="1:15">
      <c r="A31" s="28" t="s">
        <v>31</v>
      </c>
      <c r="B31" s="28" t="s">
        <v>35</v>
      </c>
      <c r="C31" s="28">
        <v>70</v>
      </c>
      <c r="D31" s="28">
        <v>71</v>
      </c>
      <c r="E31" s="28">
        <v>71.5</v>
      </c>
      <c r="F31" s="28">
        <v>72</v>
      </c>
      <c r="G31" s="28">
        <v>72</v>
      </c>
      <c r="H31" s="28">
        <v>72</v>
      </c>
    </row>
    <row r="32" spans="1:15">
      <c r="A32" s="28" t="s">
        <v>581</v>
      </c>
      <c r="B32" s="28" t="s">
        <v>2095</v>
      </c>
      <c r="C32" s="28">
        <v>50</v>
      </c>
      <c r="D32" s="28">
        <v>50</v>
      </c>
      <c r="E32" s="28">
        <v>50</v>
      </c>
      <c r="F32" s="28">
        <v>50</v>
      </c>
      <c r="G32" s="28">
        <v>50</v>
      </c>
      <c r="H32" s="28">
        <v>50</v>
      </c>
    </row>
    <row r="33" spans="1:8">
      <c r="A33" s="28" t="s">
        <v>894</v>
      </c>
      <c r="B33" s="28" t="s">
        <v>2096</v>
      </c>
      <c r="C33" s="28" t="s">
        <v>2384</v>
      </c>
      <c r="D33" s="28" t="s">
        <v>2385</v>
      </c>
      <c r="E33" s="28" t="s">
        <v>2386</v>
      </c>
      <c r="F33" s="28" t="s">
        <v>2387</v>
      </c>
      <c r="G33" s="28" t="s">
        <v>2387</v>
      </c>
      <c r="H33" s="28" t="s">
        <v>2387</v>
      </c>
    </row>
    <row r="34" spans="1:8">
      <c r="A34" s="28" t="s">
        <v>1281</v>
      </c>
      <c r="B34" s="28" t="s">
        <v>2101</v>
      </c>
      <c r="C34" s="28" t="s">
        <v>2103</v>
      </c>
      <c r="D34" s="28" t="s">
        <v>2388</v>
      </c>
      <c r="E34" s="28" t="s">
        <v>2104</v>
      </c>
      <c r="F34" s="28" t="s">
        <v>2105</v>
      </c>
      <c r="G34" s="28" t="s">
        <v>2106</v>
      </c>
      <c r="H34" s="28" t="s">
        <v>2389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2390</v>
      </c>
      <c r="D36" s="28" t="s">
        <v>2390</v>
      </c>
      <c r="E36" s="28" t="s">
        <v>2390</v>
      </c>
      <c r="F36" s="28" t="s">
        <v>2390</v>
      </c>
      <c r="G36" s="28" t="s">
        <v>2390</v>
      </c>
      <c r="H36" s="28" t="s">
        <v>2390</v>
      </c>
    </row>
    <row r="37" spans="1:8">
      <c r="A37" s="28" t="s">
        <v>1862</v>
      </c>
      <c r="B37" s="28" t="s">
        <v>2112</v>
      </c>
      <c r="C37" s="28">
        <v>556</v>
      </c>
      <c r="D37" s="28">
        <v>570</v>
      </c>
      <c r="E37" s="28">
        <v>586</v>
      </c>
      <c r="F37" s="28">
        <v>602</v>
      </c>
      <c r="G37" s="28">
        <v>616</v>
      </c>
      <c r="H37" s="28">
        <v>630</v>
      </c>
    </row>
    <row r="38" spans="1:8">
      <c r="A38" s="28" t="s">
        <v>20</v>
      </c>
      <c r="B38" s="28" t="s">
        <v>2113</v>
      </c>
      <c r="C38" s="28">
        <v>381</v>
      </c>
      <c r="D38" s="28">
        <v>381</v>
      </c>
      <c r="E38" s="28">
        <v>387</v>
      </c>
      <c r="F38" s="28">
        <v>391</v>
      </c>
      <c r="G38" s="28">
        <v>397</v>
      </c>
      <c r="H38" s="28">
        <v>407</v>
      </c>
    </row>
    <row r="39" spans="1:8">
      <c r="A39" s="28" t="s">
        <v>19</v>
      </c>
      <c r="B39" s="28" t="s">
        <v>2114</v>
      </c>
      <c r="C39" s="28" t="s">
        <v>2391</v>
      </c>
      <c r="D39" s="28" t="s">
        <v>2392</v>
      </c>
      <c r="E39" s="28" t="s">
        <v>2393</v>
      </c>
      <c r="F39" s="28" t="s">
        <v>2394</v>
      </c>
      <c r="G39" s="28" t="s">
        <v>2395</v>
      </c>
      <c r="H39" s="28" t="s">
        <v>2396</v>
      </c>
    </row>
    <row r="40" spans="1:8">
      <c r="A40" s="28" t="s">
        <v>1875</v>
      </c>
      <c r="B40" s="28" t="s">
        <v>2121</v>
      </c>
      <c r="C40" s="28">
        <v>420</v>
      </c>
      <c r="D40" s="28">
        <v>420</v>
      </c>
      <c r="E40" s="28">
        <v>440</v>
      </c>
      <c r="F40" s="28">
        <v>440</v>
      </c>
      <c r="G40" s="28">
        <v>460</v>
      </c>
      <c r="H40" s="28">
        <v>460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90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2383</v>
      </c>
      <c r="D43" s="28" t="s">
        <v>2383</v>
      </c>
      <c r="E43" s="28" t="s">
        <v>2383</v>
      </c>
      <c r="F43" s="28" t="s">
        <v>2383</v>
      </c>
      <c r="G43" s="28" t="s">
        <v>2383</v>
      </c>
      <c r="H43" s="28" t="s">
        <v>2383</v>
      </c>
    </row>
    <row r="44" spans="1:8" ht="22">
      <c r="C44" s="102"/>
      <c r="D44" s="102"/>
      <c r="E44" s="102"/>
      <c r="F44" s="102"/>
      <c r="G44" s="102"/>
      <c r="H44" s="102"/>
    </row>
    <row r="45" spans="1:8">
      <c r="C45" s="101" t="s">
        <v>17</v>
      </c>
      <c r="D45" s="101" t="s">
        <v>18</v>
      </c>
      <c r="E45" s="101" t="s">
        <v>19</v>
      </c>
      <c r="F45" s="101" t="s">
        <v>1721</v>
      </c>
      <c r="G45" s="101" t="s">
        <v>20</v>
      </c>
      <c r="H45" s="101" t="s">
        <v>21</v>
      </c>
    </row>
    <row r="46" spans="1:8" ht="22">
      <c r="C46" s="102" t="s">
        <v>2397</v>
      </c>
      <c r="D46" s="102" t="s">
        <v>2399</v>
      </c>
      <c r="E46" s="102" t="s">
        <v>2402</v>
      </c>
      <c r="F46" s="102" t="s">
        <v>2403</v>
      </c>
      <c r="G46" s="102" t="s">
        <v>2406</v>
      </c>
      <c r="H46" s="102" t="s">
        <v>2407</v>
      </c>
    </row>
    <row r="47" spans="1:8" ht="22">
      <c r="C47" s="102" t="s">
        <v>2398</v>
      </c>
      <c r="D47" s="102" t="s">
        <v>2400</v>
      </c>
      <c r="E47" s="102" t="s">
        <v>2401</v>
      </c>
      <c r="F47" s="102" t="s">
        <v>2404</v>
      </c>
      <c r="G47" s="102" t="s">
        <v>2405</v>
      </c>
      <c r="H47" s="102" t="s">
        <v>2408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5"/>
  <sheetViews>
    <sheetView topLeftCell="A7" workbookViewId="0">
      <selection activeCell="A25" sqref="A25:XFD28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VALUE(MID(C28,8,5))</f>
        <v>73.900000000000006</v>
      </c>
      <c r="D3" s="28">
        <f t="shared" ref="D3:H3" si="1">VALUE(MID(D28,8,5))</f>
        <v>73.400000000000006</v>
      </c>
      <c r="E3" s="28">
        <f t="shared" si="1"/>
        <v>73.400000000000006</v>
      </c>
      <c r="F3" s="28">
        <f t="shared" si="1"/>
        <v>72.900000000000006</v>
      </c>
      <c r="G3" s="28">
        <f t="shared" si="1"/>
        <v>72.900000000000006</v>
      </c>
      <c r="H3" s="28">
        <f t="shared" si="1"/>
        <v>72.900000000000006</v>
      </c>
    </row>
    <row r="4" spans="1:8">
      <c r="A4" s="28" t="s">
        <v>74</v>
      </c>
      <c r="B4" s="28" t="s">
        <v>2093</v>
      </c>
      <c r="C4" s="28">
        <f>C29</f>
        <v>543</v>
      </c>
      <c r="D4" s="28">
        <f t="shared" ref="C4:H5" si="2">D29</f>
        <v>553</v>
      </c>
      <c r="E4" s="28">
        <f t="shared" si="2"/>
        <v>560</v>
      </c>
      <c r="F4" s="28">
        <f t="shared" si="2"/>
        <v>575</v>
      </c>
      <c r="G4" s="28">
        <f t="shared" si="2"/>
        <v>585</v>
      </c>
      <c r="H4" s="28">
        <f t="shared" si="2"/>
        <v>600</v>
      </c>
    </row>
    <row r="5" spans="1:8">
      <c r="A5" s="28" t="s">
        <v>65</v>
      </c>
      <c r="B5" s="28" t="s">
        <v>2094</v>
      </c>
      <c r="C5" s="28">
        <f t="shared" si="2"/>
        <v>90</v>
      </c>
      <c r="D5" s="28">
        <f t="shared" si="2"/>
        <v>100</v>
      </c>
      <c r="E5" s="28">
        <f t="shared" si="2"/>
        <v>115</v>
      </c>
      <c r="F5" s="28">
        <f t="shared" si="2"/>
        <v>130</v>
      </c>
      <c r="G5" s="28">
        <f t="shared" si="2"/>
        <v>145</v>
      </c>
      <c r="H5" s="28">
        <f t="shared" si="2"/>
        <v>160</v>
      </c>
    </row>
    <row r="6" spans="1:8">
      <c r="A6" s="28" t="s">
        <v>63</v>
      </c>
      <c r="B6" s="28" t="s">
        <v>35</v>
      </c>
      <c r="C6" s="28">
        <f>VALUE(MID(C31,8,5))</f>
        <v>70.400000000000006</v>
      </c>
      <c r="D6" s="28">
        <f t="shared" ref="D6:H6" si="3">VALUE(MID(D31,8,5))</f>
        <v>70.900000000000006</v>
      </c>
      <c r="E6" s="28">
        <f t="shared" si="3"/>
        <v>71.400000000000006</v>
      </c>
      <c r="F6" s="28">
        <f t="shared" si="3"/>
        <v>71.900000000000006</v>
      </c>
      <c r="G6" s="28">
        <f t="shared" si="3"/>
        <v>71.900000000000006</v>
      </c>
      <c r="H6" s="28">
        <f t="shared" si="3"/>
        <v>71.900000000000006</v>
      </c>
    </row>
    <row r="7" spans="1:8">
      <c r="A7" s="28" t="s">
        <v>68</v>
      </c>
      <c r="B7" s="28" t="s">
        <v>2095</v>
      </c>
      <c r="C7" s="28">
        <f t="shared" ref="C7:H7" si="4">C32</f>
        <v>45</v>
      </c>
      <c r="D7" s="28">
        <f t="shared" si="4"/>
        <v>45</v>
      </c>
      <c r="E7" s="28">
        <f t="shared" si="4"/>
        <v>45</v>
      </c>
      <c r="F7" s="28">
        <f t="shared" si="4"/>
        <v>45</v>
      </c>
      <c r="G7" s="28">
        <f t="shared" si="4"/>
        <v>45</v>
      </c>
      <c r="H7" s="28">
        <f t="shared" si="4"/>
        <v>45</v>
      </c>
    </row>
    <row r="8" spans="1:8">
      <c r="A8" s="28" t="s">
        <v>136</v>
      </c>
      <c r="B8" s="28" t="s">
        <v>2096</v>
      </c>
      <c r="C8" s="28">
        <f>VALUE(MID(C33,8,5))</f>
        <v>83.7</v>
      </c>
      <c r="D8" s="28">
        <f t="shared" ref="D8:H8" si="5">VALUE(MID(D33,8,5))</f>
        <v>80.3</v>
      </c>
      <c r="E8" s="28">
        <f t="shared" si="5"/>
        <v>76.8</v>
      </c>
      <c r="F8" s="28">
        <f t="shared" si="5"/>
        <v>73.400000000000006</v>
      </c>
      <c r="G8" s="28">
        <f t="shared" si="5"/>
        <v>73.400000000000006</v>
      </c>
      <c r="H8" s="28">
        <f t="shared" si="5"/>
        <v>73.400000000000006</v>
      </c>
    </row>
    <row r="9" spans="1:8">
      <c r="A9" s="28" t="s">
        <v>57</v>
      </c>
      <c r="B9" s="28" t="s">
        <v>2101</v>
      </c>
      <c r="C9" s="28">
        <f>VALUE(MID(C34,8,5))</f>
        <v>1033</v>
      </c>
      <c r="D9" s="28">
        <f t="shared" ref="D9:H9" si="6">VALUE(MID(D34,8,5))</f>
        <v>1034</v>
      </c>
      <c r="E9" s="28">
        <f t="shared" si="6"/>
        <v>1036</v>
      </c>
      <c r="F9" s="28">
        <f t="shared" si="6"/>
        <v>1041</v>
      </c>
      <c r="G9" s="28">
        <f t="shared" si="6"/>
        <v>1051</v>
      </c>
      <c r="H9" s="28">
        <f t="shared" si="6"/>
        <v>1067</v>
      </c>
    </row>
    <row r="10" spans="1:8">
      <c r="A10" s="28" t="s">
        <v>67</v>
      </c>
      <c r="B10" s="28" t="s">
        <v>2108</v>
      </c>
      <c r="C10" s="28">
        <f>VALUE(MID(C35,7,5))</f>
        <v>435</v>
      </c>
      <c r="D10" s="28">
        <f t="shared" ref="D10:H10" si="7">VALUE(MID(D35,7,5))</f>
        <v>435</v>
      </c>
      <c r="E10" s="28">
        <f t="shared" si="7"/>
        <v>435</v>
      </c>
      <c r="F10" s="28">
        <f t="shared" si="7"/>
        <v>435</v>
      </c>
      <c r="G10" s="28">
        <f t="shared" si="7"/>
        <v>435</v>
      </c>
      <c r="H10" s="28">
        <f t="shared" si="7"/>
        <v>435</v>
      </c>
    </row>
    <row r="11" spans="1:8">
      <c r="A11" s="28" t="s">
        <v>66</v>
      </c>
      <c r="B11" s="28" t="s">
        <v>2110</v>
      </c>
      <c r="C11" s="28">
        <v>69</v>
      </c>
      <c r="D11" s="28">
        <v>69</v>
      </c>
      <c r="E11" s="28">
        <v>69</v>
      </c>
      <c r="F11" s="28">
        <v>69</v>
      </c>
      <c r="G11" s="28">
        <v>69</v>
      </c>
      <c r="H11" s="28">
        <v>69</v>
      </c>
    </row>
    <row r="12" spans="1:8">
      <c r="A12" s="28" t="s">
        <v>55</v>
      </c>
      <c r="B12" s="28" t="s">
        <v>2112</v>
      </c>
      <c r="C12" s="28">
        <f t="shared" ref="C12:H13" si="8">C37</f>
        <v>549</v>
      </c>
      <c r="D12" s="28">
        <f t="shared" si="8"/>
        <v>560</v>
      </c>
      <c r="E12" s="28">
        <f t="shared" si="8"/>
        <v>576</v>
      </c>
      <c r="F12" s="28">
        <f t="shared" si="8"/>
        <v>592</v>
      </c>
      <c r="G12" s="28">
        <f t="shared" si="8"/>
        <v>607</v>
      </c>
      <c r="H12" s="28">
        <f t="shared" si="8"/>
        <v>621</v>
      </c>
    </row>
    <row r="13" spans="1:8">
      <c r="A13" s="28" t="s">
        <v>56</v>
      </c>
      <c r="B13" s="28" t="s">
        <v>2113</v>
      </c>
      <c r="C13" s="28">
        <f t="shared" si="8"/>
        <v>386</v>
      </c>
      <c r="D13" s="28">
        <f t="shared" si="8"/>
        <v>387</v>
      </c>
      <c r="E13" s="28">
        <f t="shared" si="8"/>
        <v>389</v>
      </c>
      <c r="F13" s="28">
        <f t="shared" si="8"/>
        <v>393</v>
      </c>
      <c r="G13" s="28">
        <f t="shared" si="8"/>
        <v>399</v>
      </c>
      <c r="H13" s="28">
        <f t="shared" si="8"/>
        <v>410</v>
      </c>
    </row>
    <row r="14" spans="1:8">
      <c r="A14" s="28" t="s">
        <v>58</v>
      </c>
      <c r="B14" s="28" t="s">
        <v>2114</v>
      </c>
      <c r="C14" s="28">
        <f>VALUE(MID(C39,7,5))</f>
        <v>726</v>
      </c>
      <c r="D14" s="28">
        <f t="shared" ref="D14:H14" si="9">VALUE(MID(D39,7,5))</f>
        <v>743</v>
      </c>
      <c r="E14" s="28">
        <f t="shared" si="9"/>
        <v>761</v>
      </c>
      <c r="F14" s="28">
        <f t="shared" si="9"/>
        <v>778</v>
      </c>
      <c r="G14" s="28">
        <f t="shared" si="9"/>
        <v>796</v>
      </c>
      <c r="H14" s="28">
        <f t="shared" si="9"/>
        <v>814</v>
      </c>
    </row>
    <row r="15" spans="1:8">
      <c r="A15" s="28" t="s">
        <v>71</v>
      </c>
      <c r="B15" s="28" t="s">
        <v>2121</v>
      </c>
      <c r="C15" s="28">
        <f t="shared" ref="C15:H17" si="10">C40</f>
        <v>440</v>
      </c>
      <c r="D15" s="28">
        <f t="shared" si="10"/>
        <v>440</v>
      </c>
      <c r="E15" s="28">
        <f t="shared" si="10"/>
        <v>460</v>
      </c>
      <c r="F15" s="28">
        <f t="shared" si="10"/>
        <v>460</v>
      </c>
      <c r="G15" s="28">
        <f t="shared" si="10"/>
        <v>480</v>
      </c>
      <c r="H15" s="28">
        <f t="shared" si="10"/>
        <v>480</v>
      </c>
    </row>
    <row r="16" spans="1:8">
      <c r="A16" s="28" t="s">
        <v>72</v>
      </c>
      <c r="B16" s="28" t="s">
        <v>2122</v>
      </c>
      <c r="C16" s="28">
        <f t="shared" si="10"/>
        <v>50</v>
      </c>
      <c r="D16" s="28">
        <f t="shared" si="10"/>
        <v>60</v>
      </c>
      <c r="E16" s="28">
        <f t="shared" si="10"/>
        <v>70</v>
      </c>
      <c r="F16" s="28">
        <f t="shared" si="10"/>
        <v>80</v>
      </c>
      <c r="G16" s="28">
        <f t="shared" si="10"/>
        <v>80</v>
      </c>
      <c r="H16" s="28">
        <f t="shared" si="10"/>
        <v>80</v>
      </c>
    </row>
    <row r="17" spans="1:15">
      <c r="A17" s="28" t="s">
        <v>70</v>
      </c>
      <c r="B17" s="28" t="s">
        <v>2123</v>
      </c>
      <c r="C17" s="28">
        <f t="shared" si="10"/>
        <v>170</v>
      </c>
      <c r="D17" s="28">
        <f t="shared" si="10"/>
        <v>170</v>
      </c>
      <c r="E17" s="28">
        <f t="shared" si="10"/>
        <v>172.5</v>
      </c>
      <c r="F17" s="28">
        <f t="shared" si="10"/>
        <v>172.5</v>
      </c>
      <c r="G17" s="28">
        <f t="shared" si="10"/>
        <v>175</v>
      </c>
      <c r="H17" s="28">
        <f t="shared" si="10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15">
      <c r="A21" s="28" t="s">
        <v>141</v>
      </c>
      <c r="B21" s="28" t="s">
        <v>141</v>
      </c>
      <c r="C21" s="28">
        <v>53</v>
      </c>
      <c r="D21" s="28">
        <v>53</v>
      </c>
      <c r="E21" s="28">
        <v>53</v>
      </c>
      <c r="F21" s="28">
        <v>53</v>
      </c>
      <c r="G21" s="28">
        <v>53</v>
      </c>
      <c r="H21" s="28">
        <v>53</v>
      </c>
    </row>
    <row r="22" spans="1:15">
      <c r="A22" s="28" t="s">
        <v>1758</v>
      </c>
      <c r="B22" s="28" t="s">
        <v>1758</v>
      </c>
      <c r="C22" s="28">
        <v>155</v>
      </c>
      <c r="D22" s="28">
        <v>159</v>
      </c>
      <c r="E22" s="28">
        <v>169</v>
      </c>
      <c r="F22" s="28">
        <v>174</v>
      </c>
      <c r="G22" s="28">
        <v>179</v>
      </c>
      <c r="H22" s="28">
        <v>189</v>
      </c>
    </row>
    <row r="23" spans="1:15">
      <c r="A23" s="28" t="s">
        <v>1759</v>
      </c>
      <c r="B23" s="28" t="s">
        <v>1759</v>
      </c>
      <c r="C23" s="28">
        <v>166</v>
      </c>
      <c r="D23" s="28">
        <v>171</v>
      </c>
      <c r="E23" s="28">
        <v>181</v>
      </c>
      <c r="F23" s="28">
        <v>186</v>
      </c>
      <c r="G23" s="28">
        <v>191</v>
      </c>
      <c r="H23" s="28"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 t="s">
        <v>17</v>
      </c>
      <c r="K25" s="101" t="s">
        <v>18</v>
      </c>
      <c r="L25" s="101" t="s">
        <v>19</v>
      </c>
      <c r="M25" s="101" t="s">
        <v>1721</v>
      </c>
      <c r="N25" s="101" t="s">
        <v>20</v>
      </c>
      <c r="O25" s="101" t="s">
        <v>21</v>
      </c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 t="s">
        <v>2125</v>
      </c>
      <c r="K26" s="102" t="s">
        <v>2127</v>
      </c>
      <c r="L26" s="102" t="s">
        <v>2129</v>
      </c>
      <c r="M26" s="102" t="s">
        <v>2131</v>
      </c>
      <c r="N26" s="102" t="s">
        <v>2133</v>
      </c>
      <c r="O26" s="102" t="s">
        <v>2135</v>
      </c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 t="s">
        <v>2126</v>
      </c>
      <c r="K27" s="102" t="s">
        <v>2128</v>
      </c>
      <c r="L27" s="102" t="s">
        <v>2130</v>
      </c>
      <c r="M27" s="102" t="s">
        <v>2132</v>
      </c>
      <c r="N27" s="102" t="s">
        <v>2134</v>
      </c>
      <c r="O27" s="102" t="s">
        <v>2136</v>
      </c>
    </row>
    <row r="28" spans="1:15">
      <c r="A28" s="28" t="s">
        <v>1280</v>
      </c>
      <c r="B28" s="28" t="s">
        <v>32</v>
      </c>
      <c r="C28" s="28" t="s">
        <v>2083</v>
      </c>
      <c r="D28" s="28" t="s">
        <v>2084</v>
      </c>
      <c r="E28" s="28" t="s">
        <v>2084</v>
      </c>
      <c r="F28" s="28" t="s">
        <v>2085</v>
      </c>
      <c r="G28" s="28" t="s">
        <v>2085</v>
      </c>
      <c r="H28" s="28" t="s">
        <v>2085</v>
      </c>
    </row>
    <row r="29" spans="1:15">
      <c r="A29" s="28" t="s">
        <v>28</v>
      </c>
      <c r="B29" s="28" t="s">
        <v>2093</v>
      </c>
      <c r="C29" s="28">
        <v>543</v>
      </c>
      <c r="D29" s="28">
        <v>553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90</v>
      </c>
      <c r="D30" s="28">
        <v>100</v>
      </c>
      <c r="E30" s="28">
        <v>115</v>
      </c>
      <c r="F30" s="28">
        <v>130</v>
      </c>
      <c r="G30" s="28">
        <v>145</v>
      </c>
      <c r="H30" s="28">
        <v>160</v>
      </c>
    </row>
    <row r="31" spans="1:15">
      <c r="A31" s="28" t="s">
        <v>31</v>
      </c>
      <c r="B31" s="28" t="s">
        <v>35</v>
      </c>
      <c r="C31" s="28" t="s">
        <v>2086</v>
      </c>
      <c r="D31" s="28" t="s">
        <v>2087</v>
      </c>
      <c r="E31" s="28" t="s">
        <v>2088</v>
      </c>
      <c r="F31" s="28" t="s">
        <v>2089</v>
      </c>
      <c r="G31" s="28" t="s">
        <v>2089</v>
      </c>
      <c r="H31" s="28" t="s">
        <v>2089</v>
      </c>
    </row>
    <row r="32" spans="1:15">
      <c r="A32" s="28" t="s">
        <v>581</v>
      </c>
      <c r="B32" s="28" t="s">
        <v>2095</v>
      </c>
      <c r="C32" s="28">
        <v>45</v>
      </c>
      <c r="D32" s="28">
        <v>45</v>
      </c>
      <c r="E32" s="28">
        <v>45</v>
      </c>
      <c r="F32" s="28">
        <v>45</v>
      </c>
      <c r="G32" s="28">
        <v>45</v>
      </c>
      <c r="H32" s="28">
        <v>45</v>
      </c>
    </row>
    <row r="33" spans="1:8">
      <c r="A33" s="28" t="s">
        <v>894</v>
      </c>
      <c r="B33" s="28" t="s">
        <v>2096</v>
      </c>
      <c r="C33" s="28" t="s">
        <v>2097</v>
      </c>
      <c r="D33" s="28" t="s">
        <v>2098</v>
      </c>
      <c r="E33" s="28" t="s">
        <v>2099</v>
      </c>
      <c r="F33" s="28" t="s">
        <v>2100</v>
      </c>
      <c r="G33" s="28" t="s">
        <v>2100</v>
      </c>
      <c r="H33" s="28" t="s">
        <v>2100</v>
      </c>
    </row>
    <row r="34" spans="1:8">
      <c r="A34" s="28" t="s">
        <v>1281</v>
      </c>
      <c r="B34" s="28" t="s">
        <v>2101</v>
      </c>
      <c r="C34" s="28" t="s">
        <v>2102</v>
      </c>
      <c r="D34" s="28" t="s">
        <v>2103</v>
      </c>
      <c r="E34" s="28" t="s">
        <v>2104</v>
      </c>
      <c r="F34" s="28" t="s">
        <v>2105</v>
      </c>
      <c r="G34" s="28" t="s">
        <v>2106</v>
      </c>
      <c r="H34" s="28" t="s">
        <v>2107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2111</v>
      </c>
      <c r="D36" s="28" t="s">
        <v>2111</v>
      </c>
      <c r="E36" s="28" t="s">
        <v>2111</v>
      </c>
      <c r="F36" s="28" t="s">
        <v>2111</v>
      </c>
      <c r="G36" s="28" t="s">
        <v>2111</v>
      </c>
      <c r="H36" s="28" t="s">
        <v>2111</v>
      </c>
    </row>
    <row r="37" spans="1:8">
      <c r="A37" s="28" t="s">
        <v>1862</v>
      </c>
      <c r="B37" s="28" t="s">
        <v>2112</v>
      </c>
      <c r="C37" s="28">
        <v>549</v>
      </c>
      <c r="D37" s="28">
        <v>560</v>
      </c>
      <c r="E37" s="28">
        <v>576</v>
      </c>
      <c r="F37" s="28">
        <v>592</v>
      </c>
      <c r="G37" s="28">
        <v>607</v>
      </c>
      <c r="H37" s="28">
        <v>621</v>
      </c>
    </row>
    <row r="38" spans="1:8">
      <c r="A38" s="28" t="s">
        <v>20</v>
      </c>
      <c r="B38" s="28" t="s">
        <v>2113</v>
      </c>
      <c r="C38" s="28">
        <v>386</v>
      </c>
      <c r="D38" s="28">
        <v>387</v>
      </c>
      <c r="E38" s="28">
        <v>389</v>
      </c>
      <c r="F38" s="28">
        <v>393</v>
      </c>
      <c r="G38" s="28">
        <v>399</v>
      </c>
      <c r="H38" s="28">
        <v>410</v>
      </c>
    </row>
    <row r="39" spans="1:8">
      <c r="A39" s="28" t="s">
        <v>19</v>
      </c>
      <c r="B39" s="28" t="s">
        <v>2114</v>
      </c>
      <c r="C39" s="28" t="s">
        <v>2115</v>
      </c>
      <c r="D39" s="28" t="s">
        <v>2116</v>
      </c>
      <c r="E39" s="28" t="s">
        <v>2117</v>
      </c>
      <c r="F39" s="28" t="s">
        <v>2118</v>
      </c>
      <c r="G39" s="28" t="s">
        <v>2119</v>
      </c>
      <c r="H39" s="28" t="s">
        <v>2120</v>
      </c>
    </row>
    <row r="40" spans="1:8">
      <c r="A40" s="28" t="s">
        <v>1875</v>
      </c>
      <c r="B40" s="28" t="s">
        <v>2121</v>
      </c>
      <c r="C40" s="28">
        <v>440</v>
      </c>
      <c r="D40" s="28">
        <v>440</v>
      </c>
      <c r="E40" s="28">
        <v>460</v>
      </c>
      <c r="F40" s="28">
        <v>460</v>
      </c>
      <c r="G40" s="28">
        <v>480</v>
      </c>
      <c r="H40" s="28">
        <v>480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80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47</v>
      </c>
      <c r="D43" s="28" t="s">
        <v>47</v>
      </c>
      <c r="E43" s="28" t="s">
        <v>47</v>
      </c>
      <c r="F43" s="28" t="s">
        <v>47</v>
      </c>
      <c r="G43" s="28" t="s">
        <v>47</v>
      </c>
      <c r="H43" s="28" t="s">
        <v>47</v>
      </c>
    </row>
    <row r="44" spans="1:8" ht="22">
      <c r="B44" s="28" t="s">
        <v>2137</v>
      </c>
      <c r="C44" s="102" t="s">
        <v>2139</v>
      </c>
      <c r="D44" s="102" t="s">
        <v>2140</v>
      </c>
      <c r="E44" s="102" t="s">
        <v>2141</v>
      </c>
      <c r="F44" s="102" t="s">
        <v>2142</v>
      </c>
      <c r="G44" s="102" t="s">
        <v>2143</v>
      </c>
      <c r="H44" s="102" t="s">
        <v>2144</v>
      </c>
    </row>
    <row r="45" spans="1:8" ht="22">
      <c r="B45" s="28" t="s">
        <v>2138</v>
      </c>
      <c r="C45" s="102" t="s">
        <v>2126</v>
      </c>
      <c r="D45" s="102" t="s">
        <v>2128</v>
      </c>
      <c r="E45" s="102" t="s">
        <v>2130</v>
      </c>
      <c r="F45" s="102" t="s">
        <v>2132</v>
      </c>
      <c r="G45" s="102" t="s">
        <v>2134</v>
      </c>
      <c r="H45" s="102" t="s">
        <v>2136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5"/>
  <sheetViews>
    <sheetView workbookViewId="0">
      <selection activeCell="J21" sqref="J21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VALUE(LEFT(C28,4))</f>
        <v>74</v>
      </c>
      <c r="D3" s="28">
        <f t="shared" ref="D3:H3" si="1">VALUE(LEFT(D28,4))</f>
        <v>73.5</v>
      </c>
      <c r="E3" s="28">
        <f t="shared" si="1"/>
        <v>73.5</v>
      </c>
      <c r="F3" s="28">
        <f t="shared" si="1"/>
        <v>73</v>
      </c>
      <c r="G3" s="28">
        <f t="shared" si="1"/>
        <v>73</v>
      </c>
      <c r="H3" s="28">
        <f t="shared" si="1"/>
        <v>73</v>
      </c>
    </row>
    <row r="4" spans="1:8">
      <c r="A4" s="28" t="s">
        <v>74</v>
      </c>
      <c r="B4" s="28" t="s">
        <v>2093</v>
      </c>
      <c r="C4" s="28">
        <f t="shared" ref="C4" si="2">C29</f>
        <v>543</v>
      </c>
      <c r="D4" s="28">
        <f t="shared" ref="D4:H4" si="3">D29</f>
        <v>553</v>
      </c>
      <c r="E4" s="28">
        <f t="shared" si="3"/>
        <v>560</v>
      </c>
      <c r="F4" s="28">
        <f t="shared" si="3"/>
        <v>575</v>
      </c>
      <c r="G4" s="28">
        <f t="shared" si="3"/>
        <v>585</v>
      </c>
      <c r="H4" s="28">
        <f t="shared" si="3"/>
        <v>600</v>
      </c>
    </row>
    <row r="5" spans="1:8">
      <c r="A5" s="28" t="s">
        <v>65</v>
      </c>
      <c r="B5" s="28" t="s">
        <v>2094</v>
      </c>
      <c r="C5" s="28">
        <f t="shared" ref="C5" si="4">C30</f>
        <v>90</v>
      </c>
      <c r="D5" s="28">
        <f t="shared" ref="D5:H5" si="5">D30</f>
        <v>100</v>
      </c>
      <c r="E5" s="28">
        <f t="shared" si="5"/>
        <v>115</v>
      </c>
      <c r="F5" s="28">
        <f t="shared" si="5"/>
        <v>130</v>
      </c>
      <c r="G5" s="28">
        <f t="shared" si="5"/>
        <v>145</v>
      </c>
      <c r="H5" s="28">
        <f t="shared" si="5"/>
        <v>160</v>
      </c>
    </row>
    <row r="6" spans="1:8">
      <c r="A6" s="28" t="s">
        <v>63</v>
      </c>
      <c r="B6" s="28" t="s">
        <v>35</v>
      </c>
      <c r="C6" s="28">
        <f>VALUE(LEFT(C31,4))</f>
        <v>70.5</v>
      </c>
      <c r="D6" s="28">
        <f t="shared" ref="D6:H6" si="6">VALUE(LEFT(D31,4))</f>
        <v>71</v>
      </c>
      <c r="E6" s="28">
        <f t="shared" si="6"/>
        <v>71.5</v>
      </c>
      <c r="F6" s="28">
        <f t="shared" si="6"/>
        <v>72</v>
      </c>
      <c r="G6" s="28">
        <f t="shared" si="6"/>
        <v>72</v>
      </c>
      <c r="H6" s="28">
        <f t="shared" si="6"/>
        <v>72</v>
      </c>
    </row>
    <row r="7" spans="1:8">
      <c r="A7" s="28" t="s">
        <v>68</v>
      </c>
      <c r="B7" s="28" t="s">
        <v>2095</v>
      </c>
      <c r="C7" s="28">
        <f t="shared" ref="C7" si="7">C32</f>
        <v>45</v>
      </c>
      <c r="D7" s="28">
        <f t="shared" ref="D7:H7" si="8">D32</f>
        <v>45</v>
      </c>
      <c r="E7" s="28">
        <f t="shared" si="8"/>
        <v>45</v>
      </c>
      <c r="F7" s="28">
        <f t="shared" si="8"/>
        <v>45</v>
      </c>
      <c r="G7" s="28">
        <f t="shared" si="8"/>
        <v>45</v>
      </c>
      <c r="H7" s="28">
        <f t="shared" si="8"/>
        <v>45</v>
      </c>
    </row>
    <row r="8" spans="1:8">
      <c r="A8" s="28" t="s">
        <v>136</v>
      </c>
      <c r="B8" s="28" t="s">
        <v>2096</v>
      </c>
      <c r="C8" s="28">
        <f>VALUE(LEFT(C33,4))</f>
        <v>80.3</v>
      </c>
      <c r="D8" s="28">
        <f t="shared" ref="D8:H8" si="9">VALUE(LEFT(D33,4))</f>
        <v>76.900000000000006</v>
      </c>
      <c r="E8" s="28">
        <f t="shared" si="9"/>
        <v>73.5</v>
      </c>
      <c r="F8" s="28">
        <f t="shared" si="9"/>
        <v>70.099999999999994</v>
      </c>
      <c r="G8" s="28">
        <f t="shared" si="9"/>
        <v>70.099999999999994</v>
      </c>
      <c r="H8" s="28">
        <f t="shared" si="9"/>
        <v>70.099999999999994</v>
      </c>
    </row>
    <row r="9" spans="1:8">
      <c r="A9" s="28" t="s">
        <v>57</v>
      </c>
      <c r="B9" s="28" t="s">
        <v>2101</v>
      </c>
      <c r="C9" s="28">
        <f>VALUE(LEFT(C34,4))</f>
        <v>1023</v>
      </c>
      <c r="D9" s="28">
        <f t="shared" ref="D9:H9" si="10">VALUE(LEFT(D34,4))</f>
        <v>1024</v>
      </c>
      <c r="E9" s="28">
        <f t="shared" si="10"/>
        <v>1026</v>
      </c>
      <c r="F9" s="28">
        <f t="shared" si="10"/>
        <v>1031</v>
      </c>
      <c r="G9" s="28">
        <f t="shared" si="10"/>
        <v>1041</v>
      </c>
      <c r="H9" s="28">
        <f t="shared" si="10"/>
        <v>1057</v>
      </c>
    </row>
    <row r="10" spans="1:8">
      <c r="A10" s="28" t="s">
        <v>67</v>
      </c>
      <c r="B10" s="28" t="s">
        <v>2108</v>
      </c>
      <c r="C10" s="28">
        <f>VALUE(LEFT(C35,3))</f>
        <v>425</v>
      </c>
      <c r="D10" s="28">
        <f t="shared" ref="D10:H10" si="11">VALUE(LEFT(D35,3))</f>
        <v>425</v>
      </c>
      <c r="E10" s="28">
        <f t="shared" si="11"/>
        <v>425</v>
      </c>
      <c r="F10" s="28">
        <f t="shared" si="11"/>
        <v>425</v>
      </c>
      <c r="G10" s="28">
        <f t="shared" si="11"/>
        <v>425</v>
      </c>
      <c r="H10" s="28">
        <f t="shared" si="11"/>
        <v>425</v>
      </c>
    </row>
    <row r="11" spans="1:8">
      <c r="A11" s="28" t="s">
        <v>66</v>
      </c>
      <c r="B11" s="28" t="s">
        <v>2110</v>
      </c>
      <c r="C11" s="28">
        <f>VALUE(LEFT(C36,3))</f>
        <v>68</v>
      </c>
      <c r="D11" s="28">
        <f t="shared" ref="D11:H11" si="12">VALUE(LEFT(D36,3))</f>
        <v>68</v>
      </c>
      <c r="E11" s="28">
        <f t="shared" si="12"/>
        <v>68</v>
      </c>
      <c r="F11" s="28">
        <f t="shared" si="12"/>
        <v>68</v>
      </c>
      <c r="G11" s="28">
        <f t="shared" si="12"/>
        <v>68</v>
      </c>
      <c r="H11" s="28">
        <f t="shared" si="12"/>
        <v>68</v>
      </c>
    </row>
    <row r="12" spans="1:8">
      <c r="A12" s="28" t="s">
        <v>55</v>
      </c>
      <c r="B12" s="28" t="s">
        <v>2112</v>
      </c>
      <c r="C12" s="28">
        <f t="shared" ref="C12" si="13">C37</f>
        <v>549</v>
      </c>
      <c r="D12" s="28">
        <f t="shared" ref="D12:H12" si="14">D37</f>
        <v>560</v>
      </c>
      <c r="E12" s="28">
        <f t="shared" si="14"/>
        <v>576</v>
      </c>
      <c r="F12" s="28">
        <f t="shared" si="14"/>
        <v>592</v>
      </c>
      <c r="G12" s="28">
        <f t="shared" si="14"/>
        <v>607</v>
      </c>
      <c r="H12" s="28">
        <f t="shared" si="14"/>
        <v>621</v>
      </c>
    </row>
    <row r="13" spans="1:8">
      <c r="A13" s="28" t="s">
        <v>56</v>
      </c>
      <c r="B13" s="28" t="s">
        <v>2113</v>
      </c>
      <c r="C13" s="28">
        <f t="shared" ref="C13" si="15">C38</f>
        <v>386</v>
      </c>
      <c r="D13" s="28">
        <f t="shared" ref="D13:H13" si="16">D38</f>
        <v>387</v>
      </c>
      <c r="E13" s="28">
        <f t="shared" si="16"/>
        <v>389</v>
      </c>
      <c r="F13" s="28">
        <f t="shared" si="16"/>
        <v>393</v>
      </c>
      <c r="G13" s="28">
        <f t="shared" si="16"/>
        <v>399</v>
      </c>
      <c r="H13" s="28">
        <f t="shared" si="16"/>
        <v>410</v>
      </c>
    </row>
    <row r="14" spans="1:8">
      <c r="A14" s="28" t="s">
        <v>58</v>
      </c>
      <c r="B14" s="28" t="s">
        <v>2114</v>
      </c>
      <c r="C14" s="28">
        <f>VALUE(LEFT(C39,3))</f>
        <v>720</v>
      </c>
      <c r="D14" s="28">
        <f t="shared" ref="D14:H14" si="17">VALUE(LEFT(D39,3))</f>
        <v>736</v>
      </c>
      <c r="E14" s="28">
        <f t="shared" si="17"/>
        <v>755</v>
      </c>
      <c r="F14" s="28">
        <f t="shared" si="17"/>
        <v>772</v>
      </c>
      <c r="G14" s="28">
        <f t="shared" si="17"/>
        <v>790</v>
      </c>
      <c r="H14" s="28">
        <f t="shared" si="17"/>
        <v>808</v>
      </c>
    </row>
    <row r="15" spans="1:8">
      <c r="A15" s="28" t="s">
        <v>71</v>
      </c>
      <c r="B15" s="28" t="s">
        <v>2121</v>
      </c>
      <c r="C15" s="28">
        <f t="shared" ref="C15" si="18">C40</f>
        <v>440</v>
      </c>
      <c r="D15" s="28">
        <f t="shared" ref="D15:H15" si="19">D40</f>
        <v>440</v>
      </c>
      <c r="E15" s="28">
        <f t="shared" si="19"/>
        <v>460</v>
      </c>
      <c r="F15" s="28">
        <f t="shared" si="19"/>
        <v>460</v>
      </c>
      <c r="G15" s="28">
        <f t="shared" si="19"/>
        <v>480</v>
      </c>
      <c r="H15" s="28">
        <f t="shared" si="19"/>
        <v>480</v>
      </c>
    </row>
    <row r="16" spans="1:8">
      <c r="A16" s="28" t="s">
        <v>72</v>
      </c>
      <c r="B16" s="28" t="s">
        <v>2122</v>
      </c>
      <c r="C16" s="28">
        <f t="shared" ref="C16" si="20">C41</f>
        <v>50</v>
      </c>
      <c r="D16" s="28">
        <f t="shared" ref="D16:H16" si="21">D41</f>
        <v>60</v>
      </c>
      <c r="E16" s="28">
        <f t="shared" si="21"/>
        <v>70</v>
      </c>
      <c r="F16" s="28">
        <f t="shared" si="21"/>
        <v>80</v>
      </c>
      <c r="G16" s="28">
        <f t="shared" si="21"/>
        <v>80</v>
      </c>
      <c r="H16" s="28">
        <f t="shared" si="21"/>
        <v>80</v>
      </c>
    </row>
    <row r="17" spans="1:15">
      <c r="A17" s="28" t="s">
        <v>70</v>
      </c>
      <c r="B17" s="28" t="s">
        <v>2123</v>
      </c>
      <c r="C17" s="28">
        <f t="shared" ref="C17" si="22">C42</f>
        <v>170</v>
      </c>
      <c r="D17" s="28">
        <f t="shared" ref="D17:H17" si="23">D42</f>
        <v>170</v>
      </c>
      <c r="E17" s="28">
        <f t="shared" si="23"/>
        <v>172.5</v>
      </c>
      <c r="F17" s="28">
        <f t="shared" si="23"/>
        <v>172.5</v>
      </c>
      <c r="G17" s="28">
        <f t="shared" si="23"/>
        <v>175</v>
      </c>
      <c r="H17" s="28">
        <f t="shared" si="23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15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15">
      <c r="A22" s="28" t="s">
        <v>1758</v>
      </c>
      <c r="B22" s="28" t="s">
        <v>1758</v>
      </c>
      <c r="C22" s="28">
        <v>155</v>
      </c>
      <c r="D22" s="28">
        <v>159</v>
      </c>
      <c r="E22" s="28">
        <v>169</v>
      </c>
      <c r="F22" s="28">
        <v>174</v>
      </c>
      <c r="G22" s="28">
        <v>179</v>
      </c>
      <c r="H22" s="28">
        <v>189</v>
      </c>
    </row>
    <row r="23" spans="1:15">
      <c r="A23" s="28" t="s">
        <v>1759</v>
      </c>
      <c r="B23" s="28" t="s">
        <v>1759</v>
      </c>
      <c r="C23" s="28">
        <v>166</v>
      </c>
      <c r="D23" s="28">
        <v>171</v>
      </c>
      <c r="E23" s="28">
        <v>181</v>
      </c>
      <c r="F23" s="28">
        <v>186</v>
      </c>
      <c r="G23" s="28">
        <v>191</v>
      </c>
      <c r="H23" s="28"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 t="s">
        <v>17</v>
      </c>
      <c r="K25" s="101" t="s">
        <v>18</v>
      </c>
      <c r="L25" s="101" t="s">
        <v>19</v>
      </c>
      <c r="M25" s="101" t="s">
        <v>1721</v>
      </c>
      <c r="N25" s="101" t="s">
        <v>20</v>
      </c>
      <c r="O25" s="101" t="s">
        <v>21</v>
      </c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 t="s">
        <v>2125</v>
      </c>
      <c r="K26" s="102" t="s">
        <v>2127</v>
      </c>
      <c r="L26" s="102" t="s">
        <v>2129</v>
      </c>
      <c r="M26" s="102" t="s">
        <v>2131</v>
      </c>
      <c r="N26" s="102" t="s">
        <v>2133</v>
      </c>
      <c r="O26" s="102" t="s">
        <v>2135</v>
      </c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 t="s">
        <v>2126</v>
      </c>
      <c r="K27" s="102" t="s">
        <v>2128</v>
      </c>
      <c r="L27" s="102" t="s">
        <v>2130</v>
      </c>
      <c r="M27" s="102" t="s">
        <v>2132</v>
      </c>
      <c r="N27" s="102" t="s">
        <v>2134</v>
      </c>
      <c r="O27" s="102" t="s">
        <v>2136</v>
      </c>
    </row>
    <row r="28" spans="1:15">
      <c r="A28" s="28" t="s">
        <v>1280</v>
      </c>
      <c r="B28" s="28" t="s">
        <v>32</v>
      </c>
      <c r="C28" s="28" t="s">
        <v>2083</v>
      </c>
      <c r="D28" s="28" t="s">
        <v>2084</v>
      </c>
      <c r="E28" s="28" t="s">
        <v>2084</v>
      </c>
      <c r="F28" s="28" t="s">
        <v>2085</v>
      </c>
      <c r="G28" s="28" t="s">
        <v>2085</v>
      </c>
      <c r="H28" s="28" t="s">
        <v>2085</v>
      </c>
    </row>
    <row r="29" spans="1:15">
      <c r="A29" s="28" t="s">
        <v>28</v>
      </c>
      <c r="B29" s="28" t="s">
        <v>2093</v>
      </c>
      <c r="C29" s="28">
        <v>543</v>
      </c>
      <c r="D29" s="28">
        <v>553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90</v>
      </c>
      <c r="D30" s="28">
        <v>100</v>
      </c>
      <c r="E30" s="28">
        <v>115</v>
      </c>
      <c r="F30" s="28">
        <v>130</v>
      </c>
      <c r="G30" s="28">
        <v>145</v>
      </c>
      <c r="H30" s="28">
        <v>160</v>
      </c>
    </row>
    <row r="31" spans="1:15">
      <c r="A31" s="28" t="s">
        <v>31</v>
      </c>
      <c r="B31" s="28" t="s">
        <v>35</v>
      </c>
      <c r="C31" s="28" t="s">
        <v>2086</v>
      </c>
      <c r="D31" s="28" t="s">
        <v>2087</v>
      </c>
      <c r="E31" s="28" t="s">
        <v>2088</v>
      </c>
      <c r="F31" s="28" t="s">
        <v>2089</v>
      </c>
      <c r="G31" s="28" t="s">
        <v>2089</v>
      </c>
      <c r="H31" s="28" t="s">
        <v>2089</v>
      </c>
    </row>
    <row r="32" spans="1:15">
      <c r="A32" s="28" t="s">
        <v>581</v>
      </c>
      <c r="B32" s="28" t="s">
        <v>2095</v>
      </c>
      <c r="C32" s="28">
        <v>45</v>
      </c>
      <c r="D32" s="28">
        <v>45</v>
      </c>
      <c r="E32" s="28">
        <v>45</v>
      </c>
      <c r="F32" s="28">
        <v>45</v>
      </c>
      <c r="G32" s="28">
        <v>45</v>
      </c>
      <c r="H32" s="28">
        <v>45</v>
      </c>
    </row>
    <row r="33" spans="1:8">
      <c r="A33" s="28" t="s">
        <v>894</v>
      </c>
      <c r="B33" s="28" t="s">
        <v>2096</v>
      </c>
      <c r="C33" s="28" t="s">
        <v>2097</v>
      </c>
      <c r="D33" s="28" t="s">
        <v>2098</v>
      </c>
      <c r="E33" s="28" t="s">
        <v>2099</v>
      </c>
      <c r="F33" s="28" t="s">
        <v>2100</v>
      </c>
      <c r="G33" s="28" t="s">
        <v>2100</v>
      </c>
      <c r="H33" s="28" t="s">
        <v>2100</v>
      </c>
    </row>
    <row r="34" spans="1:8">
      <c r="A34" s="28" t="s">
        <v>1281</v>
      </c>
      <c r="B34" s="28" t="s">
        <v>2101</v>
      </c>
      <c r="C34" s="28" t="s">
        <v>2102</v>
      </c>
      <c r="D34" s="28" t="s">
        <v>2103</v>
      </c>
      <c r="E34" s="28" t="s">
        <v>2104</v>
      </c>
      <c r="F34" s="28" t="s">
        <v>2105</v>
      </c>
      <c r="G34" s="28" t="s">
        <v>2106</v>
      </c>
      <c r="H34" s="28" t="s">
        <v>2107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2111</v>
      </c>
      <c r="D36" s="28" t="s">
        <v>2111</v>
      </c>
      <c r="E36" s="28" t="s">
        <v>2111</v>
      </c>
      <c r="F36" s="28" t="s">
        <v>2111</v>
      </c>
      <c r="G36" s="28" t="s">
        <v>2111</v>
      </c>
      <c r="H36" s="28" t="s">
        <v>2111</v>
      </c>
    </row>
    <row r="37" spans="1:8">
      <c r="A37" s="28" t="s">
        <v>1862</v>
      </c>
      <c r="B37" s="28" t="s">
        <v>2112</v>
      </c>
      <c r="C37" s="28">
        <v>549</v>
      </c>
      <c r="D37" s="28">
        <v>560</v>
      </c>
      <c r="E37" s="28">
        <v>576</v>
      </c>
      <c r="F37" s="28">
        <v>592</v>
      </c>
      <c r="G37" s="28">
        <v>607</v>
      </c>
      <c r="H37" s="28">
        <v>621</v>
      </c>
    </row>
    <row r="38" spans="1:8">
      <c r="A38" s="28" t="s">
        <v>20</v>
      </c>
      <c r="B38" s="28" t="s">
        <v>2113</v>
      </c>
      <c r="C38" s="28">
        <v>386</v>
      </c>
      <c r="D38" s="28">
        <v>387</v>
      </c>
      <c r="E38" s="28">
        <v>389</v>
      </c>
      <c r="F38" s="28">
        <v>393</v>
      </c>
      <c r="G38" s="28">
        <v>399</v>
      </c>
      <c r="H38" s="28">
        <v>410</v>
      </c>
    </row>
    <row r="39" spans="1:8">
      <c r="A39" s="28" t="s">
        <v>19</v>
      </c>
      <c r="B39" s="28" t="s">
        <v>2114</v>
      </c>
      <c r="C39" s="28" t="s">
        <v>2115</v>
      </c>
      <c r="D39" s="28" t="s">
        <v>2116</v>
      </c>
      <c r="E39" s="28" t="s">
        <v>2117</v>
      </c>
      <c r="F39" s="28" t="s">
        <v>2118</v>
      </c>
      <c r="G39" s="28" t="s">
        <v>2119</v>
      </c>
      <c r="H39" s="28" t="s">
        <v>2120</v>
      </c>
    </row>
    <row r="40" spans="1:8">
      <c r="A40" s="28" t="s">
        <v>1875</v>
      </c>
      <c r="B40" s="28" t="s">
        <v>2121</v>
      </c>
      <c r="C40" s="28">
        <v>440</v>
      </c>
      <c r="D40" s="28">
        <v>440</v>
      </c>
      <c r="E40" s="28">
        <v>460</v>
      </c>
      <c r="F40" s="28">
        <v>460</v>
      </c>
      <c r="G40" s="28">
        <v>480</v>
      </c>
      <c r="H40" s="28">
        <v>480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80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47</v>
      </c>
      <c r="D43" s="28" t="s">
        <v>47</v>
      </c>
      <c r="E43" s="28" t="s">
        <v>47</v>
      </c>
      <c r="F43" s="28" t="s">
        <v>47</v>
      </c>
      <c r="G43" s="28" t="s">
        <v>47</v>
      </c>
      <c r="H43" s="28" t="s">
        <v>47</v>
      </c>
    </row>
    <row r="44" spans="1:8" ht="22">
      <c r="B44" s="28" t="s">
        <v>2137</v>
      </c>
      <c r="C44" s="102" t="s">
        <v>2139</v>
      </c>
      <c r="D44" s="102" t="s">
        <v>2140</v>
      </c>
      <c r="E44" s="102" t="s">
        <v>2141</v>
      </c>
      <c r="F44" s="102" t="s">
        <v>2142</v>
      </c>
      <c r="G44" s="102" t="s">
        <v>2143</v>
      </c>
      <c r="H44" s="102" t="s">
        <v>2144</v>
      </c>
    </row>
    <row r="45" spans="1:8" ht="22">
      <c r="B45" s="28" t="s">
        <v>2138</v>
      </c>
      <c r="C45" s="102" t="s">
        <v>2126</v>
      </c>
      <c r="D45" s="102" t="s">
        <v>2128</v>
      </c>
      <c r="E45" s="102" t="s">
        <v>2130</v>
      </c>
      <c r="F45" s="102" t="s">
        <v>2132</v>
      </c>
      <c r="G45" s="102" t="s">
        <v>2134</v>
      </c>
      <c r="H45" s="102" t="s">
        <v>2136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9.83203125" style="60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60" t="s">
        <v>139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7">
      <c r="A2" s="28" t="s">
        <v>55</v>
      </c>
      <c r="B2" s="28" t="s">
        <v>56</v>
      </c>
      <c r="C2" s="62" t="s">
        <v>1468</v>
      </c>
      <c r="D2" s="28">
        <f>VALUE(LEFT(D31,3))</f>
        <v>420</v>
      </c>
      <c r="E2" s="28">
        <f t="shared" ref="E2:G2" si="0">VALUE(LEFT(E31,3))</f>
        <v>440</v>
      </c>
      <c r="F2" s="28">
        <f t="shared" si="0"/>
        <v>465</v>
      </c>
      <c r="G2" s="28">
        <f t="shared" si="0"/>
        <v>490</v>
      </c>
    </row>
    <row r="3" spans="1:7">
      <c r="A3" s="28" t="s">
        <v>56</v>
      </c>
      <c r="B3" s="28" t="s">
        <v>55</v>
      </c>
      <c r="C3" s="62" t="s">
        <v>1470</v>
      </c>
      <c r="D3" s="28">
        <f t="shared" ref="D3:G19" si="1">VALUE(LEFT(D32,3))</f>
        <v>555</v>
      </c>
      <c r="E3" s="28">
        <f t="shared" si="1"/>
        <v>583</v>
      </c>
      <c r="F3" s="28">
        <f t="shared" si="1"/>
        <v>606</v>
      </c>
      <c r="G3" s="28">
        <f t="shared" si="1"/>
        <v>633</v>
      </c>
    </row>
    <row r="4" spans="1:7">
      <c r="A4" s="28" t="s">
        <v>61</v>
      </c>
      <c r="B4" s="28" t="s">
        <v>65</v>
      </c>
      <c r="C4" s="62" t="s">
        <v>1473</v>
      </c>
      <c r="D4" s="28">
        <f t="shared" si="1"/>
        <v>115</v>
      </c>
      <c r="E4" s="28">
        <f t="shared" si="1"/>
        <v>145</v>
      </c>
      <c r="F4" s="28">
        <f t="shared" si="1"/>
        <v>175</v>
      </c>
      <c r="G4" s="28">
        <f t="shared" si="1"/>
        <v>205</v>
      </c>
    </row>
    <row r="5" spans="1:7">
      <c r="A5" s="28" t="s">
        <v>74</v>
      </c>
      <c r="B5" s="28" t="s">
        <v>63</v>
      </c>
      <c r="C5" s="62" t="s">
        <v>1476</v>
      </c>
      <c r="D5" s="28">
        <f>VALUE(LEFT(D34,4))</f>
        <v>67.5</v>
      </c>
      <c r="E5" s="28">
        <f t="shared" ref="E5:G5" si="2">VALUE(LEFT(E34,4))</f>
        <v>67.5</v>
      </c>
      <c r="F5" s="28">
        <f t="shared" si="2"/>
        <v>67.5</v>
      </c>
      <c r="G5" s="28">
        <f t="shared" si="2"/>
        <v>67.5</v>
      </c>
    </row>
    <row r="6" spans="1:7">
      <c r="A6" s="28" t="s">
        <v>63</v>
      </c>
      <c r="B6" s="28" t="s">
        <v>61</v>
      </c>
      <c r="C6" s="62" t="s">
        <v>1478</v>
      </c>
      <c r="D6" s="28">
        <f t="shared" si="1"/>
        <v>390</v>
      </c>
      <c r="E6" s="28">
        <f t="shared" si="1"/>
        <v>430</v>
      </c>
      <c r="F6" s="28">
        <f t="shared" si="1"/>
        <v>470</v>
      </c>
      <c r="G6" s="28">
        <f t="shared" si="1"/>
        <v>510</v>
      </c>
    </row>
    <row r="7" spans="1:7">
      <c r="A7" s="28" t="s">
        <v>64</v>
      </c>
      <c r="B7" s="28" t="s">
        <v>136</v>
      </c>
      <c r="C7" s="62" t="s">
        <v>1479</v>
      </c>
      <c r="D7" s="28">
        <f t="shared" si="1"/>
        <v>104</v>
      </c>
      <c r="E7" s="28">
        <f t="shared" si="1"/>
        <v>104</v>
      </c>
      <c r="F7" s="28">
        <f t="shared" si="1"/>
        <v>104</v>
      </c>
      <c r="G7" s="28">
        <f t="shared" si="1"/>
        <v>104</v>
      </c>
    </row>
    <row r="8" spans="1:7">
      <c r="A8" s="28" t="s">
        <v>65</v>
      </c>
      <c r="B8" s="28" t="s">
        <v>135</v>
      </c>
      <c r="C8" s="62" t="s">
        <v>1480</v>
      </c>
      <c r="D8" s="28">
        <f t="shared" si="1"/>
        <v>668</v>
      </c>
      <c r="E8" s="28">
        <f t="shared" si="1"/>
        <v>699</v>
      </c>
      <c r="F8" s="28">
        <f t="shared" si="1"/>
        <v>735</v>
      </c>
      <c r="G8" s="28">
        <f t="shared" si="1"/>
        <v>771</v>
      </c>
    </row>
    <row r="9" spans="1:7">
      <c r="A9" s="28" t="s">
        <v>66</v>
      </c>
      <c r="B9" s="28" t="s">
        <v>66</v>
      </c>
      <c r="C9" s="62" t="s">
        <v>1485</v>
      </c>
      <c r="D9" s="28">
        <f>VALUE(LEFT(D38,2))</f>
        <v>81</v>
      </c>
      <c r="E9" s="28">
        <f t="shared" ref="E9:G9" si="3">VALUE(LEFT(E38,2))</f>
        <v>81</v>
      </c>
      <c r="F9" s="28">
        <f t="shared" si="3"/>
        <v>76</v>
      </c>
      <c r="G9" s="28">
        <f t="shared" si="3"/>
        <v>76</v>
      </c>
    </row>
    <row r="10" spans="1:7">
      <c r="A10" s="28" t="s">
        <v>67</v>
      </c>
      <c r="B10" s="28" t="s">
        <v>57</v>
      </c>
      <c r="C10" s="62" t="s">
        <v>1488</v>
      </c>
      <c r="D10" s="28">
        <f>VALUE(LEFT(D39,4))</f>
        <v>1105</v>
      </c>
      <c r="E10" s="28">
        <f t="shared" ref="E10:G10" si="4">VALUE(LEFT(E39,4))</f>
        <v>1137</v>
      </c>
      <c r="F10" s="28">
        <f t="shared" si="4"/>
        <v>1175</v>
      </c>
      <c r="G10" s="28">
        <f t="shared" si="4"/>
        <v>1210</v>
      </c>
    </row>
    <row r="11" spans="1:7">
      <c r="A11" s="28" t="s">
        <v>57</v>
      </c>
      <c r="B11" s="28" t="s">
        <v>67</v>
      </c>
      <c r="C11" s="62" t="s">
        <v>1493</v>
      </c>
      <c r="D11" s="28">
        <f t="shared" si="1"/>
        <v>450</v>
      </c>
      <c r="E11" s="28">
        <f t="shared" si="1"/>
        <v>450</v>
      </c>
      <c r="F11" s="28">
        <f t="shared" si="1"/>
        <v>450</v>
      </c>
      <c r="G11" s="28">
        <f t="shared" si="1"/>
        <v>450</v>
      </c>
    </row>
    <row r="12" spans="1:7">
      <c r="A12" s="28" t="s">
        <v>68</v>
      </c>
      <c r="B12" s="28" t="s">
        <v>74</v>
      </c>
      <c r="C12" s="62" t="s">
        <v>1494</v>
      </c>
      <c r="D12" s="28">
        <f t="shared" si="1"/>
        <v>561</v>
      </c>
      <c r="E12" s="28">
        <f t="shared" si="1"/>
        <v>587</v>
      </c>
      <c r="F12" s="28">
        <f t="shared" si="1"/>
        <v>617</v>
      </c>
      <c r="G12" s="28">
        <f t="shared" si="1"/>
        <v>649</v>
      </c>
    </row>
    <row r="13" spans="1:7">
      <c r="A13" s="28" t="s">
        <v>58</v>
      </c>
      <c r="B13" s="28" t="s">
        <v>64</v>
      </c>
      <c r="C13" s="62" t="s">
        <v>1498</v>
      </c>
      <c r="D13" s="28">
        <f>VALUE(LEFT(D42,2))</f>
        <v>74</v>
      </c>
      <c r="E13" s="28">
        <f t="shared" ref="E13:G13" si="5">VALUE(LEFT(E42,2))</f>
        <v>74</v>
      </c>
      <c r="F13" s="28">
        <f t="shared" si="5"/>
        <v>74</v>
      </c>
      <c r="G13" s="28">
        <f t="shared" si="5"/>
        <v>74</v>
      </c>
    </row>
    <row r="14" spans="1:7">
      <c r="A14" s="28" t="s">
        <v>70</v>
      </c>
      <c r="B14" s="28" t="s">
        <v>58</v>
      </c>
      <c r="C14" s="62" t="s">
        <v>1499</v>
      </c>
      <c r="D14" s="28">
        <f t="shared" si="1"/>
        <v>680</v>
      </c>
      <c r="E14" s="28">
        <f t="shared" si="1"/>
        <v>720</v>
      </c>
      <c r="F14" s="28">
        <f t="shared" si="1"/>
        <v>760</v>
      </c>
      <c r="G14" s="28">
        <f t="shared" si="1"/>
        <v>795</v>
      </c>
    </row>
    <row r="15" spans="1:7">
      <c r="A15" s="28" t="s">
        <v>71</v>
      </c>
      <c r="B15" s="28" t="s">
        <v>1515</v>
      </c>
      <c r="C15" s="62" t="s">
        <v>1504</v>
      </c>
      <c r="D15" s="28">
        <f t="shared" si="1"/>
        <v>585</v>
      </c>
      <c r="E15" s="28">
        <f t="shared" si="1"/>
        <v>689</v>
      </c>
      <c r="F15" s="28">
        <f t="shared" si="1"/>
        <v>720</v>
      </c>
      <c r="G15" s="28">
        <f t="shared" si="1"/>
        <v>780</v>
      </c>
    </row>
    <row r="16" spans="1:7">
      <c r="A16" s="28" t="s">
        <v>72</v>
      </c>
      <c r="B16" s="28" t="s">
        <v>72</v>
      </c>
      <c r="C16" s="63" t="s">
        <v>14</v>
      </c>
      <c r="D16" s="28">
        <f>VALUE(LEFT(D45,2))</f>
        <v>40</v>
      </c>
      <c r="E16" s="28">
        <f t="shared" ref="E16:G16" si="6">VALUE(LEFT(E45,2))</f>
        <v>50</v>
      </c>
      <c r="F16" s="28">
        <f t="shared" si="6"/>
        <v>50</v>
      </c>
      <c r="G16" s="28">
        <f t="shared" si="6"/>
        <v>50</v>
      </c>
    </row>
    <row r="17" spans="1:7">
      <c r="A17" s="28" t="s">
        <v>69</v>
      </c>
      <c r="B17" s="28" t="s">
        <v>70</v>
      </c>
      <c r="C17" s="63" t="s">
        <v>59</v>
      </c>
      <c r="D17" s="28">
        <f t="shared" si="1"/>
        <v>165</v>
      </c>
      <c r="E17" s="28">
        <f t="shared" si="1"/>
        <v>165</v>
      </c>
      <c r="F17" s="28">
        <f t="shared" si="1"/>
        <v>170</v>
      </c>
      <c r="G17" s="28">
        <f t="shared" si="1"/>
        <v>170</v>
      </c>
    </row>
    <row r="18" spans="1:7">
      <c r="A18" s="28" t="s">
        <v>140</v>
      </c>
      <c r="B18" s="28" t="s">
        <v>1516</v>
      </c>
      <c r="C18" s="62" t="s">
        <v>1510</v>
      </c>
    </row>
    <row r="19" spans="1:7">
      <c r="A19" s="28" t="s">
        <v>141</v>
      </c>
      <c r="B19" s="28" t="s">
        <v>71</v>
      </c>
      <c r="C19" s="63" t="s">
        <v>1512</v>
      </c>
      <c r="D19" s="28">
        <f t="shared" si="1"/>
        <v>780</v>
      </c>
      <c r="E19" s="28">
        <f t="shared" si="1"/>
        <v>780</v>
      </c>
      <c r="F19" s="28">
        <f t="shared" si="1"/>
        <v>780</v>
      </c>
      <c r="G19" s="28">
        <f t="shared" si="1"/>
        <v>780</v>
      </c>
    </row>
    <row r="20" spans="1:7">
      <c r="B20" s="28" t="s">
        <v>68</v>
      </c>
      <c r="C20" s="62" t="s">
        <v>1513</v>
      </c>
      <c r="D20" s="28">
        <f>VALUE(LEFT(D49,2))</f>
        <v>44</v>
      </c>
      <c r="E20" s="28">
        <f t="shared" ref="E20:G20" si="7">VALUE(LEFT(E49,2))</f>
        <v>44</v>
      </c>
      <c r="F20" s="28">
        <f t="shared" si="7"/>
        <v>44</v>
      </c>
      <c r="G20" s="28">
        <f t="shared" si="7"/>
        <v>44</v>
      </c>
    </row>
    <row r="21" spans="1:7"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B22" s="28" t="s">
        <v>140</v>
      </c>
      <c r="C22" s="28" t="s">
        <v>140</v>
      </c>
      <c r="D22" s="28">
        <v>50</v>
      </c>
      <c r="E22" s="28">
        <v>50</v>
      </c>
      <c r="F22" s="28">
        <v>50</v>
      </c>
      <c r="G22" s="28">
        <v>50</v>
      </c>
    </row>
    <row r="23" spans="1:7">
      <c r="B23" s="28" t="s">
        <v>141</v>
      </c>
      <c r="C23" s="28" t="s">
        <v>141</v>
      </c>
      <c r="D23" s="28">
        <f>2*25.4</f>
        <v>50.8</v>
      </c>
      <c r="E23" s="28">
        <f t="shared" ref="E23:G23" si="8">2*25.4</f>
        <v>50.8</v>
      </c>
      <c r="F23" s="28">
        <f t="shared" si="8"/>
        <v>50.8</v>
      </c>
      <c r="G23" s="28">
        <f t="shared" si="8"/>
        <v>50.8</v>
      </c>
    </row>
    <row r="30" spans="1:7">
      <c r="C30" s="64" t="s">
        <v>18</v>
      </c>
      <c r="D30" s="61" t="s">
        <v>19</v>
      </c>
      <c r="E30" s="61" t="s">
        <v>20</v>
      </c>
      <c r="F30" s="61" t="s">
        <v>21</v>
      </c>
    </row>
    <row r="31" spans="1:7">
      <c r="C31" s="62" t="s">
        <v>1468</v>
      </c>
      <c r="D31" s="28" t="s">
        <v>613</v>
      </c>
      <c r="E31" s="28" t="s">
        <v>614</v>
      </c>
      <c r="F31" s="28" t="s">
        <v>1469</v>
      </c>
      <c r="G31" s="28" t="s">
        <v>242</v>
      </c>
    </row>
    <row r="32" spans="1:7">
      <c r="C32" s="62" t="s">
        <v>1470</v>
      </c>
      <c r="D32" s="28" t="s">
        <v>230</v>
      </c>
      <c r="E32" s="28" t="s">
        <v>1471</v>
      </c>
      <c r="F32" s="28" t="s">
        <v>857</v>
      </c>
      <c r="G32" s="28" t="s">
        <v>1472</v>
      </c>
    </row>
    <row r="33" spans="3:7">
      <c r="C33" s="62" t="s">
        <v>1473</v>
      </c>
      <c r="D33" s="28" t="s">
        <v>244</v>
      </c>
      <c r="E33" s="28" t="s">
        <v>1474</v>
      </c>
      <c r="F33" s="28" t="s">
        <v>246</v>
      </c>
      <c r="G33" s="28" t="s">
        <v>1475</v>
      </c>
    </row>
    <row r="34" spans="3:7">
      <c r="C34" s="62" t="s">
        <v>1476</v>
      </c>
      <c r="D34" s="28" t="s">
        <v>1477</v>
      </c>
      <c r="E34" s="28" t="s">
        <v>1477</v>
      </c>
      <c r="F34" s="28" t="s">
        <v>1477</v>
      </c>
      <c r="G34" s="28" t="s">
        <v>1477</v>
      </c>
    </row>
    <row r="35" spans="3:7">
      <c r="C35" s="62" t="s">
        <v>1478</v>
      </c>
      <c r="D35" s="28" t="s">
        <v>623</v>
      </c>
      <c r="E35" s="28" t="s">
        <v>240</v>
      </c>
      <c r="F35" s="28" t="s">
        <v>639</v>
      </c>
      <c r="G35" s="28" t="s">
        <v>1167</v>
      </c>
    </row>
    <row r="36" spans="3:7">
      <c r="C36" s="62" t="s">
        <v>1479</v>
      </c>
      <c r="D36" s="28" t="s">
        <v>615</v>
      </c>
      <c r="E36" s="28" t="s">
        <v>615</v>
      </c>
      <c r="F36" s="28" t="s">
        <v>615</v>
      </c>
      <c r="G36" s="28" t="s">
        <v>615</v>
      </c>
    </row>
    <row r="37" spans="3:7">
      <c r="C37" s="62" t="s">
        <v>1480</v>
      </c>
      <c r="D37" s="28" t="s">
        <v>1481</v>
      </c>
      <c r="E37" s="28" t="s">
        <v>1482</v>
      </c>
      <c r="F37" s="28" t="s">
        <v>1483</v>
      </c>
      <c r="G37" s="28" t="s">
        <v>1484</v>
      </c>
    </row>
    <row r="38" spans="3:7">
      <c r="C38" s="62" t="s">
        <v>1485</v>
      </c>
      <c r="D38" s="28" t="s">
        <v>1486</v>
      </c>
      <c r="E38" s="28" t="s">
        <v>1486</v>
      </c>
      <c r="F38" s="28" t="s">
        <v>1487</v>
      </c>
      <c r="G38" s="28" t="s">
        <v>1487</v>
      </c>
    </row>
    <row r="39" spans="3:7">
      <c r="C39" s="62" t="s">
        <v>1488</v>
      </c>
      <c r="D39" s="28" t="s">
        <v>1489</v>
      </c>
      <c r="E39" s="28" t="s">
        <v>1490</v>
      </c>
      <c r="F39" s="28" t="s">
        <v>1491</v>
      </c>
      <c r="G39" s="28" t="s">
        <v>1492</v>
      </c>
    </row>
    <row r="40" spans="3:7">
      <c r="C40" s="62" t="s">
        <v>1493</v>
      </c>
      <c r="D40" s="28" t="s">
        <v>252</v>
      </c>
      <c r="E40" s="28" t="s">
        <v>252</v>
      </c>
      <c r="F40" s="28" t="s">
        <v>252</v>
      </c>
      <c r="G40" s="28" t="s">
        <v>252</v>
      </c>
    </row>
    <row r="41" spans="3:7">
      <c r="C41" s="62" t="s">
        <v>1494</v>
      </c>
      <c r="D41" s="28" t="s">
        <v>1495</v>
      </c>
      <c r="E41" s="28" t="s">
        <v>1182</v>
      </c>
      <c r="F41" s="28" t="s">
        <v>1496</v>
      </c>
      <c r="G41" s="28" t="s">
        <v>1497</v>
      </c>
    </row>
    <row r="42" spans="3:7">
      <c r="C42" s="62" t="s">
        <v>1498</v>
      </c>
      <c r="D42" s="28" t="s">
        <v>33</v>
      </c>
      <c r="E42" s="28" t="s">
        <v>33</v>
      </c>
      <c r="F42" s="28" t="s">
        <v>33</v>
      </c>
      <c r="G42" s="28" t="s">
        <v>33</v>
      </c>
    </row>
    <row r="43" spans="3:7">
      <c r="C43" s="62" t="s">
        <v>1499</v>
      </c>
      <c r="D43" s="28" t="s">
        <v>1500</v>
      </c>
      <c r="E43" s="28" t="s">
        <v>1501</v>
      </c>
      <c r="F43" s="28" t="s">
        <v>1502</v>
      </c>
      <c r="G43" s="28" t="s">
        <v>1503</v>
      </c>
    </row>
    <row r="44" spans="3:7">
      <c r="C44" s="62" t="s">
        <v>1504</v>
      </c>
      <c r="D44" s="28" t="s">
        <v>1505</v>
      </c>
      <c r="E44" s="28" t="s">
        <v>1506</v>
      </c>
      <c r="F44" s="28" t="s">
        <v>1501</v>
      </c>
      <c r="G44" s="28" t="s">
        <v>1507</v>
      </c>
    </row>
    <row r="45" spans="3:7">
      <c r="C45" s="63" t="s">
        <v>14</v>
      </c>
      <c r="D45" s="28" t="s">
        <v>1508</v>
      </c>
      <c r="E45" s="28" t="s">
        <v>1509</v>
      </c>
      <c r="F45" s="28" t="s">
        <v>1509</v>
      </c>
      <c r="G45" s="28" t="s">
        <v>1509</v>
      </c>
    </row>
    <row r="46" spans="3:7">
      <c r="C46" s="63" t="s">
        <v>59</v>
      </c>
      <c r="D46" s="28" t="s">
        <v>1295</v>
      </c>
      <c r="E46" s="28" t="s">
        <v>1295</v>
      </c>
      <c r="F46" s="28" t="s">
        <v>1195</v>
      </c>
      <c r="G46" s="28" t="s">
        <v>1195</v>
      </c>
    </row>
    <row r="47" spans="3:7">
      <c r="C47" s="62" t="s">
        <v>1510</v>
      </c>
      <c r="D47" s="28" t="s">
        <v>1511</v>
      </c>
      <c r="E47" s="28" t="s">
        <v>1511</v>
      </c>
      <c r="F47" s="28" t="s">
        <v>1511</v>
      </c>
      <c r="G47" s="28" t="s">
        <v>1511</v>
      </c>
    </row>
    <row r="48" spans="3:7">
      <c r="C48" s="63" t="s">
        <v>1512</v>
      </c>
      <c r="D48" s="28" t="s">
        <v>1507</v>
      </c>
      <c r="E48" s="28" t="s">
        <v>1507</v>
      </c>
      <c r="F48" s="28" t="s">
        <v>1507</v>
      </c>
      <c r="G48" s="28" t="s">
        <v>1507</v>
      </c>
    </row>
    <row r="49" spans="3:7">
      <c r="C49" s="62" t="s">
        <v>1513</v>
      </c>
      <c r="D49" s="28" t="s">
        <v>1514</v>
      </c>
      <c r="E49" s="28" t="s">
        <v>1514</v>
      </c>
      <c r="F49" s="28" t="s">
        <v>1514</v>
      </c>
      <c r="G49" s="28" t="s">
        <v>1514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5" width="10.83203125" style="28"/>
    <col min="6" max="7" width="11.1640625" style="28" bestFit="1" customWidth="1"/>
    <col min="8" max="16384" width="10.83203125" style="28"/>
  </cols>
  <sheetData>
    <row r="1" spans="1:9" ht="22">
      <c r="A1" s="28" t="s">
        <v>73</v>
      </c>
      <c r="B1" s="108" t="s">
        <v>144</v>
      </c>
      <c r="C1" s="108">
        <v>49</v>
      </c>
      <c r="D1" s="108">
        <v>53</v>
      </c>
      <c r="E1" s="108">
        <v>55</v>
      </c>
      <c r="F1" s="108">
        <v>58</v>
      </c>
      <c r="G1" s="108">
        <v>61</v>
      </c>
      <c r="H1" s="108" t="s">
        <v>2283</v>
      </c>
    </row>
    <row r="2" spans="1:9" ht="22">
      <c r="A2" s="28" t="s">
        <v>61</v>
      </c>
      <c r="B2" s="109" t="s">
        <v>176</v>
      </c>
      <c r="C2" s="109">
        <v>455</v>
      </c>
      <c r="D2" s="109">
        <v>525</v>
      </c>
      <c r="E2" s="109">
        <v>550</v>
      </c>
      <c r="F2" s="109">
        <v>575</v>
      </c>
      <c r="G2" s="109">
        <v>605</v>
      </c>
      <c r="H2" s="109" t="s">
        <v>1279</v>
      </c>
      <c r="I2"/>
    </row>
    <row r="3" spans="1:9" ht="22">
      <c r="A3" s="28" t="s">
        <v>74</v>
      </c>
      <c r="B3" s="109" t="s">
        <v>2280</v>
      </c>
      <c r="C3" s="109">
        <v>517</v>
      </c>
      <c r="D3" s="109">
        <v>539</v>
      </c>
      <c r="E3" s="109">
        <v>554</v>
      </c>
      <c r="F3" s="109">
        <v>568</v>
      </c>
      <c r="G3" s="109">
        <v>589</v>
      </c>
      <c r="H3" s="109" t="s">
        <v>1280</v>
      </c>
      <c r="I3"/>
    </row>
    <row r="4" spans="1:9" ht="22">
      <c r="A4" s="28" t="s">
        <v>65</v>
      </c>
      <c r="B4" s="109" t="s">
        <v>6</v>
      </c>
      <c r="C4" s="109">
        <v>110</v>
      </c>
      <c r="D4" s="109">
        <v>135</v>
      </c>
      <c r="E4" s="109">
        <v>155</v>
      </c>
      <c r="F4" s="109">
        <v>173</v>
      </c>
      <c r="G4" s="109">
        <v>195</v>
      </c>
      <c r="H4" s="109" t="s">
        <v>28</v>
      </c>
    </row>
    <row r="5" spans="1:9" ht="22">
      <c r="A5" s="28" t="s">
        <v>67</v>
      </c>
      <c r="B5" s="109" t="s">
        <v>8</v>
      </c>
      <c r="C5" s="109">
        <v>430</v>
      </c>
      <c r="D5" s="109">
        <v>430</v>
      </c>
      <c r="E5" s="109">
        <v>430</v>
      </c>
      <c r="F5" s="109">
        <v>430</v>
      </c>
      <c r="G5" s="109">
        <v>430</v>
      </c>
      <c r="H5" s="109" t="s">
        <v>893</v>
      </c>
    </row>
    <row r="6" spans="1:9" ht="22">
      <c r="A6" s="28" t="s">
        <v>64</v>
      </c>
      <c r="B6" s="109" t="s">
        <v>5</v>
      </c>
      <c r="C6" s="109">
        <v>74.5</v>
      </c>
      <c r="D6" s="109">
        <v>74</v>
      </c>
      <c r="E6" s="109">
        <v>73.5</v>
      </c>
      <c r="F6" s="109">
        <v>73.5</v>
      </c>
      <c r="G6" s="109">
        <v>73.5</v>
      </c>
      <c r="H6" s="109" t="s">
        <v>31</v>
      </c>
    </row>
    <row r="7" spans="1:9" ht="22">
      <c r="A7" s="28" t="s">
        <v>63</v>
      </c>
      <c r="B7" s="109" t="s">
        <v>4</v>
      </c>
      <c r="C7" s="109">
        <v>70.5</v>
      </c>
      <c r="D7" s="109">
        <v>72</v>
      </c>
      <c r="E7" s="109">
        <v>72</v>
      </c>
      <c r="F7" s="109">
        <v>72</v>
      </c>
      <c r="G7" s="109">
        <v>72</v>
      </c>
      <c r="H7" s="109" t="s">
        <v>581</v>
      </c>
    </row>
    <row r="8" spans="1:9" ht="22">
      <c r="A8" s="28" t="s">
        <v>57</v>
      </c>
      <c r="B8" s="109" t="s">
        <v>10</v>
      </c>
      <c r="C8" s="109">
        <v>1008</v>
      </c>
      <c r="D8" s="109">
        <v>1011</v>
      </c>
      <c r="E8" s="109">
        <v>1021</v>
      </c>
      <c r="F8" s="109">
        <v>1037</v>
      </c>
      <c r="G8" s="109">
        <v>1057</v>
      </c>
      <c r="H8" s="109" t="s">
        <v>894</v>
      </c>
    </row>
    <row r="9" spans="1:9" ht="22">
      <c r="A9" s="28" t="s">
        <v>55</v>
      </c>
      <c r="B9" s="109" t="s">
        <v>0</v>
      </c>
      <c r="C9" s="109">
        <v>532</v>
      </c>
      <c r="D9" s="109">
        <v>561</v>
      </c>
      <c r="E9" s="109">
        <v>580</v>
      </c>
      <c r="F9" s="109">
        <v>598</v>
      </c>
      <c r="G9" s="109">
        <v>616</v>
      </c>
      <c r="H9" s="109"/>
    </row>
    <row r="10" spans="1:9" ht="22">
      <c r="A10" s="28" t="s">
        <v>56</v>
      </c>
      <c r="B10" s="109" t="s">
        <v>1</v>
      </c>
      <c r="C10" s="109">
        <v>370</v>
      </c>
      <c r="D10" s="109">
        <v>377</v>
      </c>
      <c r="E10" s="109">
        <v>382</v>
      </c>
      <c r="F10" s="109">
        <v>392</v>
      </c>
      <c r="G10" s="109">
        <v>406</v>
      </c>
      <c r="H10" s="109"/>
    </row>
    <row r="11" spans="1:9" ht="22">
      <c r="A11" s="28" t="s">
        <v>66</v>
      </c>
      <c r="B11" s="109" t="s">
        <v>2281</v>
      </c>
      <c r="C11" s="109">
        <v>70</v>
      </c>
      <c r="D11" s="109">
        <v>70</v>
      </c>
      <c r="E11" s="109">
        <v>70</v>
      </c>
      <c r="F11" s="109">
        <v>70</v>
      </c>
      <c r="G11" s="109">
        <v>70</v>
      </c>
      <c r="H11" s="109"/>
    </row>
    <row r="12" spans="1:9" ht="22">
      <c r="A12" s="28" t="s">
        <v>58</v>
      </c>
      <c r="B12" s="109" t="s">
        <v>2282</v>
      </c>
      <c r="C12" s="109">
        <v>729</v>
      </c>
      <c r="D12" s="109">
        <v>785</v>
      </c>
      <c r="E12" s="109">
        <v>802</v>
      </c>
      <c r="F12" s="109">
        <v>827</v>
      </c>
      <c r="G12" s="109">
        <v>853</v>
      </c>
      <c r="H12" s="109"/>
    </row>
    <row r="13" spans="1:9" ht="22">
      <c r="A13" s="28" t="s">
        <v>68</v>
      </c>
      <c r="B13" s="33" t="s">
        <v>981</v>
      </c>
      <c r="C13" s="28">
        <v>47</v>
      </c>
      <c r="H13" s="109" t="s">
        <v>2284</v>
      </c>
    </row>
    <row r="14" spans="1:9">
      <c r="A14" s="28" t="s">
        <v>498</v>
      </c>
      <c r="B14" s="33" t="s">
        <v>983</v>
      </c>
      <c r="C14" s="28">
        <v>395</v>
      </c>
    </row>
    <row r="15" spans="1:9">
      <c r="A15" s="28" t="s">
        <v>70</v>
      </c>
      <c r="B15" s="33"/>
    </row>
    <row r="16" spans="1:9">
      <c r="A16" s="28" t="s">
        <v>71</v>
      </c>
      <c r="B16" s="33"/>
    </row>
    <row r="17" spans="1:8">
      <c r="A17" s="28" t="s">
        <v>72</v>
      </c>
      <c r="B17" s="33"/>
    </row>
    <row r="18" spans="1:8">
      <c r="A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8">
      <c r="A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8">
      <c r="A20" s="28" t="s">
        <v>141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8">
      <c r="A21" s="28" t="s">
        <v>1758</v>
      </c>
      <c r="C21" s="28">
        <v>150</v>
      </c>
      <c r="D21" s="28">
        <v>160</v>
      </c>
      <c r="E21" s="28">
        <v>170</v>
      </c>
      <c r="F21" s="28">
        <v>180</v>
      </c>
      <c r="G21" s="28">
        <v>185</v>
      </c>
    </row>
    <row r="22" spans="1:8">
      <c r="A22" s="28" t="s">
        <v>1759</v>
      </c>
      <c r="C22" s="28">
        <v>163</v>
      </c>
      <c r="D22" s="28">
        <v>173</v>
      </c>
      <c r="E22" s="28">
        <v>183</v>
      </c>
      <c r="F22" s="28">
        <v>188</v>
      </c>
      <c r="G22" s="28">
        <v>198</v>
      </c>
    </row>
    <row r="24" spans="1:8" ht="22">
      <c r="C24" s="110">
        <v>49</v>
      </c>
      <c r="D24" s="48"/>
      <c r="E24" s="48"/>
      <c r="F24" s="48"/>
      <c r="G24" s="48"/>
      <c r="H24" s="48"/>
    </row>
    <row r="25" spans="1:8" ht="22">
      <c r="C25" s="21" t="s">
        <v>2285</v>
      </c>
      <c r="D25" s="48"/>
      <c r="E25" s="48"/>
      <c r="F25" s="48"/>
      <c r="G25" s="48"/>
      <c r="H25" s="48"/>
    </row>
    <row r="26" spans="1:8" ht="22">
      <c r="B26" s="33"/>
      <c r="C26" s="110">
        <v>53</v>
      </c>
      <c r="D26" s="33"/>
      <c r="H26" s="33"/>
    </row>
    <row r="27" spans="1:8" ht="22">
      <c r="B27" s="33"/>
      <c r="C27" s="21" t="s">
        <v>2286</v>
      </c>
    </row>
    <row r="28" spans="1:8" ht="22">
      <c r="B28" s="33"/>
      <c r="C28" s="110">
        <v>55</v>
      </c>
    </row>
    <row r="29" spans="1:8" ht="22">
      <c r="B29" s="33"/>
      <c r="C29" s="21" t="s">
        <v>2287</v>
      </c>
    </row>
    <row r="30" spans="1:8" ht="22">
      <c r="B30" s="33"/>
      <c r="C30" s="110">
        <v>58</v>
      </c>
    </row>
    <row r="31" spans="1:8" ht="22">
      <c r="B31" s="33"/>
      <c r="C31" s="21" t="s">
        <v>2288</v>
      </c>
    </row>
    <row r="32" spans="1:8" ht="22">
      <c r="B32" s="33"/>
      <c r="C32" s="110">
        <v>61</v>
      </c>
    </row>
    <row r="33" spans="2:9" ht="22">
      <c r="C33" s="21" t="s">
        <v>2289</v>
      </c>
    </row>
    <row r="34" spans="2:9">
      <c r="B34" s="35"/>
    </row>
    <row r="35" spans="2:9">
      <c r="B35" s="35"/>
    </row>
    <row r="36" spans="2:9">
      <c r="B36" s="33"/>
      <c r="C36" s="33"/>
      <c r="H36" s="33"/>
    </row>
    <row r="37" spans="2:9" ht="22">
      <c r="F37" s="48"/>
      <c r="G37" s="48"/>
      <c r="I37" s="107"/>
    </row>
    <row r="38" spans="2:9" ht="22">
      <c r="F38" s="48"/>
      <c r="G38" s="48"/>
      <c r="I38" s="107"/>
    </row>
    <row r="39" spans="2:9" ht="22">
      <c r="F39" s="48"/>
      <c r="G39" s="48"/>
      <c r="I39" s="107"/>
    </row>
    <row r="40" spans="2:9" ht="22">
      <c r="F40" s="48"/>
      <c r="G40" s="48"/>
      <c r="I40" s="107"/>
    </row>
    <row r="41" spans="2:9" ht="22">
      <c r="F41" s="48"/>
      <c r="G41" s="48"/>
      <c r="I41" s="107"/>
    </row>
    <row r="42" spans="2:9" ht="22">
      <c r="F42" s="48"/>
      <c r="G42" s="48"/>
      <c r="I42" s="107"/>
    </row>
    <row r="43" spans="2:9" ht="22">
      <c r="I43" s="107"/>
    </row>
    <row r="44" spans="2:9" ht="22">
      <c r="I44" s="107"/>
    </row>
    <row r="45" spans="2:9" ht="22">
      <c r="I45" s="107"/>
    </row>
    <row r="46" spans="2:9" ht="22">
      <c r="I46" s="107"/>
    </row>
    <row r="47" spans="2:9" ht="22">
      <c r="I47" s="107"/>
    </row>
    <row r="48" spans="2:9" ht="22">
      <c r="I48" s="107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8" bestFit="1" customWidth="1"/>
    <col min="2" max="2" width="24" style="28" bestFit="1" customWidth="1"/>
    <col min="3" max="3" width="1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16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9">
      <c r="A2" s="28" t="s">
        <v>55</v>
      </c>
      <c r="B2" s="28" t="s">
        <v>1284</v>
      </c>
      <c r="C2" s="28" t="s">
        <v>1279</v>
      </c>
      <c r="D2" s="28">
        <v>760</v>
      </c>
      <c r="E2" s="28">
        <v>785</v>
      </c>
      <c r="F2" s="28">
        <v>810</v>
      </c>
      <c r="G2" s="28">
        <v>835</v>
      </c>
      <c r="H2" s="28">
        <v>860</v>
      </c>
    </row>
    <row r="3" spans="1:9">
      <c r="A3" s="28" t="s">
        <v>56</v>
      </c>
      <c r="B3" s="28" t="s">
        <v>61</v>
      </c>
      <c r="C3" s="28" t="s">
        <v>1280</v>
      </c>
      <c r="D3" s="28">
        <v>470</v>
      </c>
      <c r="E3" s="28">
        <v>495</v>
      </c>
      <c r="F3" s="28">
        <v>520</v>
      </c>
      <c r="G3" s="28">
        <v>545</v>
      </c>
      <c r="H3" s="28">
        <v>570</v>
      </c>
    </row>
    <row r="4" spans="1:9">
      <c r="A4" s="28" t="s">
        <v>61</v>
      </c>
      <c r="B4" s="28" t="s">
        <v>74</v>
      </c>
      <c r="C4" s="28" t="s">
        <v>28</v>
      </c>
      <c r="D4" s="28">
        <v>530</v>
      </c>
      <c r="E4" s="28">
        <v>550</v>
      </c>
      <c r="F4" s="28">
        <v>570</v>
      </c>
      <c r="G4" s="28">
        <v>592</v>
      </c>
      <c r="H4" s="28">
        <v>615</v>
      </c>
    </row>
    <row r="5" spans="1:9">
      <c r="A5" s="28" t="s">
        <v>74</v>
      </c>
      <c r="B5" s="28" t="s">
        <v>65</v>
      </c>
      <c r="C5" s="28" t="s">
        <v>893</v>
      </c>
      <c r="D5" s="28">
        <v>115</v>
      </c>
      <c r="E5" s="28">
        <v>140</v>
      </c>
      <c r="F5" s="28">
        <v>165</v>
      </c>
      <c r="G5" s="28">
        <v>192</v>
      </c>
      <c r="H5" s="28">
        <v>215</v>
      </c>
    </row>
    <row r="6" spans="1:9">
      <c r="A6" s="28" t="s">
        <v>63</v>
      </c>
      <c r="B6" s="28" t="s">
        <v>64</v>
      </c>
      <c r="C6" s="28" t="s">
        <v>31</v>
      </c>
      <c r="D6" s="28">
        <v>74.5</v>
      </c>
      <c r="E6" s="28">
        <v>74</v>
      </c>
      <c r="F6" s="28">
        <v>74</v>
      </c>
      <c r="G6" s="28">
        <v>74</v>
      </c>
      <c r="H6" s="28">
        <v>73.5</v>
      </c>
    </row>
    <row r="7" spans="1:9">
      <c r="A7" s="28" t="s">
        <v>64</v>
      </c>
      <c r="B7" s="28" t="s">
        <v>63</v>
      </c>
      <c r="C7" s="28" t="s">
        <v>581</v>
      </c>
      <c r="D7" s="28">
        <v>70.8</v>
      </c>
      <c r="E7" s="28">
        <v>70.8</v>
      </c>
      <c r="F7" s="28">
        <v>70.5</v>
      </c>
      <c r="G7" s="28">
        <v>70.5</v>
      </c>
      <c r="H7" s="28">
        <v>70.5</v>
      </c>
    </row>
    <row r="8" spans="1:9">
      <c r="A8" s="28" t="s">
        <v>65</v>
      </c>
      <c r="B8" s="28" t="s">
        <v>67</v>
      </c>
      <c r="C8" s="28" t="s">
        <v>894</v>
      </c>
      <c r="D8" s="28">
        <v>435</v>
      </c>
      <c r="E8" s="28">
        <v>435</v>
      </c>
      <c r="F8" s="28">
        <v>435</v>
      </c>
      <c r="G8" s="28">
        <v>435</v>
      </c>
      <c r="H8" s="28">
        <v>435</v>
      </c>
    </row>
    <row r="9" spans="1:9">
      <c r="A9" s="28" t="s">
        <v>66</v>
      </c>
      <c r="B9" s="28" t="s">
        <v>66</v>
      </c>
      <c r="C9" s="28" t="s">
        <v>1281</v>
      </c>
      <c r="D9" s="28">
        <v>75</v>
      </c>
      <c r="E9" s="28">
        <v>75</v>
      </c>
      <c r="F9" s="28">
        <v>75</v>
      </c>
      <c r="G9" s="28">
        <v>75</v>
      </c>
      <c r="H9" s="28">
        <v>75</v>
      </c>
    </row>
    <row r="10" spans="1:9">
      <c r="A10" s="28" t="s">
        <v>67</v>
      </c>
      <c r="B10" s="28" t="s">
        <v>57</v>
      </c>
      <c r="C10" s="28" t="s">
        <v>1282</v>
      </c>
      <c r="D10" s="28">
        <v>1024</v>
      </c>
      <c r="E10" s="28">
        <v>1041</v>
      </c>
      <c r="F10" s="28">
        <v>1065</v>
      </c>
      <c r="G10" s="28">
        <v>1088</v>
      </c>
      <c r="H10" s="28">
        <v>1107</v>
      </c>
    </row>
    <row r="11" spans="1:9">
      <c r="A11" s="28" t="s">
        <v>57</v>
      </c>
      <c r="B11" s="28" t="s">
        <v>58</v>
      </c>
      <c r="C11" s="28" t="s">
        <v>1283</v>
      </c>
      <c r="D11" s="28">
        <v>791</v>
      </c>
      <c r="E11" s="28">
        <v>814</v>
      </c>
      <c r="F11" s="28">
        <v>836</v>
      </c>
      <c r="G11" s="28">
        <v>862</v>
      </c>
      <c r="H11" s="28">
        <v>884</v>
      </c>
    </row>
    <row r="12" spans="1:9">
      <c r="A12" s="28" t="s">
        <v>68</v>
      </c>
      <c r="B12" s="28" t="s">
        <v>55</v>
      </c>
      <c r="C12" s="28" t="s">
        <v>18</v>
      </c>
      <c r="D12" s="28">
        <v>546</v>
      </c>
      <c r="E12" s="28">
        <v>569</v>
      </c>
      <c r="F12" s="28">
        <v>591</v>
      </c>
      <c r="G12" s="28">
        <v>617</v>
      </c>
      <c r="H12" s="28">
        <v>639</v>
      </c>
    </row>
    <row r="13" spans="1:9">
      <c r="A13" s="28" t="s">
        <v>58</v>
      </c>
      <c r="B13" s="28" t="s">
        <v>56</v>
      </c>
      <c r="C13" s="28" t="s">
        <v>597</v>
      </c>
      <c r="D13" s="28">
        <v>379</v>
      </c>
      <c r="E13" s="28">
        <v>387</v>
      </c>
      <c r="F13" s="28">
        <v>401</v>
      </c>
      <c r="G13" s="28">
        <v>415</v>
      </c>
      <c r="H13" s="28">
        <v>426</v>
      </c>
    </row>
    <row r="14" spans="1:9">
      <c r="A14" s="28" t="s">
        <v>70</v>
      </c>
      <c r="B14" s="28" t="s">
        <v>68</v>
      </c>
      <c r="C14" s="28" t="s">
        <v>68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 t="s">
        <v>1285</v>
      </c>
    </row>
    <row r="15" spans="1:9">
      <c r="A15" s="28" t="s">
        <v>71</v>
      </c>
      <c r="B15" s="28" t="s">
        <v>70</v>
      </c>
      <c r="C15" s="28" t="s">
        <v>70</v>
      </c>
      <c r="D15" s="28">
        <v>172</v>
      </c>
      <c r="E15" s="28">
        <v>172</v>
      </c>
      <c r="F15" s="28">
        <v>172</v>
      </c>
      <c r="G15" s="28">
        <v>172</v>
      </c>
      <c r="H15" s="28">
        <v>172</v>
      </c>
    </row>
    <row r="16" spans="1:9">
      <c r="A16" s="28" t="s">
        <v>72</v>
      </c>
      <c r="B16" s="28" t="s">
        <v>71</v>
      </c>
      <c r="C16" s="28" t="s">
        <v>71</v>
      </c>
      <c r="D16" s="28">
        <v>440</v>
      </c>
      <c r="E16" s="28">
        <v>440</v>
      </c>
      <c r="F16" s="28">
        <v>440</v>
      </c>
      <c r="G16" s="28">
        <v>440</v>
      </c>
      <c r="H16" s="28">
        <v>440</v>
      </c>
    </row>
    <row r="17" spans="1:8">
      <c r="A17" s="28" t="s">
        <v>69</v>
      </c>
      <c r="B17" s="28" t="s">
        <v>72</v>
      </c>
      <c r="C17" s="28" t="s">
        <v>72</v>
      </c>
      <c r="D17" s="28">
        <v>90</v>
      </c>
      <c r="E17" s="28">
        <v>90</v>
      </c>
      <c r="F17" s="28">
        <v>90</v>
      </c>
      <c r="G17" s="28">
        <v>90</v>
      </c>
      <c r="H17" s="28">
        <v>90</v>
      </c>
    </row>
    <row r="18" spans="1:8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8">
      <c r="A19" s="28" t="s">
        <v>141</v>
      </c>
      <c r="B19" s="28" t="s">
        <v>140</v>
      </c>
      <c r="C19" s="28" t="s">
        <v>140</v>
      </c>
      <c r="D19" s="28">
        <v>44</v>
      </c>
      <c r="E19" s="28">
        <v>44</v>
      </c>
      <c r="F19" s="28">
        <v>44</v>
      </c>
      <c r="G19" s="28">
        <v>44</v>
      </c>
      <c r="H19" s="28">
        <v>44</v>
      </c>
    </row>
    <row r="20" spans="1:8">
      <c r="B20" s="28" t="s">
        <v>141</v>
      </c>
      <c r="C20" s="28" t="s">
        <v>141</v>
      </c>
      <c r="D20" s="28">
        <v>53</v>
      </c>
      <c r="E20" s="28">
        <v>53</v>
      </c>
      <c r="F20" s="28">
        <v>53</v>
      </c>
      <c r="G20" s="28">
        <v>53</v>
      </c>
      <c r="H20" s="28">
        <v>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8" bestFit="1" customWidth="1"/>
    <col min="3" max="3" width="29.8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33" t="s">
        <v>16</v>
      </c>
      <c r="D1" s="33" t="s">
        <v>404</v>
      </c>
      <c r="E1" s="33" t="s">
        <v>405</v>
      </c>
      <c r="F1" s="33" t="s">
        <v>203</v>
      </c>
      <c r="G1" s="33" t="s">
        <v>406</v>
      </c>
      <c r="H1" s="33" t="s">
        <v>204</v>
      </c>
      <c r="I1" s="33" t="s">
        <v>407</v>
      </c>
      <c r="J1" s="33" t="s">
        <v>408</v>
      </c>
    </row>
    <row r="2" spans="1:11">
      <c r="A2" s="28" t="s">
        <v>55</v>
      </c>
      <c r="B2" s="28" t="s">
        <v>74</v>
      </c>
      <c r="C2" s="33" t="s">
        <v>409</v>
      </c>
      <c r="D2" s="28">
        <v>545.5</v>
      </c>
      <c r="E2" s="28">
        <v>557.5</v>
      </c>
      <c r="F2" s="28">
        <v>569.5</v>
      </c>
      <c r="G2" s="28">
        <v>581.5</v>
      </c>
      <c r="H2" s="28">
        <v>593.5</v>
      </c>
      <c r="I2" s="28">
        <v>606</v>
      </c>
      <c r="J2" s="28">
        <v>622</v>
      </c>
    </row>
    <row r="3" spans="1:11">
      <c r="A3" s="28" t="s">
        <v>56</v>
      </c>
      <c r="B3" s="28" t="s">
        <v>63</v>
      </c>
      <c r="C3" s="33" t="s">
        <v>194</v>
      </c>
      <c r="D3" s="28">
        <v>70.5</v>
      </c>
      <c r="E3" s="28">
        <v>70.5</v>
      </c>
      <c r="F3" s="28">
        <v>71</v>
      </c>
      <c r="G3" s="28">
        <v>71</v>
      </c>
      <c r="H3" s="28">
        <v>71</v>
      </c>
      <c r="I3" s="28">
        <v>71</v>
      </c>
      <c r="J3" s="28">
        <v>71</v>
      </c>
    </row>
    <row r="4" spans="1:11">
      <c r="A4" s="28" t="s">
        <v>61</v>
      </c>
      <c r="B4" s="28" t="s">
        <v>65</v>
      </c>
      <c r="C4" s="33" t="s">
        <v>30</v>
      </c>
      <c r="D4" s="28">
        <v>128</v>
      </c>
      <c r="E4" s="28">
        <v>143</v>
      </c>
      <c r="F4" s="28">
        <v>157</v>
      </c>
      <c r="G4" s="28">
        <v>172</v>
      </c>
      <c r="H4" s="28">
        <v>187</v>
      </c>
      <c r="I4" s="28">
        <v>202</v>
      </c>
      <c r="J4" s="28">
        <v>217</v>
      </c>
    </row>
    <row r="5" spans="1:11">
      <c r="A5" s="28" t="s">
        <v>74</v>
      </c>
      <c r="B5" s="28" t="s">
        <v>58</v>
      </c>
      <c r="C5" s="33" t="s">
        <v>410</v>
      </c>
      <c r="D5" s="28">
        <v>646</v>
      </c>
      <c r="E5" s="28">
        <v>665.5</v>
      </c>
      <c r="F5" s="28">
        <v>685.5</v>
      </c>
      <c r="G5" s="28">
        <v>703</v>
      </c>
      <c r="H5" s="28">
        <v>717</v>
      </c>
      <c r="I5" s="28">
        <v>767.5</v>
      </c>
      <c r="J5" s="28">
        <v>775</v>
      </c>
    </row>
    <row r="6" spans="1:11">
      <c r="A6" s="28" t="s">
        <v>63</v>
      </c>
      <c r="B6" s="28" t="s">
        <v>61</v>
      </c>
      <c r="C6" s="33" t="s">
        <v>412</v>
      </c>
      <c r="D6" s="28">
        <v>410</v>
      </c>
      <c r="E6" s="28">
        <v>438</v>
      </c>
      <c r="F6" s="28">
        <v>464</v>
      </c>
      <c r="G6" s="28">
        <v>492</v>
      </c>
      <c r="H6" s="28">
        <v>520</v>
      </c>
      <c r="I6" s="28">
        <v>548</v>
      </c>
      <c r="J6" s="28">
        <v>576</v>
      </c>
    </row>
    <row r="7" spans="1:11">
      <c r="A7" s="28" t="s">
        <v>64</v>
      </c>
      <c r="B7" s="28" t="s">
        <v>64</v>
      </c>
      <c r="C7" s="33" t="s">
        <v>32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  <c r="I7" s="28">
        <v>74</v>
      </c>
      <c r="J7" s="28">
        <v>74</v>
      </c>
    </row>
    <row r="8" spans="1:11">
      <c r="A8" s="28" t="s">
        <v>65</v>
      </c>
      <c r="B8" s="28" t="s">
        <v>57</v>
      </c>
      <c r="C8" s="33" t="s">
        <v>37</v>
      </c>
      <c r="D8" s="28">
        <v>1022.5</v>
      </c>
      <c r="E8" s="28">
        <v>1035.5</v>
      </c>
      <c r="F8" s="28">
        <v>1043.5</v>
      </c>
      <c r="G8" s="28">
        <v>1056.5</v>
      </c>
      <c r="H8" s="28">
        <v>1069.5</v>
      </c>
      <c r="I8" s="28">
        <v>1082.5</v>
      </c>
      <c r="J8" s="28">
        <v>1100</v>
      </c>
    </row>
    <row r="9" spans="1:11">
      <c r="A9" s="28" t="s">
        <v>66</v>
      </c>
      <c r="B9" s="28" t="s">
        <v>55</v>
      </c>
      <c r="C9" s="33" t="s">
        <v>40</v>
      </c>
      <c r="D9" s="28">
        <v>558.5</v>
      </c>
      <c r="E9" s="28">
        <v>572.70000000000005</v>
      </c>
      <c r="F9" s="28">
        <v>588</v>
      </c>
      <c r="G9" s="28">
        <v>602</v>
      </c>
      <c r="H9" s="28">
        <v>616.5</v>
      </c>
      <c r="I9" s="28">
        <v>630.5</v>
      </c>
      <c r="J9" s="28">
        <v>644.5</v>
      </c>
    </row>
    <row r="10" spans="1:11">
      <c r="A10" s="28" t="s">
        <v>67</v>
      </c>
      <c r="B10" s="28" t="s">
        <v>56</v>
      </c>
      <c r="C10" s="33" t="s">
        <v>41</v>
      </c>
      <c r="D10" s="28">
        <v>385</v>
      </c>
      <c r="E10" s="28">
        <v>393</v>
      </c>
      <c r="F10" s="28">
        <v>401</v>
      </c>
      <c r="G10" s="28">
        <v>409</v>
      </c>
      <c r="H10" s="28">
        <v>417</v>
      </c>
      <c r="I10" s="28">
        <v>425</v>
      </c>
      <c r="J10" s="28">
        <v>438</v>
      </c>
    </row>
    <row r="11" spans="1:11">
      <c r="A11" s="28" t="s">
        <v>57</v>
      </c>
      <c r="B11" s="28" t="s">
        <v>66</v>
      </c>
      <c r="C11" s="28" t="s">
        <v>66</v>
      </c>
      <c r="D11" s="28">
        <v>75</v>
      </c>
      <c r="E11" s="28">
        <v>75</v>
      </c>
      <c r="F11" s="28">
        <v>75</v>
      </c>
      <c r="G11" s="28">
        <v>75</v>
      </c>
      <c r="H11" s="28">
        <v>75</v>
      </c>
      <c r="I11" s="28">
        <v>75</v>
      </c>
      <c r="J11" s="28">
        <v>75</v>
      </c>
    </row>
    <row r="12" spans="1:11">
      <c r="A12" s="28" t="s">
        <v>68</v>
      </c>
      <c r="B12" s="28" t="s">
        <v>67</v>
      </c>
      <c r="C12" s="28" t="s">
        <v>67</v>
      </c>
      <c r="D12" s="28">
        <v>422</v>
      </c>
      <c r="E12" s="28">
        <v>422</v>
      </c>
      <c r="F12" s="28">
        <v>422</v>
      </c>
      <c r="G12" s="28">
        <v>422</v>
      </c>
      <c r="H12" s="28">
        <v>422</v>
      </c>
      <c r="I12" s="28">
        <v>422</v>
      </c>
      <c r="J12" s="28">
        <v>422</v>
      </c>
      <c r="K12" s="28" t="s">
        <v>923</v>
      </c>
    </row>
    <row r="13" spans="1:11">
      <c r="A13" s="28" t="s">
        <v>58</v>
      </c>
      <c r="B13" s="28" t="s">
        <v>68</v>
      </c>
      <c r="C13" s="28" t="s">
        <v>68</v>
      </c>
      <c r="D13" s="28">
        <v>48</v>
      </c>
      <c r="E13" s="28">
        <v>48</v>
      </c>
      <c r="F13" s="28">
        <v>48</v>
      </c>
      <c r="G13" s="28">
        <v>48</v>
      </c>
      <c r="H13" s="28">
        <v>48</v>
      </c>
      <c r="I13" s="28">
        <v>48</v>
      </c>
      <c r="J13" s="28">
        <v>48</v>
      </c>
    </row>
    <row r="14" spans="1:11">
      <c r="A14" s="28" t="s">
        <v>70</v>
      </c>
      <c r="B14" s="28" t="s">
        <v>70</v>
      </c>
      <c r="C14" s="28" t="s">
        <v>70</v>
      </c>
      <c r="D14" s="28">
        <v>172.5</v>
      </c>
      <c r="E14" s="28">
        <v>172.5</v>
      </c>
      <c r="F14" s="28">
        <v>172.5</v>
      </c>
      <c r="G14" s="28">
        <v>172.5</v>
      </c>
      <c r="H14" s="28">
        <v>172.5</v>
      </c>
      <c r="I14" s="28">
        <v>172.5</v>
      </c>
      <c r="J14" s="28">
        <v>172.5</v>
      </c>
    </row>
    <row r="15" spans="1:11">
      <c r="A15" s="28" t="s">
        <v>71</v>
      </c>
      <c r="B15" s="28" t="s">
        <v>71</v>
      </c>
      <c r="C15" s="28" t="s">
        <v>71</v>
      </c>
      <c r="D15" s="28">
        <v>420</v>
      </c>
      <c r="E15" s="28">
        <v>420</v>
      </c>
      <c r="F15" s="33">
        <v>440</v>
      </c>
      <c r="G15" s="28">
        <v>440</v>
      </c>
      <c r="H15" s="28">
        <v>440</v>
      </c>
      <c r="I15" s="28">
        <v>460</v>
      </c>
      <c r="J15" s="28">
        <v>460</v>
      </c>
      <c r="K15" s="28" t="s">
        <v>413</v>
      </c>
    </row>
    <row r="16" spans="1:11">
      <c r="A16" s="28" t="s">
        <v>72</v>
      </c>
      <c r="B16" s="28" t="s">
        <v>72</v>
      </c>
      <c r="C16" s="28" t="s">
        <v>72</v>
      </c>
      <c r="D16" s="28">
        <v>60</v>
      </c>
      <c r="E16" s="28">
        <v>60</v>
      </c>
      <c r="F16" s="28">
        <v>60</v>
      </c>
      <c r="G16" s="28">
        <v>60</v>
      </c>
      <c r="H16" s="28">
        <v>60</v>
      </c>
      <c r="I16" s="28">
        <v>60</v>
      </c>
      <c r="J16" s="28">
        <v>60</v>
      </c>
      <c r="K16" s="28" t="s">
        <v>414</v>
      </c>
    </row>
    <row r="17" spans="1:10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</row>
    <row r="18" spans="1:10">
      <c r="A18" s="28" t="s">
        <v>140</v>
      </c>
      <c r="B18" s="28" t="s">
        <v>140</v>
      </c>
      <c r="C18" s="28" t="s">
        <v>140</v>
      </c>
      <c r="D18" s="28">
        <v>40</v>
      </c>
      <c r="E18" s="28">
        <v>40</v>
      </c>
      <c r="F18" s="28">
        <v>40</v>
      </c>
      <c r="G18" s="28">
        <v>40</v>
      </c>
      <c r="H18" s="28">
        <v>40</v>
      </c>
      <c r="I18" s="28">
        <v>40</v>
      </c>
      <c r="J18" s="28">
        <v>40</v>
      </c>
    </row>
    <row r="19" spans="1:10">
      <c r="A19" s="28" t="s">
        <v>141</v>
      </c>
      <c r="B19" s="28" t="s">
        <v>141</v>
      </c>
      <c r="C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</row>
    <row r="23" spans="1:10">
      <c r="C23" s="33"/>
      <c r="D23" s="33"/>
      <c r="E23" s="33"/>
      <c r="F23" s="33"/>
      <c r="G23" s="33"/>
      <c r="H23" s="33"/>
      <c r="I23" s="33"/>
      <c r="J23" s="33"/>
    </row>
    <row r="24" spans="1:10">
      <c r="C24" s="33"/>
    </row>
    <row r="25" spans="1:10">
      <c r="C25" s="33"/>
    </row>
    <row r="26" spans="1:10">
      <c r="C26" s="33"/>
    </row>
    <row r="27" spans="1:10">
      <c r="C27" s="33"/>
    </row>
    <row r="28" spans="1:10">
      <c r="C28" s="33"/>
    </row>
    <row r="29" spans="1:10">
      <c r="C29" s="33"/>
    </row>
    <row r="30" spans="1:10">
      <c r="C30" s="33"/>
    </row>
    <row r="31" spans="1:10">
      <c r="C31" s="33"/>
    </row>
    <row r="32" spans="1:10">
      <c r="C32" s="33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5" t="s">
        <v>170</v>
      </c>
      <c r="D1" s="25">
        <v>48</v>
      </c>
      <c r="E1" s="25">
        <v>50</v>
      </c>
      <c r="F1" s="25">
        <v>52</v>
      </c>
      <c r="G1" s="25">
        <v>54</v>
      </c>
      <c r="H1" s="25">
        <v>56</v>
      </c>
      <c r="I1" s="25">
        <v>58</v>
      </c>
    </row>
    <row r="2" spans="1:9" ht="19">
      <c r="A2" s="3" t="s">
        <v>55</v>
      </c>
      <c r="B2" s="3" t="s">
        <v>61</v>
      </c>
      <c r="C2" s="25" t="s">
        <v>562</v>
      </c>
      <c r="D2" s="25">
        <v>410</v>
      </c>
      <c r="E2" s="25">
        <v>410</v>
      </c>
      <c r="F2" s="25">
        <v>455</v>
      </c>
      <c r="G2" s="25">
        <v>455</v>
      </c>
      <c r="H2" s="25">
        <v>500</v>
      </c>
      <c r="I2" s="25">
        <v>535</v>
      </c>
    </row>
    <row r="3" spans="1:9" ht="19">
      <c r="A3" s="3" t="s">
        <v>56</v>
      </c>
      <c r="B3" s="3" t="s">
        <v>74</v>
      </c>
      <c r="C3" s="25" t="s">
        <v>563</v>
      </c>
      <c r="D3" s="25">
        <v>532</v>
      </c>
      <c r="E3" s="25">
        <v>545</v>
      </c>
      <c r="F3" s="25">
        <v>560</v>
      </c>
      <c r="G3" s="25">
        <v>575</v>
      </c>
      <c r="H3" s="25">
        <v>592</v>
      </c>
      <c r="I3" s="25">
        <v>613</v>
      </c>
    </row>
    <row r="4" spans="1:9" ht="19">
      <c r="A4" s="3" t="s">
        <v>61</v>
      </c>
      <c r="B4" s="3" t="s">
        <v>56</v>
      </c>
      <c r="C4" s="25" t="s">
        <v>41</v>
      </c>
      <c r="D4" s="25">
        <v>380</v>
      </c>
      <c r="E4" s="25">
        <v>385</v>
      </c>
      <c r="F4" s="25">
        <v>390</v>
      </c>
      <c r="G4" s="25">
        <v>395</v>
      </c>
      <c r="H4" s="25">
        <v>400</v>
      </c>
      <c r="I4" s="25">
        <v>405</v>
      </c>
    </row>
    <row r="5" spans="1:9" ht="19">
      <c r="A5" s="3" t="s">
        <v>74</v>
      </c>
      <c r="B5" s="3" t="s">
        <v>55</v>
      </c>
      <c r="C5" s="25" t="s">
        <v>40</v>
      </c>
      <c r="D5" s="25">
        <v>568</v>
      </c>
      <c r="E5" s="25">
        <v>578</v>
      </c>
      <c r="F5" s="25">
        <v>592</v>
      </c>
      <c r="G5" s="25">
        <v>609</v>
      </c>
      <c r="H5" s="25">
        <v>627</v>
      </c>
      <c r="I5" s="25">
        <v>660</v>
      </c>
    </row>
    <row r="6" spans="1:9" ht="19">
      <c r="A6" s="3" t="s">
        <v>63</v>
      </c>
      <c r="B6" s="3" t="s">
        <v>58</v>
      </c>
      <c r="C6" s="25" t="s">
        <v>42</v>
      </c>
      <c r="D6" s="25">
        <v>735</v>
      </c>
      <c r="E6" s="25">
        <v>739</v>
      </c>
      <c r="F6" s="25">
        <v>773</v>
      </c>
      <c r="G6" s="25">
        <v>781</v>
      </c>
      <c r="H6" s="25">
        <v>827</v>
      </c>
      <c r="I6" s="25">
        <v>851</v>
      </c>
    </row>
    <row r="7" spans="1:9" ht="19">
      <c r="A7" s="3" t="s">
        <v>64</v>
      </c>
      <c r="B7" s="3" t="s">
        <v>63</v>
      </c>
      <c r="C7" s="25" t="s">
        <v>564</v>
      </c>
      <c r="D7" s="25">
        <v>69.5</v>
      </c>
      <c r="E7" s="25">
        <v>69.5</v>
      </c>
      <c r="F7" s="25">
        <v>69.5</v>
      </c>
      <c r="G7" s="25">
        <v>69.5</v>
      </c>
      <c r="H7" s="25">
        <v>69.5</v>
      </c>
      <c r="I7" s="25">
        <v>69.5</v>
      </c>
    </row>
    <row r="8" spans="1:9" ht="19">
      <c r="A8" s="3" t="s">
        <v>65</v>
      </c>
      <c r="B8" s="3" t="s">
        <v>65</v>
      </c>
      <c r="C8" s="25" t="s">
        <v>565</v>
      </c>
      <c r="D8" s="25">
        <v>115</v>
      </c>
      <c r="E8" s="25">
        <v>125</v>
      </c>
      <c r="F8" s="25">
        <v>140</v>
      </c>
      <c r="G8" s="25">
        <v>160</v>
      </c>
      <c r="H8" s="25">
        <v>180</v>
      </c>
      <c r="I8" s="25">
        <v>215</v>
      </c>
    </row>
    <row r="9" spans="1:9" ht="19">
      <c r="A9" s="3" t="s">
        <v>66</v>
      </c>
      <c r="B9" s="3" t="s">
        <v>64</v>
      </c>
      <c r="C9" s="25" t="s">
        <v>566</v>
      </c>
      <c r="D9" s="25">
        <v>75</v>
      </c>
      <c r="E9" s="25">
        <v>74.5</v>
      </c>
      <c r="F9" s="25">
        <v>74</v>
      </c>
      <c r="G9" s="25">
        <v>73.5</v>
      </c>
      <c r="H9" s="25">
        <v>73</v>
      </c>
      <c r="I9" s="25">
        <v>72.5</v>
      </c>
    </row>
    <row r="10" spans="1:9" ht="19">
      <c r="A10" s="3" t="s">
        <v>67</v>
      </c>
      <c r="B10" s="3" t="s">
        <v>67</v>
      </c>
      <c r="C10" s="25" t="s">
        <v>567</v>
      </c>
      <c r="D10" s="25">
        <v>445</v>
      </c>
      <c r="E10" s="25">
        <v>445</v>
      </c>
      <c r="F10" s="25">
        <v>445</v>
      </c>
      <c r="G10" s="25">
        <v>445</v>
      </c>
      <c r="H10" s="25">
        <v>445</v>
      </c>
      <c r="I10" s="25">
        <v>445</v>
      </c>
    </row>
    <row r="11" spans="1:9" ht="19">
      <c r="A11" s="3" t="s">
        <v>57</v>
      </c>
      <c r="B11" s="3" t="s">
        <v>66</v>
      </c>
      <c r="C11" s="25" t="s">
        <v>187</v>
      </c>
      <c r="D11" s="25">
        <v>74</v>
      </c>
      <c r="E11" s="25">
        <v>74</v>
      </c>
      <c r="F11" s="25">
        <v>74</v>
      </c>
      <c r="G11" s="25">
        <v>72</v>
      </c>
      <c r="H11" s="25">
        <v>72</v>
      </c>
      <c r="I11" s="25">
        <v>72</v>
      </c>
    </row>
    <row r="12" spans="1:9" ht="19">
      <c r="A12" s="3" t="s">
        <v>68</v>
      </c>
      <c r="B12" s="3" t="s">
        <v>572</v>
      </c>
      <c r="C12" s="25" t="s">
        <v>568</v>
      </c>
      <c r="D12" s="25">
        <v>301</v>
      </c>
      <c r="E12" s="25">
        <v>301</v>
      </c>
      <c r="F12" s="25">
        <v>301</v>
      </c>
      <c r="G12" s="25">
        <v>303</v>
      </c>
      <c r="H12" s="25">
        <v>303</v>
      </c>
      <c r="I12" s="25">
        <v>303</v>
      </c>
    </row>
    <row r="13" spans="1:9" ht="19">
      <c r="A13" s="3" t="s">
        <v>58</v>
      </c>
      <c r="B13" s="3" t="s">
        <v>57</v>
      </c>
      <c r="C13" s="25" t="s">
        <v>37</v>
      </c>
      <c r="D13" s="25">
        <v>1062</v>
      </c>
      <c r="E13" s="25">
        <v>1071</v>
      </c>
      <c r="F13" s="25">
        <v>1081</v>
      </c>
      <c r="G13" s="25">
        <v>1094</v>
      </c>
      <c r="H13" s="25">
        <v>1106</v>
      </c>
      <c r="I13" s="25">
        <v>1123</v>
      </c>
    </row>
    <row r="14" spans="1:9" ht="19">
      <c r="A14" s="3" t="s">
        <v>70</v>
      </c>
      <c r="B14" s="3" t="s">
        <v>483</v>
      </c>
      <c r="C14" s="25" t="s">
        <v>569</v>
      </c>
      <c r="D14" s="25">
        <v>628</v>
      </c>
      <c r="E14" s="25">
        <v>636</v>
      </c>
      <c r="F14" s="25">
        <v>647</v>
      </c>
      <c r="G14" s="25">
        <v>658</v>
      </c>
      <c r="H14" s="25">
        <v>670</v>
      </c>
      <c r="I14" s="25">
        <v>688</v>
      </c>
    </row>
    <row r="15" spans="1:9" ht="19">
      <c r="A15" s="3" t="s">
        <v>71</v>
      </c>
      <c r="B15" s="3" t="s">
        <v>166</v>
      </c>
      <c r="C15" s="25" t="s">
        <v>570</v>
      </c>
      <c r="D15" s="25">
        <v>430</v>
      </c>
      <c r="E15" s="25">
        <v>430</v>
      </c>
      <c r="F15" s="25">
        <v>430</v>
      </c>
      <c r="G15" s="25">
        <v>430</v>
      </c>
      <c r="H15" s="25">
        <v>430</v>
      </c>
      <c r="I15" s="25">
        <v>430</v>
      </c>
    </row>
    <row r="16" spans="1:9" ht="19">
      <c r="A16" s="3" t="s">
        <v>72</v>
      </c>
      <c r="B16" s="3" t="s">
        <v>68</v>
      </c>
      <c r="C16" s="25" t="s">
        <v>571</v>
      </c>
      <c r="D16" s="25">
        <v>55</v>
      </c>
      <c r="E16" s="25">
        <v>55</v>
      </c>
      <c r="F16" s="25">
        <v>55</v>
      </c>
      <c r="G16" s="25">
        <v>55</v>
      </c>
      <c r="H16" s="25">
        <v>55</v>
      </c>
      <c r="I16" s="25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30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30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32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991</v>
      </c>
      <c r="E1" s="28" t="s">
        <v>1006</v>
      </c>
      <c r="F1" s="28" t="s">
        <v>224</v>
      </c>
      <c r="G1" s="28" t="s">
        <v>1007</v>
      </c>
      <c r="H1" s="28" t="s">
        <v>226</v>
      </c>
    </row>
    <row r="2" spans="1:8">
      <c r="A2" s="28" t="s">
        <v>55</v>
      </c>
      <c r="B2" s="28" t="s">
        <v>61</v>
      </c>
      <c r="C2" s="28" t="s">
        <v>688</v>
      </c>
      <c r="D2" s="28">
        <v>500</v>
      </c>
      <c r="E2" s="28">
        <v>520</v>
      </c>
      <c r="F2" s="28">
        <v>535</v>
      </c>
      <c r="G2" s="28">
        <v>550</v>
      </c>
      <c r="H2" s="28">
        <v>570</v>
      </c>
    </row>
    <row r="3" spans="1:8">
      <c r="A3" s="28" t="s">
        <v>56</v>
      </c>
      <c r="B3" s="28" t="s">
        <v>1008</v>
      </c>
      <c r="C3" s="28" t="s">
        <v>992</v>
      </c>
      <c r="D3" s="28">
        <v>607</v>
      </c>
      <c r="E3" s="28">
        <v>629</v>
      </c>
      <c r="F3" s="28">
        <v>641</v>
      </c>
      <c r="G3" s="28">
        <v>653</v>
      </c>
      <c r="H3" s="28">
        <v>675</v>
      </c>
    </row>
    <row r="4" spans="1:8">
      <c r="A4" s="28" t="s">
        <v>61</v>
      </c>
      <c r="B4" s="28" t="s">
        <v>64</v>
      </c>
      <c r="C4" s="28" t="s">
        <v>993</v>
      </c>
      <c r="D4" s="28">
        <v>73.5</v>
      </c>
      <c r="E4" s="28">
        <v>73.5</v>
      </c>
      <c r="F4" s="28">
        <v>73.5</v>
      </c>
      <c r="G4" s="28">
        <v>73.5</v>
      </c>
      <c r="H4" s="28">
        <v>73.5</v>
      </c>
    </row>
    <row r="5" spans="1:8">
      <c r="A5" s="28" t="s">
        <v>74</v>
      </c>
      <c r="B5" s="28" t="s">
        <v>403</v>
      </c>
      <c r="C5" s="28" t="s">
        <v>994</v>
      </c>
      <c r="D5" s="28">
        <v>521</v>
      </c>
      <c r="E5" s="28">
        <v>534</v>
      </c>
      <c r="F5" s="28">
        <v>548</v>
      </c>
      <c r="G5" s="28">
        <v>564</v>
      </c>
      <c r="H5" s="28">
        <v>575</v>
      </c>
    </row>
    <row r="6" spans="1:8">
      <c r="A6" s="28" t="s">
        <v>63</v>
      </c>
      <c r="B6" s="28" t="s">
        <v>74</v>
      </c>
      <c r="C6" s="28" t="s">
        <v>995</v>
      </c>
      <c r="D6" s="28">
        <v>541</v>
      </c>
      <c r="E6" s="28">
        <v>555</v>
      </c>
      <c r="F6" s="28">
        <v>570</v>
      </c>
      <c r="G6" s="28">
        <v>585</v>
      </c>
      <c r="H6" s="28">
        <v>600</v>
      </c>
    </row>
    <row r="7" spans="1:8">
      <c r="A7" s="28" t="s">
        <v>64</v>
      </c>
      <c r="B7" s="28" t="s">
        <v>65</v>
      </c>
      <c r="C7" s="28" t="s">
        <v>996</v>
      </c>
      <c r="D7" s="28">
        <v>150</v>
      </c>
      <c r="E7" s="28">
        <v>170</v>
      </c>
      <c r="F7" s="28">
        <v>180</v>
      </c>
      <c r="G7" s="28">
        <v>190</v>
      </c>
      <c r="H7" s="28">
        <v>210</v>
      </c>
    </row>
    <row r="8" spans="1:8">
      <c r="A8" s="28" t="s">
        <v>65</v>
      </c>
      <c r="B8" s="28" t="s">
        <v>63</v>
      </c>
      <c r="C8" s="28" t="s">
        <v>997</v>
      </c>
      <c r="D8" s="28">
        <v>70</v>
      </c>
      <c r="E8" s="28">
        <v>70.5</v>
      </c>
      <c r="F8" s="28">
        <v>71</v>
      </c>
      <c r="G8" s="28">
        <v>71.5</v>
      </c>
      <c r="H8" s="28">
        <v>72</v>
      </c>
    </row>
    <row r="9" spans="1:8">
      <c r="A9" s="28" t="s">
        <v>66</v>
      </c>
      <c r="B9" s="28" t="s">
        <v>1237</v>
      </c>
      <c r="C9" s="28" t="s">
        <v>998</v>
      </c>
      <c r="D9" s="28">
        <v>403</v>
      </c>
      <c r="E9" s="28">
        <v>403</v>
      </c>
      <c r="F9" s="28">
        <v>403</v>
      </c>
      <c r="G9" s="28">
        <v>403</v>
      </c>
      <c r="H9" s="28">
        <v>403</v>
      </c>
    </row>
    <row r="10" spans="1:8">
      <c r="A10" s="28" t="s">
        <v>67</v>
      </c>
      <c r="B10" s="28" t="s">
        <v>68</v>
      </c>
      <c r="C10" s="28" t="s">
        <v>745</v>
      </c>
      <c r="D10" s="28">
        <v>50</v>
      </c>
      <c r="E10" s="28">
        <v>50</v>
      </c>
      <c r="F10" s="28">
        <v>50</v>
      </c>
      <c r="G10" s="28">
        <v>50</v>
      </c>
      <c r="H10" s="28">
        <v>50</v>
      </c>
    </row>
    <row r="11" spans="1:8">
      <c r="A11" s="28" t="s">
        <v>57</v>
      </c>
      <c r="B11" s="28" t="s">
        <v>135</v>
      </c>
      <c r="C11" s="28" t="s">
        <v>999</v>
      </c>
      <c r="D11" s="28">
        <v>612</v>
      </c>
      <c r="E11" s="28">
        <v>622</v>
      </c>
      <c r="F11" s="28">
        <v>632</v>
      </c>
      <c r="G11" s="28">
        <v>642</v>
      </c>
      <c r="H11" s="28">
        <v>640</v>
      </c>
    </row>
    <row r="12" spans="1:8">
      <c r="A12" s="28" t="s">
        <v>68</v>
      </c>
      <c r="B12" s="28" t="s">
        <v>67</v>
      </c>
      <c r="C12" s="28" t="s">
        <v>1000</v>
      </c>
      <c r="D12" s="28">
        <v>445</v>
      </c>
      <c r="E12" s="28">
        <v>445</v>
      </c>
      <c r="F12" s="28">
        <v>445</v>
      </c>
      <c r="G12" s="28">
        <v>445</v>
      </c>
      <c r="H12" s="28">
        <v>445</v>
      </c>
    </row>
    <row r="13" spans="1:8">
      <c r="A13" s="28" t="s">
        <v>58</v>
      </c>
      <c r="B13" s="28" t="s">
        <v>57</v>
      </c>
      <c r="C13" s="28" t="s">
        <v>1001</v>
      </c>
      <c r="D13" s="28">
        <v>1047</v>
      </c>
      <c r="E13" s="28">
        <v>1057</v>
      </c>
      <c r="F13" s="28">
        <v>1067</v>
      </c>
      <c r="G13" s="28">
        <v>1077</v>
      </c>
      <c r="H13" s="28">
        <v>1075</v>
      </c>
    </row>
    <row r="14" spans="1:8">
      <c r="A14" s="28" t="s">
        <v>70</v>
      </c>
      <c r="B14" s="28" t="s">
        <v>66</v>
      </c>
      <c r="C14" s="28" t="s">
        <v>725</v>
      </c>
      <c r="D14" s="28">
        <v>72</v>
      </c>
      <c r="E14" s="28">
        <v>72</v>
      </c>
      <c r="F14" s="28">
        <v>72</v>
      </c>
      <c r="G14" s="28">
        <v>72</v>
      </c>
      <c r="H14" s="28">
        <v>72</v>
      </c>
    </row>
    <row r="15" spans="1:8">
      <c r="A15" s="28" t="s">
        <v>71</v>
      </c>
      <c r="B15" s="28" t="s">
        <v>56</v>
      </c>
      <c r="C15" s="28" t="s">
        <v>388</v>
      </c>
      <c r="D15" s="28">
        <v>368</v>
      </c>
      <c r="E15" s="28">
        <v>376</v>
      </c>
      <c r="F15" s="28">
        <v>388</v>
      </c>
      <c r="G15" s="28">
        <v>400</v>
      </c>
      <c r="H15" s="28">
        <v>408</v>
      </c>
    </row>
    <row r="16" spans="1:8">
      <c r="A16" s="28" t="s">
        <v>72</v>
      </c>
      <c r="B16" s="28" t="s">
        <v>55</v>
      </c>
      <c r="C16" s="28" t="s">
        <v>387</v>
      </c>
      <c r="D16" s="28">
        <v>582</v>
      </c>
      <c r="E16" s="28">
        <v>603</v>
      </c>
      <c r="F16" s="28">
        <v>615</v>
      </c>
      <c r="G16" s="28">
        <v>626</v>
      </c>
      <c r="H16" s="28">
        <v>647</v>
      </c>
    </row>
    <row r="17" spans="1:8">
      <c r="A17" s="28" t="s">
        <v>69</v>
      </c>
      <c r="B17" s="28" t="s">
        <v>136</v>
      </c>
      <c r="C17" s="28" t="s">
        <v>1002</v>
      </c>
      <c r="D17" s="28">
        <v>73</v>
      </c>
      <c r="E17" s="28">
        <v>70</v>
      </c>
      <c r="F17" s="28">
        <v>67</v>
      </c>
      <c r="G17" s="28">
        <v>63</v>
      </c>
      <c r="H17" s="28">
        <v>60</v>
      </c>
    </row>
    <row r="18" spans="1:8">
      <c r="A18" s="28" t="s">
        <v>140</v>
      </c>
      <c r="B18" s="28" t="s">
        <v>58</v>
      </c>
      <c r="C18" s="28" t="s">
        <v>1003</v>
      </c>
      <c r="D18" s="28">
        <v>759</v>
      </c>
      <c r="E18" s="28">
        <v>779</v>
      </c>
      <c r="F18" s="28">
        <v>793</v>
      </c>
      <c r="G18" s="28">
        <v>804</v>
      </c>
      <c r="H18" s="28">
        <v>823</v>
      </c>
    </row>
    <row r="19" spans="1:8">
      <c r="A19" s="28" t="s">
        <v>141</v>
      </c>
      <c r="B19" s="28" t="s">
        <v>1009</v>
      </c>
      <c r="C19" s="28" t="s">
        <v>1004</v>
      </c>
      <c r="D19" s="28">
        <v>35</v>
      </c>
      <c r="E19" s="28">
        <v>35</v>
      </c>
      <c r="F19" s="28">
        <v>35</v>
      </c>
      <c r="G19" s="28">
        <v>35</v>
      </c>
      <c r="H19" s="28">
        <v>35</v>
      </c>
    </row>
    <row r="20" spans="1:8">
      <c r="B20" s="28" t="s">
        <v>141</v>
      </c>
      <c r="C20" s="28" t="s">
        <v>1005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8">
      <c r="B21" s="28" t="s">
        <v>70</v>
      </c>
      <c r="C21" s="28" t="s">
        <v>70</v>
      </c>
    </row>
    <row r="22" spans="1:8">
      <c r="B22" s="28" t="s">
        <v>71</v>
      </c>
      <c r="C22" s="28" t="s">
        <v>71</v>
      </c>
    </row>
    <row r="23" spans="1:8">
      <c r="B23" s="28" t="s">
        <v>72</v>
      </c>
      <c r="C23" s="28" t="s">
        <v>72</v>
      </c>
    </row>
    <row r="24" spans="1:8">
      <c r="B24" s="28" t="s">
        <v>69</v>
      </c>
      <c r="C24" s="28" t="s">
        <v>69</v>
      </c>
      <c r="D24" s="28">
        <v>700</v>
      </c>
      <c r="E24" s="28">
        <v>700</v>
      </c>
      <c r="F24" s="28">
        <v>700</v>
      </c>
      <c r="G24" s="28">
        <v>700</v>
      </c>
      <c r="H24" s="28">
        <v>700</v>
      </c>
    </row>
    <row r="25" spans="1:8">
      <c r="B25" s="28" t="s">
        <v>140</v>
      </c>
      <c r="C25" s="28" t="s">
        <v>140</v>
      </c>
      <c r="D25" s="28">
        <v>38</v>
      </c>
      <c r="E25" s="28">
        <v>38</v>
      </c>
      <c r="F25" s="28">
        <v>38</v>
      </c>
      <c r="G25" s="28">
        <v>38</v>
      </c>
      <c r="H25" s="28">
        <v>38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8" bestFit="1" customWidth="1"/>
    <col min="2" max="2" width="43.33203125" style="28" bestFit="1" customWidth="1"/>
    <col min="3" max="3" width="11.1640625" style="28" bestFit="1" customWidth="1"/>
    <col min="4" max="5" width="11.33203125" style="28" bestFit="1" customWidth="1"/>
    <col min="6" max="6" width="11.1640625" style="28" bestFit="1" customWidth="1"/>
    <col min="7" max="16384" width="10.83203125" style="28"/>
  </cols>
  <sheetData>
    <row r="1" spans="1:8" ht="22">
      <c r="A1" s="28" t="s">
        <v>73</v>
      </c>
      <c r="B1" s="113" t="s">
        <v>144</v>
      </c>
      <c r="C1" s="113" t="s">
        <v>17</v>
      </c>
      <c r="D1" s="113" t="s">
        <v>18</v>
      </c>
      <c r="E1" s="113" t="s">
        <v>19</v>
      </c>
      <c r="F1" s="113" t="s">
        <v>20</v>
      </c>
      <c r="G1" s="108" t="s">
        <v>1157</v>
      </c>
    </row>
    <row r="2" spans="1:8" ht="22">
      <c r="A2" s="28" t="s">
        <v>61</v>
      </c>
      <c r="B2" s="115" t="s">
        <v>2305</v>
      </c>
      <c r="C2" s="116">
        <v>390</v>
      </c>
      <c r="D2" s="116">
        <v>420</v>
      </c>
      <c r="E2" s="116">
        <v>465</v>
      </c>
      <c r="F2" s="116">
        <v>500</v>
      </c>
      <c r="G2" s="109" t="s">
        <v>1279</v>
      </c>
      <c r="H2"/>
    </row>
    <row r="3" spans="1:8" ht="22">
      <c r="A3" s="28" t="s">
        <v>64</v>
      </c>
      <c r="B3" s="115" t="s">
        <v>2306</v>
      </c>
      <c r="C3" s="116">
        <v>75</v>
      </c>
      <c r="D3" s="116">
        <v>75</v>
      </c>
      <c r="E3" s="116">
        <v>74.5</v>
      </c>
      <c r="F3" s="116">
        <v>74.5</v>
      </c>
      <c r="G3" s="109" t="s">
        <v>1280</v>
      </c>
    </row>
    <row r="4" spans="1:8" ht="22">
      <c r="A4" s="28" t="s">
        <v>74</v>
      </c>
      <c r="B4" s="115" t="s">
        <v>2307</v>
      </c>
      <c r="C4" s="116">
        <v>515</v>
      </c>
      <c r="D4" s="116">
        <v>525</v>
      </c>
      <c r="E4" s="116">
        <v>535</v>
      </c>
      <c r="F4" s="116">
        <v>550</v>
      </c>
      <c r="G4" s="109" t="s">
        <v>28</v>
      </c>
    </row>
    <row r="5" spans="1:8" ht="22">
      <c r="A5" s="28" t="s">
        <v>65</v>
      </c>
      <c r="B5" s="115" t="s">
        <v>2308</v>
      </c>
      <c r="C5" s="116">
        <v>95</v>
      </c>
      <c r="D5" s="116">
        <v>125</v>
      </c>
      <c r="E5" s="116">
        <v>155</v>
      </c>
      <c r="F5" s="116">
        <v>180</v>
      </c>
      <c r="G5" s="109" t="s">
        <v>893</v>
      </c>
    </row>
    <row r="6" spans="1:8" ht="22">
      <c r="A6" s="28" t="s">
        <v>63</v>
      </c>
      <c r="B6" s="115" t="s">
        <v>2309</v>
      </c>
      <c r="C6" s="116">
        <v>70.5</v>
      </c>
      <c r="D6" s="116">
        <v>70.5</v>
      </c>
      <c r="E6" s="116">
        <v>71</v>
      </c>
      <c r="F6" s="116">
        <v>71</v>
      </c>
      <c r="G6" s="109" t="s">
        <v>31</v>
      </c>
    </row>
    <row r="7" spans="1:8" ht="22">
      <c r="A7" s="28" t="s">
        <v>68</v>
      </c>
      <c r="B7" s="115" t="s">
        <v>2310</v>
      </c>
      <c r="C7" s="116">
        <v>50</v>
      </c>
      <c r="D7" s="116">
        <v>50</v>
      </c>
      <c r="E7" s="116">
        <v>50</v>
      </c>
      <c r="F7" s="116">
        <v>50</v>
      </c>
      <c r="G7" s="109" t="s">
        <v>581</v>
      </c>
    </row>
    <row r="8" spans="1:8" ht="22">
      <c r="A8" s="109" t="s">
        <v>497</v>
      </c>
      <c r="B8" s="115" t="s">
        <v>2311</v>
      </c>
      <c r="C8" s="116">
        <v>75.900000000000006</v>
      </c>
      <c r="D8" s="116">
        <v>75.900000000000006</v>
      </c>
      <c r="E8" s="116">
        <v>72.5</v>
      </c>
      <c r="F8" s="116">
        <v>72.5</v>
      </c>
      <c r="G8" s="109" t="s">
        <v>894</v>
      </c>
    </row>
    <row r="9" spans="1:8" ht="22">
      <c r="A9" s="28" t="s">
        <v>57</v>
      </c>
      <c r="B9" s="115" t="s">
        <v>2312</v>
      </c>
      <c r="C9" s="116">
        <v>1013</v>
      </c>
      <c r="D9" s="116">
        <v>1020</v>
      </c>
      <c r="E9" s="116">
        <v>1022</v>
      </c>
      <c r="F9" s="116">
        <v>1039</v>
      </c>
      <c r="G9" s="109" t="s">
        <v>1281</v>
      </c>
    </row>
    <row r="10" spans="1:8" ht="22">
      <c r="A10" s="28" t="s">
        <v>67</v>
      </c>
      <c r="B10" s="115" t="s">
        <v>2313</v>
      </c>
      <c r="C10" s="116">
        <v>430</v>
      </c>
      <c r="D10" s="116">
        <v>430</v>
      </c>
      <c r="E10" s="116">
        <v>430</v>
      </c>
      <c r="F10" s="116">
        <v>430</v>
      </c>
      <c r="G10" s="109" t="s">
        <v>1282</v>
      </c>
    </row>
    <row r="11" spans="1:8" ht="22">
      <c r="A11" s="28" t="s">
        <v>66</v>
      </c>
      <c r="B11" s="115" t="s">
        <v>2314</v>
      </c>
      <c r="C11" s="116">
        <v>80</v>
      </c>
      <c r="D11" s="116">
        <v>80</v>
      </c>
      <c r="E11" s="116">
        <v>80</v>
      </c>
      <c r="F11" s="116">
        <v>80</v>
      </c>
      <c r="G11" s="109" t="s">
        <v>1283</v>
      </c>
    </row>
    <row r="12" spans="1:8" ht="22">
      <c r="A12" s="28" t="s">
        <v>55</v>
      </c>
      <c r="B12" s="115" t="s">
        <v>2315</v>
      </c>
      <c r="C12" s="116">
        <v>530</v>
      </c>
      <c r="D12" s="116">
        <v>558</v>
      </c>
      <c r="E12" s="116">
        <v>588</v>
      </c>
      <c r="F12" s="116">
        <v>612</v>
      </c>
      <c r="G12" s="109" t="s">
        <v>1862</v>
      </c>
    </row>
    <row r="13" spans="1:8" ht="22">
      <c r="A13" s="28" t="s">
        <v>56</v>
      </c>
      <c r="B13" s="115" t="s">
        <v>2316</v>
      </c>
      <c r="C13" s="116">
        <v>378</v>
      </c>
      <c r="D13" s="116">
        <v>376</v>
      </c>
      <c r="E13" s="116">
        <v>372</v>
      </c>
      <c r="F13" s="116">
        <v>380</v>
      </c>
      <c r="G13" s="28" t="s">
        <v>20</v>
      </c>
    </row>
    <row r="14" spans="1:8" ht="22">
      <c r="A14" s="33" t="s">
        <v>2299</v>
      </c>
      <c r="B14" s="115" t="s">
        <v>2317</v>
      </c>
      <c r="C14" s="116">
        <v>429</v>
      </c>
      <c r="D14" s="116">
        <v>437</v>
      </c>
      <c r="E14" s="116">
        <v>443</v>
      </c>
      <c r="F14" s="116">
        <v>452</v>
      </c>
      <c r="G14" s="28" t="s">
        <v>20</v>
      </c>
    </row>
    <row r="15" spans="1:8" ht="22">
      <c r="A15" s="28" t="s">
        <v>58</v>
      </c>
      <c r="B15" s="115" t="s">
        <v>2318</v>
      </c>
      <c r="C15" s="116">
        <v>683</v>
      </c>
      <c r="D15" s="116">
        <v>711</v>
      </c>
      <c r="E15" s="116">
        <v>749</v>
      </c>
      <c r="F15" s="116">
        <v>779</v>
      </c>
      <c r="G15" s="28" t="s">
        <v>19</v>
      </c>
    </row>
    <row r="16" spans="1:8" ht="22">
      <c r="A16" s="28" t="s">
        <v>71</v>
      </c>
      <c r="B16" s="115" t="s">
        <v>2319</v>
      </c>
      <c r="C16" s="116">
        <v>400</v>
      </c>
      <c r="D16" s="116">
        <v>400</v>
      </c>
      <c r="E16" s="116">
        <v>420</v>
      </c>
      <c r="F16" s="116">
        <v>420</v>
      </c>
      <c r="G16" s="28" t="s">
        <v>1875</v>
      </c>
    </row>
    <row r="17" spans="1:7" ht="22">
      <c r="A17" s="28" t="s">
        <v>72</v>
      </c>
      <c r="B17" s="115" t="s">
        <v>2320</v>
      </c>
      <c r="C17" s="116">
        <v>70</v>
      </c>
      <c r="D17" s="116">
        <v>80</v>
      </c>
      <c r="E17" s="116">
        <v>90</v>
      </c>
      <c r="F17" s="116">
        <v>90</v>
      </c>
      <c r="G17" s="28" t="s">
        <v>2090</v>
      </c>
    </row>
    <row r="18" spans="1:7" ht="22">
      <c r="A18" s="28" t="s">
        <v>70</v>
      </c>
      <c r="B18" s="115" t="s">
        <v>2321</v>
      </c>
      <c r="C18" s="116">
        <v>170</v>
      </c>
      <c r="D18" s="116">
        <v>170</v>
      </c>
      <c r="E18" s="116">
        <v>172.5</v>
      </c>
      <c r="F18" s="116">
        <v>172.5</v>
      </c>
      <c r="G18" s="28" t="s">
        <v>892</v>
      </c>
    </row>
    <row r="19" spans="1:7">
      <c r="A19" s="28" t="s">
        <v>69</v>
      </c>
      <c r="B19" s="28" t="s">
        <v>46</v>
      </c>
      <c r="C19" s="28">
        <v>700</v>
      </c>
      <c r="D19" s="28">
        <v>700</v>
      </c>
      <c r="E19" s="28">
        <v>700</v>
      </c>
      <c r="F19" s="28">
        <v>700</v>
      </c>
      <c r="G19" s="28" t="s">
        <v>2091</v>
      </c>
    </row>
    <row r="20" spans="1:7">
      <c r="A20" s="28" t="s">
        <v>498</v>
      </c>
    </row>
    <row r="21" spans="1:7">
      <c r="A21" s="28" t="s">
        <v>140</v>
      </c>
      <c r="C21" s="28">
        <v>40</v>
      </c>
      <c r="D21" s="28">
        <v>40</v>
      </c>
      <c r="E21" s="28">
        <v>40</v>
      </c>
      <c r="F21" s="28">
        <v>40</v>
      </c>
    </row>
    <row r="22" spans="1:7">
      <c r="A22" s="28" t="s">
        <v>141</v>
      </c>
      <c r="C22" s="28">
        <v>45</v>
      </c>
      <c r="D22" s="28">
        <v>45</v>
      </c>
      <c r="E22" s="28">
        <v>45</v>
      </c>
      <c r="F22" s="28">
        <v>45</v>
      </c>
    </row>
    <row r="23" spans="1:7">
      <c r="A23" s="28" t="s">
        <v>1758</v>
      </c>
      <c r="C23" s="43">
        <f>(VALUE(LEFT(C28,1))*12 + VALUE(MID(C28,3,2)))*2.54</f>
        <v>149.86000000000001</v>
      </c>
      <c r="D23" s="43">
        <f t="shared" ref="D23:F24" si="0">(VALUE(LEFT(D28,1))*12 + VALUE(MID(D28,3,1)))*2.54</f>
        <v>157.47999999999999</v>
      </c>
      <c r="E23" s="43">
        <f t="shared" si="0"/>
        <v>165.1</v>
      </c>
      <c r="F23" s="43">
        <f t="shared" si="0"/>
        <v>170.18</v>
      </c>
    </row>
    <row r="24" spans="1:7" ht="22">
      <c r="A24" s="28" t="s">
        <v>1759</v>
      </c>
      <c r="B24" s="48"/>
      <c r="C24" s="43">
        <f>(VALUE(LEFT(C29,1))*12 + VALUE(MID(C29,3,1)))*2.54</f>
        <v>162.56</v>
      </c>
      <c r="D24" s="43">
        <f t="shared" si="0"/>
        <v>170.18</v>
      </c>
      <c r="E24" s="43">
        <f t="shared" si="0"/>
        <v>175.26</v>
      </c>
      <c r="F24" s="43">
        <f>(VALUE(LEFT(F29,1))*12 + VALUE(MID(F29,3,2)))*2.54</f>
        <v>180.34</v>
      </c>
      <c r="G24" s="110"/>
    </row>
    <row r="27" spans="1:7">
      <c r="C27" s="111" t="s">
        <v>17</v>
      </c>
      <c r="D27" s="111" t="s">
        <v>18</v>
      </c>
      <c r="E27" s="111" t="s">
        <v>19</v>
      </c>
      <c r="F27" s="111" t="s">
        <v>20</v>
      </c>
    </row>
    <row r="28" spans="1:7" ht="22">
      <c r="C28" s="21" t="s">
        <v>2290</v>
      </c>
      <c r="D28" s="28" t="s">
        <v>2291</v>
      </c>
      <c r="E28" s="28" t="s">
        <v>2292</v>
      </c>
      <c r="F28" s="28" t="s">
        <v>2293</v>
      </c>
      <c r="G28" s="21"/>
    </row>
    <row r="29" spans="1:7" ht="22">
      <c r="C29" s="112" t="s">
        <v>2294</v>
      </c>
      <c r="D29" s="28" t="s">
        <v>2295</v>
      </c>
      <c r="E29" s="28" t="s">
        <v>2296</v>
      </c>
      <c r="F29" s="28" t="s">
        <v>2297</v>
      </c>
      <c r="G29" s="110"/>
    </row>
    <row r="30" spans="1:7" ht="22">
      <c r="G30" s="21"/>
    </row>
    <row r="33" spans="1:7">
      <c r="A33" s="113"/>
      <c r="B33" s="113"/>
      <c r="C33" s="113" t="s">
        <v>17</v>
      </c>
      <c r="D33" s="113" t="s">
        <v>18</v>
      </c>
      <c r="E33" s="113" t="s">
        <v>19</v>
      </c>
      <c r="F33" s="113" t="s">
        <v>20</v>
      </c>
      <c r="G33" s="33"/>
    </row>
    <row r="34" spans="1:7" ht="22">
      <c r="A34" s="114" t="s">
        <v>1279</v>
      </c>
      <c r="B34" s="115" t="s">
        <v>2305</v>
      </c>
      <c r="C34" s="116">
        <v>390</v>
      </c>
      <c r="D34" s="116">
        <v>420</v>
      </c>
      <c r="E34" s="116">
        <v>465</v>
      </c>
      <c r="F34" s="116">
        <v>500</v>
      </c>
    </row>
    <row r="35" spans="1:7" ht="22">
      <c r="A35" s="114" t="s">
        <v>1280</v>
      </c>
      <c r="B35" s="115" t="s">
        <v>2306</v>
      </c>
      <c r="C35" s="116" t="s">
        <v>2298</v>
      </c>
      <c r="D35" s="116" t="s">
        <v>2298</v>
      </c>
      <c r="E35" s="116" t="s">
        <v>803</v>
      </c>
      <c r="F35" s="116" t="s">
        <v>803</v>
      </c>
    </row>
    <row r="36" spans="1:7" ht="22">
      <c r="A36" s="114" t="s">
        <v>28</v>
      </c>
      <c r="B36" s="115" t="s">
        <v>2307</v>
      </c>
      <c r="C36" s="116">
        <v>515</v>
      </c>
      <c r="D36" s="116">
        <v>525</v>
      </c>
      <c r="E36" s="116">
        <v>535</v>
      </c>
      <c r="F36" s="116">
        <v>550</v>
      </c>
    </row>
    <row r="37" spans="1:7" ht="22">
      <c r="A37" s="114" t="s">
        <v>893</v>
      </c>
      <c r="B37" s="115" t="s">
        <v>2308</v>
      </c>
      <c r="C37" s="116">
        <v>95</v>
      </c>
      <c r="D37" s="116">
        <v>125</v>
      </c>
      <c r="E37" s="116">
        <v>155</v>
      </c>
      <c r="F37" s="116">
        <v>180</v>
      </c>
    </row>
    <row r="38" spans="1:7" ht="22">
      <c r="A38" s="114" t="s">
        <v>31</v>
      </c>
      <c r="B38" s="115" t="s">
        <v>2309</v>
      </c>
      <c r="C38" s="116" t="s">
        <v>848</v>
      </c>
      <c r="D38" s="116" t="s">
        <v>848</v>
      </c>
      <c r="E38" s="116" t="s">
        <v>289</v>
      </c>
      <c r="F38" s="116" t="s">
        <v>289</v>
      </c>
    </row>
    <row r="39" spans="1:7" ht="22">
      <c r="A39" s="114" t="s">
        <v>581</v>
      </c>
      <c r="B39" s="115" t="s">
        <v>2310</v>
      </c>
      <c r="C39" s="116">
        <v>50</v>
      </c>
      <c r="D39" s="116">
        <v>50</v>
      </c>
      <c r="E39" s="116">
        <v>50</v>
      </c>
      <c r="F39" s="116">
        <v>50</v>
      </c>
    </row>
    <row r="40" spans="1:7" ht="22">
      <c r="A40" s="114" t="s">
        <v>894</v>
      </c>
      <c r="B40" s="115" t="s">
        <v>2311</v>
      </c>
      <c r="C40" s="116">
        <v>75.900000000000006</v>
      </c>
      <c r="D40" s="116">
        <v>75.900000000000006</v>
      </c>
      <c r="E40" s="116">
        <v>72.5</v>
      </c>
      <c r="F40" s="116">
        <v>72.5</v>
      </c>
    </row>
    <row r="41" spans="1:7" ht="22">
      <c r="A41" s="114" t="s">
        <v>1281</v>
      </c>
      <c r="B41" s="115" t="s">
        <v>2312</v>
      </c>
      <c r="C41" s="116">
        <v>1013</v>
      </c>
      <c r="D41" s="116">
        <v>1020</v>
      </c>
      <c r="E41" s="116">
        <v>1022</v>
      </c>
      <c r="F41" s="116">
        <v>1039</v>
      </c>
    </row>
    <row r="42" spans="1:7" ht="22">
      <c r="A42" s="114" t="s">
        <v>1282</v>
      </c>
      <c r="B42" s="115" t="s">
        <v>2313</v>
      </c>
      <c r="C42" s="116">
        <v>430</v>
      </c>
      <c r="D42" s="116">
        <v>430</v>
      </c>
      <c r="E42" s="116">
        <v>430</v>
      </c>
      <c r="F42" s="116">
        <v>430</v>
      </c>
    </row>
    <row r="43" spans="1:7" ht="22">
      <c r="A43" s="114" t="s">
        <v>1283</v>
      </c>
      <c r="B43" s="115" t="s">
        <v>2314</v>
      </c>
      <c r="C43" s="116">
        <v>80</v>
      </c>
      <c r="D43" s="116">
        <v>80</v>
      </c>
      <c r="E43" s="116">
        <v>80</v>
      </c>
      <c r="F43" s="116">
        <v>80</v>
      </c>
    </row>
    <row r="44" spans="1:7" ht="22">
      <c r="A44" s="114" t="s">
        <v>1862</v>
      </c>
      <c r="B44" s="115" t="s">
        <v>2315</v>
      </c>
      <c r="C44" s="116">
        <v>530</v>
      </c>
      <c r="D44" s="116">
        <v>558</v>
      </c>
      <c r="E44" s="116">
        <v>588</v>
      </c>
      <c r="F44" s="116">
        <v>612</v>
      </c>
    </row>
    <row r="45" spans="1:7" ht="22">
      <c r="A45" s="114" t="s">
        <v>20</v>
      </c>
      <c r="B45" s="115" t="s">
        <v>2316</v>
      </c>
      <c r="C45" s="116">
        <v>378</v>
      </c>
      <c r="D45" s="116">
        <v>376</v>
      </c>
      <c r="E45" s="116">
        <v>372</v>
      </c>
      <c r="F45" s="116">
        <v>380</v>
      </c>
    </row>
    <row r="46" spans="1:7" ht="22">
      <c r="A46" s="114" t="s">
        <v>20</v>
      </c>
      <c r="B46" s="115" t="s">
        <v>2317</v>
      </c>
      <c r="C46" s="116">
        <v>429</v>
      </c>
      <c r="D46" s="116">
        <v>437</v>
      </c>
      <c r="E46" s="116">
        <v>443</v>
      </c>
      <c r="F46" s="116">
        <v>452</v>
      </c>
    </row>
    <row r="47" spans="1:7" ht="22">
      <c r="A47" s="114" t="s">
        <v>19</v>
      </c>
      <c r="B47" s="115" t="s">
        <v>2318</v>
      </c>
      <c r="C47" s="116">
        <v>683</v>
      </c>
      <c r="D47" s="116">
        <v>711</v>
      </c>
      <c r="E47" s="116">
        <v>749</v>
      </c>
      <c r="F47" s="116">
        <v>779</v>
      </c>
    </row>
    <row r="48" spans="1:7" ht="22">
      <c r="A48" s="114" t="s">
        <v>1875</v>
      </c>
      <c r="B48" s="115" t="s">
        <v>2319</v>
      </c>
      <c r="C48" s="116">
        <v>400</v>
      </c>
      <c r="D48" s="116">
        <v>400</v>
      </c>
      <c r="E48" s="116">
        <v>420</v>
      </c>
      <c r="F48" s="116">
        <v>420</v>
      </c>
    </row>
    <row r="49" spans="1:6" ht="22">
      <c r="A49" s="114" t="s">
        <v>2090</v>
      </c>
      <c r="B49" s="115" t="s">
        <v>2320</v>
      </c>
      <c r="C49" s="116">
        <v>70</v>
      </c>
      <c r="D49" s="116">
        <v>80</v>
      </c>
      <c r="E49" s="116">
        <v>90</v>
      </c>
      <c r="F49" s="116">
        <v>90</v>
      </c>
    </row>
    <row r="50" spans="1:6" ht="22">
      <c r="A50" s="114" t="s">
        <v>892</v>
      </c>
      <c r="B50" s="115" t="s">
        <v>2321</v>
      </c>
      <c r="C50" s="116">
        <v>170</v>
      </c>
      <c r="D50" s="116">
        <v>170</v>
      </c>
      <c r="E50" s="116">
        <v>172.5</v>
      </c>
      <c r="F50" s="116">
        <v>172.5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I24" sqref="I2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8" t="s">
        <v>73</v>
      </c>
      <c r="B1" s="28" t="s">
        <v>73</v>
      </c>
      <c r="C1" s="28" t="s">
        <v>73</v>
      </c>
      <c r="D1" s="34" t="s">
        <v>18</v>
      </c>
      <c r="E1" s="34" t="s">
        <v>19</v>
      </c>
      <c r="F1" s="34" t="s">
        <v>20</v>
      </c>
      <c r="G1" s="34" t="s">
        <v>21</v>
      </c>
      <c r="H1" s="28"/>
    </row>
    <row r="2" spans="1:8" ht="20">
      <c r="A2" s="28" t="s">
        <v>55</v>
      </c>
      <c r="B2" s="28" t="s">
        <v>55</v>
      </c>
      <c r="C2" s="34" t="s">
        <v>648</v>
      </c>
      <c r="D2" s="35">
        <v>544.4</v>
      </c>
      <c r="E2" s="35">
        <v>572.5</v>
      </c>
      <c r="F2" s="35">
        <v>600.6</v>
      </c>
      <c r="G2" s="35">
        <v>628.70000000000005</v>
      </c>
      <c r="H2" s="28"/>
    </row>
    <row r="3" spans="1:8" ht="20">
      <c r="A3" s="28" t="s">
        <v>56</v>
      </c>
      <c r="B3" s="28" t="s">
        <v>56</v>
      </c>
      <c r="C3" s="34" t="s">
        <v>649</v>
      </c>
      <c r="D3" s="35">
        <v>380</v>
      </c>
      <c r="E3" s="35">
        <v>405</v>
      </c>
      <c r="F3" s="35">
        <v>420</v>
      </c>
      <c r="G3" s="35">
        <v>435</v>
      </c>
      <c r="H3" s="28"/>
    </row>
    <row r="4" spans="1:8" ht="20">
      <c r="A4" s="28" t="s">
        <v>61</v>
      </c>
      <c r="B4" s="28" t="s">
        <v>63</v>
      </c>
      <c r="C4" s="34" t="s">
        <v>650</v>
      </c>
      <c r="D4" s="35">
        <v>69.5</v>
      </c>
      <c r="E4" s="35">
        <v>69.5</v>
      </c>
      <c r="F4" s="35">
        <v>69.5</v>
      </c>
      <c r="G4" s="35">
        <v>69.5</v>
      </c>
      <c r="H4" s="28"/>
    </row>
    <row r="5" spans="1:8" ht="20">
      <c r="A5" s="28" t="s">
        <v>74</v>
      </c>
      <c r="B5" s="28" t="s">
        <v>65</v>
      </c>
      <c r="C5" s="34" t="s">
        <v>651</v>
      </c>
      <c r="D5" s="35">
        <v>120</v>
      </c>
      <c r="E5" s="35">
        <v>150</v>
      </c>
      <c r="F5" s="35">
        <v>180</v>
      </c>
      <c r="G5" s="35">
        <v>210</v>
      </c>
      <c r="H5" s="28"/>
    </row>
    <row r="6" spans="1:8" ht="20">
      <c r="A6" s="28" t="s">
        <v>63</v>
      </c>
      <c r="B6" s="28" t="s">
        <v>64</v>
      </c>
      <c r="C6" s="34" t="s">
        <v>652</v>
      </c>
      <c r="D6" s="35">
        <v>74</v>
      </c>
      <c r="E6" s="35">
        <v>74</v>
      </c>
      <c r="F6" s="35">
        <v>74</v>
      </c>
      <c r="G6" s="35">
        <v>74</v>
      </c>
      <c r="H6" s="28"/>
    </row>
    <row r="7" spans="1:8" ht="20">
      <c r="A7" s="28" t="s">
        <v>64</v>
      </c>
      <c r="B7" s="28" t="s">
        <v>61</v>
      </c>
      <c r="C7" s="34" t="s">
        <v>653</v>
      </c>
      <c r="D7" s="35">
        <v>430</v>
      </c>
      <c r="E7" s="35">
        <v>480</v>
      </c>
      <c r="F7" s="35">
        <v>520</v>
      </c>
      <c r="G7" s="35">
        <v>558</v>
      </c>
      <c r="H7" s="28"/>
    </row>
    <row r="8" spans="1:8" ht="20">
      <c r="A8" s="28" t="s">
        <v>65</v>
      </c>
      <c r="B8" s="28" t="s">
        <v>74</v>
      </c>
      <c r="C8" s="34" t="s">
        <v>654</v>
      </c>
      <c r="D8" s="35">
        <v>536.1</v>
      </c>
      <c r="E8" s="35">
        <v>569.20000000000005</v>
      </c>
      <c r="F8" s="35">
        <v>592.20000000000005</v>
      </c>
      <c r="G8" s="35">
        <v>615.29999999999995</v>
      </c>
      <c r="H8" s="28"/>
    </row>
    <row r="9" spans="1:8" ht="20">
      <c r="A9" s="28" t="s">
        <v>66</v>
      </c>
      <c r="B9" s="28" t="s">
        <v>572</v>
      </c>
      <c r="C9" s="34" t="s">
        <v>655</v>
      </c>
      <c r="D9" s="35">
        <v>279.5</v>
      </c>
      <c r="E9" s="35">
        <v>279.5</v>
      </c>
      <c r="F9" s="35">
        <v>279.5</v>
      </c>
      <c r="G9" s="35">
        <v>279.5</v>
      </c>
      <c r="H9" s="28"/>
    </row>
    <row r="10" spans="1:8" ht="20">
      <c r="A10" s="28" t="s">
        <v>67</v>
      </c>
      <c r="B10" s="28" t="s">
        <v>66</v>
      </c>
      <c r="C10" s="34" t="s">
        <v>656</v>
      </c>
      <c r="D10" s="35">
        <v>80</v>
      </c>
      <c r="E10" s="35">
        <v>80</v>
      </c>
      <c r="F10" s="35">
        <v>80</v>
      </c>
      <c r="G10" s="35">
        <v>80</v>
      </c>
      <c r="H10" s="28"/>
    </row>
    <row r="11" spans="1:8" ht="20">
      <c r="A11" s="28" t="s">
        <v>57</v>
      </c>
      <c r="B11" s="28" t="s">
        <v>922</v>
      </c>
      <c r="C11" s="34" t="s">
        <v>657</v>
      </c>
      <c r="D11" s="35">
        <v>425</v>
      </c>
      <c r="E11" s="35">
        <v>425</v>
      </c>
      <c r="F11" s="35">
        <v>425</v>
      </c>
      <c r="G11" s="35">
        <v>425</v>
      </c>
      <c r="H11" s="28" t="s">
        <v>928</v>
      </c>
    </row>
    <row r="12" spans="1:8" ht="20">
      <c r="A12" s="28" t="s">
        <v>68</v>
      </c>
      <c r="B12" s="28" t="s">
        <v>57</v>
      </c>
      <c r="C12" s="34" t="s">
        <v>658</v>
      </c>
      <c r="D12" s="35">
        <v>1024.42</v>
      </c>
      <c r="E12" s="35">
        <v>1060</v>
      </c>
      <c r="F12" s="35">
        <v>1085.4000000000001</v>
      </c>
      <c r="G12" s="35">
        <v>1110.9000000000001</v>
      </c>
      <c r="H12" s="28"/>
    </row>
    <row r="13" spans="1:8" ht="20">
      <c r="A13" s="28" t="s">
        <v>58</v>
      </c>
      <c r="B13" s="28" t="s">
        <v>58</v>
      </c>
      <c r="C13" s="34" t="s">
        <v>659</v>
      </c>
      <c r="D13" s="35">
        <v>658.76</v>
      </c>
      <c r="E13" s="35">
        <v>700.51</v>
      </c>
      <c r="F13" s="35">
        <v>730.39</v>
      </c>
      <c r="G13" s="35">
        <v>758.5</v>
      </c>
      <c r="H13" s="28"/>
    </row>
    <row r="14" spans="1:8" ht="20">
      <c r="A14" s="28" t="s">
        <v>70</v>
      </c>
      <c r="B14" s="28" t="s">
        <v>68</v>
      </c>
      <c r="C14" s="34" t="s">
        <v>660</v>
      </c>
      <c r="D14" s="35">
        <v>50</v>
      </c>
      <c r="E14" s="35">
        <v>50</v>
      </c>
      <c r="F14" s="35">
        <v>50</v>
      </c>
      <c r="G14" s="35">
        <v>50</v>
      </c>
      <c r="H14" s="28"/>
    </row>
    <row r="15" spans="1:8" ht="20">
      <c r="A15" s="28" t="s">
        <v>71</v>
      </c>
      <c r="B15" s="28" t="s">
        <v>60</v>
      </c>
      <c r="C15" s="34" t="s">
        <v>644</v>
      </c>
      <c r="D15" s="35">
        <v>27.2</v>
      </c>
      <c r="E15" s="35">
        <v>27.2</v>
      </c>
      <c r="F15" s="35">
        <v>27.2</v>
      </c>
      <c r="G15" s="35">
        <v>27.2</v>
      </c>
      <c r="H15" s="28"/>
    </row>
    <row r="16" spans="1:8" ht="20">
      <c r="A16" s="28" t="s">
        <v>72</v>
      </c>
      <c r="B16" s="28" t="s">
        <v>71</v>
      </c>
      <c r="C16" s="34" t="s">
        <v>645</v>
      </c>
      <c r="D16" s="35">
        <v>640</v>
      </c>
      <c r="E16" s="35">
        <v>680</v>
      </c>
      <c r="F16" s="35">
        <v>680</v>
      </c>
      <c r="G16" s="35">
        <v>680</v>
      </c>
      <c r="H16" s="28"/>
    </row>
    <row r="17" spans="1:8" ht="20">
      <c r="A17" s="28" t="s">
        <v>69</v>
      </c>
      <c r="B17" s="28" t="s">
        <v>72</v>
      </c>
      <c r="C17" s="34" t="s">
        <v>646</v>
      </c>
      <c r="D17" s="35">
        <v>70</v>
      </c>
      <c r="E17" s="35">
        <v>70</v>
      </c>
      <c r="F17" s="35">
        <v>70</v>
      </c>
      <c r="G17" s="35">
        <v>70</v>
      </c>
      <c r="H17" s="28"/>
    </row>
    <row r="18" spans="1:8" ht="20">
      <c r="A18" s="28" t="s">
        <v>140</v>
      </c>
      <c r="B18" s="28" t="s">
        <v>70</v>
      </c>
      <c r="C18" s="34" t="s">
        <v>647</v>
      </c>
      <c r="D18" s="35">
        <v>170</v>
      </c>
      <c r="E18" s="35">
        <v>170</v>
      </c>
      <c r="F18" s="35">
        <v>175</v>
      </c>
      <c r="G18" s="35">
        <v>175</v>
      </c>
      <c r="H18" s="28"/>
    </row>
    <row r="19" spans="1:8" ht="20">
      <c r="A19" s="28" t="s">
        <v>141</v>
      </c>
      <c r="B19" s="28" t="s">
        <v>69</v>
      </c>
      <c r="C19" s="28" t="s">
        <v>69</v>
      </c>
      <c r="D19" s="35">
        <v>700</v>
      </c>
      <c r="E19" s="35">
        <v>700</v>
      </c>
      <c r="F19" s="35">
        <v>700</v>
      </c>
      <c r="G19" s="35">
        <v>700</v>
      </c>
      <c r="H19" s="28"/>
    </row>
    <row r="20" spans="1:8" ht="20">
      <c r="A20" s="28"/>
      <c r="B20" s="28" t="s">
        <v>140</v>
      </c>
      <c r="C20" s="28" t="s">
        <v>140</v>
      </c>
      <c r="D20" s="35">
        <v>45</v>
      </c>
      <c r="E20" s="35">
        <v>45</v>
      </c>
      <c r="F20" s="35">
        <v>45</v>
      </c>
      <c r="G20" s="35">
        <v>45</v>
      </c>
      <c r="H20" s="28"/>
    </row>
    <row r="21" spans="1:8" ht="20">
      <c r="A21" s="28"/>
      <c r="B21" s="28" t="s">
        <v>141</v>
      </c>
      <c r="C21" s="28" t="s">
        <v>141</v>
      </c>
      <c r="D21" s="28">
        <f>2.1*25.4</f>
        <v>53.339999999999996</v>
      </c>
      <c r="E21" s="28">
        <f t="shared" ref="E21:G21" si="0">2.1*25.4</f>
        <v>53.339999999999996</v>
      </c>
      <c r="F21" s="28">
        <f t="shared" si="0"/>
        <v>53.339999999999996</v>
      </c>
      <c r="G21" s="28">
        <f t="shared" si="0"/>
        <v>53.339999999999996</v>
      </c>
      <c r="H21" s="28"/>
    </row>
    <row r="22" spans="1:8" ht="20">
      <c r="A22" s="28"/>
      <c r="B22" s="28" t="s">
        <v>67</v>
      </c>
      <c r="C22" s="28" t="s">
        <v>67</v>
      </c>
      <c r="D22" s="43">
        <f>SQRT(D11^2+D10^2)</f>
        <v>432.46387132337424</v>
      </c>
      <c r="E22" s="43">
        <f t="shared" ref="E22:G22" si="1">SQRT(E11^2+E10^2)</f>
        <v>432.46387132337424</v>
      </c>
      <c r="F22" s="43">
        <f t="shared" si="1"/>
        <v>432.46387132337424</v>
      </c>
      <c r="G22" s="43">
        <f t="shared" si="1"/>
        <v>432.46387132337424</v>
      </c>
      <c r="H22" s="28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41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760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957</v>
      </c>
      <c r="D2" s="28">
        <v>440</v>
      </c>
      <c r="E2" s="28">
        <v>470</v>
      </c>
      <c r="F2" s="28">
        <v>500</v>
      </c>
      <c r="G2" s="28">
        <v>530</v>
      </c>
      <c r="H2" s="28">
        <v>560</v>
      </c>
    </row>
    <row r="3" spans="1:8">
      <c r="A3" s="28" t="s">
        <v>56</v>
      </c>
      <c r="B3" s="28" t="s">
        <v>74</v>
      </c>
      <c r="C3" s="28" t="s">
        <v>958</v>
      </c>
      <c r="D3" s="28">
        <v>548</v>
      </c>
      <c r="E3" s="28">
        <v>564</v>
      </c>
      <c r="F3" s="28">
        <v>580</v>
      </c>
      <c r="G3" s="28">
        <v>600</v>
      </c>
      <c r="H3" s="28">
        <v>620</v>
      </c>
    </row>
    <row r="4" spans="1:8">
      <c r="A4" s="28" t="s">
        <v>61</v>
      </c>
      <c r="B4" s="28" t="s">
        <v>67</v>
      </c>
      <c r="C4" s="28" t="s">
        <v>959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28" t="s">
        <v>960</v>
      </c>
      <c r="D5" s="28">
        <v>71</v>
      </c>
      <c r="E5" s="28">
        <v>71</v>
      </c>
      <c r="F5" s="28">
        <v>71</v>
      </c>
      <c r="G5" s="28">
        <v>71</v>
      </c>
      <c r="H5" s="28">
        <v>71</v>
      </c>
    </row>
    <row r="6" spans="1:8">
      <c r="A6" s="28" t="s">
        <v>63</v>
      </c>
      <c r="B6" s="28" t="s">
        <v>64</v>
      </c>
      <c r="C6" s="28" t="s">
        <v>961</v>
      </c>
      <c r="D6" s="28">
        <v>74</v>
      </c>
      <c r="E6" s="28">
        <v>74</v>
      </c>
      <c r="F6" s="28">
        <v>74</v>
      </c>
      <c r="G6" s="28">
        <v>74</v>
      </c>
      <c r="H6" s="28">
        <v>74</v>
      </c>
    </row>
    <row r="7" spans="1:8">
      <c r="A7" s="28" t="s">
        <v>64</v>
      </c>
      <c r="B7" s="28" t="s">
        <v>66</v>
      </c>
      <c r="C7" s="28" t="s">
        <v>962</v>
      </c>
      <c r="D7" s="28">
        <v>75</v>
      </c>
      <c r="E7" s="28">
        <v>75</v>
      </c>
      <c r="F7" s="28">
        <v>75</v>
      </c>
      <c r="G7" s="28">
        <v>75</v>
      </c>
      <c r="H7" s="28">
        <v>75</v>
      </c>
    </row>
    <row r="8" spans="1:8">
      <c r="A8" s="28" t="s">
        <v>65</v>
      </c>
      <c r="B8" s="28" t="s">
        <v>65</v>
      </c>
      <c r="C8" s="28" t="s">
        <v>963</v>
      </c>
      <c r="D8" s="28">
        <v>160</v>
      </c>
      <c r="E8" s="28">
        <v>180</v>
      </c>
      <c r="F8" s="28">
        <v>200</v>
      </c>
      <c r="G8" s="28">
        <v>220</v>
      </c>
      <c r="H8" s="28">
        <v>240</v>
      </c>
    </row>
    <row r="9" spans="1:8">
      <c r="A9" s="28" t="s">
        <v>66</v>
      </c>
      <c r="B9" s="28" t="s">
        <v>166</v>
      </c>
      <c r="C9" s="28" t="s">
        <v>964</v>
      </c>
      <c r="D9" s="28">
        <v>398</v>
      </c>
      <c r="E9" s="28">
        <v>398</v>
      </c>
      <c r="F9" s="28">
        <v>398</v>
      </c>
      <c r="G9" s="28">
        <v>398</v>
      </c>
      <c r="H9" s="28">
        <v>398</v>
      </c>
    </row>
    <row r="10" spans="1:8">
      <c r="A10" s="28" t="s">
        <v>67</v>
      </c>
      <c r="B10" s="28" t="s">
        <v>56</v>
      </c>
      <c r="C10" s="28" t="s">
        <v>965</v>
      </c>
      <c r="D10" s="28">
        <v>379</v>
      </c>
      <c r="E10" s="28">
        <v>390</v>
      </c>
      <c r="F10" s="28">
        <v>400</v>
      </c>
      <c r="G10" s="28">
        <v>415</v>
      </c>
      <c r="H10" s="28">
        <v>430</v>
      </c>
    </row>
    <row r="11" spans="1:8">
      <c r="A11" s="28" t="s">
        <v>57</v>
      </c>
      <c r="B11" s="28" t="s">
        <v>55</v>
      </c>
      <c r="C11" s="28" t="s">
        <v>966</v>
      </c>
      <c r="D11" s="28">
        <v>588</v>
      </c>
      <c r="E11" s="28">
        <v>607</v>
      </c>
      <c r="F11" s="28">
        <v>626</v>
      </c>
      <c r="G11" s="28">
        <v>645</v>
      </c>
      <c r="H11" s="28">
        <v>664</v>
      </c>
    </row>
    <row r="12" spans="1:8">
      <c r="A12" s="28" t="s">
        <v>68</v>
      </c>
      <c r="B12" s="28" t="s">
        <v>57</v>
      </c>
      <c r="C12" s="28" t="s">
        <v>967</v>
      </c>
      <c r="D12" s="28">
        <v>1027</v>
      </c>
      <c r="E12" s="28">
        <v>1044</v>
      </c>
      <c r="F12" s="28">
        <v>1061</v>
      </c>
      <c r="G12" s="28">
        <v>1082</v>
      </c>
      <c r="H12" s="28">
        <v>1104</v>
      </c>
    </row>
    <row r="13" spans="1:8">
      <c r="A13" s="28" t="s">
        <v>58</v>
      </c>
      <c r="B13" s="28" t="s">
        <v>68</v>
      </c>
      <c r="C13" s="28" t="s">
        <v>68</v>
      </c>
      <c r="D13" s="43">
        <v>45</v>
      </c>
      <c r="E13" s="43">
        <v>45</v>
      </c>
      <c r="F13" s="43">
        <v>45</v>
      </c>
      <c r="G13" s="43">
        <v>45</v>
      </c>
      <c r="H13" s="43">
        <v>45</v>
      </c>
    </row>
    <row r="14" spans="1:8">
      <c r="A14" s="28" t="s">
        <v>70</v>
      </c>
      <c r="B14" s="28" t="s">
        <v>58</v>
      </c>
      <c r="C14" s="28" t="s">
        <v>968</v>
      </c>
      <c r="D14" s="28">
        <v>706</v>
      </c>
      <c r="E14" s="28">
        <v>736</v>
      </c>
      <c r="F14" s="28">
        <v>765</v>
      </c>
      <c r="G14" s="28">
        <v>794</v>
      </c>
      <c r="H14" s="28">
        <v>822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10">
      <c r="A17" s="28" t="s">
        <v>69</v>
      </c>
      <c r="B17" s="28" t="s">
        <v>72</v>
      </c>
      <c r="C17" s="28" t="s">
        <v>72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0">
      <c r="B20" s="28" t="s">
        <v>141</v>
      </c>
      <c r="C20" s="28" t="s">
        <v>141</v>
      </c>
      <c r="D20" s="35">
        <v>45</v>
      </c>
      <c r="E20" s="35">
        <v>45</v>
      </c>
      <c r="F20" s="35">
        <v>45</v>
      </c>
      <c r="G20" s="35">
        <v>45</v>
      </c>
      <c r="H20" s="35">
        <v>45</v>
      </c>
    </row>
    <row r="21" spans="1:10">
      <c r="B21" s="28" t="s">
        <v>922</v>
      </c>
      <c r="C21" s="28" t="s">
        <v>969</v>
      </c>
      <c r="D21" s="28">
        <f>SQRT(D4^2 - D7^2)</f>
        <v>423.40878592679201</v>
      </c>
      <c r="E21" s="28">
        <f t="shared" ref="E21:H21" si="0">SQRT(E4^2 - E7^2)</f>
        <v>423.40878592679201</v>
      </c>
      <c r="F21" s="28">
        <f t="shared" si="0"/>
        <v>423.40878592679201</v>
      </c>
      <c r="G21" s="28">
        <f t="shared" si="0"/>
        <v>423.40878592679201</v>
      </c>
      <c r="H21" s="28">
        <f t="shared" si="0"/>
        <v>423.40878592679201</v>
      </c>
    </row>
    <row r="22" spans="1:10">
      <c r="B22" s="28" t="s">
        <v>938</v>
      </c>
      <c r="C22" s="28" t="s">
        <v>939</v>
      </c>
      <c r="D22" s="43">
        <f>(D11-D7)/TAN(D5*PI()/180)</f>
        <v>176.64006561759831</v>
      </c>
      <c r="E22" s="43">
        <f t="shared" ref="E22:H22" si="1">(E11-E7)/TAN(E5*PI()/180)</f>
        <v>183.18229027010196</v>
      </c>
      <c r="F22" s="43">
        <f t="shared" si="1"/>
        <v>189.72451492260558</v>
      </c>
      <c r="G22" s="43">
        <f t="shared" si="1"/>
        <v>196.26673957510923</v>
      </c>
      <c r="H22" s="43">
        <f t="shared" si="1"/>
        <v>202.80896422761288</v>
      </c>
      <c r="I22" s="43"/>
      <c r="J22" s="43"/>
    </row>
    <row r="23" spans="1:10">
      <c r="B23" s="28" t="s">
        <v>921</v>
      </c>
      <c r="C23" s="28" t="s">
        <v>940</v>
      </c>
      <c r="D23" s="43">
        <f>D12-D22-D10-D21</f>
        <v>47.951148455609655</v>
      </c>
      <c r="E23" s="43">
        <f t="shared" ref="E23:H23" si="2">E12-E22-E10-E21</f>
        <v>47.408923803106063</v>
      </c>
      <c r="F23" s="43">
        <f t="shared" si="2"/>
        <v>47.866699150602471</v>
      </c>
      <c r="G23" s="43">
        <f t="shared" si="2"/>
        <v>47.324474498098766</v>
      </c>
      <c r="H23" s="43">
        <f t="shared" si="2"/>
        <v>47.782249845595061</v>
      </c>
      <c r="I23" s="43"/>
      <c r="J23" s="43"/>
    </row>
    <row r="24" spans="1:10">
      <c r="B24" s="28" t="s">
        <v>68</v>
      </c>
      <c r="C24" s="28" t="s">
        <v>941</v>
      </c>
      <c r="D24" s="43">
        <f>ROUND(D23*SIN(D5*PI()/180),0)</f>
        <v>45</v>
      </c>
      <c r="E24" s="43">
        <f t="shared" ref="E24:H24" si="3">ROUND(E23*SIN(E5*PI()/180),0)</f>
        <v>45</v>
      </c>
      <c r="F24" s="43">
        <f t="shared" si="3"/>
        <v>45</v>
      </c>
      <c r="G24" s="43">
        <f t="shared" si="3"/>
        <v>45</v>
      </c>
      <c r="H24" s="43">
        <f t="shared" si="3"/>
        <v>45</v>
      </c>
      <c r="I24" s="43"/>
      <c r="J24" s="43"/>
    </row>
    <row r="25" spans="1:10">
      <c r="B25" s="28" t="s">
        <v>136</v>
      </c>
      <c r="C25" s="28" t="s">
        <v>942</v>
      </c>
      <c r="F25" s="48"/>
      <c r="G25" s="48"/>
      <c r="H25" s="48"/>
      <c r="I25" s="48"/>
      <c r="J25" s="48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35.5" style="28" customWidth="1"/>
    <col min="4" max="16384" width="10.83203125" style="28"/>
  </cols>
  <sheetData>
    <row r="1" spans="1:7">
      <c r="A1" s="28" t="s">
        <v>73</v>
      </c>
      <c r="B1" s="28" t="s">
        <v>73</v>
      </c>
      <c r="C1" s="28" t="str" cm="1">
        <f t="array" ref="C1:G11">TRANSPOSE(C23:M27)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7">
      <c r="A2" s="28" t="s">
        <v>55</v>
      </c>
      <c r="B2" s="28" t="s">
        <v>74</v>
      </c>
      <c r="C2" s="28" t="str">
        <v>EFFECTIVE TOP TUBE (CM)</v>
      </c>
      <c r="D2" s="28">
        <v>530</v>
      </c>
      <c r="E2" s="28">
        <v>560</v>
      </c>
      <c r="F2" s="28">
        <v>590</v>
      </c>
      <c r="G2" s="28">
        <v>620</v>
      </c>
    </row>
    <row r="3" spans="1:7">
      <c r="A3" s="28" t="s">
        <v>56</v>
      </c>
      <c r="B3" s="28" t="s">
        <v>61</v>
      </c>
      <c r="C3" s="28" t="str">
        <v>SEAT TUBE (C-T CM)</v>
      </c>
      <c r="D3" s="28">
        <v>520</v>
      </c>
      <c r="E3" s="28">
        <v>540</v>
      </c>
      <c r="F3" s="28">
        <v>570</v>
      </c>
      <c r="G3" s="28">
        <v>600</v>
      </c>
    </row>
    <row r="4" spans="1:7">
      <c r="A4" s="28" t="s">
        <v>61</v>
      </c>
      <c r="B4" s="28" t="s">
        <v>65</v>
      </c>
      <c r="C4" s="28" t="str">
        <v>HEAD TUBE (MM)</v>
      </c>
      <c r="D4" s="28">
        <v>140</v>
      </c>
      <c r="E4" s="28">
        <v>160</v>
      </c>
      <c r="F4" s="28">
        <v>190</v>
      </c>
      <c r="G4" s="28">
        <v>220</v>
      </c>
    </row>
    <row r="5" spans="1:7">
      <c r="A5" s="28" t="s">
        <v>74</v>
      </c>
      <c r="B5" s="28" t="s">
        <v>63</v>
      </c>
      <c r="C5" s="28" t="str">
        <v>HEAD TUBE ANGLE</v>
      </c>
      <c r="D5" s="28">
        <v>70</v>
      </c>
      <c r="E5" s="28">
        <v>70</v>
      </c>
      <c r="F5" s="28">
        <v>70.5</v>
      </c>
      <c r="G5" s="28">
        <v>71</v>
      </c>
    </row>
    <row r="6" spans="1:7">
      <c r="A6" s="28" t="s">
        <v>63</v>
      </c>
      <c r="B6" s="28" t="s">
        <v>64</v>
      </c>
      <c r="C6" s="28" t="str">
        <v>SEAT TUBE ANGLE</v>
      </c>
      <c r="D6" s="28">
        <v>74.25</v>
      </c>
      <c r="E6" s="28">
        <v>74</v>
      </c>
      <c r="F6" s="28">
        <v>73.5</v>
      </c>
      <c r="G6" s="28">
        <v>73</v>
      </c>
    </row>
    <row r="7" spans="1:7">
      <c r="A7" s="28" t="s">
        <v>64</v>
      </c>
      <c r="B7" s="28" t="s">
        <v>66</v>
      </c>
      <c r="C7" s="28" t="str">
        <v>BB DROP (CM)</v>
      </c>
      <c r="D7" s="28">
        <v>72</v>
      </c>
      <c r="E7" s="28">
        <v>72</v>
      </c>
      <c r="F7" s="28">
        <v>70</v>
      </c>
      <c r="G7" s="28">
        <v>68</v>
      </c>
    </row>
    <row r="8" spans="1:7">
      <c r="A8" s="28" t="s">
        <v>65</v>
      </c>
      <c r="B8" s="28" t="s">
        <v>67</v>
      </c>
      <c r="C8" s="28" t="str">
        <v>CHAIN STAY (CM)</v>
      </c>
      <c r="D8" s="28">
        <v>445</v>
      </c>
      <c r="E8" s="28">
        <v>445</v>
      </c>
      <c r="F8" s="28">
        <v>445</v>
      </c>
      <c r="G8" s="28">
        <v>445</v>
      </c>
    </row>
    <row r="9" spans="1:7">
      <c r="A9" s="28" t="s">
        <v>66</v>
      </c>
      <c r="B9" s="28" t="s">
        <v>58</v>
      </c>
      <c r="C9" s="28" t="str">
        <v>STAND OVER (IN)</v>
      </c>
      <c r="D9" s="28">
        <v>31.9</v>
      </c>
      <c r="E9" s="28">
        <v>32.6</v>
      </c>
      <c r="F9" s="28">
        <v>33.700000000000003</v>
      </c>
      <c r="G9" s="28">
        <v>34.799999999999997</v>
      </c>
    </row>
    <row r="10" spans="1:7">
      <c r="A10" s="28" t="s">
        <v>67</v>
      </c>
      <c r="B10" s="28" t="s">
        <v>55</v>
      </c>
      <c r="C10" s="28" t="str">
        <v>STACK (MM)</v>
      </c>
      <c r="D10" s="28">
        <v>602</v>
      </c>
      <c r="E10" s="28">
        <v>620</v>
      </c>
      <c r="F10" s="28">
        <v>650</v>
      </c>
      <c r="G10" s="28">
        <v>678</v>
      </c>
    </row>
    <row r="11" spans="1:7">
      <c r="A11" s="28" t="s">
        <v>57</v>
      </c>
      <c r="B11" s="28" t="s">
        <v>56</v>
      </c>
      <c r="C11" s="28" t="str">
        <v>REACH (MM)</v>
      </c>
      <c r="D11" s="28">
        <v>358</v>
      </c>
      <c r="E11" s="28">
        <v>378</v>
      </c>
      <c r="F11" s="28">
        <v>396</v>
      </c>
      <c r="G11" s="28">
        <v>411</v>
      </c>
    </row>
    <row r="12" spans="1:7">
      <c r="A12" s="28" t="s">
        <v>68</v>
      </c>
      <c r="B12" s="28" t="s">
        <v>57</v>
      </c>
      <c r="C12" s="28" t="s">
        <v>57</v>
      </c>
      <c r="D12" s="28">
        <f>VALUE(LEFT(D30,6))</f>
        <v>1044.3</v>
      </c>
      <c r="E12" s="28">
        <f t="shared" ref="E12:G12" si="0">VALUE(LEFT(E30,6))</f>
        <v>1070.9000000000001</v>
      </c>
      <c r="F12" s="28">
        <f>VALUE(LEFT(F30,4))</f>
        <v>1095</v>
      </c>
      <c r="G12" s="28">
        <f t="shared" si="0"/>
        <v>1114.8</v>
      </c>
    </row>
    <row r="13" spans="1:7">
      <c r="A13" s="28" t="s">
        <v>58</v>
      </c>
      <c r="B13" s="28" t="s">
        <v>68</v>
      </c>
      <c r="C13" s="28" t="s">
        <v>68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70</v>
      </c>
      <c r="B14" s="28" t="s">
        <v>70</v>
      </c>
      <c r="C14" s="28" t="s">
        <v>70</v>
      </c>
    </row>
    <row r="15" spans="1:7">
      <c r="A15" s="28" t="s">
        <v>71</v>
      </c>
      <c r="B15" s="28" t="s">
        <v>71</v>
      </c>
      <c r="C15" s="28" t="s">
        <v>71</v>
      </c>
    </row>
    <row r="16" spans="1:7">
      <c r="A16" s="28" t="s">
        <v>72</v>
      </c>
      <c r="B16" s="28" t="s">
        <v>72</v>
      </c>
      <c r="C16" s="28" t="s">
        <v>72</v>
      </c>
    </row>
    <row r="17" spans="1:13">
      <c r="A17" s="28" t="s">
        <v>69</v>
      </c>
      <c r="B17" s="28" t="s">
        <v>69</v>
      </c>
      <c r="C17" s="28" t="s">
        <v>69</v>
      </c>
      <c r="D17" s="28">
        <v>700</v>
      </c>
      <c r="E17" s="28">
        <v>701</v>
      </c>
      <c r="F17" s="28">
        <v>702</v>
      </c>
      <c r="G17" s="28">
        <v>703</v>
      </c>
    </row>
    <row r="18" spans="1:13">
      <c r="A18" s="28" t="s">
        <v>140</v>
      </c>
      <c r="B18" s="28" t="s">
        <v>140</v>
      </c>
      <c r="C18" s="28" t="s">
        <v>140</v>
      </c>
    </row>
    <row r="19" spans="1:13">
      <c r="A19" s="28" t="s">
        <v>141</v>
      </c>
      <c r="B19" s="28" t="s">
        <v>141</v>
      </c>
      <c r="C19" s="28" t="s">
        <v>141</v>
      </c>
      <c r="D19" s="28">
        <f>2.4*25.4</f>
        <v>60.959999999999994</v>
      </c>
      <c r="E19" s="28">
        <f t="shared" ref="E19:G19" si="1">2.4*25.4</f>
        <v>60.959999999999994</v>
      </c>
      <c r="F19" s="28">
        <f t="shared" si="1"/>
        <v>60.959999999999994</v>
      </c>
      <c r="G19" s="28">
        <f t="shared" si="1"/>
        <v>60.959999999999994</v>
      </c>
    </row>
    <row r="23" spans="1:13">
      <c r="C23" s="28" t="s">
        <v>170</v>
      </c>
      <c r="D23" s="28" t="s">
        <v>946</v>
      </c>
      <c r="E23" s="28" t="s">
        <v>947</v>
      </c>
      <c r="F23" s="28" t="s">
        <v>948</v>
      </c>
      <c r="G23" s="28" t="s">
        <v>35</v>
      </c>
      <c r="H23" s="28" t="s">
        <v>32</v>
      </c>
      <c r="I23" s="28" t="s">
        <v>949</v>
      </c>
      <c r="J23" s="28" t="s">
        <v>950</v>
      </c>
      <c r="K23" s="28" t="s">
        <v>951</v>
      </c>
      <c r="L23" s="28" t="s">
        <v>320</v>
      </c>
      <c r="M23" s="28" t="s">
        <v>319</v>
      </c>
    </row>
    <row r="24" spans="1:13">
      <c r="C24" s="28" t="s">
        <v>18</v>
      </c>
      <c r="D24" s="28">
        <f>D33*10</f>
        <v>530</v>
      </c>
      <c r="E24" s="28">
        <f>E33*10</f>
        <v>520</v>
      </c>
      <c r="F24" s="28">
        <v>140</v>
      </c>
      <c r="G24" s="28">
        <v>70</v>
      </c>
      <c r="H24" s="28">
        <v>74.25</v>
      </c>
      <c r="I24" s="28">
        <v>72</v>
      </c>
      <c r="J24" s="28">
        <v>445</v>
      </c>
      <c r="K24" s="28">
        <v>31.9</v>
      </c>
      <c r="L24" s="28">
        <v>602</v>
      </c>
      <c r="M24" s="28">
        <v>358</v>
      </c>
    </row>
    <row r="25" spans="1:13">
      <c r="C25" s="28" t="s">
        <v>19</v>
      </c>
      <c r="D25" s="28">
        <f t="shared" ref="D25:E27" si="2">D34*10</f>
        <v>560</v>
      </c>
      <c r="E25" s="28">
        <f t="shared" si="2"/>
        <v>540</v>
      </c>
      <c r="F25" s="28">
        <v>160</v>
      </c>
      <c r="G25" s="28">
        <v>70</v>
      </c>
      <c r="H25" s="28">
        <v>74</v>
      </c>
      <c r="I25" s="28">
        <v>72</v>
      </c>
      <c r="J25" s="28">
        <v>445</v>
      </c>
      <c r="K25" s="28">
        <v>32.6</v>
      </c>
      <c r="L25" s="28">
        <v>620</v>
      </c>
      <c r="M25" s="28">
        <v>378</v>
      </c>
    </row>
    <row r="26" spans="1:13">
      <c r="C26" s="28" t="s">
        <v>20</v>
      </c>
      <c r="D26" s="28">
        <f t="shared" si="2"/>
        <v>590</v>
      </c>
      <c r="E26" s="28">
        <f t="shared" si="2"/>
        <v>570</v>
      </c>
      <c r="F26" s="28">
        <v>190</v>
      </c>
      <c r="G26" s="28">
        <v>70.5</v>
      </c>
      <c r="H26" s="28">
        <v>73.5</v>
      </c>
      <c r="I26" s="28">
        <v>70</v>
      </c>
      <c r="J26" s="28">
        <v>445</v>
      </c>
      <c r="K26" s="28">
        <v>33.700000000000003</v>
      </c>
      <c r="L26" s="28">
        <v>650</v>
      </c>
      <c r="M26" s="28">
        <v>396</v>
      </c>
    </row>
    <row r="27" spans="1:13">
      <c r="C27" s="28" t="s">
        <v>21</v>
      </c>
      <c r="D27" s="28">
        <f t="shared" si="2"/>
        <v>620</v>
      </c>
      <c r="E27" s="28">
        <f t="shared" si="2"/>
        <v>600</v>
      </c>
      <c r="F27" s="28">
        <v>220</v>
      </c>
      <c r="G27" s="28">
        <v>71</v>
      </c>
      <c r="H27" s="28">
        <v>73</v>
      </c>
      <c r="I27" s="28">
        <v>68</v>
      </c>
      <c r="J27" s="28">
        <v>445</v>
      </c>
      <c r="K27" s="28">
        <v>34.799999999999997</v>
      </c>
      <c r="L27" s="28">
        <v>678</v>
      </c>
      <c r="M27" s="28">
        <v>411</v>
      </c>
    </row>
    <row r="28" spans="1:13">
      <c r="C28" s="28" t="s">
        <v>952</v>
      </c>
    </row>
    <row r="30" spans="1:13">
      <c r="C30" s="1" t="s">
        <v>10</v>
      </c>
      <c r="D30" s="8" t="s">
        <v>953</v>
      </c>
      <c r="E30" s="8" t="s">
        <v>954</v>
      </c>
      <c r="F30" s="8" t="s">
        <v>955</v>
      </c>
      <c r="G30" s="8" t="s">
        <v>956</v>
      </c>
    </row>
    <row r="32" spans="1:13">
      <c r="C32" s="28" t="s">
        <v>170</v>
      </c>
      <c r="D32" s="28" t="s">
        <v>946</v>
      </c>
      <c r="E32" s="28" t="s">
        <v>947</v>
      </c>
      <c r="F32" s="28" t="s">
        <v>948</v>
      </c>
      <c r="G32" s="28" t="s">
        <v>35</v>
      </c>
      <c r="H32" s="28" t="s">
        <v>32</v>
      </c>
      <c r="I32" s="28" t="s">
        <v>949</v>
      </c>
      <c r="J32" s="28" t="s">
        <v>950</v>
      </c>
      <c r="K32" s="28" t="s">
        <v>951</v>
      </c>
      <c r="L32" s="28" t="s">
        <v>320</v>
      </c>
      <c r="M32" s="28" t="s">
        <v>319</v>
      </c>
    </row>
    <row r="33" spans="3:13">
      <c r="C33" s="28" t="s">
        <v>18</v>
      </c>
      <c r="D33" s="28">
        <v>53</v>
      </c>
      <c r="E33" s="28">
        <v>52</v>
      </c>
      <c r="F33" s="28">
        <v>140</v>
      </c>
      <c r="G33" s="28">
        <v>70</v>
      </c>
      <c r="H33" s="28">
        <v>74.25</v>
      </c>
      <c r="I33" s="28">
        <v>72</v>
      </c>
      <c r="J33" s="28">
        <v>445</v>
      </c>
      <c r="K33" s="28">
        <v>31.9</v>
      </c>
      <c r="L33" s="28">
        <v>602</v>
      </c>
      <c r="M33" s="28">
        <v>358</v>
      </c>
    </row>
    <row r="34" spans="3:13">
      <c r="C34" s="28" t="s">
        <v>19</v>
      </c>
      <c r="D34" s="28">
        <v>56</v>
      </c>
      <c r="E34" s="28">
        <v>54</v>
      </c>
      <c r="F34" s="28">
        <v>160</v>
      </c>
      <c r="G34" s="28">
        <v>70</v>
      </c>
      <c r="H34" s="28">
        <v>74</v>
      </c>
      <c r="I34" s="28">
        <v>72</v>
      </c>
      <c r="J34" s="28">
        <v>445</v>
      </c>
      <c r="K34" s="28">
        <v>32.6</v>
      </c>
      <c r="L34" s="28">
        <v>620</v>
      </c>
      <c r="M34" s="28">
        <v>378</v>
      </c>
    </row>
    <row r="35" spans="3:13">
      <c r="C35" s="28" t="s">
        <v>20</v>
      </c>
      <c r="D35" s="28">
        <v>59</v>
      </c>
      <c r="E35" s="28">
        <v>57</v>
      </c>
      <c r="F35" s="28">
        <v>190</v>
      </c>
      <c r="G35" s="28">
        <v>70.5</v>
      </c>
      <c r="H35" s="28">
        <v>73.5</v>
      </c>
      <c r="I35" s="28">
        <v>70</v>
      </c>
      <c r="J35" s="28">
        <v>445</v>
      </c>
      <c r="K35" s="28">
        <v>33.700000000000003</v>
      </c>
      <c r="L35" s="28">
        <v>650</v>
      </c>
      <c r="M35" s="28">
        <v>396</v>
      </c>
    </row>
    <row r="36" spans="3:13">
      <c r="C36" s="28" t="s">
        <v>21</v>
      </c>
      <c r="D36" s="28">
        <v>62</v>
      </c>
      <c r="E36" s="28">
        <v>60</v>
      </c>
      <c r="F36" s="28">
        <v>220</v>
      </c>
      <c r="G36" s="28">
        <v>71</v>
      </c>
      <c r="H36" s="28">
        <v>73</v>
      </c>
      <c r="I36" s="28">
        <v>68</v>
      </c>
      <c r="J36" s="28">
        <v>445</v>
      </c>
      <c r="K36" s="28">
        <v>34.799999999999997</v>
      </c>
      <c r="L36" s="28">
        <v>678</v>
      </c>
      <c r="M36" s="28">
        <v>411</v>
      </c>
    </row>
    <row r="37" spans="3:13">
      <c r="C37" s="28" t="s">
        <v>952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8" bestFit="1" customWidth="1"/>
    <col min="3" max="3" width="20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v>50</v>
      </c>
      <c r="E1" s="28">
        <v>52</v>
      </c>
      <c r="F1" s="28">
        <v>54</v>
      </c>
      <c r="G1" s="28">
        <v>55</v>
      </c>
      <c r="H1" s="28">
        <v>56</v>
      </c>
      <c r="I1" s="28">
        <v>58</v>
      </c>
      <c r="J1" s="28">
        <v>60</v>
      </c>
    </row>
    <row r="2" spans="1:10">
      <c r="A2" s="28" t="s">
        <v>55</v>
      </c>
      <c r="B2" s="28" t="s">
        <v>63</v>
      </c>
      <c r="C2" s="28" t="s">
        <v>1624</v>
      </c>
      <c r="D2" s="28">
        <v>69</v>
      </c>
      <c r="E2" s="28">
        <v>69.5</v>
      </c>
      <c r="F2" s="28">
        <v>70</v>
      </c>
      <c r="G2" s="28">
        <v>70</v>
      </c>
      <c r="H2" s="28">
        <v>70</v>
      </c>
      <c r="I2" s="28">
        <v>70.5</v>
      </c>
      <c r="J2" s="28">
        <v>71</v>
      </c>
    </row>
    <row r="3" spans="1:10">
      <c r="A3" s="28" t="s">
        <v>56</v>
      </c>
      <c r="B3" s="28" t="s">
        <v>64</v>
      </c>
      <c r="C3" s="28" t="s">
        <v>1625</v>
      </c>
      <c r="D3" s="28">
        <v>74.5</v>
      </c>
      <c r="E3" s="28">
        <v>74</v>
      </c>
      <c r="F3" s="28">
        <v>74</v>
      </c>
      <c r="G3" s="28">
        <v>74</v>
      </c>
      <c r="H3" s="28">
        <v>73.5</v>
      </c>
      <c r="I3" s="28">
        <v>73.5</v>
      </c>
      <c r="J3" s="28">
        <v>73</v>
      </c>
    </row>
    <row r="4" spans="1:10">
      <c r="A4" s="28" t="s">
        <v>61</v>
      </c>
      <c r="B4" s="28" t="s">
        <v>61</v>
      </c>
      <c r="C4" s="28" t="s">
        <v>1626</v>
      </c>
      <c r="D4" s="28">
        <v>500</v>
      </c>
      <c r="E4" s="28">
        <v>525</v>
      </c>
      <c r="F4" s="28">
        <v>545</v>
      </c>
      <c r="G4" s="28">
        <v>555</v>
      </c>
      <c r="H4" s="28">
        <v>565</v>
      </c>
      <c r="I4" s="28">
        <v>580</v>
      </c>
      <c r="J4" s="28">
        <v>600</v>
      </c>
    </row>
    <row r="5" spans="1:10">
      <c r="A5" s="28" t="s">
        <v>74</v>
      </c>
      <c r="B5" s="28" t="s">
        <v>74</v>
      </c>
      <c r="C5" s="28" t="s">
        <v>1627</v>
      </c>
      <c r="D5" s="28">
        <v>530</v>
      </c>
      <c r="E5" s="28">
        <v>545</v>
      </c>
      <c r="F5" s="28">
        <v>555</v>
      </c>
      <c r="G5" s="28">
        <v>565</v>
      </c>
      <c r="H5" s="28">
        <v>575</v>
      </c>
      <c r="I5" s="28">
        <v>595</v>
      </c>
      <c r="J5" s="28">
        <v>615</v>
      </c>
    </row>
    <row r="6" spans="1:10">
      <c r="A6" s="28" t="s">
        <v>63</v>
      </c>
      <c r="B6" s="28" t="s">
        <v>65</v>
      </c>
      <c r="C6" s="28" t="s">
        <v>1628</v>
      </c>
      <c r="D6" s="28">
        <v>115</v>
      </c>
      <c r="E6" s="28">
        <v>135</v>
      </c>
      <c r="F6" s="28">
        <v>150</v>
      </c>
      <c r="G6" s="28">
        <v>155</v>
      </c>
      <c r="H6" s="28">
        <v>165</v>
      </c>
      <c r="I6" s="28">
        <v>180</v>
      </c>
      <c r="J6" s="28">
        <v>200</v>
      </c>
    </row>
    <row r="7" spans="1:10">
      <c r="A7" s="28" t="s">
        <v>64</v>
      </c>
      <c r="B7" s="28" t="s">
        <v>57</v>
      </c>
      <c r="C7" s="28" t="s">
        <v>385</v>
      </c>
      <c r="D7" s="28">
        <v>1054</v>
      </c>
      <c r="E7" s="28">
        <v>1062</v>
      </c>
      <c r="F7" s="28">
        <v>1068</v>
      </c>
      <c r="G7" s="28">
        <v>1081</v>
      </c>
      <c r="H7" s="28">
        <v>1085</v>
      </c>
      <c r="I7" s="28">
        <v>1100</v>
      </c>
      <c r="J7" s="28">
        <v>1110</v>
      </c>
    </row>
    <row r="8" spans="1:10">
      <c r="A8" s="28" t="s">
        <v>65</v>
      </c>
      <c r="B8" s="28" t="s">
        <v>67</v>
      </c>
      <c r="C8" s="28" t="s">
        <v>1629</v>
      </c>
      <c r="D8" s="28">
        <v>445</v>
      </c>
      <c r="E8" s="28">
        <v>445</v>
      </c>
      <c r="F8" s="28">
        <v>445</v>
      </c>
      <c r="G8" s="28">
        <v>445</v>
      </c>
      <c r="H8" s="28">
        <v>445</v>
      </c>
      <c r="I8" s="28">
        <v>445</v>
      </c>
      <c r="J8" s="28">
        <v>445</v>
      </c>
    </row>
    <row r="9" spans="1:10">
      <c r="A9" s="28" t="s">
        <v>66</v>
      </c>
      <c r="B9" s="28" t="s">
        <v>68</v>
      </c>
      <c r="C9" s="28" t="s">
        <v>745</v>
      </c>
      <c r="D9" s="28">
        <v>56</v>
      </c>
      <c r="E9" s="28">
        <v>56</v>
      </c>
      <c r="F9" s="28">
        <v>56</v>
      </c>
      <c r="G9" s="28">
        <v>56</v>
      </c>
      <c r="H9" s="28">
        <v>56</v>
      </c>
      <c r="I9" s="28">
        <v>56</v>
      </c>
      <c r="J9" s="28">
        <v>56</v>
      </c>
    </row>
    <row r="10" spans="1:10">
      <c r="A10" s="28" t="s">
        <v>67</v>
      </c>
      <c r="B10" s="28" t="s">
        <v>136</v>
      </c>
      <c r="C10" s="28" t="s">
        <v>1002</v>
      </c>
      <c r="D10" s="28">
        <v>82</v>
      </c>
      <c r="E10" s="28">
        <v>78</v>
      </c>
      <c r="F10" s="28">
        <v>75</v>
      </c>
      <c r="G10" s="28">
        <v>75</v>
      </c>
      <c r="H10" s="28">
        <v>75</v>
      </c>
      <c r="I10" s="28">
        <v>71</v>
      </c>
      <c r="J10" s="28">
        <v>68</v>
      </c>
    </row>
    <row r="11" spans="1:10">
      <c r="A11" s="28" t="s">
        <v>57</v>
      </c>
      <c r="B11" s="28" t="s">
        <v>58</v>
      </c>
      <c r="C11" s="28" t="s">
        <v>1003</v>
      </c>
      <c r="D11" s="28">
        <v>791</v>
      </c>
      <c r="E11" s="28">
        <v>813</v>
      </c>
      <c r="F11" s="28">
        <v>830</v>
      </c>
      <c r="G11" s="28">
        <v>837</v>
      </c>
      <c r="H11" s="28">
        <v>846</v>
      </c>
      <c r="I11" s="28">
        <v>862</v>
      </c>
      <c r="J11" s="28">
        <v>881</v>
      </c>
    </row>
    <row r="12" spans="1:10">
      <c r="A12" s="28" t="s">
        <v>68</v>
      </c>
      <c r="B12" s="28" t="s">
        <v>66</v>
      </c>
      <c r="C12" s="28" t="s">
        <v>1630</v>
      </c>
      <c r="D12" s="28">
        <v>75</v>
      </c>
      <c r="E12" s="28">
        <v>75</v>
      </c>
      <c r="F12" s="28">
        <v>75</v>
      </c>
      <c r="G12" s="28">
        <v>75</v>
      </c>
      <c r="H12" s="28">
        <v>75</v>
      </c>
      <c r="I12" s="28">
        <v>75</v>
      </c>
      <c r="J12" s="28">
        <v>75</v>
      </c>
    </row>
    <row r="13" spans="1:10">
      <c r="A13" s="28" t="s">
        <v>58</v>
      </c>
      <c r="B13" s="28" t="s">
        <v>138</v>
      </c>
      <c r="C13" s="28" t="s">
        <v>1631</v>
      </c>
      <c r="D13" s="28">
        <v>293</v>
      </c>
      <c r="E13" s="28">
        <v>293</v>
      </c>
      <c r="F13" s="28">
        <v>293</v>
      </c>
      <c r="G13" s="28">
        <v>293</v>
      </c>
      <c r="H13" s="28">
        <v>293</v>
      </c>
      <c r="I13" s="28">
        <v>293</v>
      </c>
      <c r="J13" s="28">
        <v>293</v>
      </c>
    </row>
    <row r="14" spans="1:10">
      <c r="A14" s="28" t="s">
        <v>70</v>
      </c>
      <c r="B14" s="28" t="s">
        <v>1635</v>
      </c>
      <c r="C14" s="28" t="s">
        <v>1632</v>
      </c>
      <c r="D14" s="28">
        <v>7.5</v>
      </c>
      <c r="E14" s="28">
        <v>7</v>
      </c>
      <c r="F14" s="28">
        <v>6.5</v>
      </c>
      <c r="G14" s="28">
        <v>5.6</v>
      </c>
      <c r="H14" s="28">
        <v>5.8</v>
      </c>
      <c r="I14" s="28">
        <v>5.8</v>
      </c>
      <c r="J14" s="28">
        <v>6</v>
      </c>
    </row>
    <row r="15" spans="1:10">
      <c r="A15" s="28" t="s">
        <v>71</v>
      </c>
      <c r="B15" s="28" t="s">
        <v>55</v>
      </c>
      <c r="C15" s="28" t="s">
        <v>1633</v>
      </c>
      <c r="D15" s="28">
        <v>551</v>
      </c>
      <c r="E15" s="28">
        <v>572</v>
      </c>
      <c r="F15" s="28">
        <v>588</v>
      </c>
      <c r="G15" s="28">
        <v>592</v>
      </c>
      <c r="H15" s="28">
        <v>602</v>
      </c>
      <c r="I15" s="28">
        <v>618</v>
      </c>
      <c r="J15" s="28">
        <v>640</v>
      </c>
    </row>
    <row r="16" spans="1:10">
      <c r="A16" s="28" t="s">
        <v>72</v>
      </c>
      <c r="B16" s="28" t="s">
        <v>56</v>
      </c>
      <c r="C16" s="28" t="s">
        <v>1634</v>
      </c>
      <c r="D16" s="28">
        <v>373</v>
      </c>
      <c r="E16" s="28">
        <v>378</v>
      </c>
      <c r="F16" s="28">
        <v>384</v>
      </c>
      <c r="G16" s="28">
        <v>392</v>
      </c>
      <c r="H16" s="28">
        <v>395</v>
      </c>
      <c r="I16" s="28">
        <v>410</v>
      </c>
      <c r="J16" s="28">
        <v>418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  <c r="I20" s="28">
        <v>34</v>
      </c>
      <c r="J20" s="28">
        <v>35</v>
      </c>
    </row>
    <row r="21" spans="1:10">
      <c r="B21" s="28" t="s">
        <v>140</v>
      </c>
      <c r="C21" s="28" t="s">
        <v>140</v>
      </c>
      <c r="D21" s="28">
        <f>2.5*25.4</f>
        <v>63.5</v>
      </c>
      <c r="E21" s="28">
        <f t="shared" ref="E21:J22" si="0">2.5*25.4</f>
        <v>63.5</v>
      </c>
      <c r="F21" s="28">
        <f t="shared" si="0"/>
        <v>63.5</v>
      </c>
      <c r="G21" s="28">
        <f t="shared" si="0"/>
        <v>63.5</v>
      </c>
      <c r="H21" s="28">
        <f t="shared" si="0"/>
        <v>63.5</v>
      </c>
      <c r="I21" s="28">
        <f t="shared" si="0"/>
        <v>63.5</v>
      </c>
      <c r="J21" s="28">
        <f t="shared" si="0"/>
        <v>63.5</v>
      </c>
    </row>
    <row r="22" spans="1:10">
      <c r="B22" s="28" t="s">
        <v>141</v>
      </c>
      <c r="C22" s="28" t="s">
        <v>141</v>
      </c>
      <c r="D22" s="28">
        <f>2.5*25.4</f>
        <v>63.5</v>
      </c>
      <c r="E22" s="28">
        <f t="shared" si="0"/>
        <v>63.5</v>
      </c>
      <c r="F22" s="28">
        <f t="shared" si="0"/>
        <v>63.5</v>
      </c>
      <c r="G22" s="28">
        <f t="shared" si="0"/>
        <v>63.5</v>
      </c>
      <c r="H22" s="28">
        <f t="shared" si="0"/>
        <v>63.5</v>
      </c>
      <c r="I22" s="28">
        <f t="shared" si="0"/>
        <v>63.5</v>
      </c>
      <c r="J22" s="28">
        <f t="shared" si="0"/>
        <v>63.5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927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922</v>
      </c>
      <c r="D30" s="47">
        <f>SQRT(D4^2-D8^2)</f>
        <v>423.40878592679201</v>
      </c>
      <c r="E30" s="47">
        <f t="shared" ref="E30:I30" si="0">SQRT(E4^2-E8^2)</f>
        <v>423.40878592679201</v>
      </c>
      <c r="F30" s="47">
        <f t="shared" si="0"/>
        <v>423.40878592679201</v>
      </c>
      <c r="G30" s="47">
        <f t="shared" si="0"/>
        <v>424.26406871192853</v>
      </c>
      <c r="H30" s="47">
        <f t="shared" si="0"/>
        <v>424.26406871192853</v>
      </c>
      <c r="I30" s="47">
        <f t="shared" si="0"/>
        <v>424.26406871192853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F31" sqref="F3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415</v>
      </c>
      <c r="F1" s="3" t="s">
        <v>416</v>
      </c>
      <c r="G1" s="3" t="s">
        <v>24</v>
      </c>
      <c r="H1" s="3" t="s">
        <v>417</v>
      </c>
      <c r="I1" s="3" t="s">
        <v>418</v>
      </c>
      <c r="J1" s="3" t="s">
        <v>26</v>
      </c>
    </row>
    <row r="2" spans="1:11" ht="19">
      <c r="A2" s="3" t="s">
        <v>55</v>
      </c>
      <c r="B2" s="3" t="s">
        <v>74</v>
      </c>
      <c r="C2" s="3" t="s">
        <v>419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430</v>
      </c>
      <c r="C3" s="3" t="s">
        <v>420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421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422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423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424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425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426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427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923</v>
      </c>
    </row>
    <row r="11" spans="1:11" ht="19">
      <c r="A11" s="3" t="s">
        <v>57</v>
      </c>
      <c r="B11" s="3" t="s">
        <v>55</v>
      </c>
      <c r="C11" s="3" t="s">
        <v>428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429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470</v>
      </c>
    </row>
    <row r="14" spans="1:11" ht="19">
      <c r="A14" s="3" t="s">
        <v>70</v>
      </c>
      <c r="B14" s="3" t="s">
        <v>57</v>
      </c>
      <c r="C14" s="3" t="s">
        <v>57</v>
      </c>
      <c r="D14" s="8">
        <v>987</v>
      </c>
      <c r="E14" s="8">
        <v>992.1</v>
      </c>
      <c r="F14" s="8">
        <v>1005.2</v>
      </c>
      <c r="G14" s="8">
        <v>1019.6</v>
      </c>
      <c r="H14" s="8">
        <v>1032.3</v>
      </c>
      <c r="I14" s="8">
        <v>1049.4000000000001</v>
      </c>
      <c r="J14" s="8">
        <v>1062.5</v>
      </c>
      <c r="K14" s="8" t="s">
        <v>375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8" bestFit="1" customWidth="1"/>
    <col min="3" max="3" width="29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tr">
        <f>C26</f>
        <v>Size</v>
      </c>
      <c r="D1" s="28" t="str">
        <f t="shared" ref="D1:I1" si="0">D26</f>
        <v>48cm</v>
      </c>
      <c r="E1" s="28" t="str">
        <f t="shared" si="0"/>
        <v>50cm</v>
      </c>
      <c r="F1" s="28" t="str">
        <f t="shared" si="0"/>
        <v>52cm</v>
      </c>
      <c r="G1" s="28" t="str">
        <f t="shared" si="0"/>
        <v>54cm</v>
      </c>
      <c r="H1" s="28" t="str">
        <f t="shared" si="0"/>
        <v>56cm</v>
      </c>
      <c r="I1" s="28" t="str">
        <f t="shared" si="0"/>
        <v>58cm</v>
      </c>
    </row>
    <row r="2" spans="1:10">
      <c r="A2" s="28" t="s">
        <v>55</v>
      </c>
      <c r="B2" s="28" t="s">
        <v>61</v>
      </c>
      <c r="C2" s="28" t="str">
        <f>C28</f>
        <v xml:space="preserve">Seat Tube </v>
      </c>
      <c r="D2" s="28">
        <f>VALUE(LEFT(D28,3))</f>
        <v>450</v>
      </c>
      <c r="E2" s="28">
        <f t="shared" ref="E2:I2" si="1">VALUE(LEFT(E28,3))</f>
        <v>470</v>
      </c>
      <c r="F2" s="28">
        <f t="shared" si="1"/>
        <v>490</v>
      </c>
      <c r="G2" s="28">
        <f t="shared" si="1"/>
        <v>510</v>
      </c>
      <c r="H2" s="28">
        <f t="shared" si="1"/>
        <v>530</v>
      </c>
      <c r="I2" s="28">
        <f t="shared" si="1"/>
        <v>550</v>
      </c>
    </row>
    <row r="3" spans="1:10">
      <c r="A3" s="28" t="s">
        <v>56</v>
      </c>
      <c r="B3" s="28" t="s">
        <v>74</v>
      </c>
      <c r="C3" s="28" t="str">
        <f t="shared" ref="C3:C12" si="2">C29</f>
        <v xml:space="preserve">Effective Top Tube Length </v>
      </c>
      <c r="D3" s="28">
        <f t="shared" ref="D3:I3" si="3">VALUE(LEFT(D29,3))</f>
        <v>510</v>
      </c>
      <c r="E3" s="28">
        <f t="shared" si="3"/>
        <v>520</v>
      </c>
      <c r="F3" s="28">
        <f t="shared" si="3"/>
        <v>535</v>
      </c>
      <c r="G3" s="28">
        <f t="shared" si="3"/>
        <v>555</v>
      </c>
      <c r="H3" s="28">
        <f t="shared" si="3"/>
        <v>570</v>
      </c>
      <c r="I3" s="28">
        <f t="shared" si="3"/>
        <v>585</v>
      </c>
    </row>
    <row r="4" spans="1:10">
      <c r="A4" s="28" t="s">
        <v>61</v>
      </c>
      <c r="B4" s="28" t="s">
        <v>65</v>
      </c>
      <c r="C4" s="28" t="str">
        <f t="shared" si="2"/>
        <v xml:space="preserve">Head Tube Length </v>
      </c>
      <c r="D4" s="28">
        <f t="shared" ref="D4:I4" si="4">VALUE(LEFT(D30,3))</f>
        <v>100</v>
      </c>
      <c r="E4" s="28">
        <f t="shared" si="4"/>
        <v>110</v>
      </c>
      <c r="F4" s="28">
        <f t="shared" si="4"/>
        <v>125</v>
      </c>
      <c r="G4" s="28">
        <f t="shared" si="4"/>
        <v>145</v>
      </c>
      <c r="H4" s="28">
        <f t="shared" si="4"/>
        <v>160</v>
      </c>
      <c r="I4" s="28">
        <f t="shared" si="4"/>
        <v>185</v>
      </c>
    </row>
    <row r="5" spans="1:10">
      <c r="A5" s="28" t="s">
        <v>74</v>
      </c>
      <c r="B5" s="28" t="s">
        <v>67</v>
      </c>
      <c r="C5" s="28" t="str">
        <f t="shared" si="2"/>
        <v xml:space="preserve">Chain Stay Length </v>
      </c>
      <c r="D5" s="28">
        <f t="shared" ref="D5:I5" si="5">VALUE(LEFT(D31,3))</f>
        <v>440</v>
      </c>
      <c r="E5" s="28">
        <f t="shared" si="5"/>
        <v>440</v>
      </c>
      <c r="F5" s="28">
        <f t="shared" si="5"/>
        <v>440</v>
      </c>
      <c r="G5" s="28">
        <f t="shared" si="5"/>
        <v>440</v>
      </c>
      <c r="H5" s="28">
        <f t="shared" si="5"/>
        <v>440</v>
      </c>
      <c r="I5" s="28">
        <f t="shared" si="5"/>
        <v>440</v>
      </c>
    </row>
    <row r="6" spans="1:10">
      <c r="A6" s="28" t="s">
        <v>63</v>
      </c>
      <c r="B6" s="28" t="s">
        <v>63</v>
      </c>
      <c r="C6" s="28" t="str">
        <f t="shared" si="2"/>
        <v xml:space="preserve">Head Tube Angle </v>
      </c>
      <c r="D6" s="28">
        <f>VALUE(LEFT(D32,4))</f>
        <v>70</v>
      </c>
      <c r="E6" s="28">
        <f t="shared" ref="E6:I7" si="6">VALUE(LEFT(E32,4))</f>
        <v>70.5</v>
      </c>
      <c r="F6" s="28">
        <f t="shared" si="6"/>
        <v>71.5</v>
      </c>
      <c r="G6" s="28">
        <f t="shared" si="6"/>
        <v>71.5</v>
      </c>
      <c r="H6" s="28">
        <f t="shared" si="6"/>
        <v>71.5</v>
      </c>
      <c r="I6" s="28">
        <f t="shared" si="6"/>
        <v>71.5</v>
      </c>
    </row>
    <row r="7" spans="1:10">
      <c r="A7" s="28" t="s">
        <v>64</v>
      </c>
      <c r="B7" s="28" t="s">
        <v>64</v>
      </c>
      <c r="C7" s="28" t="str">
        <f t="shared" si="2"/>
        <v xml:space="preserve">Seat Tube Angle </v>
      </c>
      <c r="D7" s="28">
        <f>VALUE(LEFT(D33,4))</f>
        <v>75</v>
      </c>
      <c r="E7" s="28">
        <f t="shared" si="6"/>
        <v>74.5</v>
      </c>
      <c r="F7" s="28">
        <f t="shared" si="6"/>
        <v>74</v>
      </c>
      <c r="G7" s="28">
        <f t="shared" si="6"/>
        <v>73</v>
      </c>
      <c r="H7" s="28">
        <f t="shared" si="6"/>
        <v>73</v>
      </c>
      <c r="I7" s="28">
        <f t="shared" si="6"/>
        <v>72.5</v>
      </c>
    </row>
    <row r="8" spans="1:10">
      <c r="A8" s="28" t="s">
        <v>65</v>
      </c>
      <c r="B8" s="28" t="s">
        <v>66</v>
      </c>
      <c r="C8" s="28" t="str">
        <f t="shared" si="2"/>
        <v xml:space="preserve">Bottom Bracket Drop </v>
      </c>
      <c r="D8" s="28">
        <f>VALUE(LEFT(D34,4))</f>
        <v>82.5</v>
      </c>
      <c r="E8" s="28">
        <f t="shared" ref="E8:I8" si="7">VALUE(LEFT(E34,4))</f>
        <v>77.5</v>
      </c>
      <c r="F8" s="28">
        <f t="shared" si="7"/>
        <v>77.5</v>
      </c>
      <c r="G8" s="28">
        <f>VALUE(LEFT(G34,2))</f>
        <v>75</v>
      </c>
      <c r="H8" s="28">
        <f>VALUE(LEFT(H34,2))</f>
        <v>75</v>
      </c>
      <c r="I8" s="28">
        <f t="shared" si="7"/>
        <v>72.5</v>
      </c>
    </row>
    <row r="9" spans="1:10">
      <c r="A9" s="28" t="s">
        <v>66</v>
      </c>
      <c r="B9" s="28" t="s">
        <v>56</v>
      </c>
      <c r="C9" s="28" t="str">
        <f t="shared" si="2"/>
        <v xml:space="preserve">Reach </v>
      </c>
      <c r="D9" s="28">
        <f t="shared" ref="D9:I9" si="8">VALUE(LEFT(D35,3))</f>
        <v>367</v>
      </c>
      <c r="E9" s="28">
        <f t="shared" si="8"/>
        <v>370</v>
      </c>
      <c r="F9" s="28">
        <f t="shared" si="8"/>
        <v>374</v>
      </c>
      <c r="G9" s="28">
        <f t="shared" si="8"/>
        <v>379</v>
      </c>
      <c r="H9" s="28">
        <f t="shared" si="8"/>
        <v>389</v>
      </c>
      <c r="I9" s="28">
        <f t="shared" si="8"/>
        <v>392</v>
      </c>
    </row>
    <row r="10" spans="1:10">
      <c r="A10" s="28" t="s">
        <v>67</v>
      </c>
      <c r="B10" s="28" t="s">
        <v>55</v>
      </c>
      <c r="C10" s="28" t="str">
        <f t="shared" si="2"/>
        <v xml:space="preserve">Stack </v>
      </c>
      <c r="D10" s="28">
        <f t="shared" ref="D10:I10" si="9">VALUE(LEFT(D36,3))</f>
        <v>536</v>
      </c>
      <c r="E10" s="28">
        <f t="shared" si="9"/>
        <v>542</v>
      </c>
      <c r="F10" s="28">
        <f t="shared" si="9"/>
        <v>560</v>
      </c>
      <c r="G10" s="28">
        <f t="shared" si="9"/>
        <v>576</v>
      </c>
      <c r="H10" s="28">
        <f t="shared" si="9"/>
        <v>591</v>
      </c>
      <c r="I10" s="28">
        <f t="shared" si="9"/>
        <v>612</v>
      </c>
    </row>
    <row r="11" spans="1:10">
      <c r="A11" s="28" t="s">
        <v>57</v>
      </c>
      <c r="B11" s="28" t="s">
        <v>166</v>
      </c>
      <c r="C11" s="28" t="str">
        <f t="shared" si="2"/>
        <v xml:space="preserve">Fork Length </v>
      </c>
      <c r="D11" s="28">
        <f t="shared" ref="D11:I11" si="10">VALUE(LEFT(D37,3))</f>
        <v>400</v>
      </c>
      <c r="E11" s="28">
        <f t="shared" si="10"/>
        <v>400</v>
      </c>
      <c r="F11" s="28">
        <f t="shared" si="10"/>
        <v>400</v>
      </c>
      <c r="G11" s="28">
        <f t="shared" si="10"/>
        <v>400</v>
      </c>
      <c r="H11" s="28">
        <f t="shared" si="10"/>
        <v>400</v>
      </c>
      <c r="I11" s="28">
        <f t="shared" si="10"/>
        <v>400</v>
      </c>
    </row>
    <row r="12" spans="1:10">
      <c r="A12" s="28" t="s">
        <v>68</v>
      </c>
      <c r="B12" s="28" t="s">
        <v>68</v>
      </c>
      <c r="C12" s="28" t="str">
        <f t="shared" si="2"/>
        <v xml:space="preserve">Fork Offset </v>
      </c>
      <c r="D12" s="28">
        <f>VALUE(LEFT(D38,2))</f>
        <v>52</v>
      </c>
      <c r="E12" s="28">
        <f t="shared" ref="E12:I12" si="11">VALUE(LEFT(E38,2))</f>
        <v>52</v>
      </c>
      <c r="F12" s="28">
        <f t="shared" si="11"/>
        <v>52</v>
      </c>
      <c r="G12" s="28">
        <f t="shared" si="11"/>
        <v>52</v>
      </c>
      <c r="H12" s="28">
        <f t="shared" si="11"/>
        <v>52</v>
      </c>
      <c r="I12" s="28">
        <f t="shared" si="11"/>
        <v>52</v>
      </c>
    </row>
    <row r="13" spans="1:10">
      <c r="A13" s="28" t="s">
        <v>58</v>
      </c>
      <c r="B13" s="28" t="s">
        <v>57</v>
      </c>
      <c r="C13" s="28" t="s">
        <v>57</v>
      </c>
      <c r="D13" s="28">
        <f>VALUE(LEFT(D40,6))</f>
        <v>1019.6</v>
      </c>
      <c r="E13" s="28">
        <f t="shared" ref="E13:I13" si="12">VALUE(LEFT(E40,6))</f>
        <v>1022.8</v>
      </c>
      <c r="F13" s="28">
        <f t="shared" si="12"/>
        <v>1023.4</v>
      </c>
      <c r="G13" s="28">
        <f>VALUE(LEFT(G40,4))</f>
        <v>1035</v>
      </c>
      <c r="H13" s="28">
        <f t="shared" si="12"/>
        <v>1050.0999999999999</v>
      </c>
      <c r="I13" s="28">
        <f t="shared" si="12"/>
        <v>1061.3</v>
      </c>
      <c r="J13" s="28" t="s">
        <v>375</v>
      </c>
    </row>
    <row r="14" spans="1:10">
      <c r="A14" s="28" t="s">
        <v>70</v>
      </c>
      <c r="B14" s="28" t="s">
        <v>58</v>
      </c>
      <c r="C14" s="28" t="s">
        <v>58</v>
      </c>
    </row>
    <row r="15" spans="1:10">
      <c r="A15" s="28" t="s">
        <v>71</v>
      </c>
      <c r="B15" s="28" t="s">
        <v>70</v>
      </c>
      <c r="C15" s="28" t="s">
        <v>70</v>
      </c>
      <c r="D15" s="28">
        <v>165</v>
      </c>
      <c r="E15" s="28">
        <v>165</v>
      </c>
      <c r="F15" s="28">
        <v>170</v>
      </c>
      <c r="G15" s="28">
        <v>172.5</v>
      </c>
      <c r="H15" s="28">
        <v>175</v>
      </c>
      <c r="I15" s="28">
        <v>175</v>
      </c>
      <c r="J15" s="28" t="s">
        <v>747</v>
      </c>
    </row>
    <row r="16" spans="1:10">
      <c r="A16" s="28" t="s">
        <v>72</v>
      </c>
      <c r="B16" s="28" t="s">
        <v>71</v>
      </c>
      <c r="C16" s="28" t="s">
        <v>71</v>
      </c>
      <c r="D16" s="28">
        <v>380</v>
      </c>
      <c r="E16" s="28">
        <v>380</v>
      </c>
      <c r="F16" s="28">
        <v>400</v>
      </c>
      <c r="G16" s="28">
        <v>400</v>
      </c>
      <c r="H16" s="28">
        <v>420</v>
      </c>
      <c r="I16" s="28">
        <v>440</v>
      </c>
      <c r="J16" s="28" t="s">
        <v>747</v>
      </c>
    </row>
    <row r="17" spans="1:10">
      <c r="A17" s="28" t="s">
        <v>69</v>
      </c>
      <c r="B17" s="28" t="s">
        <v>72</v>
      </c>
      <c r="C17" s="28" t="s">
        <v>72</v>
      </c>
      <c r="D17" s="28">
        <v>70</v>
      </c>
      <c r="E17" s="28">
        <v>70</v>
      </c>
      <c r="F17" s="28">
        <v>80</v>
      </c>
      <c r="G17" s="28">
        <v>80</v>
      </c>
      <c r="H17" s="28">
        <v>90</v>
      </c>
      <c r="I17" s="28">
        <v>100</v>
      </c>
      <c r="J17" s="28" t="s">
        <v>747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  <c r="H19" s="28">
        <v>40</v>
      </c>
      <c r="I19" s="28">
        <v>40</v>
      </c>
    </row>
    <row r="20" spans="1:10">
      <c r="B20" s="28" t="s">
        <v>141</v>
      </c>
      <c r="C20" s="28" t="s">
        <v>141</v>
      </c>
    </row>
    <row r="26" spans="1:10">
      <c r="B26" s="28" t="s">
        <v>678</v>
      </c>
      <c r="C26" s="28" t="s">
        <v>144</v>
      </c>
      <c r="D26" s="28" t="s">
        <v>23</v>
      </c>
      <c r="E26" s="28" t="s">
        <v>415</v>
      </c>
      <c r="F26" s="28" t="s">
        <v>416</v>
      </c>
      <c r="G26" s="28" t="s">
        <v>24</v>
      </c>
      <c r="H26" s="28" t="s">
        <v>417</v>
      </c>
      <c r="I26" s="28" t="s">
        <v>418</v>
      </c>
    </row>
    <row r="27" spans="1:10">
      <c r="B27" s="28" t="s">
        <v>679</v>
      </c>
      <c r="C27" s="28" t="s">
        <v>680</v>
      </c>
      <c r="D27" s="28" t="s">
        <v>681</v>
      </c>
      <c r="E27" s="28" t="s">
        <v>682</v>
      </c>
      <c r="F27" s="28" t="s">
        <v>683</v>
      </c>
      <c r="G27" s="28" t="s">
        <v>684</v>
      </c>
      <c r="H27" s="28" t="s">
        <v>685</v>
      </c>
      <c r="I27" s="28" t="s">
        <v>686</v>
      </c>
    </row>
    <row r="28" spans="1:10">
      <c r="B28" s="28" t="s">
        <v>687</v>
      </c>
      <c r="C28" s="28" t="s">
        <v>688</v>
      </c>
      <c r="D28" s="28" t="s">
        <v>689</v>
      </c>
      <c r="E28" s="28" t="s">
        <v>690</v>
      </c>
      <c r="F28" s="28" t="s">
        <v>691</v>
      </c>
      <c r="G28" s="28" t="s">
        <v>692</v>
      </c>
      <c r="H28" s="28" t="s">
        <v>693</v>
      </c>
      <c r="I28" s="28" t="s">
        <v>694</v>
      </c>
    </row>
    <row r="29" spans="1:10">
      <c r="B29" s="28" t="s">
        <v>695</v>
      </c>
      <c r="C29" s="28" t="s">
        <v>696</v>
      </c>
      <c r="D29" s="28" t="s">
        <v>692</v>
      </c>
      <c r="E29" s="28" t="s">
        <v>697</v>
      </c>
      <c r="F29" s="28" t="s">
        <v>698</v>
      </c>
      <c r="G29" s="28" t="s">
        <v>699</v>
      </c>
      <c r="H29" s="28" t="s">
        <v>700</v>
      </c>
      <c r="I29" s="28" t="s">
        <v>701</v>
      </c>
    </row>
    <row r="30" spans="1:10">
      <c r="B30" s="28" t="s">
        <v>702</v>
      </c>
      <c r="C30" s="28" t="s">
        <v>703</v>
      </c>
      <c r="D30" s="28" t="s">
        <v>704</v>
      </c>
      <c r="E30" s="28" t="s">
        <v>705</v>
      </c>
      <c r="F30" s="28" t="s">
        <v>706</v>
      </c>
      <c r="G30" s="28" t="s">
        <v>707</v>
      </c>
      <c r="H30" s="28" t="s">
        <v>708</v>
      </c>
      <c r="I30" s="28" t="s">
        <v>709</v>
      </c>
    </row>
    <row r="31" spans="1:10">
      <c r="B31" s="28" t="s">
        <v>710</v>
      </c>
      <c r="C31" s="28" t="s">
        <v>711</v>
      </c>
      <c r="D31" s="28" t="s">
        <v>712</v>
      </c>
      <c r="E31" s="28" t="s">
        <v>712</v>
      </c>
      <c r="F31" s="28" t="s">
        <v>712</v>
      </c>
      <c r="G31" s="28" t="s">
        <v>712</v>
      </c>
      <c r="H31" s="28" t="s">
        <v>712</v>
      </c>
      <c r="I31" s="28" t="s">
        <v>712</v>
      </c>
    </row>
    <row r="32" spans="1:10">
      <c r="B32" s="28" t="s">
        <v>713</v>
      </c>
      <c r="C32" s="28" t="s">
        <v>714</v>
      </c>
      <c r="D32" s="28" t="s">
        <v>715</v>
      </c>
      <c r="E32" s="28" t="s">
        <v>716</v>
      </c>
      <c r="F32" s="28" t="s">
        <v>717</v>
      </c>
      <c r="G32" s="28" t="s">
        <v>717</v>
      </c>
      <c r="H32" s="28" t="s">
        <v>717</v>
      </c>
      <c r="I32" s="28" t="s">
        <v>717</v>
      </c>
    </row>
    <row r="33" spans="2:9">
      <c r="B33" s="28" t="s">
        <v>718</v>
      </c>
      <c r="C33" s="28" t="s">
        <v>719</v>
      </c>
      <c r="D33" s="28" t="s">
        <v>720</v>
      </c>
      <c r="E33" s="28" t="s">
        <v>721</v>
      </c>
      <c r="F33" s="28" t="s">
        <v>722</v>
      </c>
      <c r="G33" s="28" t="s">
        <v>723</v>
      </c>
      <c r="H33" s="28" t="s">
        <v>723</v>
      </c>
      <c r="I33" s="28" t="s">
        <v>724</v>
      </c>
    </row>
    <row r="34" spans="2:9">
      <c r="B34" s="28" t="s">
        <v>399</v>
      </c>
      <c r="C34" s="28" t="s">
        <v>725</v>
      </c>
      <c r="D34" s="28" t="s">
        <v>726</v>
      </c>
      <c r="E34" s="28" t="s">
        <v>727</v>
      </c>
      <c r="F34" s="28" t="s">
        <v>727</v>
      </c>
      <c r="G34" s="28" t="s">
        <v>728</v>
      </c>
      <c r="H34" s="28" t="s">
        <v>728</v>
      </c>
      <c r="I34" s="28" t="s">
        <v>729</v>
      </c>
    </row>
    <row r="35" spans="2:9">
      <c r="B35" s="28" t="s">
        <v>398</v>
      </c>
      <c r="C35" s="28" t="s">
        <v>388</v>
      </c>
      <c r="D35" s="28" t="s">
        <v>730</v>
      </c>
      <c r="E35" s="28" t="s">
        <v>731</v>
      </c>
      <c r="F35" s="28" t="s">
        <v>732</v>
      </c>
      <c r="G35" s="28" t="s">
        <v>733</v>
      </c>
      <c r="H35" s="28" t="s">
        <v>734</v>
      </c>
      <c r="I35" s="28" t="s">
        <v>735</v>
      </c>
    </row>
    <row r="36" spans="2:9">
      <c r="B36" s="28" t="s">
        <v>400</v>
      </c>
      <c r="C36" s="28" t="s">
        <v>387</v>
      </c>
      <c r="D36" s="28" t="s">
        <v>736</v>
      </c>
      <c r="E36" s="28" t="s">
        <v>737</v>
      </c>
      <c r="F36" s="28" t="s">
        <v>738</v>
      </c>
      <c r="G36" s="28" t="s">
        <v>739</v>
      </c>
      <c r="H36" s="28" t="s">
        <v>740</v>
      </c>
      <c r="I36" s="28" t="s">
        <v>741</v>
      </c>
    </row>
    <row r="37" spans="2:9">
      <c r="B37" s="28" t="s">
        <v>742</v>
      </c>
      <c r="C37" s="28" t="s">
        <v>390</v>
      </c>
      <c r="D37" s="28" t="s">
        <v>743</v>
      </c>
      <c r="E37" s="28" t="s">
        <v>743</v>
      </c>
      <c r="F37" s="28" t="s">
        <v>743</v>
      </c>
      <c r="G37" s="28" t="s">
        <v>743</v>
      </c>
      <c r="H37" s="28" t="s">
        <v>743</v>
      </c>
      <c r="I37" s="28" t="s">
        <v>743</v>
      </c>
    </row>
    <row r="38" spans="2:9">
      <c r="B38" s="28" t="s">
        <v>744</v>
      </c>
      <c r="C38" s="28" t="s">
        <v>745</v>
      </c>
      <c r="D38" s="28" t="s">
        <v>746</v>
      </c>
      <c r="E38" s="28" t="s">
        <v>746</v>
      </c>
      <c r="F38" s="28" t="s">
        <v>746</v>
      </c>
      <c r="G38" s="28" t="s">
        <v>746</v>
      </c>
      <c r="H38" s="28" t="s">
        <v>746</v>
      </c>
      <c r="I38" s="28" t="s">
        <v>746</v>
      </c>
    </row>
    <row r="40" spans="2:9">
      <c r="C40" s="28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19.1640625" style="28" bestFit="1" customWidth="1"/>
    <col min="3" max="3" width="27" style="28" bestFit="1" customWidth="1"/>
    <col min="4" max="4" width="15.33203125" style="28" customWidth="1"/>
    <col min="5" max="16384" width="10.83203125" style="28"/>
  </cols>
  <sheetData>
    <row r="1" spans="1:7">
      <c r="A1" s="28" t="s">
        <v>73</v>
      </c>
      <c r="D1" s="33" t="s">
        <v>19</v>
      </c>
      <c r="E1" s="33" t="s">
        <v>1721</v>
      </c>
      <c r="F1" s="33" t="s">
        <v>20</v>
      </c>
    </row>
    <row r="2" spans="1:7">
      <c r="A2" s="28" t="s">
        <v>55</v>
      </c>
      <c r="B2" s="28" t="s">
        <v>63</v>
      </c>
      <c r="C2" s="28" t="s">
        <v>1722</v>
      </c>
      <c r="D2" s="28">
        <v>68</v>
      </c>
      <c r="E2" s="28">
        <v>68</v>
      </c>
      <c r="F2" s="28">
        <v>68</v>
      </c>
      <c r="G2" s="33" t="s">
        <v>1279</v>
      </c>
    </row>
    <row r="3" spans="1:7">
      <c r="A3" s="28" t="s">
        <v>56</v>
      </c>
      <c r="B3" s="28" t="s">
        <v>65</v>
      </c>
      <c r="C3" s="28" t="s">
        <v>1723</v>
      </c>
      <c r="D3" s="28">
        <v>115</v>
      </c>
      <c r="E3" s="28">
        <v>130</v>
      </c>
      <c r="F3" s="28">
        <v>145</v>
      </c>
      <c r="G3" s="33" t="s">
        <v>1280</v>
      </c>
    </row>
    <row r="4" spans="1:7">
      <c r="A4" s="28" t="s">
        <v>61</v>
      </c>
      <c r="B4" s="28" t="s">
        <v>74</v>
      </c>
      <c r="C4" s="28" t="s">
        <v>1724</v>
      </c>
      <c r="D4" s="28">
        <v>569</v>
      </c>
      <c r="E4" s="28">
        <v>586</v>
      </c>
      <c r="F4" s="28">
        <v>609</v>
      </c>
      <c r="G4" s="33" t="s">
        <v>28</v>
      </c>
    </row>
    <row r="5" spans="1:7">
      <c r="A5" s="28" t="s">
        <v>74</v>
      </c>
      <c r="B5" s="28" t="s">
        <v>64</v>
      </c>
      <c r="C5" s="28" t="s">
        <v>1725</v>
      </c>
      <c r="D5" s="28">
        <v>74.5</v>
      </c>
      <c r="E5" s="28">
        <v>74.5</v>
      </c>
      <c r="F5" s="28">
        <v>74.5</v>
      </c>
      <c r="G5" s="33" t="s">
        <v>893</v>
      </c>
    </row>
    <row r="6" spans="1:7">
      <c r="A6" s="28" t="s">
        <v>63</v>
      </c>
      <c r="B6" s="28" t="s">
        <v>61</v>
      </c>
      <c r="C6" s="28" t="s">
        <v>1726</v>
      </c>
      <c r="D6" s="28">
        <v>460</v>
      </c>
      <c r="E6" s="28">
        <v>480</v>
      </c>
      <c r="F6" s="28">
        <v>510</v>
      </c>
      <c r="G6" s="33" t="s">
        <v>31</v>
      </c>
    </row>
    <row r="7" spans="1:7">
      <c r="A7" s="28" t="s">
        <v>64</v>
      </c>
      <c r="B7" s="28" t="s">
        <v>67</v>
      </c>
      <c r="C7" s="28" t="s">
        <v>1727</v>
      </c>
      <c r="D7" s="28">
        <v>430</v>
      </c>
      <c r="E7" s="28">
        <v>430</v>
      </c>
      <c r="F7" s="28">
        <v>430</v>
      </c>
      <c r="G7" s="33" t="s">
        <v>581</v>
      </c>
    </row>
    <row r="8" spans="1:7">
      <c r="A8" s="28" t="s">
        <v>65</v>
      </c>
      <c r="B8" s="28" t="s">
        <v>56</v>
      </c>
      <c r="C8" s="28" t="s">
        <v>1</v>
      </c>
      <c r="D8" s="28">
        <v>404</v>
      </c>
      <c r="E8" s="28">
        <v>418</v>
      </c>
      <c r="F8" s="28">
        <v>437</v>
      </c>
      <c r="G8" s="33" t="s">
        <v>894</v>
      </c>
    </row>
    <row r="9" spans="1:7">
      <c r="A9" s="28" t="s">
        <v>66</v>
      </c>
      <c r="B9" s="28" t="s">
        <v>55</v>
      </c>
      <c r="C9" s="28" t="s">
        <v>0</v>
      </c>
      <c r="D9" s="28">
        <v>599</v>
      </c>
      <c r="E9" s="28">
        <v>613</v>
      </c>
      <c r="F9" s="28">
        <v>627</v>
      </c>
      <c r="G9" s="33" t="s">
        <v>1281</v>
      </c>
    </row>
    <row r="10" spans="1:7">
      <c r="A10" s="28" t="s">
        <v>67</v>
      </c>
      <c r="B10" s="28" t="s">
        <v>66</v>
      </c>
      <c r="C10" s="28" t="s">
        <v>1728</v>
      </c>
      <c r="D10" s="28">
        <v>60</v>
      </c>
      <c r="E10" s="28">
        <v>60</v>
      </c>
      <c r="F10" s="28">
        <v>60</v>
      </c>
      <c r="G10" s="33" t="s">
        <v>1282</v>
      </c>
    </row>
    <row r="11" spans="1:7">
      <c r="A11" s="28" t="s">
        <v>57</v>
      </c>
      <c r="B11" s="28" t="s">
        <v>57</v>
      </c>
      <c r="C11" s="28" t="s">
        <v>1729</v>
      </c>
      <c r="D11" s="28">
        <v>1103</v>
      </c>
      <c r="E11" s="28">
        <v>1122</v>
      </c>
      <c r="F11" s="28">
        <v>1147</v>
      </c>
      <c r="G11" s="33" t="s">
        <v>1283</v>
      </c>
    </row>
    <row r="12" spans="1:7">
      <c r="A12" s="28" t="s">
        <v>68</v>
      </c>
      <c r="B12" s="28" t="s">
        <v>498</v>
      </c>
      <c r="C12" s="28" t="s">
        <v>1730</v>
      </c>
      <c r="D12" s="28">
        <v>483</v>
      </c>
      <c r="E12" s="28">
        <v>483</v>
      </c>
      <c r="F12" s="28">
        <v>483</v>
      </c>
    </row>
    <row r="13" spans="1:7">
      <c r="A13" s="28" t="s">
        <v>58</v>
      </c>
      <c r="C13" s="28" t="s">
        <v>1731</v>
      </c>
      <c r="D13" s="28">
        <v>70</v>
      </c>
      <c r="E13" s="28">
        <v>70</v>
      </c>
      <c r="F13" s="28">
        <v>70</v>
      </c>
    </row>
    <row r="14" spans="1:7">
      <c r="A14" s="28" t="s">
        <v>70</v>
      </c>
      <c r="B14" s="28" t="s">
        <v>68</v>
      </c>
      <c r="C14" s="28" t="s">
        <v>68</v>
      </c>
      <c r="D14" s="28">
        <v>51</v>
      </c>
      <c r="E14" s="28">
        <v>51</v>
      </c>
      <c r="F14" s="28">
        <v>51</v>
      </c>
    </row>
    <row r="15" spans="1:7">
      <c r="A15" s="28" t="s">
        <v>71</v>
      </c>
      <c r="B15" s="28" t="s">
        <v>58</v>
      </c>
      <c r="C15" s="28" t="s">
        <v>58</v>
      </c>
    </row>
    <row r="16" spans="1:7">
      <c r="A16" s="28" t="s">
        <v>72</v>
      </c>
      <c r="B16" s="28" t="s">
        <v>70</v>
      </c>
      <c r="C16" s="28" t="s">
        <v>70</v>
      </c>
    </row>
    <row r="17" spans="1:6">
      <c r="A17" s="28" t="s">
        <v>69</v>
      </c>
      <c r="B17" s="28" t="s">
        <v>71</v>
      </c>
      <c r="C17" s="28" t="s">
        <v>71</v>
      </c>
    </row>
    <row r="18" spans="1:6">
      <c r="A18" s="28" t="s">
        <v>140</v>
      </c>
      <c r="B18" s="28" t="s">
        <v>72</v>
      </c>
      <c r="C18" s="28" t="s">
        <v>72</v>
      </c>
    </row>
    <row r="19" spans="1:6">
      <c r="A19" s="28" t="s">
        <v>141</v>
      </c>
      <c r="B19" s="28" t="s">
        <v>69</v>
      </c>
      <c r="C19" s="28" t="s">
        <v>69</v>
      </c>
      <c r="D19" s="28">
        <v>29</v>
      </c>
      <c r="E19" s="28">
        <v>29</v>
      </c>
      <c r="F19" s="28">
        <v>29</v>
      </c>
    </row>
    <row r="20" spans="1:6">
      <c r="B20" s="28" t="s">
        <v>140</v>
      </c>
      <c r="C20" s="28" t="s">
        <v>140</v>
      </c>
    </row>
    <row r="21" spans="1:6">
      <c r="B21" s="28" t="s">
        <v>141</v>
      </c>
      <c r="C21" s="28" t="s">
        <v>141</v>
      </c>
      <c r="D21" s="28">
        <f>2.4*25.4</f>
        <v>60.959999999999994</v>
      </c>
      <c r="E21" s="28">
        <f t="shared" ref="E21:F21" si="0">2.4*25.4</f>
        <v>60.959999999999994</v>
      </c>
      <c r="F21" s="28">
        <f t="shared" si="0"/>
        <v>60.959999999999994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28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74</v>
      </c>
      <c r="C2" s="28" t="s">
        <v>1146</v>
      </c>
      <c r="D2" s="28">
        <v>520</v>
      </c>
      <c r="E2" s="28">
        <v>535</v>
      </c>
      <c r="F2" s="28">
        <v>550</v>
      </c>
      <c r="G2" s="28">
        <v>565</v>
      </c>
      <c r="H2" s="28">
        <v>580</v>
      </c>
    </row>
    <row r="3" spans="1:8">
      <c r="A3" s="28" t="s">
        <v>56</v>
      </c>
      <c r="B3" s="28" t="s">
        <v>65</v>
      </c>
      <c r="C3" s="28" t="s">
        <v>1147</v>
      </c>
      <c r="D3" s="28">
        <v>120</v>
      </c>
      <c r="E3" s="28">
        <v>140</v>
      </c>
      <c r="F3" s="28">
        <v>150</v>
      </c>
      <c r="G3" s="28">
        <v>170</v>
      </c>
      <c r="H3" s="28">
        <v>190</v>
      </c>
    </row>
    <row r="4" spans="1:8">
      <c r="A4" s="28" t="s">
        <v>61</v>
      </c>
      <c r="B4" s="28" t="s">
        <v>64</v>
      </c>
      <c r="C4" s="28" t="s">
        <v>5</v>
      </c>
      <c r="D4" s="28">
        <v>74.5</v>
      </c>
      <c r="E4" s="28">
        <v>74</v>
      </c>
      <c r="F4" s="28">
        <v>73</v>
      </c>
      <c r="G4" s="28">
        <v>73</v>
      </c>
      <c r="H4" s="28">
        <v>73</v>
      </c>
    </row>
    <row r="5" spans="1:8">
      <c r="A5" s="28" t="s">
        <v>74</v>
      </c>
      <c r="B5" s="28" t="s">
        <v>63</v>
      </c>
      <c r="C5" s="28" t="s">
        <v>4</v>
      </c>
      <c r="D5" s="28">
        <v>70.5</v>
      </c>
      <c r="E5" s="28">
        <v>71</v>
      </c>
      <c r="F5" s="28">
        <v>71.5</v>
      </c>
      <c r="G5" s="28">
        <v>72</v>
      </c>
      <c r="H5" s="28">
        <v>72</v>
      </c>
    </row>
    <row r="6" spans="1:8">
      <c r="A6" s="28" t="s">
        <v>63</v>
      </c>
      <c r="B6" s="28" t="s">
        <v>66</v>
      </c>
      <c r="C6" s="28" t="s">
        <v>1148</v>
      </c>
      <c r="D6" s="28">
        <v>67</v>
      </c>
      <c r="E6" s="28">
        <v>67</v>
      </c>
      <c r="F6" s="28">
        <v>67</v>
      </c>
      <c r="G6" s="28">
        <v>67</v>
      </c>
      <c r="H6" s="28">
        <v>67</v>
      </c>
    </row>
    <row r="7" spans="1:8">
      <c r="A7" s="28" t="s">
        <v>64</v>
      </c>
      <c r="B7" s="28" t="s">
        <v>67</v>
      </c>
      <c r="C7" s="28" t="s">
        <v>1149</v>
      </c>
      <c r="D7" s="28">
        <v>435</v>
      </c>
      <c r="E7" s="28">
        <v>435</v>
      </c>
      <c r="F7" s="28">
        <v>435</v>
      </c>
      <c r="G7" s="28">
        <v>435</v>
      </c>
      <c r="H7" s="28">
        <v>435</v>
      </c>
    </row>
    <row r="8" spans="1:8">
      <c r="A8" s="28" t="s">
        <v>65</v>
      </c>
      <c r="B8" s="28" t="s">
        <v>57</v>
      </c>
      <c r="C8" s="28" t="s">
        <v>1150</v>
      </c>
      <c r="D8" s="28">
        <v>1020</v>
      </c>
      <c r="E8" s="28">
        <v>1021</v>
      </c>
      <c r="F8" s="28">
        <v>1026</v>
      </c>
      <c r="G8" s="28">
        <v>1037</v>
      </c>
      <c r="H8" s="28">
        <v>1052</v>
      </c>
    </row>
    <row r="9" spans="1:8">
      <c r="A9" s="28" t="s">
        <v>66</v>
      </c>
      <c r="B9" s="28" t="s">
        <v>135</v>
      </c>
      <c r="C9" s="28" t="s">
        <v>1151</v>
      </c>
      <c r="D9" s="28">
        <v>594</v>
      </c>
      <c r="E9" s="28">
        <v>595</v>
      </c>
      <c r="F9" s="28">
        <v>600</v>
      </c>
      <c r="G9" s="28">
        <v>611</v>
      </c>
      <c r="H9" s="28">
        <v>626</v>
      </c>
    </row>
    <row r="10" spans="1:8">
      <c r="A10" s="28" t="s">
        <v>67</v>
      </c>
      <c r="B10" s="28" t="s">
        <v>58</v>
      </c>
      <c r="C10" s="28" t="s">
        <v>1152</v>
      </c>
      <c r="D10" s="28">
        <v>75.900000000000006</v>
      </c>
      <c r="E10" s="28">
        <v>78.599999999999994</v>
      </c>
      <c r="F10" s="28">
        <v>80.3</v>
      </c>
      <c r="G10" s="28">
        <v>82.3</v>
      </c>
      <c r="H10" s="28">
        <v>84.3</v>
      </c>
    </row>
    <row r="11" spans="1:8">
      <c r="A11" s="28" t="s">
        <v>57</v>
      </c>
      <c r="B11" s="28" t="s">
        <v>1237</v>
      </c>
      <c r="C11" s="28" t="s">
        <v>1153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1154</v>
      </c>
      <c r="D12" s="28">
        <v>50</v>
      </c>
      <c r="E12" s="28">
        <v>50</v>
      </c>
      <c r="F12" s="28">
        <v>50</v>
      </c>
      <c r="G12" s="28">
        <v>50</v>
      </c>
      <c r="H12" s="28">
        <v>50</v>
      </c>
    </row>
    <row r="13" spans="1:8">
      <c r="A13" s="28" t="s">
        <v>58</v>
      </c>
      <c r="B13" s="28" t="s">
        <v>61</v>
      </c>
      <c r="C13" s="28" t="s">
        <v>1155</v>
      </c>
      <c r="D13" s="28">
        <v>490</v>
      </c>
      <c r="E13" s="28">
        <v>520</v>
      </c>
      <c r="F13" s="28">
        <v>540</v>
      </c>
      <c r="G13" s="28">
        <v>560</v>
      </c>
      <c r="H13" s="28">
        <v>580</v>
      </c>
    </row>
    <row r="14" spans="1:8">
      <c r="A14" s="28" t="s">
        <v>70</v>
      </c>
      <c r="B14" s="28" t="s">
        <v>56</v>
      </c>
      <c r="C14" s="28" t="s">
        <v>427</v>
      </c>
      <c r="D14" s="28">
        <v>371</v>
      </c>
      <c r="E14" s="28">
        <v>375</v>
      </c>
      <c r="F14" s="28">
        <v>376</v>
      </c>
      <c r="G14" s="28">
        <v>385</v>
      </c>
      <c r="H14" s="28">
        <v>394</v>
      </c>
    </row>
    <row r="15" spans="1:8">
      <c r="A15" s="28" t="s">
        <v>71</v>
      </c>
      <c r="B15" s="28" t="s">
        <v>55</v>
      </c>
      <c r="C15" s="28" t="s">
        <v>428</v>
      </c>
      <c r="D15" s="28">
        <v>537</v>
      </c>
      <c r="E15" s="28">
        <v>557</v>
      </c>
      <c r="F15" s="28">
        <v>568</v>
      </c>
      <c r="G15" s="28">
        <v>590</v>
      </c>
      <c r="H15" s="28">
        <v>609</v>
      </c>
    </row>
    <row r="16" spans="1:8">
      <c r="A16" s="28" t="s">
        <v>72</v>
      </c>
      <c r="B16" s="28" t="s">
        <v>70</v>
      </c>
      <c r="C16" s="28" t="s">
        <v>70</v>
      </c>
    </row>
    <row r="17" spans="1:8">
      <c r="A17" s="28" t="s">
        <v>69</v>
      </c>
      <c r="B17" s="28" t="s">
        <v>71</v>
      </c>
      <c r="C17" s="28" t="s">
        <v>71</v>
      </c>
    </row>
    <row r="18" spans="1:8">
      <c r="A18" s="28" t="s">
        <v>140</v>
      </c>
      <c r="B18" s="28" t="s">
        <v>72</v>
      </c>
      <c r="C18" s="28" t="s">
        <v>72</v>
      </c>
    </row>
    <row r="19" spans="1:8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B20" s="28" t="s">
        <v>140</v>
      </c>
      <c r="C20" s="28" t="s">
        <v>140</v>
      </c>
      <c r="D20" s="28">
        <v>43</v>
      </c>
      <c r="E20" s="28">
        <v>43</v>
      </c>
      <c r="F20" s="28">
        <v>43</v>
      </c>
      <c r="G20" s="28">
        <v>43</v>
      </c>
      <c r="H20" s="28">
        <v>43</v>
      </c>
    </row>
    <row r="21" spans="1:8">
      <c r="B21" s="28" t="s">
        <v>141</v>
      </c>
      <c r="C21" s="28" t="s">
        <v>141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4" spans="1:8">
      <c r="D24" s="53" t="s">
        <v>1141</v>
      </c>
    </row>
    <row r="25" spans="1:8">
      <c r="D25" s="41" t="s">
        <v>1156</v>
      </c>
      <c r="E25" s="41" t="s">
        <v>1142</v>
      </c>
    </row>
    <row r="26" spans="1:8">
      <c r="D26" s="53" t="s">
        <v>18</v>
      </c>
      <c r="E26" s="41" t="s">
        <v>1143</v>
      </c>
    </row>
    <row r="27" spans="1:8">
      <c r="D27" s="53" t="s">
        <v>19</v>
      </c>
      <c r="E27" s="41" t="s">
        <v>1144</v>
      </c>
    </row>
    <row r="28" spans="1:8">
      <c r="D28" s="53" t="s">
        <v>1145</v>
      </c>
      <c r="E28" s="41" t="s">
        <v>577</v>
      </c>
    </row>
    <row r="29" spans="1:8">
      <c r="D29" s="53" t="s">
        <v>21</v>
      </c>
      <c r="E29" s="41" t="s">
        <v>578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4" t="s">
        <v>18</v>
      </c>
      <c r="E1" s="24" t="s">
        <v>19</v>
      </c>
      <c r="F1" s="24" t="s">
        <v>20</v>
      </c>
      <c r="G1" s="24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3" t="s">
        <v>501</v>
      </c>
    </row>
    <row r="28" spans="1:7">
      <c r="C28" s="13"/>
      <c r="D28" s="24" t="s">
        <v>18</v>
      </c>
      <c r="E28" s="24" t="s">
        <v>19</v>
      </c>
      <c r="F28" s="24" t="s">
        <v>20</v>
      </c>
      <c r="G28" s="24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8" bestFit="1" customWidth="1"/>
    <col min="3" max="3" width="26.6640625" style="28" bestFit="1" customWidth="1"/>
    <col min="4" max="8" width="11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55</v>
      </c>
      <c r="C2" s="28" t="s">
        <v>55</v>
      </c>
      <c r="D2" s="28">
        <v>520</v>
      </c>
      <c r="E2" s="28">
        <v>545</v>
      </c>
      <c r="F2" s="28">
        <v>570</v>
      </c>
      <c r="G2" s="28">
        <v>595</v>
      </c>
      <c r="H2" s="28">
        <v>620</v>
      </c>
    </row>
    <row r="3" spans="1:8">
      <c r="A3" s="28" t="s">
        <v>56</v>
      </c>
      <c r="B3" s="28" t="s">
        <v>56</v>
      </c>
      <c r="C3" s="28" t="s">
        <v>56</v>
      </c>
      <c r="D3" s="28">
        <v>346</v>
      </c>
      <c r="E3" s="28">
        <v>358</v>
      </c>
      <c r="F3" s="28">
        <v>370</v>
      </c>
      <c r="G3" s="28">
        <v>382</v>
      </c>
      <c r="H3" s="28">
        <v>394</v>
      </c>
    </row>
    <row r="4" spans="1:8">
      <c r="A4" s="28" t="s">
        <v>61</v>
      </c>
      <c r="B4" s="28" t="s">
        <v>58</v>
      </c>
      <c r="C4" s="28" t="s">
        <v>507</v>
      </c>
      <c r="D4" s="28">
        <v>707</v>
      </c>
      <c r="E4" s="28">
        <v>739</v>
      </c>
      <c r="F4" s="28">
        <v>777</v>
      </c>
      <c r="G4" s="28">
        <v>794</v>
      </c>
      <c r="H4" s="28">
        <v>817</v>
      </c>
    </row>
    <row r="5" spans="1:8">
      <c r="A5" s="28" t="s">
        <v>74</v>
      </c>
      <c r="B5" s="28" t="s">
        <v>63</v>
      </c>
      <c r="C5" s="28" t="s">
        <v>1750</v>
      </c>
      <c r="D5" s="28">
        <v>68</v>
      </c>
      <c r="E5" s="28">
        <v>69</v>
      </c>
      <c r="F5" s="28">
        <v>71</v>
      </c>
      <c r="G5" s="28">
        <v>71.5</v>
      </c>
      <c r="H5" s="28">
        <v>71.5</v>
      </c>
    </row>
    <row r="6" spans="1:8">
      <c r="A6" s="28" t="s">
        <v>63</v>
      </c>
      <c r="B6" s="28" t="s">
        <v>65</v>
      </c>
      <c r="C6" s="28" t="s">
        <v>1751</v>
      </c>
      <c r="D6" s="28">
        <v>99</v>
      </c>
      <c r="E6" s="28">
        <v>125</v>
      </c>
      <c r="F6" s="28">
        <v>150</v>
      </c>
      <c r="G6" s="28">
        <v>170</v>
      </c>
      <c r="H6" s="28">
        <v>196</v>
      </c>
    </row>
    <row r="7" spans="1:8">
      <c r="A7" s="28" t="s">
        <v>64</v>
      </c>
      <c r="B7" s="28" t="s">
        <v>68</v>
      </c>
      <c r="C7" s="28" t="s">
        <v>981</v>
      </c>
      <c r="D7" s="28">
        <v>50</v>
      </c>
      <c r="E7" s="28">
        <v>50</v>
      </c>
      <c r="F7" s="28">
        <v>50</v>
      </c>
      <c r="G7" s="28">
        <v>50</v>
      </c>
      <c r="H7" s="28">
        <v>50</v>
      </c>
    </row>
    <row r="8" spans="1:8">
      <c r="A8" s="28" t="s">
        <v>65</v>
      </c>
      <c r="B8" s="28" t="s">
        <v>61</v>
      </c>
      <c r="C8" s="28" t="s">
        <v>1752</v>
      </c>
      <c r="D8" s="28">
        <v>464</v>
      </c>
      <c r="E8" s="28">
        <v>495</v>
      </c>
      <c r="F8" s="28">
        <v>530</v>
      </c>
      <c r="G8" s="28">
        <v>550</v>
      </c>
      <c r="H8" s="28">
        <v>564</v>
      </c>
    </row>
    <row r="9" spans="1:8">
      <c r="A9" s="28" t="s">
        <v>66</v>
      </c>
      <c r="B9" s="28" t="s">
        <v>1790</v>
      </c>
      <c r="C9" s="28" t="s">
        <v>1753</v>
      </c>
      <c r="D9" s="28">
        <v>72.5</v>
      </c>
      <c r="E9" s="28">
        <v>72.5</v>
      </c>
      <c r="F9" s="28">
        <v>72.5</v>
      </c>
      <c r="G9" s="28">
        <v>72.5</v>
      </c>
      <c r="H9" s="28">
        <v>72.5</v>
      </c>
    </row>
    <row r="10" spans="1:8">
      <c r="A10" s="28" t="s">
        <v>67</v>
      </c>
      <c r="B10" s="28" t="s">
        <v>64</v>
      </c>
      <c r="C10" s="28" t="s">
        <v>1754</v>
      </c>
      <c r="D10" s="28">
        <v>74.5</v>
      </c>
      <c r="E10" s="28">
        <v>74</v>
      </c>
      <c r="F10" s="28">
        <v>73.5</v>
      </c>
      <c r="G10" s="28">
        <v>73.5</v>
      </c>
      <c r="H10" s="28">
        <v>73.5</v>
      </c>
    </row>
    <row r="11" spans="1:8">
      <c r="A11" s="28" t="s">
        <v>57</v>
      </c>
      <c r="B11" s="28" t="s">
        <v>74</v>
      </c>
      <c r="C11" s="28" t="s">
        <v>1755</v>
      </c>
      <c r="D11" s="28">
        <v>510</v>
      </c>
      <c r="E11" s="28">
        <v>530</v>
      </c>
      <c r="F11" s="28">
        <v>550</v>
      </c>
      <c r="G11" s="28">
        <v>570</v>
      </c>
      <c r="H11" s="28">
        <v>590</v>
      </c>
    </row>
    <row r="12" spans="1:8">
      <c r="A12" s="28" t="s">
        <v>68</v>
      </c>
      <c r="B12" s="28" t="s">
        <v>1789</v>
      </c>
      <c r="C12" s="28" t="s">
        <v>1756</v>
      </c>
      <c r="D12" s="28">
        <v>490</v>
      </c>
      <c r="E12" s="28">
        <v>515</v>
      </c>
      <c r="F12" s="28">
        <v>540</v>
      </c>
      <c r="G12" s="28">
        <v>560</v>
      </c>
      <c r="H12" s="28">
        <v>580</v>
      </c>
    </row>
    <row r="13" spans="1:8">
      <c r="A13" s="28" t="s">
        <v>58</v>
      </c>
      <c r="B13" s="28" t="s">
        <v>66</v>
      </c>
      <c r="C13" s="28" t="s">
        <v>357</v>
      </c>
      <c r="D13" s="28">
        <v>80</v>
      </c>
      <c r="E13" s="28">
        <v>77</v>
      </c>
      <c r="F13" s="28">
        <v>75</v>
      </c>
      <c r="G13" s="28">
        <v>75</v>
      </c>
      <c r="H13" s="28">
        <v>75</v>
      </c>
    </row>
    <row r="14" spans="1:8">
      <c r="A14" s="28" t="s">
        <v>70</v>
      </c>
      <c r="B14" s="28" t="s">
        <v>1760</v>
      </c>
      <c r="C14" s="28" t="s">
        <v>978</v>
      </c>
      <c r="D14" s="28">
        <v>583</v>
      </c>
      <c r="E14" s="28">
        <v>596</v>
      </c>
      <c r="F14" s="28">
        <v>599</v>
      </c>
      <c r="G14" s="28">
        <v>613</v>
      </c>
      <c r="H14" s="28">
        <v>634</v>
      </c>
    </row>
    <row r="15" spans="1:8">
      <c r="A15" s="28" t="s">
        <v>71</v>
      </c>
      <c r="B15" s="28" t="s">
        <v>67</v>
      </c>
      <c r="C15" s="28" t="s">
        <v>1757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</row>
    <row r="16" spans="1:8">
      <c r="A16" s="28" t="s">
        <v>72</v>
      </c>
      <c r="B16" s="28" t="s">
        <v>57</v>
      </c>
      <c r="C16" s="28" t="s">
        <v>57</v>
      </c>
      <c r="D16" s="28">
        <v>990</v>
      </c>
      <c r="E16" s="28">
        <v>1004</v>
      </c>
      <c r="F16" s="28">
        <v>1009</v>
      </c>
      <c r="G16" s="28">
        <v>1022</v>
      </c>
      <c r="H16" s="28">
        <v>1042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8">
      <c r="B22" s="28" t="s">
        <v>141</v>
      </c>
      <c r="C22" s="28" t="s">
        <v>141</v>
      </c>
      <c r="D22" s="28">
        <v>46</v>
      </c>
      <c r="E22" s="28">
        <v>46</v>
      </c>
      <c r="F22" s="28">
        <v>46</v>
      </c>
      <c r="G22" s="28">
        <v>46</v>
      </c>
      <c r="H22" s="28">
        <v>46</v>
      </c>
    </row>
    <row r="23" spans="1:8">
      <c r="B23" s="28" t="s">
        <v>1758</v>
      </c>
      <c r="C23" s="28" t="s">
        <v>1758</v>
      </c>
      <c r="D23" s="43">
        <f>(D26+D27/12)*12*2.54</f>
        <v>0</v>
      </c>
      <c r="E23" s="43">
        <f t="shared" ref="E23:H23" si="0">(E26+E27/12)*12*2.54</f>
        <v>160.02000000000001</v>
      </c>
      <c r="F23" s="43">
        <f t="shared" si="0"/>
        <v>167.64000000000001</v>
      </c>
      <c r="G23" s="43">
        <f t="shared" si="0"/>
        <v>177.8</v>
      </c>
      <c r="H23" s="43">
        <f t="shared" si="0"/>
        <v>187.96</v>
      </c>
    </row>
    <row r="24" spans="1:8">
      <c r="B24" s="28" t="s">
        <v>1759</v>
      </c>
      <c r="C24" s="28" t="s">
        <v>1759</v>
      </c>
      <c r="D24" s="43">
        <f>(D28+D29/12)*12*2.54</f>
        <v>165.1</v>
      </c>
      <c r="E24" s="43">
        <f t="shared" ref="E24:H24" si="1">(E28+E29/12)*12*2.54</f>
        <v>170.18</v>
      </c>
      <c r="F24" s="43">
        <f t="shared" si="1"/>
        <v>180.34</v>
      </c>
      <c r="G24" s="43">
        <f t="shared" si="1"/>
        <v>190.5</v>
      </c>
      <c r="H24" s="43">
        <f t="shared" si="1"/>
        <v>203.2</v>
      </c>
    </row>
    <row r="26" spans="1:8">
      <c r="C26" s="28" t="s">
        <v>1761</v>
      </c>
      <c r="D26" s="28">
        <v>0</v>
      </c>
      <c r="E26" s="28">
        <v>5</v>
      </c>
      <c r="F26" s="28">
        <v>5</v>
      </c>
      <c r="G26" s="28">
        <v>5</v>
      </c>
      <c r="H26" s="28">
        <v>6</v>
      </c>
    </row>
    <row r="27" spans="1:8">
      <c r="C27" s="28" t="s">
        <v>1762</v>
      </c>
      <c r="D27" s="28">
        <v>0</v>
      </c>
      <c r="E27" s="28">
        <v>3</v>
      </c>
      <c r="F27" s="28">
        <v>6</v>
      </c>
      <c r="G27" s="28">
        <v>10</v>
      </c>
      <c r="H27" s="28">
        <v>2</v>
      </c>
    </row>
    <row r="28" spans="1:8">
      <c r="C28" s="28" t="s">
        <v>1763</v>
      </c>
      <c r="D28" s="28">
        <v>5</v>
      </c>
      <c r="E28" s="28">
        <v>5</v>
      </c>
      <c r="F28" s="28">
        <v>5</v>
      </c>
      <c r="G28" s="28">
        <v>6</v>
      </c>
      <c r="H28" s="28">
        <v>6</v>
      </c>
    </row>
    <row r="29" spans="1:8">
      <c r="C29" s="28" t="s">
        <v>1764</v>
      </c>
      <c r="D29" s="28">
        <v>5</v>
      </c>
      <c r="E29" s="28">
        <v>7</v>
      </c>
      <c r="F29" s="28">
        <v>11</v>
      </c>
      <c r="G29" s="28">
        <v>3</v>
      </c>
      <c r="H29" s="28">
        <v>8</v>
      </c>
    </row>
    <row r="30" spans="1:8">
      <c r="C30" s="28" t="s">
        <v>502</v>
      </c>
      <c r="D30" s="28" t="s">
        <v>1746</v>
      </c>
      <c r="E30" s="28" t="s">
        <v>1747</v>
      </c>
      <c r="F30" s="28" t="s">
        <v>1748</v>
      </c>
      <c r="G30" s="28" t="s">
        <v>505</v>
      </c>
      <c r="H30" s="28" t="s">
        <v>1749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6" width="10.83203125" style="28"/>
    <col min="7" max="8" width="11.1640625" style="28" bestFit="1" customWidth="1"/>
    <col min="9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1294</v>
      </c>
    </row>
    <row r="2" spans="1:8">
      <c r="A2" s="28" t="s">
        <v>61</v>
      </c>
      <c r="B2" s="33" t="s">
        <v>2241</v>
      </c>
      <c r="C2" s="28">
        <v>405</v>
      </c>
      <c r="D2" s="28">
        <v>438</v>
      </c>
      <c r="E2" s="28">
        <v>471</v>
      </c>
      <c r="F2" s="28">
        <v>504</v>
      </c>
      <c r="G2" s="28">
        <v>537</v>
      </c>
      <c r="H2" s="28">
        <v>570</v>
      </c>
    </row>
    <row r="3" spans="1:8">
      <c r="A3" s="28" t="s">
        <v>74</v>
      </c>
      <c r="B3" s="33" t="s">
        <v>2242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2243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2244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2275</v>
      </c>
      <c r="B6" s="33" t="s">
        <v>2245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2276</v>
      </c>
      <c r="B7" s="33" t="s">
        <v>2246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2247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2248</v>
      </c>
      <c r="C9" s="28">
        <v>1009</v>
      </c>
      <c r="D9" s="28">
        <v>1019</v>
      </c>
      <c r="E9" s="28">
        <v>1029</v>
      </c>
      <c r="F9" s="28">
        <v>1044</v>
      </c>
      <c r="G9" s="28">
        <v>1053</v>
      </c>
      <c r="H9" s="28">
        <v>1062</v>
      </c>
    </row>
    <row r="10" spans="1:8">
      <c r="A10" s="28" t="s">
        <v>63</v>
      </c>
      <c r="B10" s="33" t="s">
        <v>2249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2250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2277</v>
      </c>
      <c r="B12" s="33" t="s">
        <v>2251</v>
      </c>
      <c r="C12" s="28">
        <v>713</v>
      </c>
      <c r="D12" s="28">
        <v>746</v>
      </c>
      <c r="E12" s="28">
        <v>768</v>
      </c>
      <c r="F12" s="28">
        <v>798</v>
      </c>
      <c r="G12" s="28">
        <v>825</v>
      </c>
      <c r="H12" s="28">
        <v>853</v>
      </c>
    </row>
    <row r="13" spans="1:8">
      <c r="A13" s="28" t="s">
        <v>58</v>
      </c>
      <c r="B13" s="33" t="s">
        <v>2252</v>
      </c>
      <c r="C13" s="28">
        <v>727</v>
      </c>
      <c r="D13" s="28">
        <v>755</v>
      </c>
      <c r="E13" s="28">
        <v>783</v>
      </c>
      <c r="F13" s="28">
        <v>813</v>
      </c>
      <c r="G13" s="28">
        <v>840</v>
      </c>
      <c r="H13" s="28">
        <v>868</v>
      </c>
    </row>
    <row r="14" spans="1:8">
      <c r="A14" s="28" t="s">
        <v>56</v>
      </c>
      <c r="B14" s="33" t="s">
        <v>2253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2254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498</v>
      </c>
      <c r="B16" s="33" t="s">
        <v>2255</v>
      </c>
      <c r="C16" s="28">
        <v>390</v>
      </c>
      <c r="D16" s="28">
        <v>390</v>
      </c>
      <c r="E16" s="28">
        <v>390</v>
      </c>
      <c r="F16" s="28">
        <v>390</v>
      </c>
      <c r="G16" s="28">
        <v>390</v>
      </c>
      <c r="H16" s="28">
        <v>390</v>
      </c>
    </row>
    <row r="17" spans="1:8">
      <c r="A17" s="28" t="s">
        <v>2278</v>
      </c>
      <c r="B17" s="33" t="s">
        <v>2256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2279</v>
      </c>
      <c r="B18" s="33" t="s">
        <v>2257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1807</v>
      </c>
    </row>
    <row r="20" spans="1:8">
      <c r="A20" s="28" t="s">
        <v>70</v>
      </c>
      <c r="B20" s="28" t="s">
        <v>2300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B21" s="28" t="s">
        <v>2301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B22" s="28" t="s">
        <v>2302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B23" s="28" t="s">
        <v>982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B24" s="28" t="s">
        <v>2303</v>
      </c>
      <c r="C24" s="28">
        <v>38</v>
      </c>
      <c r="D24" s="28">
        <v>38</v>
      </c>
      <c r="E24" s="28">
        <v>38</v>
      </c>
      <c r="F24" s="28">
        <v>38</v>
      </c>
      <c r="G24" s="28">
        <v>38</v>
      </c>
      <c r="H24" s="28">
        <v>38</v>
      </c>
    </row>
    <row r="25" spans="1:8">
      <c r="A25" s="28" t="s">
        <v>141</v>
      </c>
      <c r="B25" s="28" t="s">
        <v>2304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1758</v>
      </c>
      <c r="B26" s="28" t="s">
        <v>2137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1759</v>
      </c>
      <c r="B27" s="28" t="s">
        <v>2138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2258</v>
      </c>
      <c r="D28" s="33" t="s">
        <v>337</v>
      </c>
      <c r="E28" s="33" t="s">
        <v>2259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10">
      <c r="B33" s="33" t="s">
        <v>21</v>
      </c>
      <c r="C33" s="28">
        <v>172</v>
      </c>
      <c r="D33" s="28">
        <v>100</v>
      </c>
      <c r="E33" s="28">
        <v>420</v>
      </c>
    </row>
    <row r="34" spans="2:10">
      <c r="B34" s="33" t="s">
        <v>1294</v>
      </c>
      <c r="C34" s="28">
        <v>175</v>
      </c>
      <c r="D34" s="28">
        <v>110</v>
      </c>
      <c r="E34" s="28">
        <v>440</v>
      </c>
    </row>
    <row r="36" spans="2:10">
      <c r="B36" s="35" t="s">
        <v>2260</v>
      </c>
    </row>
    <row r="37" spans="2:10">
      <c r="B37" s="35"/>
    </row>
    <row r="38" spans="2:10">
      <c r="B38" s="33" t="s">
        <v>2261</v>
      </c>
      <c r="C38" s="33" t="s">
        <v>2262</v>
      </c>
      <c r="D38" s="33" t="s">
        <v>144</v>
      </c>
    </row>
    <row r="39" spans="2:10" ht="22">
      <c r="B39" s="28" t="s">
        <v>2263</v>
      </c>
      <c r="C39" s="28" t="s">
        <v>2264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  <c r="J39" s="107" t="s">
        <v>17</v>
      </c>
    </row>
    <row r="40" spans="2:10" ht="22">
      <c r="B40" s="28" t="s">
        <v>2265</v>
      </c>
      <c r="C40" s="28" t="s">
        <v>2266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  <c r="J40" s="107" t="s">
        <v>2263</v>
      </c>
    </row>
    <row r="41" spans="2:10" ht="22">
      <c r="B41" s="28" t="s">
        <v>2267</v>
      </c>
      <c r="C41" s="28" t="s">
        <v>2268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  <c r="J41" s="107" t="s">
        <v>18</v>
      </c>
    </row>
    <row r="42" spans="2:10" ht="22">
      <c r="B42" s="28" t="s">
        <v>2269</v>
      </c>
      <c r="C42" s="28" t="s">
        <v>2270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  <c r="J42" s="107" t="s">
        <v>2265</v>
      </c>
    </row>
    <row r="43" spans="2:10" ht="22">
      <c r="B43" s="28" t="s">
        <v>2271</v>
      </c>
      <c r="C43" s="28" t="s">
        <v>2272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  <c r="J43" s="107" t="s">
        <v>19</v>
      </c>
    </row>
    <row r="44" spans="2:10" ht="22">
      <c r="B44" s="28" t="s">
        <v>2273</v>
      </c>
      <c r="C44" s="28" t="s">
        <v>2274</v>
      </c>
      <c r="D44" s="28" t="s">
        <v>1294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  <c r="J44" s="107" t="s">
        <v>2267</v>
      </c>
    </row>
    <row r="45" spans="2:10" ht="22">
      <c r="J45" s="107" t="s">
        <v>20</v>
      </c>
    </row>
    <row r="46" spans="2:10" ht="22">
      <c r="J46" s="107" t="s">
        <v>2269</v>
      </c>
    </row>
    <row r="47" spans="2:10" ht="22">
      <c r="J47" s="107" t="s">
        <v>21</v>
      </c>
    </row>
    <row r="48" spans="2:10" ht="22">
      <c r="J48" s="107" t="s">
        <v>2271</v>
      </c>
    </row>
    <row r="49" spans="10:10" ht="22">
      <c r="J49" s="107" t="s">
        <v>1294</v>
      </c>
    </row>
    <row r="50" spans="10:10" ht="22">
      <c r="J50" s="107" t="s">
        <v>2273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1294</v>
      </c>
    </row>
    <row r="2" spans="1:8">
      <c r="A2" s="28" t="s">
        <v>61</v>
      </c>
      <c r="B2" s="33" t="s">
        <v>2241</v>
      </c>
      <c r="C2" s="28">
        <v>425</v>
      </c>
      <c r="D2" s="28">
        <v>458</v>
      </c>
      <c r="E2" s="28">
        <v>491</v>
      </c>
      <c r="F2" s="28">
        <v>524</v>
      </c>
      <c r="G2" s="28">
        <v>557</v>
      </c>
      <c r="H2" s="28">
        <v>590</v>
      </c>
    </row>
    <row r="3" spans="1:8">
      <c r="A3" s="28" t="s">
        <v>74</v>
      </c>
      <c r="B3" s="33" t="s">
        <v>2242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2243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2244</v>
      </c>
      <c r="C5" s="28">
        <v>430</v>
      </c>
      <c r="D5" s="28">
        <v>430</v>
      </c>
      <c r="E5" s="28">
        <v>430</v>
      </c>
      <c r="F5" s="28">
        <v>430</v>
      </c>
      <c r="G5" s="28">
        <v>430</v>
      </c>
      <c r="H5" s="28">
        <v>430</v>
      </c>
    </row>
    <row r="6" spans="1:8">
      <c r="A6" s="28" t="s">
        <v>2275</v>
      </c>
      <c r="B6" s="33" t="s">
        <v>2245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2276</v>
      </c>
      <c r="B7" s="33" t="s">
        <v>2246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2247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2248</v>
      </c>
      <c r="C9" s="28">
        <v>1020</v>
      </c>
      <c r="D9" s="28">
        <v>1030</v>
      </c>
      <c r="E9" s="28">
        <v>1039</v>
      </c>
      <c r="F9" s="28">
        <v>1054</v>
      </c>
      <c r="G9" s="28">
        <v>1063</v>
      </c>
      <c r="H9" s="28">
        <v>1072</v>
      </c>
    </row>
    <row r="10" spans="1:8">
      <c r="A10" s="28" t="s">
        <v>63</v>
      </c>
      <c r="B10" s="33" t="s">
        <v>2249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2250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2277</v>
      </c>
      <c r="B12" s="33" t="s">
        <v>2251</v>
      </c>
      <c r="C12" s="28">
        <v>704</v>
      </c>
      <c r="D12" s="28">
        <v>731</v>
      </c>
      <c r="E12" s="28">
        <v>759</v>
      </c>
      <c r="F12" s="28">
        <v>788</v>
      </c>
      <c r="G12" s="28">
        <v>815</v>
      </c>
      <c r="H12" s="28">
        <v>838</v>
      </c>
    </row>
    <row r="13" spans="1:8">
      <c r="A13" s="28" t="s">
        <v>58</v>
      </c>
      <c r="B13" s="33" t="s">
        <v>2252</v>
      </c>
      <c r="C13" s="28">
        <v>718</v>
      </c>
      <c r="D13" s="28">
        <v>746</v>
      </c>
      <c r="E13" s="28">
        <v>773</v>
      </c>
      <c r="F13" s="28">
        <v>803</v>
      </c>
      <c r="G13" s="28">
        <v>830</v>
      </c>
      <c r="H13" s="28">
        <v>853</v>
      </c>
    </row>
    <row r="14" spans="1:8">
      <c r="A14" s="28" t="s">
        <v>56</v>
      </c>
      <c r="B14" s="33" t="s">
        <v>2253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2254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498</v>
      </c>
      <c r="B16" s="33" t="s">
        <v>2255</v>
      </c>
      <c r="C16" s="28">
        <v>390</v>
      </c>
    </row>
    <row r="17" spans="1:8">
      <c r="A17" s="28" t="s">
        <v>2278</v>
      </c>
      <c r="B17" s="33" t="s">
        <v>2256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2279</v>
      </c>
      <c r="B18" s="33" t="s">
        <v>2257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1807</v>
      </c>
    </row>
    <row r="20" spans="1:8">
      <c r="A20" s="28" t="s">
        <v>70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C24" s="28">
        <v>40</v>
      </c>
      <c r="D24" s="28">
        <v>40</v>
      </c>
      <c r="E24" s="28">
        <v>40</v>
      </c>
      <c r="F24" s="28">
        <v>40</v>
      </c>
      <c r="G24" s="28">
        <v>40</v>
      </c>
      <c r="H24" s="28">
        <v>40</v>
      </c>
    </row>
    <row r="25" spans="1:8">
      <c r="A25" s="28" t="s">
        <v>141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1758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1759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2258</v>
      </c>
      <c r="D28" s="33" t="s">
        <v>337</v>
      </c>
      <c r="E28" s="33" t="s">
        <v>2259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8">
      <c r="B33" s="33" t="s">
        <v>21</v>
      </c>
      <c r="C33" s="28">
        <v>172</v>
      </c>
      <c r="D33" s="28">
        <v>100</v>
      </c>
      <c r="E33" s="28">
        <v>420</v>
      </c>
    </row>
    <row r="34" spans="2:8">
      <c r="B34" s="33" t="s">
        <v>1294</v>
      </c>
      <c r="C34" s="28">
        <v>175</v>
      </c>
      <c r="D34" s="28">
        <v>110</v>
      </c>
      <c r="E34" s="28">
        <v>440</v>
      </c>
    </row>
    <row r="36" spans="2:8">
      <c r="B36" s="35" t="s">
        <v>2260</v>
      </c>
    </row>
    <row r="37" spans="2:8">
      <c r="B37" s="35"/>
    </row>
    <row r="38" spans="2:8">
      <c r="B38" s="33" t="s">
        <v>2261</v>
      </c>
      <c r="C38" s="33" t="s">
        <v>2262</v>
      </c>
      <c r="D38" s="33" t="s">
        <v>144</v>
      </c>
    </row>
    <row r="39" spans="2:8">
      <c r="B39" s="28" t="s">
        <v>2263</v>
      </c>
      <c r="C39" s="28" t="s">
        <v>2264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</row>
    <row r="40" spans="2:8">
      <c r="B40" s="28" t="s">
        <v>2265</v>
      </c>
      <c r="C40" s="28" t="s">
        <v>2266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</row>
    <row r="41" spans="2:8">
      <c r="B41" s="28" t="s">
        <v>2267</v>
      </c>
      <c r="C41" s="28" t="s">
        <v>2268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</row>
    <row r="42" spans="2:8">
      <c r="B42" s="28" t="s">
        <v>2269</v>
      </c>
      <c r="C42" s="28" t="s">
        <v>2270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</row>
    <row r="43" spans="2:8">
      <c r="B43" s="28" t="s">
        <v>2271</v>
      </c>
      <c r="C43" s="28" t="s">
        <v>2272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</row>
    <row r="44" spans="2:8">
      <c r="B44" s="28" t="s">
        <v>2273</v>
      </c>
      <c r="C44" s="28" t="s">
        <v>2274</v>
      </c>
      <c r="D44" s="28" t="s">
        <v>1294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/>
  </sheetViews>
  <sheetFormatPr baseColWidth="10" defaultRowHeight="20"/>
  <cols>
    <col min="1" max="2" width="29.33203125" style="28" bestFit="1" customWidth="1"/>
    <col min="3" max="3" width="42.33203125" style="28" customWidth="1"/>
    <col min="4" max="8" width="18.832031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69" t="s">
        <v>17</v>
      </c>
      <c r="E1" s="69" t="s">
        <v>18</v>
      </c>
      <c r="F1" s="69" t="s">
        <v>19</v>
      </c>
      <c r="G1" s="69" t="s">
        <v>20</v>
      </c>
      <c r="H1" s="69" t="s">
        <v>21</v>
      </c>
    </row>
    <row r="2" spans="1:8">
      <c r="A2" s="28" t="s">
        <v>55</v>
      </c>
      <c r="B2" s="28" t="s">
        <v>74</v>
      </c>
      <c r="C2" s="70" t="s">
        <v>1579</v>
      </c>
      <c r="D2" s="28">
        <f>VALUE(LEFT(D28,3))</f>
        <v>547</v>
      </c>
      <c r="E2" s="28">
        <f>VALUE(LEFT(E28,3))</f>
        <v>565</v>
      </c>
      <c r="F2" s="28">
        <f t="shared" ref="F2:H2" si="0">VALUE(LEFT(F28,3))</f>
        <v>583</v>
      </c>
      <c r="G2" s="28">
        <f t="shared" si="0"/>
        <v>600</v>
      </c>
      <c r="H2" s="28">
        <f t="shared" si="0"/>
        <v>618</v>
      </c>
    </row>
    <row r="3" spans="1:8">
      <c r="A3" s="28" t="s">
        <v>56</v>
      </c>
      <c r="B3" s="28" t="s">
        <v>63</v>
      </c>
      <c r="C3" s="70" t="s">
        <v>1583</v>
      </c>
      <c r="D3" s="28">
        <f>VALUE(LEFT(D29,2))</f>
        <v>68</v>
      </c>
      <c r="E3" s="28">
        <f>VALUE(LEFT(E29,2))</f>
        <v>68</v>
      </c>
      <c r="F3" s="28">
        <f t="shared" ref="F3:H3" si="1">VALUE(LEFT(F29,2))</f>
        <v>68</v>
      </c>
      <c r="G3" s="28">
        <f t="shared" si="1"/>
        <v>68</v>
      </c>
      <c r="H3" s="28">
        <f t="shared" si="1"/>
        <v>68</v>
      </c>
    </row>
    <row r="4" spans="1:8">
      <c r="A4" s="28" t="s">
        <v>61</v>
      </c>
      <c r="B4" s="28" t="s">
        <v>1613</v>
      </c>
      <c r="C4" s="70" t="s">
        <v>1584</v>
      </c>
      <c r="D4" s="28">
        <f>VALUE(MID(D30,2,3))</f>
        <v>0.2</v>
      </c>
      <c r="E4" s="28">
        <f>VALUE(MID(E30,2,3))</f>
        <v>0.2</v>
      </c>
      <c r="F4" s="28">
        <f t="shared" ref="F4:H4" si="2">VALUE(MID(F30,2,3))</f>
        <v>0.2</v>
      </c>
      <c r="G4" s="28">
        <f t="shared" si="2"/>
        <v>0.2</v>
      </c>
      <c r="H4" s="28">
        <f t="shared" si="2"/>
        <v>0.2</v>
      </c>
    </row>
    <row r="5" spans="1:8">
      <c r="A5" s="28" t="s">
        <v>74</v>
      </c>
      <c r="B5" s="28" t="s">
        <v>65</v>
      </c>
      <c r="C5" s="70" t="s">
        <v>1586</v>
      </c>
      <c r="D5" s="28">
        <f>VALUE(LEFT(D31,2))</f>
        <v>90</v>
      </c>
      <c r="E5" s="28">
        <f>VALUE(LEFT(E31,3))</f>
        <v>100</v>
      </c>
      <c r="F5" s="28">
        <f t="shared" ref="F5:H5" si="3">VALUE(LEFT(F31,3))</f>
        <v>120</v>
      </c>
      <c r="G5" s="28">
        <f t="shared" si="3"/>
        <v>140</v>
      </c>
      <c r="H5" s="28">
        <f t="shared" si="3"/>
        <v>160</v>
      </c>
    </row>
    <row r="6" spans="1:8">
      <c r="A6" s="28" t="s">
        <v>63</v>
      </c>
      <c r="B6" s="28" t="s">
        <v>64</v>
      </c>
      <c r="C6" s="70" t="s">
        <v>1588</v>
      </c>
      <c r="D6" s="28">
        <f>VALUE(LEFT(D32,2))</f>
        <v>75</v>
      </c>
      <c r="E6" s="28">
        <f>VALUE(LEFT(E32,2))</f>
        <v>75</v>
      </c>
      <c r="F6" s="28">
        <f t="shared" ref="F6:H6" si="4">VALUE(LEFT(F32,2))</f>
        <v>75</v>
      </c>
      <c r="G6" s="28">
        <f t="shared" si="4"/>
        <v>75</v>
      </c>
      <c r="H6" s="28">
        <f t="shared" si="4"/>
        <v>75</v>
      </c>
    </row>
    <row r="7" spans="1:8">
      <c r="A7" s="28" t="s">
        <v>64</v>
      </c>
      <c r="B7" s="28" t="s">
        <v>61</v>
      </c>
      <c r="C7" s="70" t="s">
        <v>1589</v>
      </c>
      <c r="D7" s="28">
        <f>VALUE(LEFT(D33,3))</f>
        <v>360</v>
      </c>
      <c r="E7" s="28">
        <f>VALUE(LEFT(E33,3))</f>
        <v>400</v>
      </c>
      <c r="F7" s="28">
        <f t="shared" ref="F7:H7" si="5">VALUE(LEFT(F33,3))</f>
        <v>450</v>
      </c>
      <c r="G7" s="28">
        <f t="shared" si="5"/>
        <v>490</v>
      </c>
      <c r="H7" s="28">
        <f t="shared" si="5"/>
        <v>530</v>
      </c>
    </row>
    <row r="8" spans="1:8">
      <c r="A8" s="28" t="s">
        <v>65</v>
      </c>
      <c r="B8" s="28" t="s">
        <v>66</v>
      </c>
      <c r="C8" s="70" t="s">
        <v>1590</v>
      </c>
      <c r="D8" s="28">
        <f>VALUE(LEFT(D34,2))</f>
        <v>68</v>
      </c>
      <c r="E8" s="28">
        <f>VALUE(LEFT(E34,2))</f>
        <v>68</v>
      </c>
      <c r="F8" s="28">
        <f t="shared" ref="F8:H8" si="6">VALUE(LEFT(F34,2))</f>
        <v>68</v>
      </c>
      <c r="G8" s="28">
        <f t="shared" si="6"/>
        <v>68</v>
      </c>
      <c r="H8" s="28">
        <f t="shared" si="6"/>
        <v>68</v>
      </c>
    </row>
    <row r="9" spans="1:8">
      <c r="A9" s="28" t="s">
        <v>66</v>
      </c>
      <c r="B9" s="28" t="s">
        <v>67</v>
      </c>
      <c r="C9" s="70" t="s">
        <v>356</v>
      </c>
      <c r="D9" s="28">
        <f>VALUE(LEFT(D35,3))</f>
        <v>430</v>
      </c>
      <c r="E9" s="28">
        <f>VALUE(LEFT(E35,3))</f>
        <v>430</v>
      </c>
      <c r="F9" s="28">
        <f t="shared" ref="F9:H9" si="7">VALUE(LEFT(F35,3))</f>
        <v>430</v>
      </c>
      <c r="G9" s="28">
        <f t="shared" si="7"/>
        <v>430</v>
      </c>
      <c r="H9" s="28">
        <f t="shared" si="7"/>
        <v>430</v>
      </c>
    </row>
    <row r="10" spans="1:8">
      <c r="A10" s="28" t="s">
        <v>67</v>
      </c>
      <c r="B10" s="28" t="s">
        <v>57</v>
      </c>
      <c r="C10" s="70" t="s">
        <v>10</v>
      </c>
      <c r="D10" s="28">
        <f>VALUE(LEFT(D36,4))</f>
        <v>1090</v>
      </c>
      <c r="E10" s="28">
        <f t="shared" ref="E10:H10" si="8">VALUE(LEFT(E36,4))</f>
        <v>1110</v>
      </c>
      <c r="F10" s="28">
        <f t="shared" si="8"/>
        <v>1130</v>
      </c>
      <c r="G10" s="28">
        <f t="shared" si="8"/>
        <v>1150</v>
      </c>
      <c r="H10" s="28">
        <f t="shared" si="8"/>
        <v>1170</v>
      </c>
    </row>
    <row r="11" spans="1:8">
      <c r="A11" s="28" t="s">
        <v>57</v>
      </c>
      <c r="B11" s="28" t="s">
        <v>136</v>
      </c>
      <c r="C11" s="70" t="s">
        <v>134</v>
      </c>
      <c r="D11" s="28">
        <f>VALUE(LEFT(D37,2))</f>
        <v>88</v>
      </c>
      <c r="E11" s="28">
        <f>VALUE(LEFT(E37,2))</f>
        <v>88</v>
      </c>
      <c r="F11" s="28">
        <f t="shared" ref="F11:H11" si="9">VALUE(LEFT(F37,2))</f>
        <v>88</v>
      </c>
      <c r="G11" s="28">
        <f t="shared" si="9"/>
        <v>88</v>
      </c>
      <c r="H11" s="28">
        <f t="shared" si="9"/>
        <v>88</v>
      </c>
    </row>
    <row r="12" spans="1:8">
      <c r="A12" s="28" t="s">
        <v>68</v>
      </c>
      <c r="B12" s="28" t="s">
        <v>68</v>
      </c>
      <c r="C12" s="70" t="s">
        <v>1599</v>
      </c>
      <c r="D12" s="28">
        <f>VALUE(LEFT(D38,2))</f>
        <v>51</v>
      </c>
      <c r="E12" s="28">
        <f>VALUE(LEFT(E38,2))</f>
        <v>51</v>
      </c>
      <c r="F12" s="28">
        <f t="shared" ref="F12:H12" si="10">VALUE(LEFT(F38,2))</f>
        <v>51</v>
      </c>
      <c r="G12" s="28">
        <f t="shared" si="10"/>
        <v>51</v>
      </c>
      <c r="H12" s="28">
        <f t="shared" si="10"/>
        <v>51</v>
      </c>
    </row>
    <row r="13" spans="1:8">
      <c r="A13" s="28" t="s">
        <v>58</v>
      </c>
      <c r="B13" s="28" t="s">
        <v>498</v>
      </c>
      <c r="C13" s="70" t="s">
        <v>1600</v>
      </c>
      <c r="D13" s="28">
        <f t="shared" ref="D13:E16" si="11">VALUE(LEFT(D39,3))</f>
        <v>495</v>
      </c>
      <c r="E13" s="28">
        <f t="shared" si="11"/>
        <v>495</v>
      </c>
      <c r="F13" s="28">
        <f t="shared" ref="F13:H13" si="12">VALUE(LEFT(F39,3))</f>
        <v>495</v>
      </c>
      <c r="G13" s="28">
        <f t="shared" si="12"/>
        <v>495</v>
      </c>
      <c r="H13" s="28">
        <f t="shared" si="12"/>
        <v>495</v>
      </c>
    </row>
    <row r="14" spans="1:8">
      <c r="A14" s="28" t="s">
        <v>70</v>
      </c>
      <c r="B14" s="28" t="s">
        <v>55</v>
      </c>
      <c r="C14" s="70" t="s">
        <v>0</v>
      </c>
      <c r="D14" s="28">
        <f t="shared" si="11"/>
        <v>595</v>
      </c>
      <c r="E14" s="28">
        <f t="shared" si="11"/>
        <v>605</v>
      </c>
      <c r="F14" s="28">
        <f t="shared" ref="F14:H14" si="13">VALUE(LEFT(F40,3))</f>
        <v>623</v>
      </c>
      <c r="G14" s="28">
        <f t="shared" si="13"/>
        <v>642</v>
      </c>
      <c r="H14" s="28">
        <f t="shared" si="13"/>
        <v>660</v>
      </c>
    </row>
    <row r="15" spans="1:8">
      <c r="A15" s="28" t="s">
        <v>71</v>
      </c>
      <c r="B15" s="28" t="s">
        <v>56</v>
      </c>
      <c r="C15" s="70" t="s">
        <v>1</v>
      </c>
      <c r="D15" s="28">
        <f t="shared" si="11"/>
        <v>387</v>
      </c>
      <c r="E15" s="28">
        <f t="shared" si="11"/>
        <v>403</v>
      </c>
      <c r="F15" s="28">
        <f t="shared" ref="F15:H15" si="14">VALUE(LEFT(F41,3))</f>
        <v>416</v>
      </c>
      <c r="G15" s="28">
        <f t="shared" si="14"/>
        <v>428</v>
      </c>
      <c r="H15" s="28">
        <f t="shared" si="14"/>
        <v>441</v>
      </c>
    </row>
    <row r="16" spans="1:8">
      <c r="A16" s="28" t="s">
        <v>72</v>
      </c>
      <c r="B16" s="28" t="s">
        <v>58</v>
      </c>
      <c r="C16" s="70" t="s">
        <v>15</v>
      </c>
      <c r="D16" s="28">
        <f t="shared" si="11"/>
        <v>754</v>
      </c>
      <c r="E16" s="28">
        <f t="shared" si="11"/>
        <v>777</v>
      </c>
      <c r="F16" s="28">
        <f t="shared" ref="F16:H16" si="15">VALUE(LEFT(F42,3))</f>
        <v>810</v>
      </c>
      <c r="G16" s="28">
        <f t="shared" si="15"/>
        <v>838</v>
      </c>
      <c r="H16" s="28">
        <f t="shared" si="15"/>
        <v>866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</row>
    <row r="26" spans="1:8">
      <c r="D26" s="69" t="s">
        <v>17</v>
      </c>
      <c r="E26" s="69" t="s">
        <v>18</v>
      </c>
      <c r="F26" s="69" t="s">
        <v>19</v>
      </c>
      <c r="G26" s="69" t="s">
        <v>20</v>
      </c>
      <c r="H26" s="69" t="s">
        <v>21</v>
      </c>
    </row>
    <row r="27" spans="1:8">
      <c r="C27" s="70" t="s">
        <v>1573</v>
      </c>
      <c r="D27" s="70" t="s">
        <v>1574</v>
      </c>
      <c r="E27" s="70" t="s">
        <v>1575</v>
      </c>
      <c r="F27" s="70" t="s">
        <v>1576</v>
      </c>
      <c r="G27" s="70" t="s">
        <v>1577</v>
      </c>
      <c r="H27" s="70" t="s">
        <v>1578</v>
      </c>
    </row>
    <row r="28" spans="1:8">
      <c r="C28" s="70" t="s">
        <v>1579</v>
      </c>
      <c r="D28" s="70" t="s">
        <v>1580</v>
      </c>
      <c r="E28" s="70" t="s">
        <v>1581</v>
      </c>
      <c r="F28" s="70" t="s">
        <v>1471</v>
      </c>
      <c r="G28" s="70" t="s">
        <v>633</v>
      </c>
      <c r="H28" s="70" t="s">
        <v>1582</v>
      </c>
    </row>
    <row r="29" spans="1:8">
      <c r="C29" s="70" t="s">
        <v>1583</v>
      </c>
      <c r="D29" s="70" t="s">
        <v>1189</v>
      </c>
      <c r="E29" s="70" t="s">
        <v>1189</v>
      </c>
      <c r="F29" s="70" t="s">
        <v>1189</v>
      </c>
      <c r="G29" s="70" t="s">
        <v>1189</v>
      </c>
      <c r="H29" s="70" t="s">
        <v>1189</v>
      </c>
    </row>
    <row r="30" spans="1:8">
      <c r="C30" s="70" t="s">
        <v>1584</v>
      </c>
      <c r="D30" s="70" t="s">
        <v>1585</v>
      </c>
      <c r="E30" s="70" t="s">
        <v>1585</v>
      </c>
      <c r="F30" s="70" t="s">
        <v>1585</v>
      </c>
      <c r="G30" s="70" t="s">
        <v>1585</v>
      </c>
      <c r="H30" s="70" t="s">
        <v>1585</v>
      </c>
    </row>
    <row r="31" spans="1:8">
      <c r="C31" s="70" t="s">
        <v>1586</v>
      </c>
      <c r="D31" s="70" t="s">
        <v>1297</v>
      </c>
      <c r="E31" s="70" t="s">
        <v>1256</v>
      </c>
      <c r="F31" s="70" t="s">
        <v>1587</v>
      </c>
      <c r="G31" s="70" t="s">
        <v>245</v>
      </c>
      <c r="H31" s="70" t="s">
        <v>861</v>
      </c>
    </row>
    <row r="32" spans="1:8">
      <c r="C32" s="70" t="s">
        <v>1588</v>
      </c>
      <c r="D32" s="70" t="s">
        <v>1186</v>
      </c>
      <c r="E32" s="70" t="s">
        <v>1186</v>
      </c>
      <c r="F32" s="70" t="s">
        <v>1186</v>
      </c>
      <c r="G32" s="70" t="s">
        <v>1186</v>
      </c>
      <c r="H32" s="70" t="s">
        <v>1186</v>
      </c>
    </row>
    <row r="33" spans="3:8">
      <c r="C33" s="70" t="s">
        <v>1589</v>
      </c>
      <c r="D33" s="70" t="s">
        <v>1175</v>
      </c>
      <c r="E33" s="70" t="s">
        <v>868</v>
      </c>
      <c r="F33" s="70" t="s">
        <v>252</v>
      </c>
      <c r="G33" s="70" t="s">
        <v>242</v>
      </c>
      <c r="H33" s="70" t="s">
        <v>641</v>
      </c>
    </row>
    <row r="34" spans="3:8">
      <c r="C34" s="70" t="s">
        <v>1590</v>
      </c>
      <c r="D34" s="70" t="s">
        <v>1591</v>
      </c>
      <c r="E34" s="70" t="s">
        <v>1591</v>
      </c>
      <c r="F34" s="70" t="s">
        <v>1591</v>
      </c>
      <c r="G34" s="70" t="s">
        <v>1591</v>
      </c>
      <c r="H34" s="70" t="s">
        <v>1591</v>
      </c>
    </row>
    <row r="35" spans="3:8">
      <c r="C35" s="70" t="s">
        <v>356</v>
      </c>
      <c r="D35" s="70" t="s">
        <v>1592</v>
      </c>
      <c r="E35" s="70" t="s">
        <v>1592</v>
      </c>
      <c r="F35" s="70" t="s">
        <v>1592</v>
      </c>
      <c r="G35" s="70" t="s">
        <v>1592</v>
      </c>
      <c r="H35" s="70" t="s">
        <v>1592</v>
      </c>
    </row>
    <row r="36" spans="3:8">
      <c r="C36" s="70" t="s">
        <v>10</v>
      </c>
      <c r="D36" s="70" t="s">
        <v>1593</v>
      </c>
      <c r="E36" s="70" t="s">
        <v>1594</v>
      </c>
      <c r="F36" s="70" t="s">
        <v>1595</v>
      </c>
      <c r="G36" s="70" t="s">
        <v>1596</v>
      </c>
      <c r="H36" s="70" t="s">
        <v>1597</v>
      </c>
    </row>
    <row r="37" spans="3:8">
      <c r="C37" s="70" t="s">
        <v>134</v>
      </c>
      <c r="D37" s="70" t="s">
        <v>1598</v>
      </c>
      <c r="E37" s="70" t="s">
        <v>1598</v>
      </c>
      <c r="F37" s="70" t="s">
        <v>1598</v>
      </c>
      <c r="G37" s="70" t="s">
        <v>1598</v>
      </c>
      <c r="H37" s="70" t="s">
        <v>1598</v>
      </c>
    </row>
    <row r="38" spans="3:8">
      <c r="C38" s="70" t="s">
        <v>1599</v>
      </c>
      <c r="D38" s="70" t="s">
        <v>1200</v>
      </c>
      <c r="E38" s="70" t="s">
        <v>1200</v>
      </c>
      <c r="F38" s="70" t="s">
        <v>1200</v>
      </c>
      <c r="G38" s="70" t="s">
        <v>1200</v>
      </c>
      <c r="H38" s="70" t="s">
        <v>1200</v>
      </c>
    </row>
    <row r="39" spans="3:8">
      <c r="C39" s="70" t="s">
        <v>1600</v>
      </c>
      <c r="D39" s="70" t="s">
        <v>1601</v>
      </c>
      <c r="E39" s="70" t="s">
        <v>1601</v>
      </c>
      <c r="F39" s="70" t="s">
        <v>1601</v>
      </c>
      <c r="G39" s="70" t="s">
        <v>1601</v>
      </c>
      <c r="H39" s="70" t="s">
        <v>1601</v>
      </c>
    </row>
    <row r="40" spans="3:8">
      <c r="C40" s="70" t="s">
        <v>0</v>
      </c>
      <c r="D40" s="70" t="s">
        <v>232</v>
      </c>
      <c r="E40" s="70" t="s">
        <v>1336</v>
      </c>
      <c r="F40" s="70" t="s">
        <v>1602</v>
      </c>
      <c r="G40" s="70" t="s">
        <v>1603</v>
      </c>
      <c r="H40" s="70" t="s">
        <v>1604</v>
      </c>
    </row>
    <row r="41" spans="3:8">
      <c r="C41" s="70" t="s">
        <v>1</v>
      </c>
      <c r="D41" s="70" t="s">
        <v>1605</v>
      </c>
      <c r="E41" s="70" t="s">
        <v>264</v>
      </c>
      <c r="F41" s="70" t="s">
        <v>1606</v>
      </c>
      <c r="G41" s="70" t="s">
        <v>1607</v>
      </c>
      <c r="H41" s="70" t="s">
        <v>1608</v>
      </c>
    </row>
    <row r="42" spans="3:8">
      <c r="C42" s="70" t="s">
        <v>15</v>
      </c>
      <c r="D42" s="70" t="s">
        <v>637</v>
      </c>
      <c r="E42" s="70" t="s">
        <v>1609</v>
      </c>
      <c r="F42" s="70" t="s">
        <v>1610</v>
      </c>
      <c r="G42" s="70" t="s">
        <v>1611</v>
      </c>
      <c r="H42" s="70" t="s">
        <v>1612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1984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1579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1573</v>
      </c>
      <c r="L2" s="87" t="s">
        <v>1575</v>
      </c>
      <c r="M2" s="87" t="s">
        <v>1964</v>
      </c>
      <c r="N2" s="87" t="s">
        <v>1577</v>
      </c>
      <c r="O2" s="87" t="s">
        <v>1578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1583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1679</v>
      </c>
      <c r="L3" s="87" t="s">
        <v>1965</v>
      </c>
      <c r="M3" s="87" t="s">
        <v>1966</v>
      </c>
      <c r="N3" s="87" t="s">
        <v>1684</v>
      </c>
      <c r="O3" s="87" t="s">
        <v>1685</v>
      </c>
    </row>
    <row r="4" spans="1:15" ht="22">
      <c r="A4" s="33" t="s">
        <v>2</v>
      </c>
      <c r="B4" s="28" t="s">
        <v>61</v>
      </c>
      <c r="C4" s="28" t="s">
        <v>1988</v>
      </c>
      <c r="D4" s="87" t="s">
        <v>1584</v>
      </c>
      <c r="E4" s="87">
        <v>0.2</v>
      </c>
      <c r="F4" s="87">
        <v>0.2</v>
      </c>
      <c r="G4" s="87">
        <v>0.2</v>
      </c>
      <c r="H4" s="87">
        <v>0.2</v>
      </c>
      <c r="K4" s="87" t="s">
        <v>1579</v>
      </c>
      <c r="L4" s="87" t="s">
        <v>1967</v>
      </c>
      <c r="M4" s="87" t="s">
        <v>860</v>
      </c>
      <c r="N4" s="87" t="s">
        <v>1471</v>
      </c>
      <c r="O4" s="87" t="s">
        <v>1336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1586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1583</v>
      </c>
      <c r="L5" s="87" t="s">
        <v>312</v>
      </c>
      <c r="M5" s="87" t="s">
        <v>794</v>
      </c>
      <c r="N5" s="87" t="s">
        <v>794</v>
      </c>
      <c r="O5" s="87" t="s">
        <v>794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1588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1584</v>
      </c>
      <c r="L6" s="87" t="s">
        <v>1585</v>
      </c>
      <c r="M6" s="87" t="s">
        <v>1585</v>
      </c>
      <c r="N6" s="87" t="s">
        <v>1585</v>
      </c>
      <c r="O6" s="87" t="s">
        <v>1585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1589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1586</v>
      </c>
      <c r="L7" s="87" t="s">
        <v>1968</v>
      </c>
      <c r="M7" s="87" t="s">
        <v>1969</v>
      </c>
      <c r="N7" s="87" t="s">
        <v>1970</v>
      </c>
      <c r="O7" s="87" t="s">
        <v>1971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1590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1588</v>
      </c>
      <c r="L8" s="87" t="s">
        <v>296</v>
      </c>
      <c r="M8" s="87" t="s">
        <v>296</v>
      </c>
      <c r="N8" s="87" t="s">
        <v>296</v>
      </c>
      <c r="O8" s="87" t="s">
        <v>296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356</v>
      </c>
      <c r="E9" s="87">
        <v>430</v>
      </c>
      <c r="F9" s="87">
        <v>430</v>
      </c>
      <c r="G9" s="87">
        <v>430</v>
      </c>
      <c r="H9" s="87">
        <v>430</v>
      </c>
      <c r="K9" s="87" t="s">
        <v>1589</v>
      </c>
      <c r="L9" s="87" t="s">
        <v>1972</v>
      </c>
      <c r="M9" s="87" t="s">
        <v>1167</v>
      </c>
      <c r="N9" s="87" t="s">
        <v>854</v>
      </c>
      <c r="O9" s="87" t="s">
        <v>853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1590</v>
      </c>
      <c r="L10" s="87" t="s">
        <v>1591</v>
      </c>
      <c r="M10" s="87" t="s">
        <v>1591</v>
      </c>
      <c r="N10" s="87" t="s">
        <v>1591</v>
      </c>
      <c r="O10" s="87" t="s">
        <v>1591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356</v>
      </c>
      <c r="L11" s="87" t="s">
        <v>1689</v>
      </c>
      <c r="M11" s="87" t="s">
        <v>1689</v>
      </c>
      <c r="N11" s="87" t="s">
        <v>1689</v>
      </c>
      <c r="O11" s="87" t="s">
        <v>1689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1599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1973</v>
      </c>
      <c r="M12" s="87" t="s">
        <v>1974</v>
      </c>
      <c r="N12" s="87" t="s">
        <v>1975</v>
      </c>
      <c r="O12" s="87" t="s">
        <v>1976</v>
      </c>
    </row>
    <row r="13" spans="1:15" ht="22">
      <c r="A13" s="33" t="s">
        <v>15</v>
      </c>
      <c r="B13" s="28" t="s">
        <v>58</v>
      </c>
      <c r="C13" s="28" t="s">
        <v>498</v>
      </c>
      <c r="D13" s="87" t="s">
        <v>1600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1696</v>
      </c>
      <c r="M13" s="87" t="s">
        <v>832</v>
      </c>
      <c r="N13" s="87" t="s">
        <v>832</v>
      </c>
      <c r="O13" s="87" t="s">
        <v>832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1599</v>
      </c>
      <c r="L14" s="87" t="s">
        <v>841</v>
      </c>
      <c r="M14" s="87" t="s">
        <v>841</v>
      </c>
      <c r="N14" s="87" t="s">
        <v>841</v>
      </c>
      <c r="O14" s="87" t="s">
        <v>841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1600</v>
      </c>
      <c r="L15" s="87" t="s">
        <v>613</v>
      </c>
      <c r="M15" s="87" t="s">
        <v>613</v>
      </c>
      <c r="N15" s="87" t="s">
        <v>613</v>
      </c>
      <c r="O15" s="87" t="s">
        <v>613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1244</v>
      </c>
      <c r="M16" s="87" t="s">
        <v>230</v>
      </c>
      <c r="N16" s="87" t="s">
        <v>232</v>
      </c>
      <c r="O16" s="87" t="s">
        <v>1977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1259</v>
      </c>
      <c r="M17" s="87" t="s">
        <v>1978</v>
      </c>
      <c r="N17" s="87" t="s">
        <v>612</v>
      </c>
      <c r="O17" s="87" t="s">
        <v>1979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1980</v>
      </c>
      <c r="M18" s="87" t="s">
        <v>1981</v>
      </c>
      <c r="N18" s="87" t="s">
        <v>1982</v>
      </c>
      <c r="O18" s="87" t="s">
        <v>1983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1758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1759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1987</v>
      </c>
    </row>
    <row r="23" spans="1:15" ht="20">
      <c r="C23" s="28" t="s">
        <v>1758</v>
      </c>
      <c r="D23" s="28" t="s">
        <v>1758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1759</v>
      </c>
      <c r="D24" s="28" t="s">
        <v>1759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89" t="s">
        <v>73</v>
      </c>
      <c r="D26" s="89" t="s">
        <v>1986</v>
      </c>
      <c r="E26" s="90" t="s">
        <v>18</v>
      </c>
      <c r="F26" s="90" t="s">
        <v>19</v>
      </c>
      <c r="G26" s="90" t="s">
        <v>20</v>
      </c>
      <c r="H26" s="90" t="s">
        <v>21</v>
      </c>
    </row>
    <row r="27" spans="1:15" ht="22">
      <c r="C27" s="89" t="s">
        <v>74</v>
      </c>
      <c r="D27" s="91" t="s">
        <v>1579</v>
      </c>
      <c r="E27" s="91">
        <v>546</v>
      </c>
      <c r="F27" s="91">
        <v>560</v>
      </c>
      <c r="G27" s="91">
        <v>583</v>
      </c>
      <c r="H27" s="91">
        <v>605</v>
      </c>
    </row>
    <row r="28" spans="1:15" ht="22">
      <c r="C28" s="89" t="s">
        <v>63</v>
      </c>
      <c r="D28" s="91" t="s">
        <v>1583</v>
      </c>
      <c r="E28" s="91">
        <f>E3+E4</f>
        <v>71.2</v>
      </c>
      <c r="F28" s="91">
        <f t="shared" ref="F28:H28" si="2">F3+F4</f>
        <v>71.7</v>
      </c>
      <c r="G28" s="91">
        <f t="shared" si="2"/>
        <v>71.7</v>
      </c>
      <c r="H28" s="91">
        <f t="shared" si="2"/>
        <v>71.7</v>
      </c>
    </row>
    <row r="29" spans="1:15" ht="22">
      <c r="C29" s="89" t="s">
        <v>1988</v>
      </c>
      <c r="D29" s="91" t="s">
        <v>1584</v>
      </c>
      <c r="E29" s="91">
        <v>0.2</v>
      </c>
      <c r="F29" s="91">
        <v>0.2</v>
      </c>
      <c r="G29" s="91">
        <v>0.2</v>
      </c>
      <c r="H29" s="91">
        <v>0.2</v>
      </c>
    </row>
    <row r="30" spans="1:15" ht="22">
      <c r="C30" s="89" t="s">
        <v>65</v>
      </c>
      <c r="D30" s="91" t="s">
        <v>1586</v>
      </c>
      <c r="E30" s="91">
        <v>94</v>
      </c>
      <c r="F30" s="91">
        <v>107</v>
      </c>
      <c r="G30" s="91">
        <v>149</v>
      </c>
      <c r="H30" s="91">
        <v>191</v>
      </c>
    </row>
    <row r="31" spans="1:15" ht="22">
      <c r="C31" s="89" t="s">
        <v>64</v>
      </c>
      <c r="D31" s="91" t="s">
        <v>1588</v>
      </c>
      <c r="E31" s="91">
        <f>E6+E4</f>
        <v>72.7</v>
      </c>
      <c r="F31" s="91">
        <f t="shared" ref="F31:H31" si="3">F6+F4</f>
        <v>72.7</v>
      </c>
      <c r="G31" s="91">
        <f t="shared" si="3"/>
        <v>72.7</v>
      </c>
      <c r="H31" s="91">
        <f t="shared" si="3"/>
        <v>72.7</v>
      </c>
    </row>
    <row r="32" spans="1:15" ht="22">
      <c r="C32" s="89" t="s">
        <v>61</v>
      </c>
      <c r="D32" s="91" t="s">
        <v>1589</v>
      </c>
      <c r="E32" s="91">
        <v>475</v>
      </c>
      <c r="F32" s="91">
        <v>510</v>
      </c>
      <c r="G32" s="91">
        <v>540</v>
      </c>
      <c r="H32" s="91">
        <v>570</v>
      </c>
    </row>
    <row r="33" spans="3:9" ht="22">
      <c r="C33" s="89" t="s">
        <v>66</v>
      </c>
      <c r="D33" s="91" t="s">
        <v>1590</v>
      </c>
      <c r="E33" s="91">
        <f>E8-2</f>
        <v>68</v>
      </c>
      <c r="F33" s="91">
        <f t="shared" ref="F33:H33" si="4">F8-2</f>
        <v>68</v>
      </c>
      <c r="G33" s="91">
        <f t="shared" si="4"/>
        <v>68</v>
      </c>
      <c r="H33" s="91">
        <f t="shared" si="4"/>
        <v>68</v>
      </c>
    </row>
    <row r="34" spans="3:9" ht="22">
      <c r="C34" s="89" t="s">
        <v>67</v>
      </c>
      <c r="D34" s="91" t="s">
        <v>356</v>
      </c>
      <c r="E34" s="91">
        <f>E9-10</f>
        <v>420</v>
      </c>
      <c r="F34" s="91">
        <f t="shared" ref="F34:H34" si="5">F9-10</f>
        <v>420</v>
      </c>
      <c r="G34" s="91">
        <f t="shared" si="5"/>
        <v>420</v>
      </c>
      <c r="H34" s="91">
        <f t="shared" si="5"/>
        <v>420</v>
      </c>
    </row>
    <row r="35" spans="3:9" ht="22">
      <c r="C35" s="89" t="s">
        <v>57</v>
      </c>
      <c r="D35" s="91" t="s">
        <v>10</v>
      </c>
      <c r="E35" s="91">
        <f>E10-10</f>
        <v>1008</v>
      </c>
      <c r="F35" s="91">
        <f t="shared" ref="F35:H35" si="6">F10-10</f>
        <v>1015</v>
      </c>
      <c r="G35" s="91">
        <f t="shared" si="6"/>
        <v>1039</v>
      </c>
      <c r="H35" s="91">
        <f t="shared" si="6"/>
        <v>1062</v>
      </c>
    </row>
    <row r="36" spans="3:9" ht="22">
      <c r="C36" s="89" t="s">
        <v>136</v>
      </c>
      <c r="D36" s="91" t="s">
        <v>134</v>
      </c>
      <c r="E36" s="91">
        <v>71</v>
      </c>
      <c r="F36" s="91">
        <v>68</v>
      </c>
      <c r="G36" s="91">
        <v>68</v>
      </c>
      <c r="H36" s="91">
        <v>68</v>
      </c>
    </row>
    <row r="37" spans="3:9" ht="22">
      <c r="C37" s="89" t="s">
        <v>68</v>
      </c>
      <c r="D37" s="91" t="s">
        <v>1599</v>
      </c>
      <c r="E37" s="91">
        <v>47</v>
      </c>
      <c r="F37" s="91">
        <v>47</v>
      </c>
      <c r="G37" s="91">
        <v>47</v>
      </c>
      <c r="H37" s="91">
        <v>47</v>
      </c>
    </row>
    <row r="38" spans="3:9" ht="22">
      <c r="C38" s="89" t="s">
        <v>498</v>
      </c>
      <c r="D38" s="91" t="s">
        <v>1600</v>
      </c>
      <c r="E38" s="91">
        <v>420</v>
      </c>
      <c r="F38" s="91">
        <v>420</v>
      </c>
      <c r="G38" s="91">
        <v>420</v>
      </c>
      <c r="H38" s="91">
        <v>420</v>
      </c>
    </row>
    <row r="39" spans="3:9" ht="20">
      <c r="C39" s="89" t="s">
        <v>55</v>
      </c>
      <c r="D39" s="92" t="s">
        <v>0</v>
      </c>
      <c r="E39" s="92">
        <v>541</v>
      </c>
      <c r="F39" s="92">
        <v>555</v>
      </c>
      <c r="G39" s="92">
        <v>595</v>
      </c>
      <c r="H39" s="92">
        <v>635</v>
      </c>
    </row>
    <row r="40" spans="3:9" ht="20">
      <c r="C40" s="89" t="s">
        <v>56</v>
      </c>
      <c r="D40" s="92" t="s">
        <v>1</v>
      </c>
      <c r="E40" s="92">
        <v>375</v>
      </c>
      <c r="F40" s="92">
        <v>385</v>
      </c>
      <c r="G40" s="92">
        <v>395</v>
      </c>
      <c r="H40" s="92">
        <v>405</v>
      </c>
    </row>
    <row r="41" spans="3:9" ht="20">
      <c r="C41" s="28" t="s">
        <v>58</v>
      </c>
      <c r="D41" s="92" t="s">
        <v>15</v>
      </c>
      <c r="E41" s="92">
        <v>737</v>
      </c>
      <c r="F41" s="92">
        <v>765</v>
      </c>
      <c r="G41" s="92">
        <v>798</v>
      </c>
      <c r="H41" s="92">
        <v>831</v>
      </c>
    </row>
    <row r="42" spans="3:9" ht="20">
      <c r="C42" s="89" t="s">
        <v>70</v>
      </c>
      <c r="D42" s="89" t="s">
        <v>70</v>
      </c>
      <c r="E42" s="89"/>
      <c r="F42" s="89"/>
      <c r="G42" s="89"/>
      <c r="H42" s="89"/>
    </row>
    <row r="43" spans="3:9" ht="20">
      <c r="C43" s="89" t="s">
        <v>71</v>
      </c>
      <c r="D43" s="89" t="s">
        <v>71</v>
      </c>
      <c r="E43" s="93"/>
      <c r="F43" s="93"/>
      <c r="G43" s="93"/>
      <c r="H43" s="93"/>
    </row>
    <row r="44" spans="3:9" ht="20">
      <c r="C44" s="89" t="s">
        <v>72</v>
      </c>
      <c r="D44" s="89" t="s">
        <v>72</v>
      </c>
      <c r="E44" s="89"/>
      <c r="F44" s="89"/>
      <c r="G44" s="89"/>
      <c r="H44" s="89"/>
    </row>
    <row r="45" spans="3:9" ht="20">
      <c r="C45" s="89" t="s">
        <v>69</v>
      </c>
      <c r="D45" s="89" t="s">
        <v>69</v>
      </c>
      <c r="E45" s="89">
        <v>700</v>
      </c>
      <c r="F45" s="89">
        <v>700</v>
      </c>
      <c r="G45" s="89">
        <v>700</v>
      </c>
      <c r="H45" s="89">
        <v>700</v>
      </c>
    </row>
    <row r="46" spans="3:9" ht="20">
      <c r="C46" s="89" t="s">
        <v>140</v>
      </c>
      <c r="D46" s="89" t="s">
        <v>140</v>
      </c>
      <c r="E46" s="89">
        <v>38</v>
      </c>
      <c r="F46" s="89">
        <v>38</v>
      </c>
      <c r="G46" s="89">
        <v>38</v>
      </c>
      <c r="H46" s="89">
        <v>38</v>
      </c>
    </row>
    <row r="47" spans="3:9" ht="20">
      <c r="C47" s="89" t="s">
        <v>141</v>
      </c>
      <c r="D47" s="89" t="s">
        <v>141</v>
      </c>
      <c r="E47" s="89">
        <v>45</v>
      </c>
      <c r="F47" s="89">
        <v>45</v>
      </c>
      <c r="G47" s="89">
        <v>45</v>
      </c>
      <c r="H47" s="89">
        <v>45</v>
      </c>
      <c r="I47" t="s">
        <v>1987</v>
      </c>
    </row>
    <row r="48" spans="3:9" ht="20">
      <c r="C48" s="89" t="s">
        <v>1758</v>
      </c>
      <c r="D48" s="89" t="s">
        <v>1758</v>
      </c>
      <c r="E48" s="89">
        <v>1574.8</v>
      </c>
      <c r="F48" s="89">
        <v>1676.3999999999999</v>
      </c>
      <c r="G48" s="89">
        <v>1778</v>
      </c>
      <c r="H48" s="89">
        <v>1879.6</v>
      </c>
    </row>
    <row r="49" spans="3:8" ht="20">
      <c r="C49" s="89" t="s">
        <v>1759</v>
      </c>
      <c r="D49" s="89" t="s">
        <v>1759</v>
      </c>
      <c r="E49" s="89">
        <v>1701.8</v>
      </c>
      <c r="F49" s="89">
        <v>1803.3999999999999</v>
      </c>
      <c r="G49" s="89">
        <v>1905</v>
      </c>
      <c r="H49" s="89">
        <v>1981.1999999999998</v>
      </c>
    </row>
    <row r="52" spans="3:8" ht="22">
      <c r="C52" s="28" t="s">
        <v>73</v>
      </c>
      <c r="D52" s="28" t="s">
        <v>1985</v>
      </c>
      <c r="E52" s="86" t="s">
        <v>18</v>
      </c>
      <c r="F52" s="86" t="s">
        <v>19</v>
      </c>
      <c r="G52" s="86" t="s">
        <v>20</v>
      </c>
      <c r="H52" s="86" t="s">
        <v>21</v>
      </c>
    </row>
    <row r="53" spans="3:8" ht="22">
      <c r="C53" s="28" t="s">
        <v>74</v>
      </c>
      <c r="D53" s="87" t="s">
        <v>1579</v>
      </c>
      <c r="E53" s="87">
        <v>546</v>
      </c>
      <c r="F53" s="87">
        <v>560</v>
      </c>
      <c r="G53" s="87">
        <v>583</v>
      </c>
      <c r="H53" s="87">
        <v>605</v>
      </c>
    </row>
    <row r="54" spans="3:8" ht="22">
      <c r="C54" s="28" t="s">
        <v>63</v>
      </c>
      <c r="D54" s="87" t="s">
        <v>1583</v>
      </c>
      <c r="E54" s="87">
        <f>E3-E4</f>
        <v>70.8</v>
      </c>
      <c r="F54" s="87">
        <f t="shared" ref="F54:H54" si="7">F3-F4</f>
        <v>71.3</v>
      </c>
      <c r="G54" s="87">
        <f t="shared" si="7"/>
        <v>71.3</v>
      </c>
      <c r="H54" s="87">
        <f t="shared" si="7"/>
        <v>71.3</v>
      </c>
    </row>
    <row r="55" spans="3:8" ht="22">
      <c r="C55" s="28" t="s">
        <v>1988</v>
      </c>
      <c r="D55" s="87" t="s">
        <v>1584</v>
      </c>
      <c r="E55" s="87">
        <v>0.2</v>
      </c>
      <c r="F55" s="87">
        <v>0.2</v>
      </c>
      <c r="G55" s="87">
        <v>0.2</v>
      </c>
      <c r="H55" s="87">
        <v>0.2</v>
      </c>
    </row>
    <row r="56" spans="3:8" ht="22">
      <c r="C56" s="28" t="s">
        <v>65</v>
      </c>
      <c r="D56" s="87" t="s">
        <v>1586</v>
      </c>
      <c r="E56" s="87">
        <v>94</v>
      </c>
      <c r="F56" s="87">
        <v>107</v>
      </c>
      <c r="G56" s="87">
        <v>149</v>
      </c>
      <c r="H56" s="87">
        <v>191</v>
      </c>
    </row>
    <row r="57" spans="3:8" ht="22">
      <c r="C57" s="28" t="s">
        <v>64</v>
      </c>
      <c r="D57" s="87" t="s">
        <v>1588</v>
      </c>
      <c r="E57" s="87">
        <f>E6-E4</f>
        <v>72.3</v>
      </c>
      <c r="F57" s="87">
        <f t="shared" ref="F57:H57" si="8">F6-F4</f>
        <v>72.3</v>
      </c>
      <c r="G57" s="87">
        <f t="shared" si="8"/>
        <v>72.3</v>
      </c>
      <c r="H57" s="87">
        <f t="shared" si="8"/>
        <v>72.3</v>
      </c>
    </row>
    <row r="58" spans="3:8" ht="22">
      <c r="C58" s="28" t="s">
        <v>61</v>
      </c>
      <c r="D58" s="87" t="s">
        <v>1589</v>
      </c>
      <c r="E58" s="87">
        <v>475</v>
      </c>
      <c r="F58" s="87">
        <v>510</v>
      </c>
      <c r="G58" s="87">
        <v>540</v>
      </c>
      <c r="H58" s="87">
        <v>570</v>
      </c>
    </row>
    <row r="59" spans="3:8" ht="22">
      <c r="C59" s="28" t="s">
        <v>66</v>
      </c>
      <c r="D59" s="87" t="s">
        <v>1590</v>
      </c>
      <c r="E59" s="87">
        <f>E34-2</f>
        <v>418</v>
      </c>
      <c r="F59" s="87">
        <f t="shared" ref="F59:H59" si="9">F34-2</f>
        <v>418</v>
      </c>
      <c r="G59" s="87">
        <f t="shared" si="9"/>
        <v>418</v>
      </c>
      <c r="H59" s="87">
        <f t="shared" si="9"/>
        <v>418</v>
      </c>
    </row>
    <row r="60" spans="3:8" ht="22">
      <c r="C60" s="28" t="s">
        <v>67</v>
      </c>
      <c r="D60" s="87" t="s">
        <v>356</v>
      </c>
      <c r="E60" s="87">
        <f>E35-10</f>
        <v>998</v>
      </c>
      <c r="F60" s="87">
        <f t="shared" ref="F60:H60" si="10">F35-10</f>
        <v>1005</v>
      </c>
      <c r="G60" s="87">
        <f t="shared" si="10"/>
        <v>1029</v>
      </c>
      <c r="H60" s="87">
        <f t="shared" si="10"/>
        <v>1052</v>
      </c>
    </row>
    <row r="61" spans="3:8" ht="22">
      <c r="C61" s="28" t="s">
        <v>57</v>
      </c>
      <c r="D61" s="87" t="s">
        <v>10</v>
      </c>
      <c r="E61" s="87">
        <f>E36-10</f>
        <v>61</v>
      </c>
      <c r="F61" s="87">
        <f t="shared" ref="F61:H61" si="11">F36-10</f>
        <v>58</v>
      </c>
      <c r="G61" s="87">
        <f t="shared" si="11"/>
        <v>58</v>
      </c>
      <c r="H61" s="87">
        <f t="shared" si="11"/>
        <v>58</v>
      </c>
    </row>
    <row r="62" spans="3:8" ht="22">
      <c r="C62" s="28" t="s">
        <v>136</v>
      </c>
      <c r="D62" s="87" t="s">
        <v>134</v>
      </c>
      <c r="E62" s="87">
        <v>71</v>
      </c>
      <c r="F62" s="87">
        <v>68</v>
      </c>
      <c r="G62" s="87">
        <v>68</v>
      </c>
      <c r="H62" s="87">
        <v>68</v>
      </c>
    </row>
    <row r="63" spans="3:8" ht="22">
      <c r="C63" s="28" t="s">
        <v>68</v>
      </c>
      <c r="D63" s="87" t="s">
        <v>1599</v>
      </c>
      <c r="E63" s="87">
        <v>47</v>
      </c>
      <c r="F63" s="87">
        <v>47</v>
      </c>
      <c r="G63" s="87">
        <v>47</v>
      </c>
      <c r="H63" s="87">
        <v>47</v>
      </c>
    </row>
    <row r="64" spans="3:8" ht="22">
      <c r="C64" s="28" t="s">
        <v>498</v>
      </c>
      <c r="D64" s="87" t="s">
        <v>1600</v>
      </c>
      <c r="E64" s="87">
        <v>420</v>
      </c>
      <c r="F64" s="87">
        <v>420</v>
      </c>
      <c r="G64" s="87">
        <v>420</v>
      </c>
      <c r="H64" s="87">
        <v>420</v>
      </c>
    </row>
    <row r="65" spans="3:9" ht="20">
      <c r="C65" s="28" t="s">
        <v>55</v>
      </c>
      <c r="D65" s="70" t="s">
        <v>0</v>
      </c>
      <c r="E65" s="70">
        <v>541</v>
      </c>
      <c r="F65" s="70">
        <v>555</v>
      </c>
      <c r="G65" s="70">
        <v>595</v>
      </c>
      <c r="H65" s="70">
        <v>635</v>
      </c>
    </row>
    <row r="66" spans="3:9" ht="20">
      <c r="C66" s="28" t="s">
        <v>56</v>
      </c>
      <c r="D66" s="70" t="s">
        <v>1</v>
      </c>
      <c r="E66" s="70">
        <v>375</v>
      </c>
      <c r="F66" s="70">
        <v>385</v>
      </c>
      <c r="G66" s="70">
        <v>395</v>
      </c>
      <c r="H66" s="70">
        <v>405</v>
      </c>
    </row>
    <row r="67" spans="3:9" ht="20">
      <c r="C67" s="28" t="s">
        <v>58</v>
      </c>
      <c r="D67" s="70" t="s">
        <v>15</v>
      </c>
      <c r="E67" s="70">
        <v>737</v>
      </c>
      <c r="F67" s="70">
        <v>765</v>
      </c>
      <c r="G67" s="70">
        <v>798</v>
      </c>
      <c r="H67" s="70">
        <v>831</v>
      </c>
    </row>
    <row r="68" spans="3:9" ht="20">
      <c r="C68" s="28" t="s">
        <v>70</v>
      </c>
      <c r="D68" s="28" t="s">
        <v>70</v>
      </c>
      <c r="E68" s="28"/>
      <c r="F68" s="28"/>
      <c r="G68" s="28"/>
      <c r="H68" s="28"/>
    </row>
    <row r="69" spans="3:9" ht="20">
      <c r="C69" s="28" t="s">
        <v>71</v>
      </c>
      <c r="D69" s="28" t="s">
        <v>71</v>
      </c>
      <c r="E69" s="88"/>
      <c r="F69" s="88"/>
      <c r="G69" s="88"/>
      <c r="H69" s="88"/>
    </row>
    <row r="70" spans="3:9" ht="20">
      <c r="C70" s="28" t="s">
        <v>72</v>
      </c>
      <c r="D70" s="28" t="s">
        <v>72</v>
      </c>
      <c r="E70" s="28"/>
      <c r="F70" s="28"/>
      <c r="G70" s="28"/>
      <c r="H70" s="28"/>
    </row>
    <row r="71" spans="3:9" ht="20">
      <c r="C71" s="28" t="s">
        <v>69</v>
      </c>
      <c r="D71" s="28" t="s">
        <v>69</v>
      </c>
      <c r="E71" s="28">
        <v>700</v>
      </c>
      <c r="F71" s="28">
        <v>700</v>
      </c>
      <c r="G71" s="28">
        <v>700</v>
      </c>
      <c r="H71" s="28">
        <v>700</v>
      </c>
    </row>
    <row r="72" spans="3:9" ht="20">
      <c r="C72" s="28" t="s">
        <v>140</v>
      </c>
      <c r="D72" s="28" t="s">
        <v>140</v>
      </c>
      <c r="E72" s="28">
        <v>50</v>
      </c>
      <c r="F72" s="28">
        <v>50</v>
      </c>
      <c r="G72" s="28">
        <v>50</v>
      </c>
      <c r="H72" s="28">
        <v>50</v>
      </c>
    </row>
    <row r="73" spans="3:9" ht="20">
      <c r="C73" s="28" t="s">
        <v>141</v>
      </c>
      <c r="D73" s="28" t="s">
        <v>141</v>
      </c>
      <c r="E73" s="28">
        <v>54</v>
      </c>
      <c r="F73" s="28">
        <v>54</v>
      </c>
      <c r="G73" s="28">
        <v>54</v>
      </c>
      <c r="H73" s="28">
        <v>54</v>
      </c>
      <c r="I73" t="s">
        <v>1987</v>
      </c>
    </row>
    <row r="74" spans="3:9" ht="20">
      <c r="C74" s="28" t="s">
        <v>1758</v>
      </c>
      <c r="D74" s="28" t="s">
        <v>1758</v>
      </c>
      <c r="E74" s="28">
        <v>1574.8</v>
      </c>
      <c r="F74" s="28">
        <v>1676.3999999999999</v>
      </c>
      <c r="G74" s="28">
        <v>1778</v>
      </c>
      <c r="H74" s="28">
        <v>1879.6</v>
      </c>
    </row>
    <row r="75" spans="3:9" ht="20">
      <c r="C75" s="28" t="s">
        <v>1759</v>
      </c>
      <c r="D75" s="28" t="s">
        <v>1759</v>
      </c>
      <c r="E75" s="28">
        <v>1701.8</v>
      </c>
      <c r="F75" s="28">
        <v>1803.3999999999999</v>
      </c>
      <c r="G75" s="28">
        <v>1905</v>
      </c>
      <c r="H75" s="28">
        <v>1981.1999999999998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1984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1579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1573</v>
      </c>
      <c r="L2" s="87" t="s">
        <v>1575</v>
      </c>
      <c r="M2" s="87" t="s">
        <v>1964</v>
      </c>
      <c r="N2" s="87" t="s">
        <v>1577</v>
      </c>
      <c r="O2" s="87" t="s">
        <v>1578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1583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1679</v>
      </c>
      <c r="L3" s="87" t="s">
        <v>1965</v>
      </c>
      <c r="M3" s="87" t="s">
        <v>1966</v>
      </c>
      <c r="N3" s="87" t="s">
        <v>1684</v>
      </c>
      <c r="O3" s="87" t="s">
        <v>1685</v>
      </c>
    </row>
    <row r="4" spans="1:15" ht="22">
      <c r="A4" s="33" t="s">
        <v>2</v>
      </c>
      <c r="B4" s="28" t="s">
        <v>61</v>
      </c>
      <c r="C4" s="28" t="s">
        <v>1988</v>
      </c>
      <c r="D4" s="87" t="s">
        <v>1584</v>
      </c>
      <c r="E4" s="87">
        <v>0.2</v>
      </c>
      <c r="F4" s="87">
        <v>0.2</v>
      </c>
      <c r="G4" s="87">
        <v>0.2</v>
      </c>
      <c r="H4" s="87">
        <v>0.2</v>
      </c>
      <c r="K4" s="87" t="s">
        <v>1579</v>
      </c>
      <c r="L4" s="87" t="s">
        <v>1967</v>
      </c>
      <c r="M4" s="87" t="s">
        <v>860</v>
      </c>
      <c r="N4" s="87" t="s">
        <v>1471</v>
      </c>
      <c r="O4" s="87" t="s">
        <v>1336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1586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1583</v>
      </c>
      <c r="L5" s="87" t="s">
        <v>312</v>
      </c>
      <c r="M5" s="87" t="s">
        <v>794</v>
      </c>
      <c r="N5" s="87" t="s">
        <v>794</v>
      </c>
      <c r="O5" s="87" t="s">
        <v>794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1588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1584</v>
      </c>
      <c r="L6" s="87" t="s">
        <v>1585</v>
      </c>
      <c r="M6" s="87" t="s">
        <v>1585</v>
      </c>
      <c r="N6" s="87" t="s">
        <v>1585</v>
      </c>
      <c r="O6" s="87" t="s">
        <v>1585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1589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1586</v>
      </c>
      <c r="L7" s="87" t="s">
        <v>1968</v>
      </c>
      <c r="M7" s="87" t="s">
        <v>1969</v>
      </c>
      <c r="N7" s="87" t="s">
        <v>1970</v>
      </c>
      <c r="O7" s="87" t="s">
        <v>1971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1590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1588</v>
      </c>
      <c r="L8" s="87" t="s">
        <v>296</v>
      </c>
      <c r="M8" s="87" t="s">
        <v>296</v>
      </c>
      <c r="N8" s="87" t="s">
        <v>296</v>
      </c>
      <c r="O8" s="87" t="s">
        <v>296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356</v>
      </c>
      <c r="E9" s="87">
        <v>430</v>
      </c>
      <c r="F9" s="87">
        <v>430</v>
      </c>
      <c r="G9" s="87">
        <v>430</v>
      </c>
      <c r="H9" s="87">
        <v>430</v>
      </c>
      <c r="K9" s="87" t="s">
        <v>1589</v>
      </c>
      <c r="L9" s="87" t="s">
        <v>1972</v>
      </c>
      <c r="M9" s="87" t="s">
        <v>1167</v>
      </c>
      <c r="N9" s="87" t="s">
        <v>854</v>
      </c>
      <c r="O9" s="87" t="s">
        <v>853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1590</v>
      </c>
      <c r="L10" s="87" t="s">
        <v>1591</v>
      </c>
      <c r="M10" s="87" t="s">
        <v>1591</v>
      </c>
      <c r="N10" s="87" t="s">
        <v>1591</v>
      </c>
      <c r="O10" s="87" t="s">
        <v>1591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356</v>
      </c>
      <c r="L11" s="87" t="s">
        <v>1689</v>
      </c>
      <c r="M11" s="87" t="s">
        <v>1689</v>
      </c>
      <c r="N11" s="87" t="s">
        <v>1689</v>
      </c>
      <c r="O11" s="87" t="s">
        <v>1689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1599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1973</v>
      </c>
      <c r="M12" s="87" t="s">
        <v>1974</v>
      </c>
      <c r="N12" s="87" t="s">
        <v>1975</v>
      </c>
      <c r="O12" s="87" t="s">
        <v>1976</v>
      </c>
    </row>
    <row r="13" spans="1:15" ht="22">
      <c r="A13" s="33" t="s">
        <v>15</v>
      </c>
      <c r="B13" s="28" t="s">
        <v>58</v>
      </c>
      <c r="C13" s="28" t="s">
        <v>498</v>
      </c>
      <c r="D13" s="87" t="s">
        <v>1600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1696</v>
      </c>
      <c r="M13" s="87" t="s">
        <v>832</v>
      </c>
      <c r="N13" s="87" t="s">
        <v>832</v>
      </c>
      <c r="O13" s="87" t="s">
        <v>832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1599</v>
      </c>
      <c r="L14" s="87" t="s">
        <v>841</v>
      </c>
      <c r="M14" s="87" t="s">
        <v>841</v>
      </c>
      <c r="N14" s="87" t="s">
        <v>841</v>
      </c>
      <c r="O14" s="87" t="s">
        <v>841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1600</v>
      </c>
      <c r="L15" s="87" t="s">
        <v>613</v>
      </c>
      <c r="M15" s="87" t="s">
        <v>613</v>
      </c>
      <c r="N15" s="87" t="s">
        <v>613</v>
      </c>
      <c r="O15" s="87" t="s">
        <v>613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1244</v>
      </c>
      <c r="M16" s="87" t="s">
        <v>230</v>
      </c>
      <c r="N16" s="87" t="s">
        <v>232</v>
      </c>
      <c r="O16" s="87" t="s">
        <v>1977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1259</v>
      </c>
      <c r="M17" s="87" t="s">
        <v>1978</v>
      </c>
      <c r="N17" s="87" t="s">
        <v>612</v>
      </c>
      <c r="O17" s="87" t="s">
        <v>1979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1980</v>
      </c>
      <c r="M18" s="87" t="s">
        <v>1981</v>
      </c>
      <c r="N18" s="87" t="s">
        <v>1982</v>
      </c>
      <c r="O18" s="87" t="s">
        <v>1983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1758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1759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1987</v>
      </c>
    </row>
    <row r="23" spans="1:15" ht="20">
      <c r="C23" s="28" t="s">
        <v>1758</v>
      </c>
      <c r="D23" s="28" t="s">
        <v>1758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1759</v>
      </c>
      <c r="D24" s="28" t="s">
        <v>1759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28" t="s">
        <v>73</v>
      </c>
      <c r="D26" s="28" t="s">
        <v>1986</v>
      </c>
      <c r="E26" s="86" t="s">
        <v>18</v>
      </c>
      <c r="F26" s="86" t="s">
        <v>19</v>
      </c>
      <c r="G26" s="86" t="s">
        <v>20</v>
      </c>
      <c r="H26" s="86" t="s">
        <v>21</v>
      </c>
    </row>
    <row r="27" spans="1:15" ht="22">
      <c r="C27" s="28" t="s">
        <v>74</v>
      </c>
      <c r="D27" s="87" t="s">
        <v>1579</v>
      </c>
      <c r="E27" s="87">
        <v>546</v>
      </c>
      <c r="F27" s="87">
        <v>560</v>
      </c>
      <c r="G27" s="87">
        <v>583</v>
      </c>
      <c r="H27" s="87">
        <v>605</v>
      </c>
    </row>
    <row r="28" spans="1:15" ht="22">
      <c r="C28" s="28" t="s">
        <v>63</v>
      </c>
      <c r="D28" s="87" t="s">
        <v>1583</v>
      </c>
      <c r="E28" s="87">
        <f>E3+E4</f>
        <v>71.2</v>
      </c>
      <c r="F28" s="87">
        <f t="shared" ref="F28:H28" si="2">F3+F4</f>
        <v>71.7</v>
      </c>
      <c r="G28" s="87">
        <f t="shared" si="2"/>
        <v>71.7</v>
      </c>
      <c r="H28" s="87">
        <f t="shared" si="2"/>
        <v>71.7</v>
      </c>
    </row>
    <row r="29" spans="1:15" ht="22">
      <c r="C29" s="28" t="s">
        <v>1988</v>
      </c>
      <c r="D29" s="87" t="s">
        <v>1584</v>
      </c>
      <c r="E29" s="87">
        <v>0.2</v>
      </c>
      <c r="F29" s="87">
        <v>0.2</v>
      </c>
      <c r="G29" s="87">
        <v>0.2</v>
      </c>
      <c r="H29" s="87">
        <v>0.2</v>
      </c>
    </row>
    <row r="30" spans="1:15" ht="22">
      <c r="C30" s="28" t="s">
        <v>65</v>
      </c>
      <c r="D30" s="87" t="s">
        <v>1586</v>
      </c>
      <c r="E30" s="87">
        <v>94</v>
      </c>
      <c r="F30" s="87">
        <v>107</v>
      </c>
      <c r="G30" s="87">
        <v>149</v>
      </c>
      <c r="H30" s="87">
        <v>191</v>
      </c>
    </row>
    <row r="31" spans="1:15" ht="22">
      <c r="C31" s="28" t="s">
        <v>64</v>
      </c>
      <c r="D31" s="87" t="s">
        <v>1588</v>
      </c>
      <c r="E31" s="87">
        <f>E6+E4</f>
        <v>72.7</v>
      </c>
      <c r="F31" s="87">
        <f t="shared" ref="F31:H31" si="3">F6+F4</f>
        <v>72.7</v>
      </c>
      <c r="G31" s="87">
        <f t="shared" si="3"/>
        <v>72.7</v>
      </c>
      <c r="H31" s="87">
        <f t="shared" si="3"/>
        <v>72.7</v>
      </c>
    </row>
    <row r="32" spans="1:15" ht="22">
      <c r="C32" s="28" t="s">
        <v>61</v>
      </c>
      <c r="D32" s="87" t="s">
        <v>1589</v>
      </c>
      <c r="E32" s="87">
        <v>475</v>
      </c>
      <c r="F32" s="87">
        <v>510</v>
      </c>
      <c r="G32" s="87">
        <v>540</v>
      </c>
      <c r="H32" s="87">
        <v>570</v>
      </c>
    </row>
    <row r="33" spans="3:9" ht="22">
      <c r="C33" s="28" t="s">
        <v>66</v>
      </c>
      <c r="D33" s="87" t="s">
        <v>1590</v>
      </c>
      <c r="E33" s="87">
        <f>E8-2</f>
        <v>68</v>
      </c>
      <c r="F33" s="87">
        <f t="shared" ref="F33:H33" si="4">F8-2</f>
        <v>68</v>
      </c>
      <c r="G33" s="87">
        <f t="shared" si="4"/>
        <v>68</v>
      </c>
      <c r="H33" s="87">
        <f t="shared" si="4"/>
        <v>68</v>
      </c>
    </row>
    <row r="34" spans="3:9" ht="22">
      <c r="C34" s="28" t="s">
        <v>67</v>
      </c>
      <c r="D34" s="87" t="s">
        <v>356</v>
      </c>
      <c r="E34" s="87">
        <f>E9-10</f>
        <v>420</v>
      </c>
      <c r="F34" s="87">
        <f t="shared" ref="F34:H35" si="5">F9-10</f>
        <v>420</v>
      </c>
      <c r="G34" s="87">
        <f t="shared" si="5"/>
        <v>420</v>
      </c>
      <c r="H34" s="87">
        <f t="shared" si="5"/>
        <v>420</v>
      </c>
    </row>
    <row r="35" spans="3:9" ht="22">
      <c r="C35" s="28" t="s">
        <v>57</v>
      </c>
      <c r="D35" s="87" t="s">
        <v>10</v>
      </c>
      <c r="E35" s="87">
        <f>E10-10</f>
        <v>1008</v>
      </c>
      <c r="F35" s="87">
        <f t="shared" si="5"/>
        <v>1015</v>
      </c>
      <c r="G35" s="87">
        <f t="shared" si="5"/>
        <v>1039</v>
      </c>
      <c r="H35" s="87">
        <f t="shared" si="5"/>
        <v>1062</v>
      </c>
    </row>
    <row r="36" spans="3:9" ht="22">
      <c r="C36" s="28" t="s">
        <v>136</v>
      </c>
      <c r="D36" s="87" t="s">
        <v>134</v>
      </c>
      <c r="E36" s="87">
        <v>71</v>
      </c>
      <c r="F36" s="87">
        <v>68</v>
      </c>
      <c r="G36" s="87">
        <v>68</v>
      </c>
      <c r="H36" s="87">
        <v>68</v>
      </c>
    </row>
    <row r="37" spans="3:9" ht="22">
      <c r="C37" s="28" t="s">
        <v>68</v>
      </c>
      <c r="D37" s="87" t="s">
        <v>1599</v>
      </c>
      <c r="E37" s="87">
        <v>47</v>
      </c>
      <c r="F37" s="87">
        <v>47</v>
      </c>
      <c r="G37" s="87">
        <v>47</v>
      </c>
      <c r="H37" s="87">
        <v>47</v>
      </c>
    </row>
    <row r="38" spans="3:9" ht="22">
      <c r="C38" s="28" t="s">
        <v>498</v>
      </c>
      <c r="D38" s="87" t="s">
        <v>1600</v>
      </c>
      <c r="E38" s="87">
        <v>420</v>
      </c>
      <c r="F38" s="87">
        <v>420</v>
      </c>
      <c r="G38" s="87">
        <v>420</v>
      </c>
      <c r="H38" s="87">
        <v>420</v>
      </c>
    </row>
    <row r="39" spans="3:9" ht="20">
      <c r="C39" s="28" t="s">
        <v>55</v>
      </c>
      <c r="D39" s="70" t="s">
        <v>0</v>
      </c>
      <c r="E39" s="70">
        <v>541</v>
      </c>
      <c r="F39" s="70">
        <v>555</v>
      </c>
      <c r="G39" s="70">
        <v>595</v>
      </c>
      <c r="H39" s="70">
        <v>635</v>
      </c>
    </row>
    <row r="40" spans="3:9" ht="20">
      <c r="C40" s="28" t="s">
        <v>56</v>
      </c>
      <c r="D40" s="70" t="s">
        <v>1</v>
      </c>
      <c r="E40" s="70">
        <v>375</v>
      </c>
      <c r="F40" s="70">
        <v>385</v>
      </c>
      <c r="G40" s="70">
        <v>395</v>
      </c>
      <c r="H40" s="70">
        <v>405</v>
      </c>
    </row>
    <row r="41" spans="3:9" ht="20">
      <c r="C41" s="28" t="s">
        <v>58</v>
      </c>
      <c r="D41" s="70" t="s">
        <v>15</v>
      </c>
      <c r="E41" s="70">
        <v>737</v>
      </c>
      <c r="F41" s="70">
        <v>765</v>
      </c>
      <c r="G41" s="70">
        <v>798</v>
      </c>
      <c r="H41" s="70">
        <v>831</v>
      </c>
    </row>
    <row r="42" spans="3:9" ht="20">
      <c r="C42" s="28" t="s">
        <v>70</v>
      </c>
      <c r="D42" s="28" t="s">
        <v>70</v>
      </c>
      <c r="E42" s="28"/>
      <c r="F42" s="28"/>
      <c r="G42" s="28"/>
      <c r="H42" s="28"/>
    </row>
    <row r="43" spans="3:9" ht="20">
      <c r="C43" s="28" t="s">
        <v>71</v>
      </c>
      <c r="D43" s="28" t="s">
        <v>71</v>
      </c>
      <c r="E43" s="88"/>
      <c r="F43" s="88"/>
      <c r="G43" s="88"/>
      <c r="H43" s="88"/>
    </row>
    <row r="44" spans="3:9" ht="20">
      <c r="C44" s="28" t="s">
        <v>72</v>
      </c>
      <c r="D44" s="28" t="s">
        <v>72</v>
      </c>
      <c r="E44" s="28"/>
      <c r="F44" s="28"/>
      <c r="G44" s="28"/>
      <c r="H44" s="28"/>
    </row>
    <row r="45" spans="3:9" ht="20">
      <c r="C45" s="28" t="s">
        <v>69</v>
      </c>
      <c r="D45" s="28" t="s">
        <v>69</v>
      </c>
      <c r="E45" s="28">
        <v>700</v>
      </c>
      <c r="F45" s="28">
        <v>700</v>
      </c>
      <c r="G45" s="28">
        <v>700</v>
      </c>
      <c r="H45" s="28">
        <v>700</v>
      </c>
    </row>
    <row r="46" spans="3:9" ht="20">
      <c r="C46" s="28" t="s">
        <v>140</v>
      </c>
      <c r="D46" s="28" t="s">
        <v>140</v>
      </c>
      <c r="E46" s="28">
        <v>38</v>
      </c>
      <c r="F46" s="28">
        <v>38</v>
      </c>
      <c r="G46" s="28">
        <v>38</v>
      </c>
      <c r="H46" s="28">
        <v>38</v>
      </c>
    </row>
    <row r="47" spans="3:9" ht="20">
      <c r="C47" s="28" t="s">
        <v>141</v>
      </c>
      <c r="D47" s="28" t="s">
        <v>141</v>
      </c>
      <c r="E47" s="28">
        <v>45</v>
      </c>
      <c r="F47" s="28">
        <v>45</v>
      </c>
      <c r="G47" s="28">
        <v>45</v>
      </c>
      <c r="H47" s="28">
        <v>45</v>
      </c>
      <c r="I47" t="s">
        <v>1987</v>
      </c>
    </row>
    <row r="48" spans="3:9" ht="20">
      <c r="C48" s="28" t="s">
        <v>1758</v>
      </c>
      <c r="D48" s="28" t="s">
        <v>1758</v>
      </c>
      <c r="E48" s="28">
        <v>1574.8</v>
      </c>
      <c r="F48" s="28">
        <v>1676.3999999999999</v>
      </c>
      <c r="G48" s="28">
        <v>1778</v>
      </c>
      <c r="H48" s="28">
        <v>1879.6</v>
      </c>
    </row>
    <row r="49" spans="3:8" ht="20">
      <c r="C49" s="28" t="s">
        <v>1759</v>
      </c>
      <c r="D49" s="28" t="s">
        <v>1759</v>
      </c>
      <c r="E49" s="28">
        <v>1701.8</v>
      </c>
      <c r="F49" s="28">
        <v>1803.3999999999999</v>
      </c>
      <c r="G49" s="28">
        <v>1905</v>
      </c>
      <c r="H49" s="28">
        <v>1981.1999999999998</v>
      </c>
    </row>
    <row r="52" spans="3:8" ht="22">
      <c r="C52" s="95" t="s">
        <v>73</v>
      </c>
      <c r="D52" s="95" t="s">
        <v>1985</v>
      </c>
      <c r="E52" s="96" t="s">
        <v>18</v>
      </c>
      <c r="F52" s="96" t="s">
        <v>19</v>
      </c>
      <c r="G52" s="96" t="s">
        <v>20</v>
      </c>
      <c r="H52" s="96" t="s">
        <v>21</v>
      </c>
    </row>
    <row r="53" spans="3:8" ht="22">
      <c r="C53" s="95" t="s">
        <v>74</v>
      </c>
      <c r="D53" s="97" t="s">
        <v>1579</v>
      </c>
      <c r="E53" s="97">
        <v>546</v>
      </c>
      <c r="F53" s="97">
        <v>560</v>
      </c>
      <c r="G53" s="97">
        <v>583</v>
      </c>
      <c r="H53" s="97">
        <v>605</v>
      </c>
    </row>
    <row r="54" spans="3:8" ht="22">
      <c r="C54" s="95" t="s">
        <v>63</v>
      </c>
      <c r="D54" s="97" t="s">
        <v>1583</v>
      </c>
      <c r="E54" s="97">
        <f>E3-E4</f>
        <v>70.8</v>
      </c>
      <c r="F54" s="97">
        <f t="shared" ref="F54:H54" si="6">F3-F4</f>
        <v>71.3</v>
      </c>
      <c r="G54" s="97">
        <f t="shared" si="6"/>
        <v>71.3</v>
      </c>
      <c r="H54" s="97">
        <f t="shared" si="6"/>
        <v>71.3</v>
      </c>
    </row>
    <row r="55" spans="3:8" ht="22">
      <c r="C55" s="95" t="s">
        <v>1988</v>
      </c>
      <c r="D55" s="97" t="s">
        <v>1584</v>
      </c>
      <c r="E55" s="97">
        <v>0.2</v>
      </c>
      <c r="F55" s="97">
        <v>0.2</v>
      </c>
      <c r="G55" s="97">
        <v>0.2</v>
      </c>
      <c r="H55" s="97">
        <v>0.2</v>
      </c>
    </row>
    <row r="56" spans="3:8" ht="22">
      <c r="C56" s="95" t="s">
        <v>65</v>
      </c>
      <c r="D56" s="97" t="s">
        <v>1586</v>
      </c>
      <c r="E56" s="97">
        <v>94</v>
      </c>
      <c r="F56" s="97">
        <v>107</v>
      </c>
      <c r="G56" s="97">
        <v>149</v>
      </c>
      <c r="H56" s="97">
        <v>191</v>
      </c>
    </row>
    <row r="57" spans="3:8" ht="22">
      <c r="C57" s="95" t="s">
        <v>64</v>
      </c>
      <c r="D57" s="97" t="s">
        <v>1588</v>
      </c>
      <c r="E57" s="97">
        <f>E6-E4</f>
        <v>72.3</v>
      </c>
      <c r="F57" s="97">
        <f t="shared" ref="F57:H57" si="7">F6-F4</f>
        <v>72.3</v>
      </c>
      <c r="G57" s="97">
        <f t="shared" si="7"/>
        <v>72.3</v>
      </c>
      <c r="H57" s="97">
        <f t="shared" si="7"/>
        <v>72.3</v>
      </c>
    </row>
    <row r="58" spans="3:8" ht="22">
      <c r="C58" s="95" t="s">
        <v>61</v>
      </c>
      <c r="D58" s="97" t="s">
        <v>1589</v>
      </c>
      <c r="E58" s="97">
        <v>475</v>
      </c>
      <c r="F58" s="97">
        <v>510</v>
      </c>
      <c r="G58" s="97">
        <v>540</v>
      </c>
      <c r="H58" s="97">
        <v>570</v>
      </c>
    </row>
    <row r="59" spans="3:8" ht="22">
      <c r="C59" s="95" t="s">
        <v>66</v>
      </c>
      <c r="D59" s="97" t="s">
        <v>1590</v>
      </c>
      <c r="E59" s="97">
        <f>E8+2</f>
        <v>72</v>
      </c>
      <c r="F59" s="97">
        <f t="shared" ref="F59:H59" si="8">F8+2</f>
        <v>72</v>
      </c>
      <c r="G59" s="97">
        <f t="shared" si="8"/>
        <v>72</v>
      </c>
      <c r="H59" s="97">
        <f t="shared" si="8"/>
        <v>72</v>
      </c>
    </row>
    <row r="60" spans="3:8" ht="22">
      <c r="C60" s="95" t="s">
        <v>67</v>
      </c>
      <c r="D60" s="97" t="s">
        <v>356</v>
      </c>
      <c r="E60" s="97">
        <f>E9+10</f>
        <v>440</v>
      </c>
      <c r="F60" s="97">
        <f t="shared" ref="F60:H60" si="9">F9+10</f>
        <v>440</v>
      </c>
      <c r="G60" s="97">
        <f t="shared" si="9"/>
        <v>440</v>
      </c>
      <c r="H60" s="97">
        <f t="shared" si="9"/>
        <v>440</v>
      </c>
    </row>
    <row r="61" spans="3:8" ht="22">
      <c r="C61" s="95" t="s">
        <v>57</v>
      </c>
      <c r="D61" s="97" t="s">
        <v>10</v>
      </c>
      <c r="E61" s="97">
        <f>E10+10</f>
        <v>1028</v>
      </c>
      <c r="F61" s="97">
        <f t="shared" ref="F61:H61" si="10">F10+10</f>
        <v>1035</v>
      </c>
      <c r="G61" s="97">
        <f t="shared" si="10"/>
        <v>1059</v>
      </c>
      <c r="H61" s="97">
        <f t="shared" si="10"/>
        <v>1082</v>
      </c>
    </row>
    <row r="62" spans="3:8" ht="22">
      <c r="C62" s="95" t="s">
        <v>136</v>
      </c>
      <c r="D62" s="97" t="s">
        <v>134</v>
      </c>
      <c r="E62" s="97">
        <v>71</v>
      </c>
      <c r="F62" s="97">
        <v>68</v>
      </c>
      <c r="G62" s="97">
        <v>68</v>
      </c>
      <c r="H62" s="97">
        <v>68</v>
      </c>
    </row>
    <row r="63" spans="3:8" ht="22">
      <c r="C63" s="95" t="s">
        <v>68</v>
      </c>
      <c r="D63" s="97" t="s">
        <v>1599</v>
      </c>
      <c r="E63" s="97">
        <v>47</v>
      </c>
      <c r="F63" s="97">
        <v>47</v>
      </c>
      <c r="G63" s="97">
        <v>47</v>
      </c>
      <c r="H63" s="97">
        <v>47</v>
      </c>
    </row>
    <row r="64" spans="3:8" ht="22">
      <c r="C64" s="95" t="s">
        <v>498</v>
      </c>
      <c r="D64" s="97" t="s">
        <v>1600</v>
      </c>
      <c r="E64" s="97">
        <v>420</v>
      </c>
      <c r="F64" s="97">
        <v>420</v>
      </c>
      <c r="G64" s="97">
        <v>420</v>
      </c>
      <c r="H64" s="97">
        <v>420</v>
      </c>
    </row>
    <row r="65" spans="3:9" ht="20">
      <c r="C65" s="95" t="s">
        <v>55</v>
      </c>
      <c r="D65" s="95" t="s">
        <v>0</v>
      </c>
      <c r="E65" s="95">
        <v>541</v>
      </c>
      <c r="F65" s="95">
        <v>555</v>
      </c>
      <c r="G65" s="95">
        <v>595</v>
      </c>
      <c r="H65" s="95">
        <v>635</v>
      </c>
    </row>
    <row r="66" spans="3:9" ht="20">
      <c r="C66" s="95" t="s">
        <v>56</v>
      </c>
      <c r="D66" s="95" t="s">
        <v>1</v>
      </c>
      <c r="E66" s="95">
        <v>375</v>
      </c>
      <c r="F66" s="95">
        <v>385</v>
      </c>
      <c r="G66" s="95">
        <v>395</v>
      </c>
      <c r="H66" s="95">
        <v>405</v>
      </c>
    </row>
    <row r="67" spans="3:9" ht="20">
      <c r="C67" s="28" t="s">
        <v>58</v>
      </c>
      <c r="D67" s="95" t="s">
        <v>15</v>
      </c>
      <c r="E67" s="95">
        <v>737</v>
      </c>
      <c r="F67" s="95">
        <v>765</v>
      </c>
      <c r="G67" s="95">
        <v>798</v>
      </c>
      <c r="H67" s="95">
        <v>831</v>
      </c>
    </row>
    <row r="68" spans="3:9" ht="20">
      <c r="C68" s="95" t="s">
        <v>70</v>
      </c>
      <c r="D68" s="95" t="s">
        <v>70</v>
      </c>
      <c r="E68" s="72"/>
      <c r="F68" s="72"/>
      <c r="G68" s="72"/>
      <c r="H68" s="72"/>
    </row>
    <row r="69" spans="3:9" ht="20">
      <c r="C69" s="95" t="s">
        <v>71</v>
      </c>
      <c r="D69" s="95" t="s">
        <v>71</v>
      </c>
      <c r="E69" s="94"/>
      <c r="F69" s="94"/>
      <c r="G69" s="94"/>
      <c r="H69" s="94"/>
    </row>
    <row r="70" spans="3:9" ht="20">
      <c r="C70" s="95" t="s">
        <v>72</v>
      </c>
      <c r="D70" s="95" t="s">
        <v>72</v>
      </c>
      <c r="E70" s="72"/>
      <c r="F70" s="72"/>
      <c r="G70" s="72"/>
      <c r="H70" s="72"/>
    </row>
    <row r="71" spans="3:9" ht="20">
      <c r="C71" s="95" t="s">
        <v>69</v>
      </c>
      <c r="D71" s="95" t="s">
        <v>69</v>
      </c>
      <c r="E71" s="95">
        <v>700</v>
      </c>
      <c r="F71" s="95">
        <v>700</v>
      </c>
      <c r="G71" s="95">
        <v>700</v>
      </c>
      <c r="H71" s="95">
        <v>700</v>
      </c>
    </row>
    <row r="72" spans="3:9" ht="20">
      <c r="C72" s="95" t="s">
        <v>140</v>
      </c>
      <c r="D72" s="95" t="s">
        <v>140</v>
      </c>
      <c r="E72" s="95">
        <v>50</v>
      </c>
      <c r="F72" s="95">
        <v>50</v>
      </c>
      <c r="G72" s="95">
        <v>50</v>
      </c>
      <c r="H72" s="95">
        <v>50</v>
      </c>
    </row>
    <row r="73" spans="3:9" ht="20">
      <c r="C73" s="95" t="s">
        <v>141</v>
      </c>
      <c r="D73" s="95" t="s">
        <v>141</v>
      </c>
      <c r="E73" s="95">
        <v>54</v>
      </c>
      <c r="F73" s="95">
        <v>54</v>
      </c>
      <c r="G73" s="95">
        <v>54</v>
      </c>
      <c r="H73" s="95">
        <v>54</v>
      </c>
      <c r="I73" t="s">
        <v>1987</v>
      </c>
    </row>
    <row r="74" spans="3:9" ht="20">
      <c r="C74" s="95" t="s">
        <v>1758</v>
      </c>
      <c r="D74" s="95" t="s">
        <v>1758</v>
      </c>
      <c r="E74" s="95">
        <v>1574.8</v>
      </c>
      <c r="F74" s="95">
        <v>1676.3999999999999</v>
      </c>
      <c r="G74" s="95">
        <v>1778</v>
      </c>
      <c r="H74" s="95">
        <v>1879.6</v>
      </c>
    </row>
    <row r="75" spans="3:9" ht="20">
      <c r="C75" s="95" t="s">
        <v>1759</v>
      </c>
      <c r="D75" s="95" t="s">
        <v>1759</v>
      </c>
      <c r="E75" s="95">
        <v>1701.8</v>
      </c>
      <c r="F75" s="95">
        <v>1803.3999999999999</v>
      </c>
      <c r="G75" s="95">
        <v>1905</v>
      </c>
      <c r="H75" s="95">
        <v>1981.1999999999998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3" width="42.8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604</v>
      </c>
      <c r="E1" s="28" t="s">
        <v>416</v>
      </c>
      <c r="F1" s="28" t="s">
        <v>24</v>
      </c>
      <c r="G1" s="72" t="s">
        <v>417</v>
      </c>
      <c r="H1" s="28" t="s">
        <v>418</v>
      </c>
      <c r="I1" s="28" t="s">
        <v>1672</v>
      </c>
    </row>
    <row r="2" spans="1:9">
      <c r="A2" s="28" t="s">
        <v>55</v>
      </c>
      <c r="B2" s="28" t="s">
        <v>74</v>
      </c>
      <c r="C2" s="28" t="s">
        <v>1579</v>
      </c>
      <c r="D2" s="28">
        <f>VALUE(LEFT(D29,3))</f>
        <v>510</v>
      </c>
      <c r="E2" s="28">
        <f t="shared" ref="E2:I2" si="0">VALUE(LEFT(E29,3))</f>
        <v>530</v>
      </c>
      <c r="F2" s="28">
        <f t="shared" si="0"/>
        <v>545</v>
      </c>
      <c r="G2" s="72">
        <f t="shared" si="0"/>
        <v>565</v>
      </c>
      <c r="H2" s="28">
        <f t="shared" si="0"/>
        <v>580</v>
      </c>
      <c r="I2" s="28">
        <f t="shared" si="0"/>
        <v>600</v>
      </c>
    </row>
    <row r="3" spans="1:9">
      <c r="A3" s="28" t="s">
        <v>56</v>
      </c>
      <c r="B3" s="28" t="s">
        <v>63</v>
      </c>
      <c r="C3" s="28" t="s">
        <v>1583</v>
      </c>
      <c r="D3" s="28">
        <f>VALUE(LEFT(D30,2))</f>
        <v>70</v>
      </c>
      <c r="E3" s="28">
        <f>VALUE(LEFT(E30,4))</f>
        <v>70.5</v>
      </c>
      <c r="F3" s="28">
        <f t="shared" ref="F3:I3" si="1">VALUE(LEFT(F30,2))</f>
        <v>71</v>
      </c>
      <c r="G3" s="72">
        <f>VALUE(LEFT(G30,4))</f>
        <v>71.5</v>
      </c>
      <c r="H3" s="28">
        <f t="shared" si="1"/>
        <v>72</v>
      </c>
      <c r="I3" s="28">
        <f t="shared" si="1"/>
        <v>72</v>
      </c>
    </row>
    <row r="4" spans="1:9">
      <c r="A4" s="28" t="s">
        <v>61</v>
      </c>
      <c r="B4" s="28" t="s">
        <v>1708</v>
      </c>
      <c r="C4" s="28" t="s">
        <v>1584</v>
      </c>
      <c r="D4" s="28">
        <v>0.2</v>
      </c>
      <c r="E4" s="28">
        <v>1.2</v>
      </c>
      <c r="F4" s="28">
        <v>2.2000000000000002</v>
      </c>
      <c r="G4" s="72">
        <v>3.2</v>
      </c>
      <c r="H4" s="28">
        <v>4.2</v>
      </c>
      <c r="I4" s="28">
        <v>5.2</v>
      </c>
    </row>
    <row r="5" spans="1:9">
      <c r="A5" s="28" t="s">
        <v>74</v>
      </c>
      <c r="B5" s="28" t="s">
        <v>65</v>
      </c>
      <c r="C5" s="28" t="s">
        <v>1586</v>
      </c>
      <c r="D5" s="28">
        <f>VALUE(LEFT(D32,2))</f>
        <v>87</v>
      </c>
      <c r="E5" s="28">
        <f t="shared" ref="E5" si="2">VALUE(LEFT(E32,2))</f>
        <v>95</v>
      </c>
      <c r="F5" s="28">
        <f>VALUE(LEFT(F32,3))</f>
        <v>115</v>
      </c>
      <c r="G5" s="72">
        <f t="shared" ref="G5:I5" si="3">VALUE(LEFT(G32,3))</f>
        <v>140</v>
      </c>
      <c r="H5" s="28">
        <f t="shared" si="3"/>
        <v>165</v>
      </c>
      <c r="I5" s="28">
        <f t="shared" si="3"/>
        <v>185</v>
      </c>
    </row>
    <row r="6" spans="1:9">
      <c r="A6" s="28" t="s">
        <v>63</v>
      </c>
      <c r="B6" s="28" t="s">
        <v>64</v>
      </c>
      <c r="C6" s="28" t="s">
        <v>1588</v>
      </c>
      <c r="D6" s="28">
        <f>VALUE(LEFT(D33,2))</f>
        <v>75</v>
      </c>
      <c r="E6" s="28">
        <f>VALUE(LEFT(E33,4))</f>
        <v>74.5</v>
      </c>
      <c r="F6" s="28">
        <f t="shared" ref="F6:I6" si="4">VALUE(LEFT(F33,2))</f>
        <v>74</v>
      </c>
      <c r="G6" s="72">
        <f t="shared" si="4"/>
        <v>73</v>
      </c>
      <c r="H6" s="28">
        <f>VALUE(LEFT(H33,4))</f>
        <v>72.5</v>
      </c>
      <c r="I6" s="28">
        <f t="shared" si="4"/>
        <v>72</v>
      </c>
    </row>
    <row r="7" spans="1:9">
      <c r="A7" s="28" t="s">
        <v>64</v>
      </c>
      <c r="B7" s="28" t="s">
        <v>61</v>
      </c>
      <c r="C7" s="28" t="s">
        <v>1589</v>
      </c>
      <c r="D7" s="28">
        <f t="shared" ref="D7:I16" si="5">VALUE(LEFT(D34,3))</f>
        <v>470</v>
      </c>
      <c r="E7" s="28">
        <f t="shared" si="5"/>
        <v>505</v>
      </c>
      <c r="F7" s="28">
        <f t="shared" si="5"/>
        <v>530</v>
      </c>
      <c r="G7" s="72">
        <f t="shared" si="5"/>
        <v>550</v>
      </c>
      <c r="H7" s="28">
        <f t="shared" si="5"/>
        <v>570</v>
      </c>
      <c r="I7" s="28">
        <f t="shared" si="5"/>
        <v>590</v>
      </c>
    </row>
    <row r="8" spans="1:9">
      <c r="A8" s="28" t="s">
        <v>65</v>
      </c>
      <c r="B8" s="28" t="s">
        <v>66</v>
      </c>
      <c r="C8" s="28" t="s">
        <v>1590</v>
      </c>
      <c r="D8" s="28">
        <f>VALUE(LEFT(D35,2))</f>
        <v>68</v>
      </c>
      <c r="E8" s="28">
        <f t="shared" ref="E8:I8" si="6">VALUE(LEFT(E35,2))</f>
        <v>68</v>
      </c>
      <c r="F8" s="28">
        <f t="shared" si="6"/>
        <v>68</v>
      </c>
      <c r="G8" s="72">
        <f t="shared" si="6"/>
        <v>68</v>
      </c>
      <c r="H8" s="28">
        <f t="shared" si="6"/>
        <v>68</v>
      </c>
      <c r="I8" s="28">
        <f t="shared" si="6"/>
        <v>68</v>
      </c>
    </row>
    <row r="9" spans="1:9">
      <c r="A9" s="28" t="s">
        <v>66</v>
      </c>
      <c r="B9" s="28" t="s">
        <v>67</v>
      </c>
      <c r="C9" s="28" t="s">
        <v>356</v>
      </c>
      <c r="D9" s="28">
        <f>VALUE(MID(D36,5,3))</f>
        <v>440</v>
      </c>
      <c r="E9" s="28">
        <f t="shared" ref="E9:I9" si="7">VALUE(MID(E36,5,3))</f>
        <v>440</v>
      </c>
      <c r="F9" s="28">
        <f t="shared" si="7"/>
        <v>440</v>
      </c>
      <c r="G9" s="28">
        <f t="shared" si="7"/>
        <v>440</v>
      </c>
      <c r="H9" s="28">
        <f t="shared" si="7"/>
        <v>440</v>
      </c>
      <c r="I9" s="28">
        <f t="shared" si="7"/>
        <v>440</v>
      </c>
    </row>
    <row r="10" spans="1:9">
      <c r="A10" s="28" t="s">
        <v>67</v>
      </c>
      <c r="B10" s="28" t="s">
        <v>57</v>
      </c>
      <c r="C10" s="28" t="s">
        <v>10</v>
      </c>
      <c r="D10" s="28">
        <f>VALUE(MID(D37,8,4))</f>
        <v>1030</v>
      </c>
      <c r="E10" s="28">
        <f>VALUE(MID(E37,6,4))</f>
        <v>1037</v>
      </c>
      <c r="F10" s="28">
        <f t="shared" ref="F10:I10" si="8">VALUE(MID(F37,6,4))</f>
        <v>1043</v>
      </c>
      <c r="G10" s="28">
        <f t="shared" si="8"/>
        <v>1048</v>
      </c>
      <c r="H10" s="28">
        <f t="shared" si="8"/>
        <v>1052</v>
      </c>
      <c r="I10" s="28">
        <f t="shared" si="8"/>
        <v>1066</v>
      </c>
    </row>
    <row r="11" spans="1:9">
      <c r="A11" s="28" t="s">
        <v>57</v>
      </c>
      <c r="B11" s="28" t="s">
        <v>136</v>
      </c>
      <c r="C11" s="28" t="s">
        <v>134</v>
      </c>
      <c r="D11" s="28">
        <f>VALUE(LEFT(D38,2))</f>
        <v>72</v>
      </c>
      <c r="E11" s="28">
        <f t="shared" ref="E11:I11" si="9">VALUE(LEFT(E38,2))</f>
        <v>71</v>
      </c>
      <c r="F11" s="28">
        <f t="shared" si="9"/>
        <v>70</v>
      </c>
      <c r="G11" s="72">
        <f t="shared" si="9"/>
        <v>67</v>
      </c>
      <c r="H11" s="28">
        <f t="shared" si="9"/>
        <v>65</v>
      </c>
      <c r="I11" s="28">
        <f t="shared" si="9"/>
        <v>65</v>
      </c>
    </row>
    <row r="12" spans="1:9">
      <c r="A12" s="28" t="s">
        <v>68</v>
      </c>
      <c r="B12" s="28" t="s">
        <v>68</v>
      </c>
      <c r="C12" s="28" t="s">
        <v>1599</v>
      </c>
      <c r="D12" s="28">
        <f>VALUE(LEFT(D39,2))</f>
        <v>47</v>
      </c>
      <c r="E12" s="28">
        <f t="shared" ref="E12:I12" si="10">VALUE(LEFT(E39,2))</f>
        <v>47</v>
      </c>
      <c r="F12" s="28">
        <f t="shared" si="10"/>
        <v>47</v>
      </c>
      <c r="G12" s="72">
        <f t="shared" si="10"/>
        <v>47</v>
      </c>
      <c r="H12" s="28">
        <f t="shared" si="10"/>
        <v>47</v>
      </c>
      <c r="I12" s="28">
        <f t="shared" si="10"/>
        <v>47</v>
      </c>
    </row>
    <row r="13" spans="1:9">
      <c r="A13" s="28" t="s">
        <v>58</v>
      </c>
      <c r="B13" s="28" t="s">
        <v>498</v>
      </c>
      <c r="C13" s="28" t="s">
        <v>1600</v>
      </c>
      <c r="D13" s="28">
        <f t="shared" si="5"/>
        <v>420</v>
      </c>
      <c r="E13" s="28">
        <f t="shared" si="5"/>
        <v>420</v>
      </c>
      <c r="F13" s="28">
        <f t="shared" si="5"/>
        <v>420</v>
      </c>
      <c r="G13" s="72">
        <f t="shared" si="5"/>
        <v>420</v>
      </c>
      <c r="H13" s="28">
        <f t="shared" si="5"/>
        <v>420</v>
      </c>
      <c r="I13" s="28">
        <f t="shared" si="5"/>
        <v>420</v>
      </c>
    </row>
    <row r="14" spans="1:9">
      <c r="A14" s="28" t="s">
        <v>70</v>
      </c>
      <c r="B14" s="28" t="s">
        <v>55</v>
      </c>
      <c r="C14" s="28" t="s">
        <v>0</v>
      </c>
      <c r="D14" s="28">
        <f t="shared" si="5"/>
        <v>540</v>
      </c>
      <c r="E14" s="28">
        <f t="shared" si="5"/>
        <v>549</v>
      </c>
      <c r="F14" s="28">
        <f t="shared" si="5"/>
        <v>570</v>
      </c>
      <c r="G14" s="72">
        <f t="shared" si="5"/>
        <v>596</v>
      </c>
      <c r="H14" s="28">
        <f t="shared" si="5"/>
        <v>622</v>
      </c>
      <c r="I14" s="28">
        <f t="shared" si="5"/>
        <v>641</v>
      </c>
    </row>
    <row r="15" spans="1:9">
      <c r="A15" s="28" t="s">
        <v>71</v>
      </c>
      <c r="B15" s="28" t="s">
        <v>56</v>
      </c>
      <c r="C15" s="28" t="s">
        <v>1</v>
      </c>
      <c r="D15" s="28">
        <f t="shared" si="5"/>
        <v>370</v>
      </c>
      <c r="E15" s="28">
        <f t="shared" si="5"/>
        <v>378</v>
      </c>
      <c r="F15" s="28">
        <f t="shared" si="5"/>
        <v>381</v>
      </c>
      <c r="G15" s="72">
        <f t="shared" si="5"/>
        <v>383</v>
      </c>
      <c r="H15" s="28">
        <f t="shared" si="5"/>
        <v>384</v>
      </c>
      <c r="I15" s="28">
        <f t="shared" si="5"/>
        <v>392</v>
      </c>
    </row>
    <row r="16" spans="1:9">
      <c r="A16" s="28" t="s">
        <v>72</v>
      </c>
      <c r="B16" s="28" t="s">
        <v>58</v>
      </c>
      <c r="C16" s="28" t="s">
        <v>15</v>
      </c>
      <c r="D16" s="28">
        <f t="shared" si="5"/>
        <v>735</v>
      </c>
      <c r="E16" s="28">
        <f t="shared" si="5"/>
        <v>760</v>
      </c>
      <c r="F16" s="28">
        <f t="shared" si="5"/>
        <v>780</v>
      </c>
      <c r="G16" s="72">
        <f t="shared" si="5"/>
        <v>800</v>
      </c>
      <c r="H16" s="28">
        <f t="shared" si="5"/>
        <v>820</v>
      </c>
      <c r="I16" s="28">
        <f t="shared" si="5"/>
        <v>840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10">
      <c r="B21" s="28" t="s">
        <v>140</v>
      </c>
      <c r="C21" s="28" t="s">
        <v>140</v>
      </c>
    </row>
    <row r="22" spans="1:10">
      <c r="B22" s="28" t="s">
        <v>141</v>
      </c>
      <c r="C22" s="28" t="s">
        <v>141</v>
      </c>
      <c r="D22" s="28">
        <v>51</v>
      </c>
      <c r="E22" s="28">
        <v>51</v>
      </c>
      <c r="F22" s="28">
        <v>51</v>
      </c>
      <c r="G22" s="28">
        <v>51</v>
      </c>
      <c r="H22" s="28">
        <v>51</v>
      </c>
      <c r="I22" s="28">
        <v>51</v>
      </c>
      <c r="J22" s="28" t="s">
        <v>1709</v>
      </c>
    </row>
    <row r="26" spans="1:10">
      <c r="C26" s="28" t="s">
        <v>144</v>
      </c>
      <c r="D26" s="28" t="s">
        <v>604</v>
      </c>
      <c r="E26" s="28" t="s">
        <v>416</v>
      </c>
      <c r="F26" s="28" t="s">
        <v>24</v>
      </c>
      <c r="G26" s="28" t="s">
        <v>417</v>
      </c>
      <c r="H26" s="28" t="s">
        <v>418</v>
      </c>
      <c r="I26" s="28" t="s">
        <v>1672</v>
      </c>
    </row>
    <row r="27" spans="1:10">
      <c r="C27" s="28" t="s">
        <v>1573</v>
      </c>
      <c r="D27" s="28" t="s">
        <v>1673</v>
      </c>
      <c r="E27" s="28" t="s">
        <v>1674</v>
      </c>
      <c r="F27" s="28" t="s">
        <v>1675</v>
      </c>
      <c r="G27" s="28" t="s">
        <v>1676</v>
      </c>
      <c r="H27" s="28" t="s">
        <v>1677</v>
      </c>
      <c r="I27" s="28" t="s">
        <v>1678</v>
      </c>
    </row>
    <row r="28" spans="1:10">
      <c r="C28" s="28" t="s">
        <v>1679</v>
      </c>
      <c r="D28" s="28" t="s">
        <v>1680</v>
      </c>
      <c r="E28" s="28" t="s">
        <v>1681</v>
      </c>
      <c r="F28" s="28" t="s">
        <v>1682</v>
      </c>
      <c r="G28" s="28" t="s">
        <v>1683</v>
      </c>
      <c r="H28" s="28" t="s">
        <v>1684</v>
      </c>
      <c r="I28" s="28" t="s">
        <v>1685</v>
      </c>
    </row>
    <row r="29" spans="1:10">
      <c r="C29" s="28" t="s">
        <v>1579</v>
      </c>
      <c r="D29" s="28" t="s">
        <v>1167</v>
      </c>
      <c r="E29" s="28" t="s">
        <v>641</v>
      </c>
      <c r="F29" s="28" t="s">
        <v>243</v>
      </c>
      <c r="G29" s="28" t="s">
        <v>1581</v>
      </c>
      <c r="H29" s="28" t="s">
        <v>609</v>
      </c>
      <c r="I29" s="28" t="s">
        <v>633</v>
      </c>
    </row>
    <row r="30" spans="1:10">
      <c r="C30" s="28" t="s">
        <v>1583</v>
      </c>
      <c r="D30" s="28" t="s">
        <v>582</v>
      </c>
      <c r="E30" s="28" t="s">
        <v>848</v>
      </c>
      <c r="F30" s="28" t="s">
        <v>312</v>
      </c>
      <c r="G30" s="28" t="s">
        <v>794</v>
      </c>
      <c r="H30" s="28" t="s">
        <v>795</v>
      </c>
      <c r="I30" s="28" t="s">
        <v>795</v>
      </c>
    </row>
    <row r="31" spans="1:10">
      <c r="C31" s="28" t="s">
        <v>1584</v>
      </c>
      <c r="D31" s="28" t="s">
        <v>1585</v>
      </c>
      <c r="E31" s="28" t="s">
        <v>1585</v>
      </c>
      <c r="F31" s="28" t="s">
        <v>1585</v>
      </c>
      <c r="G31" s="28" t="s">
        <v>1585</v>
      </c>
      <c r="H31" s="28" t="s">
        <v>1585</v>
      </c>
      <c r="I31" s="28" t="s">
        <v>1585</v>
      </c>
    </row>
    <row r="32" spans="1:10">
      <c r="C32" s="28" t="s">
        <v>1586</v>
      </c>
      <c r="D32" s="28" t="s">
        <v>1686</v>
      </c>
      <c r="E32" s="28" t="s">
        <v>1687</v>
      </c>
      <c r="F32" s="28" t="s">
        <v>244</v>
      </c>
      <c r="G32" s="28" t="s">
        <v>245</v>
      </c>
      <c r="H32" s="28" t="s">
        <v>1295</v>
      </c>
      <c r="I32" s="28" t="s">
        <v>1196</v>
      </c>
    </row>
    <row r="33" spans="3:9">
      <c r="C33" s="28" t="s">
        <v>1588</v>
      </c>
      <c r="D33" s="28" t="s">
        <v>1186</v>
      </c>
      <c r="E33" s="28" t="s">
        <v>803</v>
      </c>
      <c r="F33" s="28" t="s">
        <v>33</v>
      </c>
      <c r="G33" s="28" t="s">
        <v>804</v>
      </c>
      <c r="H33" s="28" t="s">
        <v>296</v>
      </c>
      <c r="I33" s="28" t="s">
        <v>795</v>
      </c>
    </row>
    <row r="34" spans="3:9">
      <c r="C34" s="28" t="s">
        <v>1589</v>
      </c>
      <c r="D34" s="28" t="s">
        <v>639</v>
      </c>
      <c r="E34" s="28" t="s">
        <v>1688</v>
      </c>
      <c r="F34" s="28" t="s">
        <v>641</v>
      </c>
      <c r="G34" s="28" t="s">
        <v>1172</v>
      </c>
      <c r="H34" s="28" t="s">
        <v>853</v>
      </c>
      <c r="I34" s="28" t="s">
        <v>839</v>
      </c>
    </row>
    <row r="35" spans="3:9">
      <c r="C35" s="28" t="s">
        <v>1590</v>
      </c>
      <c r="D35" s="28" t="s">
        <v>1591</v>
      </c>
      <c r="E35" s="28" t="s">
        <v>1591</v>
      </c>
      <c r="F35" s="28" t="s">
        <v>1591</v>
      </c>
      <c r="G35" s="28" t="s">
        <v>1591</v>
      </c>
      <c r="H35" s="28" t="s">
        <v>1591</v>
      </c>
      <c r="I35" s="28" t="s">
        <v>1591</v>
      </c>
    </row>
    <row r="36" spans="3:9">
      <c r="C36" s="28" t="s">
        <v>356</v>
      </c>
      <c r="D36" s="28" t="s">
        <v>1689</v>
      </c>
      <c r="E36" s="28" t="s">
        <v>1689</v>
      </c>
      <c r="F36" s="28" t="s">
        <v>1689</v>
      </c>
      <c r="G36" s="28" t="s">
        <v>1689</v>
      </c>
      <c r="H36" s="28" t="s">
        <v>1689</v>
      </c>
      <c r="I36" s="28" t="s">
        <v>1689</v>
      </c>
    </row>
    <row r="37" spans="3:9">
      <c r="C37" s="28" t="s">
        <v>10</v>
      </c>
      <c r="D37" s="28" t="s">
        <v>1690</v>
      </c>
      <c r="E37" s="28" t="s">
        <v>1691</v>
      </c>
      <c r="F37" s="28" t="s">
        <v>1692</v>
      </c>
      <c r="G37" s="28" t="s">
        <v>1693</v>
      </c>
      <c r="H37" s="28" t="s">
        <v>1694</v>
      </c>
      <c r="I37" s="28" t="s">
        <v>1695</v>
      </c>
    </row>
    <row r="38" spans="3:9">
      <c r="C38" s="28" t="s">
        <v>134</v>
      </c>
      <c r="D38" s="28" t="s">
        <v>851</v>
      </c>
      <c r="E38" s="28" t="s">
        <v>1696</v>
      </c>
      <c r="F38" s="28" t="s">
        <v>1209</v>
      </c>
      <c r="G38" s="28" t="s">
        <v>1697</v>
      </c>
      <c r="H38" s="28" t="s">
        <v>1698</v>
      </c>
      <c r="I38" s="28" t="s">
        <v>1698</v>
      </c>
    </row>
    <row r="39" spans="3:9">
      <c r="C39" s="28" t="s">
        <v>1599</v>
      </c>
      <c r="D39" s="28" t="s">
        <v>841</v>
      </c>
      <c r="E39" s="28" t="s">
        <v>841</v>
      </c>
      <c r="F39" s="28" t="s">
        <v>841</v>
      </c>
      <c r="G39" s="28" t="s">
        <v>841</v>
      </c>
      <c r="H39" s="28" t="s">
        <v>841</v>
      </c>
      <c r="I39" s="28" t="s">
        <v>841</v>
      </c>
    </row>
    <row r="40" spans="3:9">
      <c r="C40" s="28" t="s">
        <v>1600</v>
      </c>
      <c r="D40" s="28" t="s">
        <v>613</v>
      </c>
      <c r="E40" s="28" t="s">
        <v>613</v>
      </c>
      <c r="F40" s="28" t="s">
        <v>613</v>
      </c>
      <c r="G40" s="28" t="s">
        <v>613</v>
      </c>
      <c r="H40" s="28" t="s">
        <v>613</v>
      </c>
      <c r="I40" s="28" t="s">
        <v>613</v>
      </c>
    </row>
    <row r="41" spans="3:9">
      <c r="C41" s="28" t="s">
        <v>0</v>
      </c>
      <c r="D41" s="28" t="s">
        <v>854</v>
      </c>
      <c r="E41" s="28" t="s">
        <v>1699</v>
      </c>
      <c r="F41" s="28" t="s">
        <v>853</v>
      </c>
      <c r="G41" s="28" t="s">
        <v>1700</v>
      </c>
      <c r="H41" s="28" t="s">
        <v>1184</v>
      </c>
      <c r="I41" s="28" t="s">
        <v>1701</v>
      </c>
    </row>
    <row r="42" spans="3:9">
      <c r="C42" s="28" t="s">
        <v>1</v>
      </c>
      <c r="D42" s="28" t="s">
        <v>1702</v>
      </c>
      <c r="E42" s="28" t="s">
        <v>1703</v>
      </c>
      <c r="F42" s="28" t="s">
        <v>1704</v>
      </c>
      <c r="G42" s="28" t="s">
        <v>1310</v>
      </c>
      <c r="H42" s="28" t="s">
        <v>1177</v>
      </c>
      <c r="I42" s="28" t="s">
        <v>1311</v>
      </c>
    </row>
    <row r="43" spans="3:9">
      <c r="C43" s="28" t="s">
        <v>15</v>
      </c>
      <c r="D43" s="28" t="s">
        <v>1483</v>
      </c>
      <c r="E43" s="28" t="s">
        <v>1502</v>
      </c>
      <c r="F43" s="28" t="s">
        <v>1507</v>
      </c>
      <c r="G43" s="28" t="s">
        <v>1705</v>
      </c>
      <c r="H43" s="28" t="s">
        <v>1706</v>
      </c>
      <c r="I43" s="28" t="s">
        <v>1707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9" style="28" bestFit="1" customWidth="1"/>
    <col min="4" max="16384" width="10.83203125" style="28"/>
  </cols>
  <sheetData>
    <row r="1" spans="1:6">
      <c r="A1" s="28" t="s">
        <v>73</v>
      </c>
      <c r="B1" s="28" t="s">
        <v>73</v>
      </c>
      <c r="C1" s="28" t="s">
        <v>139</v>
      </c>
      <c r="D1" s="28" t="s">
        <v>1637</v>
      </c>
      <c r="E1" s="28" t="s">
        <v>1638</v>
      </c>
      <c r="F1" s="28" t="s">
        <v>1639</v>
      </c>
    </row>
    <row r="2" spans="1:6">
      <c r="A2" s="28" t="s">
        <v>55</v>
      </c>
      <c r="B2" s="28" t="s">
        <v>63</v>
      </c>
      <c r="C2" s="28" t="s">
        <v>1640</v>
      </c>
      <c r="D2" s="28">
        <v>69.7</v>
      </c>
      <c r="E2" s="28">
        <v>69.7</v>
      </c>
      <c r="F2" s="28">
        <v>69.7</v>
      </c>
    </row>
    <row r="3" spans="1:6">
      <c r="A3" s="28" t="s">
        <v>56</v>
      </c>
      <c r="B3" s="28" t="s">
        <v>64</v>
      </c>
      <c r="C3" s="28" t="s">
        <v>1641</v>
      </c>
      <c r="D3" s="28">
        <v>74</v>
      </c>
      <c r="E3" s="28">
        <v>73.5</v>
      </c>
      <c r="F3" s="28">
        <v>73</v>
      </c>
    </row>
    <row r="4" spans="1:6">
      <c r="A4" s="28" t="s">
        <v>61</v>
      </c>
      <c r="B4" s="28" t="s">
        <v>55</v>
      </c>
      <c r="C4" s="28" t="s">
        <v>55</v>
      </c>
      <c r="D4" s="28">
        <v>605</v>
      </c>
      <c r="E4" s="28">
        <v>630</v>
      </c>
      <c r="F4" s="28">
        <v>658</v>
      </c>
    </row>
    <row r="5" spans="1:6">
      <c r="A5" s="28" t="s">
        <v>74</v>
      </c>
      <c r="B5" s="28" t="s">
        <v>56</v>
      </c>
      <c r="C5" s="28" t="s">
        <v>56</v>
      </c>
      <c r="D5" s="28">
        <v>370</v>
      </c>
      <c r="E5" s="28">
        <v>376</v>
      </c>
      <c r="F5" s="28">
        <v>390</v>
      </c>
    </row>
    <row r="6" spans="1:6">
      <c r="A6" s="28" t="s">
        <v>63</v>
      </c>
      <c r="B6" s="28" t="s">
        <v>65</v>
      </c>
      <c r="C6" s="28" t="s">
        <v>1231</v>
      </c>
      <c r="D6" s="28">
        <v>92</v>
      </c>
      <c r="E6" s="28">
        <v>120</v>
      </c>
      <c r="F6" s="28">
        <v>150</v>
      </c>
    </row>
    <row r="7" spans="1:6">
      <c r="A7" s="28" t="s">
        <v>64</v>
      </c>
      <c r="B7" s="28" t="s">
        <v>61</v>
      </c>
      <c r="C7" s="28" t="s">
        <v>1642</v>
      </c>
      <c r="D7" s="28">
        <v>415</v>
      </c>
      <c r="E7" s="28">
        <v>470</v>
      </c>
      <c r="F7" s="28">
        <v>515</v>
      </c>
    </row>
    <row r="8" spans="1:6">
      <c r="A8" s="28" t="s">
        <v>65</v>
      </c>
      <c r="B8" s="28" t="s">
        <v>74</v>
      </c>
      <c r="C8" s="28" t="s">
        <v>1643</v>
      </c>
      <c r="D8" s="28">
        <v>544</v>
      </c>
      <c r="E8" s="28">
        <v>563</v>
      </c>
      <c r="F8" s="28">
        <v>591</v>
      </c>
    </row>
    <row r="9" spans="1:6">
      <c r="A9" s="28" t="s">
        <v>66</v>
      </c>
      <c r="B9" s="28" t="s">
        <v>67</v>
      </c>
      <c r="C9" s="28" t="s">
        <v>1644</v>
      </c>
      <c r="D9" s="28">
        <v>450</v>
      </c>
      <c r="E9" s="28">
        <v>450</v>
      </c>
      <c r="F9" s="28">
        <v>450</v>
      </c>
    </row>
    <row r="10" spans="1:6">
      <c r="A10" s="28" t="s">
        <v>67</v>
      </c>
      <c r="B10" s="28" t="s">
        <v>66</v>
      </c>
      <c r="C10" s="28" t="s">
        <v>1645</v>
      </c>
      <c r="D10" s="28">
        <v>70</v>
      </c>
      <c r="E10" s="28">
        <v>70</v>
      </c>
      <c r="F10" s="28">
        <v>70</v>
      </c>
    </row>
    <row r="11" spans="1:6">
      <c r="A11" s="28" t="s">
        <v>57</v>
      </c>
      <c r="B11" s="28" t="s">
        <v>136</v>
      </c>
      <c r="C11" s="28" t="s">
        <v>136</v>
      </c>
      <c r="D11" s="28">
        <v>91</v>
      </c>
      <c r="E11" s="28">
        <v>91</v>
      </c>
      <c r="F11" s="28">
        <v>91</v>
      </c>
    </row>
    <row r="12" spans="1:6">
      <c r="A12" s="28" t="s">
        <v>68</v>
      </c>
      <c r="B12" s="28" t="s">
        <v>57</v>
      </c>
      <c r="C12" s="28" t="s">
        <v>57</v>
      </c>
      <c r="D12" s="28">
        <v>1061</v>
      </c>
      <c r="E12" s="28">
        <v>1082</v>
      </c>
      <c r="F12" s="28">
        <v>1100</v>
      </c>
    </row>
    <row r="13" spans="1:6">
      <c r="A13" s="28" t="s">
        <v>58</v>
      </c>
      <c r="B13" s="28" t="s">
        <v>72</v>
      </c>
      <c r="C13" s="28" t="s">
        <v>1646</v>
      </c>
      <c r="D13" s="28">
        <v>60</v>
      </c>
      <c r="E13" s="28">
        <v>60</v>
      </c>
      <c r="F13" s="28">
        <v>60</v>
      </c>
    </row>
    <row r="14" spans="1:6">
      <c r="A14" s="28" t="s">
        <v>70</v>
      </c>
      <c r="B14" s="28" t="s">
        <v>68</v>
      </c>
      <c r="C14" s="28" t="s">
        <v>68</v>
      </c>
    </row>
    <row r="15" spans="1:6">
      <c r="A15" s="28" t="s">
        <v>71</v>
      </c>
      <c r="B15" s="28" t="s">
        <v>58</v>
      </c>
      <c r="C15" s="28" t="s">
        <v>58</v>
      </c>
    </row>
    <row r="16" spans="1:6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</row>
    <row r="19" spans="1:14">
      <c r="A19" s="28" t="s">
        <v>141</v>
      </c>
      <c r="B19" s="28" t="s">
        <v>140</v>
      </c>
      <c r="C19" s="28" t="s">
        <v>140</v>
      </c>
      <c r="D19" s="28">
        <f>2.25*25.4</f>
        <v>57.15</v>
      </c>
      <c r="E19" s="28">
        <f t="shared" ref="E19:F19" si="0">2.25*25.4</f>
        <v>57.15</v>
      </c>
      <c r="F19" s="28">
        <f t="shared" si="0"/>
        <v>57.15</v>
      </c>
    </row>
    <row r="20" spans="1:14">
      <c r="B20" s="28" t="s">
        <v>141</v>
      </c>
      <c r="C20" s="28" t="s">
        <v>141</v>
      </c>
      <c r="N20" s="28" t="s">
        <v>1636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8" bestFit="1" customWidth="1"/>
    <col min="2" max="2" width="31.83203125" style="28" bestFit="1" customWidth="1"/>
    <col min="3" max="3" width="19.33203125" style="28" bestFit="1" customWidth="1"/>
    <col min="4" max="4" width="11.33203125" style="28" bestFit="1" customWidth="1"/>
    <col min="5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f>D4/10</f>
        <v>52</v>
      </c>
      <c r="E1" s="28">
        <f t="shared" ref="E1:H1" si="0">E4/10</f>
        <v>53.5</v>
      </c>
      <c r="F1" s="28">
        <f t="shared" si="0"/>
        <v>54.7</v>
      </c>
      <c r="G1" s="28">
        <f t="shared" si="0"/>
        <v>56</v>
      </c>
      <c r="H1" s="28">
        <f t="shared" si="0"/>
        <v>57.7</v>
      </c>
      <c r="I1" s="28">
        <f>I4/10</f>
        <v>59.7</v>
      </c>
    </row>
    <row r="2" spans="1:10">
      <c r="A2" s="28" t="s">
        <v>55</v>
      </c>
      <c r="B2" s="28" t="s">
        <v>895</v>
      </c>
      <c r="C2" s="28" t="str" cm="1">
        <f t="array" ref="C2:I13">TRANSPOSE(C23:N29)</f>
        <v>CE</v>
      </c>
      <c r="D2" s="28">
        <v>410</v>
      </c>
      <c r="E2" s="28">
        <v>445</v>
      </c>
      <c r="F2" s="28">
        <v>475</v>
      </c>
      <c r="G2" s="28">
        <v>500</v>
      </c>
      <c r="H2" s="28">
        <v>520</v>
      </c>
      <c r="I2" s="28">
        <v>550</v>
      </c>
    </row>
    <row r="3" spans="1:10">
      <c r="A3" s="28" t="s">
        <v>56</v>
      </c>
      <c r="B3" s="28" t="s">
        <v>61</v>
      </c>
      <c r="C3" s="28" t="str">
        <v>CC</v>
      </c>
      <c r="D3" s="28">
        <v>470</v>
      </c>
      <c r="E3" s="28">
        <v>500</v>
      </c>
      <c r="F3" s="28">
        <v>530</v>
      </c>
      <c r="G3" s="28">
        <v>550</v>
      </c>
      <c r="H3" s="28">
        <v>575</v>
      </c>
      <c r="I3" s="28">
        <v>600</v>
      </c>
    </row>
    <row r="4" spans="1:10">
      <c r="A4" s="28" t="s">
        <v>61</v>
      </c>
      <c r="B4" s="28" t="s">
        <v>74</v>
      </c>
      <c r="C4" s="28" t="str">
        <v>L</v>
      </c>
      <c r="D4" s="28">
        <v>520</v>
      </c>
      <c r="E4" s="28">
        <v>535</v>
      </c>
      <c r="F4" s="28">
        <v>547</v>
      </c>
      <c r="G4" s="28">
        <v>560</v>
      </c>
      <c r="H4" s="28">
        <v>577</v>
      </c>
      <c r="I4" s="28">
        <v>597</v>
      </c>
    </row>
    <row r="5" spans="1:10">
      <c r="A5" s="28" t="s">
        <v>74</v>
      </c>
      <c r="B5" s="28" t="s">
        <v>64</v>
      </c>
      <c r="C5" s="28" t="str">
        <v>A [°]</v>
      </c>
      <c r="D5" s="28">
        <v>74.5</v>
      </c>
      <c r="E5" s="28">
        <v>74</v>
      </c>
      <c r="F5" s="28">
        <v>73.75</v>
      </c>
      <c r="G5" s="28">
        <v>73.5</v>
      </c>
      <c r="H5" s="28">
        <v>73</v>
      </c>
      <c r="I5" s="28">
        <v>72.5</v>
      </c>
    </row>
    <row r="6" spans="1:10">
      <c r="A6" s="28" t="s">
        <v>63</v>
      </c>
      <c r="B6" s="28" t="s">
        <v>63</v>
      </c>
      <c r="C6" s="28" t="str">
        <v>B [°]</v>
      </c>
      <c r="D6" s="28">
        <v>70.25</v>
      </c>
      <c r="E6" s="28">
        <v>70.5</v>
      </c>
      <c r="F6" s="28">
        <v>70.75</v>
      </c>
      <c r="G6" s="28">
        <v>71.75</v>
      </c>
      <c r="H6" s="28">
        <v>72</v>
      </c>
      <c r="I6" s="28">
        <v>72.25</v>
      </c>
    </row>
    <row r="7" spans="1:10">
      <c r="A7" s="28" t="s">
        <v>64</v>
      </c>
      <c r="B7" s="28" t="s">
        <v>67</v>
      </c>
      <c r="C7" s="28" t="str">
        <v>P</v>
      </c>
      <c r="D7" s="28">
        <v>422</v>
      </c>
      <c r="E7" s="28">
        <v>422</v>
      </c>
      <c r="F7" s="28">
        <v>422</v>
      </c>
      <c r="G7" s="28">
        <v>425</v>
      </c>
      <c r="H7" s="28">
        <v>425</v>
      </c>
      <c r="I7" s="28">
        <v>425</v>
      </c>
    </row>
    <row r="8" spans="1:10">
      <c r="A8" s="28" t="s">
        <v>65</v>
      </c>
      <c r="B8" s="28" t="s">
        <v>65</v>
      </c>
      <c r="C8" s="28" t="str">
        <v>T</v>
      </c>
      <c r="D8" s="28">
        <v>120</v>
      </c>
      <c r="E8" s="28">
        <v>135</v>
      </c>
      <c r="F8" s="28">
        <v>155</v>
      </c>
      <c r="G8" s="28">
        <v>165</v>
      </c>
      <c r="H8" s="28">
        <v>180</v>
      </c>
      <c r="I8" s="28">
        <v>200</v>
      </c>
    </row>
    <row r="9" spans="1:10">
      <c r="A9" s="28" t="s">
        <v>66</v>
      </c>
      <c r="B9" s="28" t="s">
        <v>66</v>
      </c>
      <c r="C9" s="28" t="str">
        <v>D</v>
      </c>
      <c r="D9" s="28">
        <v>72</v>
      </c>
      <c r="E9" s="28">
        <v>72</v>
      </c>
      <c r="F9" s="28">
        <v>67</v>
      </c>
      <c r="G9" s="28">
        <v>67</v>
      </c>
      <c r="H9" s="28">
        <v>67</v>
      </c>
      <c r="I9" s="28">
        <v>67</v>
      </c>
    </row>
    <row r="10" spans="1:10">
      <c r="A10" s="28" t="s">
        <v>67</v>
      </c>
      <c r="B10" s="28" t="s">
        <v>68</v>
      </c>
      <c r="C10" s="28" t="str">
        <v>R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</row>
    <row r="11" spans="1:10">
      <c r="A11" s="28" t="s">
        <v>57</v>
      </c>
      <c r="B11" s="28" t="s">
        <v>166</v>
      </c>
      <c r="C11" s="28" t="str">
        <v>G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  <c r="I11" s="28">
        <v>395</v>
      </c>
    </row>
    <row r="12" spans="1:10">
      <c r="A12" s="28" t="s">
        <v>68</v>
      </c>
      <c r="B12" s="28" t="s">
        <v>56</v>
      </c>
      <c r="C12" s="28" t="str">
        <v>REACH</v>
      </c>
      <c r="D12" s="28">
        <v>360.1</v>
      </c>
      <c r="E12" s="28">
        <v>367.8</v>
      </c>
      <c r="F12" s="28">
        <v>374.4</v>
      </c>
      <c r="G12" s="28">
        <v>382</v>
      </c>
      <c r="H12" s="28">
        <v>389.7</v>
      </c>
      <c r="I12" s="28">
        <v>398.5</v>
      </c>
    </row>
    <row r="13" spans="1:10">
      <c r="A13" s="28" t="s">
        <v>58</v>
      </c>
      <c r="B13" s="28" t="s">
        <v>55</v>
      </c>
      <c r="C13" s="28" t="str">
        <v>STACK</v>
      </c>
      <c r="D13" s="28">
        <v>548.4</v>
      </c>
      <c r="E13" s="28">
        <v>563.5</v>
      </c>
      <c r="F13" s="28">
        <v>578.4</v>
      </c>
      <c r="G13" s="28">
        <v>593.5</v>
      </c>
      <c r="H13" s="28">
        <v>608.79999999999995</v>
      </c>
      <c r="I13" s="28">
        <v>628.79999999999995</v>
      </c>
    </row>
    <row r="14" spans="1:10">
      <c r="A14" s="28" t="s">
        <v>70</v>
      </c>
      <c r="B14" s="28" t="s">
        <v>57</v>
      </c>
      <c r="C14" s="28" t="s">
        <v>57</v>
      </c>
      <c r="D14" s="28">
        <f>D38+D39</f>
        <v>1001.7042483366497</v>
      </c>
      <c r="E14" s="28">
        <f t="shared" ref="E14:I14" si="1">E38+E39</f>
        <v>1012.3753751298043</v>
      </c>
      <c r="F14" s="28">
        <f t="shared" si="1"/>
        <v>1024.3020839009155</v>
      </c>
      <c r="G14" s="28">
        <f t="shared" si="1"/>
        <v>1024.5422845487399</v>
      </c>
      <c r="H14" s="28">
        <f t="shared" si="1"/>
        <v>1034.6231941880988</v>
      </c>
      <c r="I14" s="28">
        <f t="shared" si="1"/>
        <v>1047.1996445115767</v>
      </c>
      <c r="J14" s="28" t="s">
        <v>906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72</v>
      </c>
      <c r="C18" s="28" t="s">
        <v>72</v>
      </c>
    </row>
    <row r="19" spans="1:14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</row>
    <row r="20" spans="1:14">
      <c r="B20" s="28" t="s">
        <v>140</v>
      </c>
      <c r="C20" s="28" t="s">
        <v>140</v>
      </c>
      <c r="D20" s="28">
        <v>38</v>
      </c>
      <c r="E20" s="28">
        <v>38</v>
      </c>
      <c r="F20" s="28">
        <v>38</v>
      </c>
      <c r="G20" s="28">
        <v>38</v>
      </c>
      <c r="H20" s="28">
        <v>38</v>
      </c>
      <c r="I20" s="28">
        <v>38</v>
      </c>
    </row>
    <row r="21" spans="1:14"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  <c r="I21" s="28">
        <v>50</v>
      </c>
    </row>
    <row r="23" spans="1:14">
      <c r="C23" s="39" t="s">
        <v>888</v>
      </c>
      <c r="D23" s="39" t="s">
        <v>889</v>
      </c>
      <c r="E23" s="39" t="s">
        <v>20</v>
      </c>
      <c r="F23" s="39" t="s">
        <v>890</v>
      </c>
      <c r="G23" s="39" t="s">
        <v>891</v>
      </c>
      <c r="H23" s="39" t="s">
        <v>892</v>
      </c>
      <c r="I23" s="39" t="s">
        <v>593</v>
      </c>
      <c r="J23" s="39" t="s">
        <v>893</v>
      </c>
      <c r="K23" s="39" t="s">
        <v>597</v>
      </c>
      <c r="L23" s="39" t="s">
        <v>894</v>
      </c>
      <c r="M23" s="39" t="s">
        <v>41</v>
      </c>
      <c r="N23" s="39" t="s">
        <v>40</v>
      </c>
    </row>
    <row r="24" spans="1:14">
      <c r="C24" s="40">
        <v>410</v>
      </c>
      <c r="D24" s="39">
        <v>470</v>
      </c>
      <c r="E24" s="40">
        <v>520</v>
      </c>
      <c r="F24" s="40">
        <v>74.5</v>
      </c>
      <c r="G24" s="40">
        <v>70.25</v>
      </c>
      <c r="H24" s="40">
        <v>422</v>
      </c>
      <c r="I24" s="40">
        <v>120</v>
      </c>
      <c r="J24" s="40">
        <v>72</v>
      </c>
      <c r="K24" s="40">
        <v>55</v>
      </c>
      <c r="L24" s="40">
        <v>395</v>
      </c>
      <c r="M24" s="40">
        <v>360.1</v>
      </c>
      <c r="N24" s="40">
        <v>548.4</v>
      </c>
    </row>
    <row r="25" spans="1:14">
      <c r="C25" s="40">
        <v>445</v>
      </c>
      <c r="D25" s="39">
        <v>500</v>
      </c>
      <c r="E25" s="40">
        <v>535</v>
      </c>
      <c r="F25" s="40">
        <v>74</v>
      </c>
      <c r="G25" s="40">
        <v>70.5</v>
      </c>
      <c r="H25" s="40">
        <v>422</v>
      </c>
      <c r="I25" s="40">
        <v>135</v>
      </c>
      <c r="J25" s="40">
        <v>72</v>
      </c>
      <c r="K25" s="40">
        <v>55</v>
      </c>
      <c r="L25" s="40">
        <v>395</v>
      </c>
      <c r="M25" s="40">
        <v>367.8</v>
      </c>
      <c r="N25" s="40">
        <v>563.5</v>
      </c>
    </row>
    <row r="26" spans="1:14">
      <c r="C26" s="40">
        <v>475</v>
      </c>
      <c r="D26" s="39">
        <v>530</v>
      </c>
      <c r="E26" s="40">
        <v>547</v>
      </c>
      <c r="F26" s="40">
        <v>73.75</v>
      </c>
      <c r="G26" s="40">
        <v>70.75</v>
      </c>
      <c r="H26" s="40">
        <v>422</v>
      </c>
      <c r="I26" s="40">
        <v>155</v>
      </c>
      <c r="J26" s="40">
        <v>67</v>
      </c>
      <c r="K26" s="40">
        <v>55</v>
      </c>
      <c r="L26" s="40">
        <v>395</v>
      </c>
      <c r="M26" s="40">
        <v>374.4</v>
      </c>
      <c r="N26" s="40">
        <v>578.4</v>
      </c>
    </row>
    <row r="27" spans="1:14">
      <c r="C27" s="40">
        <v>500</v>
      </c>
      <c r="D27" s="39">
        <v>550</v>
      </c>
      <c r="E27" s="40">
        <v>560</v>
      </c>
      <c r="F27" s="40">
        <v>73.5</v>
      </c>
      <c r="G27" s="40">
        <v>71.75</v>
      </c>
      <c r="H27" s="40">
        <v>425</v>
      </c>
      <c r="I27" s="40">
        <v>165</v>
      </c>
      <c r="J27" s="40">
        <v>67</v>
      </c>
      <c r="K27" s="40">
        <v>50</v>
      </c>
      <c r="L27" s="40">
        <v>395</v>
      </c>
      <c r="M27" s="40">
        <v>382</v>
      </c>
      <c r="N27" s="40">
        <v>593.5</v>
      </c>
    </row>
    <row r="28" spans="1:14">
      <c r="C28" s="40">
        <v>520</v>
      </c>
      <c r="D28" s="39">
        <v>575</v>
      </c>
      <c r="E28" s="40">
        <v>577</v>
      </c>
      <c r="F28" s="40">
        <v>73</v>
      </c>
      <c r="G28" s="40">
        <v>72</v>
      </c>
      <c r="H28" s="40">
        <v>425</v>
      </c>
      <c r="I28" s="40">
        <v>180</v>
      </c>
      <c r="J28" s="40">
        <v>67</v>
      </c>
      <c r="K28" s="40">
        <v>50</v>
      </c>
      <c r="L28" s="40">
        <v>395</v>
      </c>
      <c r="M28" s="40">
        <v>389.7</v>
      </c>
      <c r="N28" s="40">
        <v>608.79999999999995</v>
      </c>
    </row>
    <row r="29" spans="1:14">
      <c r="C29" s="40">
        <v>550</v>
      </c>
      <c r="D29" s="39">
        <v>600</v>
      </c>
      <c r="E29" s="40">
        <v>597</v>
      </c>
      <c r="F29" s="40">
        <v>72.5</v>
      </c>
      <c r="G29" s="40">
        <v>72.25</v>
      </c>
      <c r="H29" s="40">
        <v>425</v>
      </c>
      <c r="I29" s="40">
        <v>200</v>
      </c>
      <c r="J29" s="40">
        <v>67</v>
      </c>
      <c r="K29" s="40">
        <v>50</v>
      </c>
      <c r="L29" s="40">
        <v>395</v>
      </c>
      <c r="M29" s="40">
        <v>398.5</v>
      </c>
      <c r="N29" s="40">
        <v>628.79999999999995</v>
      </c>
    </row>
    <row r="31" spans="1:14">
      <c r="B31" s="28" t="s">
        <v>902</v>
      </c>
    </row>
    <row r="32" spans="1:14">
      <c r="B32" s="28" t="s">
        <v>897</v>
      </c>
      <c r="D32" s="28">
        <f>D8*SIN(D5*PI()/180)</f>
        <v>115.63565438503475</v>
      </c>
      <c r="E32" s="28">
        <f t="shared" ref="E32:J32" si="2">E8*SIN(E5*PI()/180)</f>
        <v>129.77032895167304</v>
      </c>
      <c r="F32" s="28">
        <f t="shared" si="2"/>
        <v>148.80772742981895</v>
      </c>
      <c r="G32" s="28">
        <f t="shared" si="2"/>
        <v>158.20525625325186</v>
      </c>
      <c r="H32" s="28">
        <f t="shared" si="2"/>
        <v>172.13485607334638</v>
      </c>
      <c r="I32" s="28">
        <f t="shared" si="2"/>
        <v>190.74339014964536</v>
      </c>
      <c r="J32" s="28">
        <f t="shared" si="2"/>
        <v>0</v>
      </c>
    </row>
    <row r="33" spans="2:10">
      <c r="B33" s="28" t="s">
        <v>896</v>
      </c>
    </row>
    <row r="34" spans="2:10">
      <c r="B34" s="28" t="s">
        <v>898</v>
      </c>
      <c r="D34" s="28">
        <f>D8*COS(D6*PI()/180)</f>
        <v>40.550006160399256</v>
      </c>
      <c r="E34" s="28">
        <f t="shared" ref="E34:J34" si="3">E8*COS(E6*PI()/180)</f>
        <v>45.063925996559099</v>
      </c>
      <c r="F34" s="28">
        <f t="shared" si="3"/>
        <v>51.102050015732033</v>
      </c>
      <c r="G34" s="28">
        <f t="shared" si="3"/>
        <v>51.672028069818673</v>
      </c>
      <c r="H34" s="28">
        <f t="shared" si="3"/>
        <v>55.623058987490538</v>
      </c>
      <c r="I34" s="28">
        <f t="shared" si="3"/>
        <v>60.972859805602177</v>
      </c>
      <c r="J34" s="28">
        <f t="shared" si="3"/>
        <v>0</v>
      </c>
    </row>
    <row r="35" spans="2:10">
      <c r="B35" s="28" t="s">
        <v>899</v>
      </c>
    </row>
    <row r="36" spans="2:10">
      <c r="B36" s="28" t="s">
        <v>900</v>
      </c>
      <c r="D36" s="28">
        <f>D11*COS(D6*PI()/180)</f>
        <v>133.47710361131422</v>
      </c>
      <c r="E36" s="28">
        <f t="shared" ref="E36:J36" si="4">E11*COS(E6*PI()/180)</f>
        <v>131.8537093973396</v>
      </c>
      <c r="F36" s="28">
        <f t="shared" si="4"/>
        <v>130.22780487880098</v>
      </c>
      <c r="G36" s="28">
        <f t="shared" si="4"/>
        <v>123.69970356108107</v>
      </c>
      <c r="H36" s="28">
        <f t="shared" si="4"/>
        <v>122.06171277810424</v>
      </c>
      <c r="I36" s="28">
        <f t="shared" si="4"/>
        <v>120.4213981160643</v>
      </c>
      <c r="J36" s="28">
        <f t="shared" si="4"/>
        <v>0</v>
      </c>
    </row>
    <row r="37" spans="2:10">
      <c r="B37" s="28" t="s">
        <v>901</v>
      </c>
      <c r="D37" s="28">
        <f>D10*COS((90-D6)*PI()/180)</f>
        <v>51.764680839100386</v>
      </c>
      <c r="E37" s="28">
        <f t="shared" ref="E37:J37" si="5">E10*COS((90-E6)*PI()/180)</f>
        <v>51.845282010069816</v>
      </c>
      <c r="F37" s="28">
        <f t="shared" si="5"/>
        <v>51.924896121603133</v>
      </c>
      <c r="G37" s="28">
        <f t="shared" si="5"/>
        <v>47.48495631009385</v>
      </c>
      <c r="H37" s="28">
        <f t="shared" si="5"/>
        <v>47.552825814757675</v>
      </c>
      <c r="I37" s="28">
        <f t="shared" si="5"/>
        <v>47.619789982163915</v>
      </c>
      <c r="J37" s="28">
        <f t="shared" si="5"/>
        <v>0</v>
      </c>
    </row>
    <row r="38" spans="2:10">
      <c r="B38" s="28" t="s">
        <v>903</v>
      </c>
      <c r="D38" s="28">
        <f>D12+D34+D36+D37</f>
        <v>585.89179061081393</v>
      </c>
      <c r="E38" s="28">
        <f t="shared" ref="E38:J38" si="6">E12+E34+E36+E37</f>
        <v>596.56291740396853</v>
      </c>
      <c r="F38" s="28">
        <f t="shared" si="6"/>
        <v>607.65475101613617</v>
      </c>
      <c r="G38" s="28">
        <f t="shared" si="6"/>
        <v>604.85668794099354</v>
      </c>
      <c r="H38" s="28">
        <f t="shared" si="6"/>
        <v>614.93759758035242</v>
      </c>
      <c r="I38" s="28">
        <f t="shared" si="6"/>
        <v>627.51404790383037</v>
      </c>
      <c r="J38" s="28">
        <f t="shared" si="6"/>
        <v>0</v>
      </c>
    </row>
    <row r="39" spans="2:10">
      <c r="B39" s="28" t="s">
        <v>904</v>
      </c>
      <c r="D39" s="28">
        <f>SQRT(D7^2 - D9^2)</f>
        <v>415.81245772583583</v>
      </c>
      <c r="E39" s="28">
        <f t="shared" ref="E39:J39" si="7">SQRT(E7^2 - E9^2)</f>
        <v>415.81245772583583</v>
      </c>
      <c r="F39" s="28">
        <f t="shared" si="7"/>
        <v>416.64733288477919</v>
      </c>
      <c r="G39" s="28">
        <f t="shared" si="7"/>
        <v>419.68559660774633</v>
      </c>
      <c r="H39" s="28">
        <f t="shared" si="7"/>
        <v>419.68559660774633</v>
      </c>
      <c r="I39" s="28">
        <f t="shared" si="7"/>
        <v>419.68559660774633</v>
      </c>
      <c r="J39" s="28">
        <f t="shared" si="7"/>
        <v>0</v>
      </c>
    </row>
    <row r="40" spans="2:10">
      <c r="B40" s="28" t="s">
        <v>905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7.5" style="28" bestFit="1" customWidth="1"/>
    <col min="4" max="4" width="16" style="28" bestFit="1" customWidth="1"/>
    <col min="5" max="5" width="18.6640625" style="28" bestFit="1" customWidth="1"/>
    <col min="6" max="6" width="12.33203125" style="28" bestFit="1" customWidth="1"/>
    <col min="7" max="7" width="15.33203125" style="28" bestFit="1" customWidth="1"/>
    <col min="8" max="8" width="12.6640625" style="28" bestFit="1" customWidth="1"/>
    <col min="9" max="9" width="19" style="28" bestFit="1" customWidth="1"/>
    <col min="10" max="16384" width="10.83203125" style="28"/>
  </cols>
  <sheetData>
    <row r="1" spans="1:9">
      <c r="A1" s="35" t="s">
        <v>73</v>
      </c>
      <c r="B1" s="35" t="s">
        <v>73</v>
      </c>
      <c r="C1" s="28" t="s">
        <v>144</v>
      </c>
      <c r="D1" s="28" t="str">
        <f>D22</f>
        <v>2X Small (49)</v>
      </c>
      <c r="E1" s="28" t="str">
        <f t="shared" ref="E1:I1" si="0">E22</f>
        <v>Extra Small (51)</v>
      </c>
      <c r="F1" s="28" t="str">
        <f t="shared" si="0"/>
        <v>Small (53)</v>
      </c>
      <c r="G1" s="28" t="str">
        <f t="shared" si="0"/>
        <v>Medium (55)</v>
      </c>
      <c r="H1" s="28" t="str">
        <f t="shared" si="0"/>
        <v>Large (57)</v>
      </c>
      <c r="I1" s="28" t="str">
        <f t="shared" si="0"/>
        <v>Extra Large (59)</v>
      </c>
    </row>
    <row r="2" spans="1:9">
      <c r="A2" s="35" t="s">
        <v>55</v>
      </c>
      <c r="B2" s="35" t="s">
        <v>61</v>
      </c>
      <c r="C2" s="28" t="s">
        <v>1164</v>
      </c>
      <c r="D2" s="28">
        <f>VALUE(LEFT(D23,3))</f>
        <v>425</v>
      </c>
      <c r="E2" s="28">
        <f t="shared" ref="E2:I2" si="1">VALUE(LEFT(E23,3))</f>
        <v>445</v>
      </c>
      <c r="F2" s="28">
        <f t="shared" si="1"/>
        <v>470</v>
      </c>
      <c r="G2" s="28">
        <f t="shared" si="1"/>
        <v>490</v>
      </c>
      <c r="H2" s="28">
        <f t="shared" si="1"/>
        <v>510</v>
      </c>
      <c r="I2" s="28">
        <f t="shared" si="1"/>
        <v>530</v>
      </c>
    </row>
    <row r="3" spans="1:9">
      <c r="A3" s="35" t="s">
        <v>56</v>
      </c>
      <c r="B3" s="35" t="s">
        <v>74</v>
      </c>
      <c r="C3" s="28" t="s">
        <v>1168</v>
      </c>
      <c r="D3" s="28">
        <f t="shared" ref="D3:I14" si="2">VALUE(LEFT(D24,3))</f>
        <v>504</v>
      </c>
      <c r="E3" s="28">
        <f t="shared" si="2"/>
        <v>517</v>
      </c>
      <c r="F3" s="28">
        <f t="shared" si="2"/>
        <v>529</v>
      </c>
      <c r="G3" s="28">
        <f t="shared" si="2"/>
        <v>550</v>
      </c>
      <c r="H3" s="28">
        <f t="shared" si="2"/>
        <v>570</v>
      </c>
      <c r="I3" s="28">
        <f t="shared" si="2"/>
        <v>590</v>
      </c>
    </row>
    <row r="4" spans="1:9">
      <c r="A4" s="35" t="s">
        <v>61</v>
      </c>
      <c r="B4" s="35" t="s">
        <v>56</v>
      </c>
      <c r="C4" s="28" t="s">
        <v>1173</v>
      </c>
      <c r="D4" s="28">
        <f t="shared" si="2"/>
        <v>355</v>
      </c>
      <c r="E4" s="28">
        <f t="shared" si="2"/>
        <v>360</v>
      </c>
      <c r="F4" s="28">
        <f t="shared" si="2"/>
        <v>368</v>
      </c>
      <c r="G4" s="28">
        <f t="shared" si="2"/>
        <v>376</v>
      </c>
      <c r="H4" s="28">
        <f t="shared" si="2"/>
        <v>384</v>
      </c>
      <c r="I4" s="28">
        <f t="shared" si="2"/>
        <v>400</v>
      </c>
    </row>
    <row r="5" spans="1:9">
      <c r="A5" s="35" t="s">
        <v>74</v>
      </c>
      <c r="B5" s="35" t="s">
        <v>55</v>
      </c>
      <c r="C5" s="28" t="s">
        <v>1178</v>
      </c>
      <c r="D5" s="28">
        <f t="shared" si="2"/>
        <v>557</v>
      </c>
      <c r="E5" s="28">
        <f t="shared" si="2"/>
        <v>567</v>
      </c>
      <c r="F5" s="28">
        <f t="shared" si="2"/>
        <v>571</v>
      </c>
      <c r="G5" s="28">
        <f t="shared" si="2"/>
        <v>587</v>
      </c>
      <c r="H5" s="28">
        <f t="shared" si="2"/>
        <v>608</v>
      </c>
      <c r="I5" s="28">
        <f t="shared" si="2"/>
        <v>622</v>
      </c>
    </row>
    <row r="6" spans="1:9">
      <c r="A6" s="35" t="s">
        <v>63</v>
      </c>
      <c r="B6" s="35" t="s">
        <v>64</v>
      </c>
      <c r="C6" s="28" t="s">
        <v>1185</v>
      </c>
      <c r="D6" s="28">
        <f>VALUE(LEFT(D27,2))</f>
        <v>75</v>
      </c>
      <c r="E6" s="28">
        <f t="shared" ref="E6:I6" si="3">VALUE(LEFT(E27,2))</f>
        <v>74</v>
      </c>
      <c r="F6" s="28">
        <f t="shared" si="3"/>
        <v>74</v>
      </c>
      <c r="G6" s="28">
        <f t="shared" si="3"/>
        <v>73</v>
      </c>
      <c r="H6" s="28">
        <f t="shared" si="3"/>
        <v>73</v>
      </c>
      <c r="I6" s="28">
        <f t="shared" si="3"/>
        <v>73</v>
      </c>
    </row>
    <row r="7" spans="1:9">
      <c r="A7" s="35" t="s">
        <v>64</v>
      </c>
      <c r="B7" s="35" t="s">
        <v>63</v>
      </c>
      <c r="C7" s="28" t="s">
        <v>1188</v>
      </c>
      <c r="D7" s="28">
        <f>VALUE(LEFT(D28,2))</f>
        <v>68</v>
      </c>
      <c r="E7" s="28">
        <f t="shared" ref="E7:I7" si="4">VALUE(LEFT(E28,2))</f>
        <v>68</v>
      </c>
      <c r="F7" s="28">
        <f t="shared" si="4"/>
        <v>68</v>
      </c>
      <c r="G7" s="28">
        <f t="shared" si="4"/>
        <v>69</v>
      </c>
      <c r="H7" s="28">
        <f t="shared" si="4"/>
        <v>69</v>
      </c>
      <c r="I7" s="28">
        <f t="shared" si="4"/>
        <v>69</v>
      </c>
    </row>
    <row r="8" spans="1:9">
      <c r="A8" s="35" t="s">
        <v>65</v>
      </c>
      <c r="B8" s="35" t="s">
        <v>67</v>
      </c>
      <c r="C8" s="28" t="s">
        <v>1192</v>
      </c>
      <c r="D8" s="28">
        <f t="shared" si="2"/>
        <v>445</v>
      </c>
      <c r="E8" s="28">
        <f t="shared" si="2"/>
        <v>445</v>
      </c>
      <c r="F8" s="28">
        <f t="shared" si="2"/>
        <v>445</v>
      </c>
      <c r="G8" s="28">
        <f t="shared" si="2"/>
        <v>445</v>
      </c>
      <c r="H8" s="28">
        <f t="shared" si="2"/>
        <v>445</v>
      </c>
      <c r="I8" s="28">
        <f t="shared" si="2"/>
        <v>445</v>
      </c>
    </row>
    <row r="9" spans="1:9">
      <c r="A9" s="35" t="s">
        <v>66</v>
      </c>
      <c r="B9" s="35" t="s">
        <v>65</v>
      </c>
      <c r="C9" s="28" t="s">
        <v>1193</v>
      </c>
      <c r="D9" s="28">
        <f t="shared" si="2"/>
        <v>120</v>
      </c>
      <c r="E9" s="28">
        <f t="shared" si="2"/>
        <v>130</v>
      </c>
      <c r="F9" s="28">
        <f t="shared" si="2"/>
        <v>135</v>
      </c>
      <c r="G9" s="28">
        <f t="shared" si="2"/>
        <v>150</v>
      </c>
      <c r="H9" s="28">
        <f t="shared" si="2"/>
        <v>170</v>
      </c>
      <c r="I9" s="28">
        <f t="shared" si="2"/>
        <v>185</v>
      </c>
    </row>
    <row r="10" spans="1:9">
      <c r="A10" s="35" t="s">
        <v>67</v>
      </c>
      <c r="B10" s="28" t="s">
        <v>1237</v>
      </c>
      <c r="C10" s="28" t="s">
        <v>1197</v>
      </c>
      <c r="D10" s="28">
        <f t="shared" si="2"/>
        <v>415</v>
      </c>
      <c r="E10" s="28">
        <f t="shared" si="2"/>
        <v>415</v>
      </c>
      <c r="F10" s="28">
        <f t="shared" si="2"/>
        <v>415</v>
      </c>
      <c r="G10" s="28">
        <f t="shared" si="2"/>
        <v>415</v>
      </c>
      <c r="H10" s="28">
        <f t="shared" si="2"/>
        <v>415</v>
      </c>
      <c r="I10" s="28">
        <f t="shared" si="2"/>
        <v>415</v>
      </c>
    </row>
    <row r="11" spans="1:9">
      <c r="A11" s="35" t="s">
        <v>57</v>
      </c>
      <c r="B11" s="35" t="s">
        <v>68</v>
      </c>
      <c r="C11" s="28" t="s">
        <v>1199</v>
      </c>
      <c r="D11" s="28">
        <f>VALUE(LEFT(D32,2))</f>
        <v>51</v>
      </c>
      <c r="E11" s="28">
        <f t="shared" ref="E11:I11" si="5">VALUE(LEFT(E32,2))</f>
        <v>51</v>
      </c>
      <c r="F11" s="28">
        <f t="shared" si="5"/>
        <v>51</v>
      </c>
      <c r="G11" s="28">
        <f t="shared" si="5"/>
        <v>51</v>
      </c>
      <c r="H11" s="28">
        <f t="shared" si="5"/>
        <v>51</v>
      </c>
      <c r="I11" s="28">
        <f t="shared" si="5"/>
        <v>51</v>
      </c>
    </row>
    <row r="12" spans="1:9">
      <c r="A12" s="35" t="s">
        <v>68</v>
      </c>
      <c r="B12" s="35" t="s">
        <v>57</v>
      </c>
      <c r="C12" s="28" t="s">
        <v>1201</v>
      </c>
      <c r="D12" s="28">
        <f>VALUE(LEFT(D33,4))</f>
        <v>1046</v>
      </c>
      <c r="E12" s="28">
        <f t="shared" ref="E12:I12" si="6">VALUE(LEFT(E33,4))</f>
        <v>1049</v>
      </c>
      <c r="F12" s="28">
        <f t="shared" si="6"/>
        <v>1060</v>
      </c>
      <c r="G12" s="28">
        <f t="shared" si="6"/>
        <v>1068</v>
      </c>
      <c r="H12" s="28">
        <f t="shared" si="6"/>
        <v>1079</v>
      </c>
      <c r="I12" s="28">
        <f t="shared" si="6"/>
        <v>1100</v>
      </c>
    </row>
    <row r="13" spans="1:9">
      <c r="A13" s="35" t="s">
        <v>58</v>
      </c>
      <c r="B13" s="35" t="s">
        <v>66</v>
      </c>
      <c r="C13" s="28" t="s">
        <v>1208</v>
      </c>
      <c r="D13" s="28">
        <f>VALUE(LEFT(D34,2))</f>
        <v>70</v>
      </c>
      <c r="E13" s="28">
        <f t="shared" ref="E13:I13" si="7">VALUE(LEFT(E34,2))</f>
        <v>70</v>
      </c>
      <c r="F13" s="28">
        <f t="shared" si="7"/>
        <v>70</v>
      </c>
      <c r="G13" s="28">
        <f t="shared" si="7"/>
        <v>70</v>
      </c>
      <c r="H13" s="28">
        <f t="shared" si="7"/>
        <v>70</v>
      </c>
      <c r="I13" s="28">
        <f t="shared" si="7"/>
        <v>70</v>
      </c>
    </row>
    <row r="14" spans="1:9">
      <c r="A14" s="35" t="s">
        <v>70</v>
      </c>
      <c r="B14" s="35" t="s">
        <v>58</v>
      </c>
      <c r="C14" s="28" t="s">
        <v>1210</v>
      </c>
      <c r="D14" s="28">
        <f t="shared" si="2"/>
        <v>728</v>
      </c>
      <c r="E14" s="28">
        <f t="shared" si="2"/>
        <v>741</v>
      </c>
      <c r="F14" s="28">
        <f t="shared" si="2"/>
        <v>759</v>
      </c>
      <c r="G14" s="28">
        <f t="shared" si="2"/>
        <v>781</v>
      </c>
      <c r="H14" s="28">
        <f t="shared" si="2"/>
        <v>801</v>
      </c>
      <c r="I14" s="28">
        <f t="shared" si="2"/>
        <v>818</v>
      </c>
    </row>
    <row r="15" spans="1:9">
      <c r="A15" s="35" t="s">
        <v>71</v>
      </c>
      <c r="B15" s="35" t="s">
        <v>70</v>
      </c>
      <c r="C15" s="35" t="s">
        <v>70</v>
      </c>
    </row>
    <row r="16" spans="1:9">
      <c r="A16" s="35" t="s">
        <v>72</v>
      </c>
      <c r="B16" s="35" t="s">
        <v>71</v>
      </c>
      <c r="C16" s="35" t="s">
        <v>71</v>
      </c>
    </row>
    <row r="17" spans="1:9">
      <c r="A17" s="35" t="s">
        <v>69</v>
      </c>
      <c r="B17" s="35" t="s">
        <v>72</v>
      </c>
      <c r="C17" s="35" t="s">
        <v>72</v>
      </c>
    </row>
    <row r="18" spans="1:9">
      <c r="A18" s="35" t="s">
        <v>140</v>
      </c>
      <c r="B18" s="35" t="s">
        <v>69</v>
      </c>
      <c r="C18" s="35" t="s">
        <v>69</v>
      </c>
      <c r="D18" s="28">
        <v>700</v>
      </c>
      <c r="E18" s="28">
        <v>701</v>
      </c>
      <c r="F18" s="28">
        <v>702</v>
      </c>
      <c r="G18" s="28">
        <v>703</v>
      </c>
      <c r="H18" s="28">
        <v>704</v>
      </c>
      <c r="I18" s="28">
        <v>705</v>
      </c>
    </row>
    <row r="19" spans="1:9">
      <c r="A19" s="35" t="s">
        <v>141</v>
      </c>
      <c r="B19" s="35" t="s">
        <v>140</v>
      </c>
      <c r="C19" s="35" t="s">
        <v>140</v>
      </c>
      <c r="D19" s="28">
        <f>2.1*25.4</f>
        <v>53.339999999999996</v>
      </c>
      <c r="E19" s="28">
        <f t="shared" ref="E19:I19" si="8">2.1*25.4</f>
        <v>53.339999999999996</v>
      </c>
      <c r="F19" s="28">
        <f t="shared" si="8"/>
        <v>53.339999999999996</v>
      </c>
      <c r="G19" s="28">
        <f t="shared" si="8"/>
        <v>53.339999999999996</v>
      </c>
      <c r="H19" s="28">
        <f t="shared" si="8"/>
        <v>53.339999999999996</v>
      </c>
      <c r="I19" s="28">
        <f t="shared" si="8"/>
        <v>53.339999999999996</v>
      </c>
    </row>
    <row r="20" spans="1:9">
      <c r="B20" s="35" t="s">
        <v>141</v>
      </c>
      <c r="C20" s="35" t="s">
        <v>141</v>
      </c>
      <c r="D20" s="28">
        <f>2.2*25.4</f>
        <v>55.88</v>
      </c>
      <c r="E20" s="28">
        <f t="shared" ref="E20:I20" si="9">2.2*25.4</f>
        <v>55.88</v>
      </c>
      <c r="F20" s="28">
        <f t="shared" si="9"/>
        <v>55.88</v>
      </c>
      <c r="G20" s="28">
        <f t="shared" si="9"/>
        <v>55.88</v>
      </c>
      <c r="H20" s="28">
        <f t="shared" si="9"/>
        <v>55.88</v>
      </c>
      <c r="I20" s="28">
        <f t="shared" si="9"/>
        <v>55.88</v>
      </c>
    </row>
    <row r="22" spans="1:9">
      <c r="C22" s="28" t="s">
        <v>1157</v>
      </c>
      <c r="D22" s="28" t="s">
        <v>1158</v>
      </c>
      <c r="E22" s="28" t="s">
        <v>1159</v>
      </c>
      <c r="F22" s="28" t="s">
        <v>1160</v>
      </c>
      <c r="G22" s="28" t="s">
        <v>1161</v>
      </c>
      <c r="H22" s="28" t="s">
        <v>1162</v>
      </c>
      <c r="I22" s="28" t="s">
        <v>1163</v>
      </c>
    </row>
    <row r="23" spans="1:9">
      <c r="C23" s="28" t="s">
        <v>1164</v>
      </c>
      <c r="D23" s="28" t="s">
        <v>1165</v>
      </c>
      <c r="E23" s="28" t="s">
        <v>1166</v>
      </c>
      <c r="F23" s="28" t="s">
        <v>639</v>
      </c>
      <c r="G23" s="28" t="s">
        <v>242</v>
      </c>
      <c r="H23" s="28" t="s">
        <v>1167</v>
      </c>
      <c r="I23" s="28" t="s">
        <v>641</v>
      </c>
    </row>
    <row r="24" spans="1:9">
      <c r="C24" s="28" t="s">
        <v>1168</v>
      </c>
      <c r="D24" s="28" t="s">
        <v>1169</v>
      </c>
      <c r="E24" s="28" t="s">
        <v>1170</v>
      </c>
      <c r="F24" s="28" t="s">
        <v>1171</v>
      </c>
      <c r="G24" s="28" t="s">
        <v>1172</v>
      </c>
      <c r="H24" s="28" t="s">
        <v>853</v>
      </c>
      <c r="I24" s="28" t="s">
        <v>839</v>
      </c>
    </row>
    <row r="25" spans="1:9">
      <c r="C25" s="28" t="s">
        <v>1173</v>
      </c>
      <c r="D25" s="28" t="s">
        <v>1174</v>
      </c>
      <c r="E25" s="28" t="s">
        <v>1175</v>
      </c>
      <c r="F25" s="28" t="s">
        <v>852</v>
      </c>
      <c r="G25" s="28" t="s">
        <v>1176</v>
      </c>
      <c r="H25" s="28" t="s">
        <v>1177</v>
      </c>
      <c r="I25" s="28" t="s">
        <v>868</v>
      </c>
    </row>
    <row r="26" spans="1:9">
      <c r="C26" s="28" t="s">
        <v>1178</v>
      </c>
      <c r="D26" s="28" t="s">
        <v>1179</v>
      </c>
      <c r="E26" s="28" t="s">
        <v>1180</v>
      </c>
      <c r="F26" s="28" t="s">
        <v>1181</v>
      </c>
      <c r="G26" s="28" t="s">
        <v>1182</v>
      </c>
      <c r="H26" s="28" t="s">
        <v>1183</v>
      </c>
      <c r="I26" s="28" t="s">
        <v>1184</v>
      </c>
    </row>
    <row r="27" spans="1:9">
      <c r="C27" s="28" t="s">
        <v>1185</v>
      </c>
      <c r="D27" s="28" t="s">
        <v>1186</v>
      </c>
      <c r="E27" s="28" t="s">
        <v>803</v>
      </c>
      <c r="F27" s="28" t="s">
        <v>1187</v>
      </c>
      <c r="G27" s="28" t="s">
        <v>34</v>
      </c>
      <c r="H27" s="28" t="s">
        <v>804</v>
      </c>
      <c r="I27" s="28" t="s">
        <v>804</v>
      </c>
    </row>
    <row r="28" spans="1:9">
      <c r="C28" s="28" t="s">
        <v>1188</v>
      </c>
      <c r="D28" s="28" t="s">
        <v>1189</v>
      </c>
      <c r="E28" s="28" t="s">
        <v>1190</v>
      </c>
      <c r="F28" s="28" t="s">
        <v>1190</v>
      </c>
      <c r="G28" s="28" t="s">
        <v>1191</v>
      </c>
      <c r="H28" s="28" t="s">
        <v>175</v>
      </c>
      <c r="I28" s="28" t="s">
        <v>175</v>
      </c>
    </row>
    <row r="29" spans="1:9">
      <c r="C29" s="28" t="s">
        <v>1192</v>
      </c>
      <c r="D29" s="28" t="s">
        <v>1166</v>
      </c>
      <c r="E29" s="28" t="s">
        <v>1166</v>
      </c>
      <c r="F29" s="28" t="s">
        <v>1166</v>
      </c>
      <c r="G29" s="28" t="s">
        <v>1166</v>
      </c>
      <c r="H29" s="28" t="s">
        <v>1166</v>
      </c>
      <c r="I29" s="28" t="s">
        <v>1166</v>
      </c>
    </row>
    <row r="30" spans="1:9">
      <c r="C30" s="28" t="s">
        <v>1193</v>
      </c>
      <c r="D30" s="28" t="s">
        <v>1035</v>
      </c>
      <c r="E30" s="28" t="s">
        <v>835</v>
      </c>
      <c r="F30" s="28" t="s">
        <v>1194</v>
      </c>
      <c r="G30" s="28" t="s">
        <v>855</v>
      </c>
      <c r="H30" s="28" t="s">
        <v>1195</v>
      </c>
      <c r="I30" s="28" t="s">
        <v>1196</v>
      </c>
    </row>
    <row r="31" spans="1:9">
      <c r="C31" s="28" t="s">
        <v>1197</v>
      </c>
      <c r="D31" s="28" t="s">
        <v>1198</v>
      </c>
      <c r="E31" s="28" t="s">
        <v>1198</v>
      </c>
      <c r="F31" s="28" t="s">
        <v>1198</v>
      </c>
      <c r="G31" s="28" t="s">
        <v>1198</v>
      </c>
      <c r="H31" s="28" t="s">
        <v>1198</v>
      </c>
      <c r="I31" s="28" t="s">
        <v>1198</v>
      </c>
    </row>
    <row r="32" spans="1:9">
      <c r="C32" s="28" t="s">
        <v>1199</v>
      </c>
      <c r="D32" s="28" t="s">
        <v>1200</v>
      </c>
      <c r="E32" s="28" t="s">
        <v>1200</v>
      </c>
      <c r="F32" s="28" t="s">
        <v>1200</v>
      </c>
      <c r="G32" s="28" t="s">
        <v>1200</v>
      </c>
      <c r="H32" s="28" t="s">
        <v>1200</v>
      </c>
      <c r="I32" s="28" t="s">
        <v>1200</v>
      </c>
    </row>
    <row r="33" spans="3:9">
      <c r="C33" s="28" t="s">
        <v>1201</v>
      </c>
      <c r="D33" s="28" t="s">
        <v>1202</v>
      </c>
      <c r="E33" s="28" t="s">
        <v>1203</v>
      </c>
      <c r="F33" s="28" t="s">
        <v>1204</v>
      </c>
      <c r="G33" s="28" t="s">
        <v>1205</v>
      </c>
      <c r="H33" s="28" t="s">
        <v>1206</v>
      </c>
      <c r="I33" s="28" t="s">
        <v>1207</v>
      </c>
    </row>
    <row r="34" spans="3:9">
      <c r="C34" s="28" t="s">
        <v>1208</v>
      </c>
      <c r="D34" s="28" t="s">
        <v>1209</v>
      </c>
      <c r="E34" s="28" t="s">
        <v>1209</v>
      </c>
      <c r="F34" s="28" t="s">
        <v>1209</v>
      </c>
      <c r="G34" s="28" t="s">
        <v>1209</v>
      </c>
      <c r="H34" s="28" t="s">
        <v>1209</v>
      </c>
      <c r="I34" s="28" t="s">
        <v>1209</v>
      </c>
    </row>
    <row r="35" spans="3:9">
      <c r="C35" s="28" t="s">
        <v>1210</v>
      </c>
      <c r="D35" s="28" t="s">
        <v>1211</v>
      </c>
      <c r="E35" s="28" t="s">
        <v>1212</v>
      </c>
      <c r="F35" s="28" t="s">
        <v>1213</v>
      </c>
      <c r="G35" s="28" t="s">
        <v>1214</v>
      </c>
      <c r="H35" s="28" t="s">
        <v>1215</v>
      </c>
      <c r="I35" s="28" t="s">
        <v>1216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5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1277</v>
      </c>
      <c r="H1" s="28" t="s">
        <v>1278</v>
      </c>
    </row>
    <row r="2" spans="1:8">
      <c r="A2" s="28" t="s">
        <v>55</v>
      </c>
      <c r="B2" s="28" t="s">
        <v>74</v>
      </c>
      <c r="C2" s="28" t="s">
        <v>1275</v>
      </c>
      <c r="D2" s="28">
        <v>540</v>
      </c>
      <c r="E2" s="28">
        <v>557</v>
      </c>
      <c r="F2" s="28">
        <v>570</v>
      </c>
      <c r="G2" s="28">
        <v>583</v>
      </c>
      <c r="H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450</v>
      </c>
      <c r="E3" s="28">
        <v>490</v>
      </c>
      <c r="F3" s="28">
        <v>520</v>
      </c>
      <c r="G3" s="28">
        <v>550</v>
      </c>
      <c r="H3" s="28">
        <v>580</v>
      </c>
    </row>
    <row r="4" spans="1:8">
      <c r="A4" s="28" t="s">
        <v>61</v>
      </c>
      <c r="B4" s="28" t="s">
        <v>64</v>
      </c>
      <c r="C4" s="28" t="s">
        <v>5</v>
      </c>
      <c r="D4" s="28">
        <v>75</v>
      </c>
      <c r="E4" s="28">
        <v>75</v>
      </c>
      <c r="F4" s="28">
        <v>75</v>
      </c>
      <c r="G4" s="28">
        <v>75</v>
      </c>
      <c r="H4" s="28">
        <v>75</v>
      </c>
    </row>
    <row r="5" spans="1:8">
      <c r="A5" s="28" t="s">
        <v>74</v>
      </c>
      <c r="B5" s="28" t="s">
        <v>67</v>
      </c>
      <c r="C5" s="28" t="s">
        <v>8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63</v>
      </c>
      <c r="B6" s="28" t="s">
        <v>66</v>
      </c>
      <c r="C6" s="28" t="s">
        <v>7</v>
      </c>
      <c r="D6" s="28">
        <v>70</v>
      </c>
      <c r="E6" s="28">
        <v>70</v>
      </c>
      <c r="F6" s="28">
        <v>70</v>
      </c>
      <c r="G6" s="28">
        <v>70</v>
      </c>
      <c r="H6" s="28">
        <v>70</v>
      </c>
    </row>
    <row r="7" spans="1:8">
      <c r="A7" s="28" t="s">
        <v>64</v>
      </c>
      <c r="B7" s="28" t="s">
        <v>138</v>
      </c>
      <c r="C7" s="28" t="s">
        <v>1276</v>
      </c>
      <c r="D7" s="28">
        <v>285</v>
      </c>
      <c r="E7" s="28">
        <v>285</v>
      </c>
      <c r="F7" s="28">
        <v>285</v>
      </c>
      <c r="G7" s="28">
        <v>285</v>
      </c>
      <c r="H7" s="28">
        <v>285</v>
      </c>
    </row>
    <row r="8" spans="1:8">
      <c r="A8" s="28" t="s">
        <v>65</v>
      </c>
      <c r="B8" s="28" t="s">
        <v>63</v>
      </c>
      <c r="C8" s="28" t="s">
        <v>4</v>
      </c>
      <c r="D8" s="28">
        <v>71.5</v>
      </c>
      <c r="E8" s="28">
        <v>71.5</v>
      </c>
      <c r="F8" s="28">
        <v>71.5</v>
      </c>
      <c r="G8" s="28">
        <v>71.5</v>
      </c>
      <c r="H8" s="28">
        <v>71.5</v>
      </c>
    </row>
    <row r="9" spans="1:8">
      <c r="A9" s="28" t="s">
        <v>66</v>
      </c>
      <c r="B9" s="28" t="s">
        <v>57</v>
      </c>
      <c r="C9" s="28" t="s">
        <v>10</v>
      </c>
      <c r="D9" s="28">
        <v>1016</v>
      </c>
      <c r="E9" s="28">
        <v>1034</v>
      </c>
      <c r="F9" s="28">
        <v>1049</v>
      </c>
      <c r="G9" s="28">
        <v>1064</v>
      </c>
      <c r="H9" s="28">
        <v>1082</v>
      </c>
    </row>
    <row r="10" spans="1:8">
      <c r="A10" s="28" t="s">
        <v>67</v>
      </c>
      <c r="B10" s="28" t="s">
        <v>65</v>
      </c>
      <c r="C10" s="28" t="s">
        <v>6</v>
      </c>
      <c r="D10" s="28">
        <v>110</v>
      </c>
      <c r="E10" s="28">
        <v>136</v>
      </c>
      <c r="F10" s="28">
        <v>157</v>
      </c>
      <c r="G10" s="28">
        <v>178</v>
      </c>
      <c r="H10" s="28">
        <v>205</v>
      </c>
    </row>
    <row r="11" spans="1:8">
      <c r="A11" s="28" t="s">
        <v>57</v>
      </c>
      <c r="B11" s="28" t="s">
        <v>1237</v>
      </c>
      <c r="C11" s="28" t="s">
        <v>493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250</v>
      </c>
      <c r="D12" s="28">
        <v>47</v>
      </c>
      <c r="E12" s="28">
        <v>47</v>
      </c>
      <c r="F12" s="28">
        <v>47</v>
      </c>
      <c r="G12" s="28">
        <v>47</v>
      </c>
      <c r="H12" s="28">
        <v>47</v>
      </c>
    </row>
    <row r="13" spans="1:8">
      <c r="A13" s="28" t="s">
        <v>58</v>
      </c>
      <c r="B13" s="28" t="s">
        <v>136</v>
      </c>
      <c r="C13" s="28" t="s">
        <v>134</v>
      </c>
      <c r="D13" s="28">
        <v>69</v>
      </c>
      <c r="E13" s="28">
        <v>69</v>
      </c>
      <c r="F13" s="28">
        <v>69</v>
      </c>
      <c r="G13" s="28">
        <v>69</v>
      </c>
      <c r="H13" s="28">
        <v>69</v>
      </c>
    </row>
    <row r="14" spans="1:8">
      <c r="A14" s="28" t="s">
        <v>70</v>
      </c>
      <c r="B14" s="28" t="s">
        <v>55</v>
      </c>
      <c r="C14" s="28" t="s">
        <v>0</v>
      </c>
      <c r="D14" s="28">
        <v>535</v>
      </c>
      <c r="E14" s="28">
        <v>560</v>
      </c>
      <c r="F14" s="28">
        <v>580</v>
      </c>
      <c r="G14" s="28">
        <v>600</v>
      </c>
      <c r="H14" s="28">
        <v>625</v>
      </c>
    </row>
    <row r="15" spans="1:8">
      <c r="A15" s="28" t="s">
        <v>71</v>
      </c>
      <c r="B15" s="28" t="s">
        <v>56</v>
      </c>
      <c r="C15" s="28" t="s">
        <v>1</v>
      </c>
      <c r="D15" s="28">
        <v>397</v>
      </c>
      <c r="E15" s="28">
        <v>407</v>
      </c>
      <c r="F15" s="28">
        <v>415</v>
      </c>
      <c r="G15" s="28">
        <v>423</v>
      </c>
      <c r="H15" s="28">
        <v>433</v>
      </c>
    </row>
    <row r="16" spans="1:8">
      <c r="A16" s="28" t="s">
        <v>72</v>
      </c>
      <c r="B16" s="28" t="s">
        <v>58</v>
      </c>
      <c r="C16" s="28" t="s">
        <v>15</v>
      </c>
      <c r="D16" s="28">
        <v>709</v>
      </c>
      <c r="E16" s="28">
        <v>747</v>
      </c>
      <c r="F16" s="28">
        <v>775</v>
      </c>
      <c r="G16" s="28">
        <v>803</v>
      </c>
      <c r="H16" s="28">
        <v>831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  <c r="D19" s="28">
        <v>80</v>
      </c>
      <c r="E19" s="28">
        <v>80</v>
      </c>
      <c r="F19" s="28">
        <v>90</v>
      </c>
      <c r="G19" s="28">
        <v>90</v>
      </c>
      <c r="H19" s="28">
        <v>90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7" t="s">
        <v>376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377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403</v>
      </c>
      <c r="C3" s="3" t="s">
        <v>378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379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380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381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382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383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384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385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386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387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388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389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402</v>
      </c>
      <c r="C15" s="3" t="s">
        <v>390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391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8" t="s">
        <v>392</v>
      </c>
    </row>
    <row r="30" spans="1:8">
      <c r="E30" s="18" t="s">
        <v>393</v>
      </c>
    </row>
    <row r="41" spans="5:5">
      <c r="E41" s="18"/>
    </row>
    <row r="53" spans="5:5">
      <c r="E53" s="18" t="s">
        <v>401</v>
      </c>
    </row>
    <row r="64" spans="5:5">
      <c r="E64" s="18" t="s">
        <v>394</v>
      </c>
    </row>
    <row r="66" spans="5:5">
      <c r="E66" s="18" t="s">
        <v>395</v>
      </c>
    </row>
    <row r="68" spans="5:5">
      <c r="E68" s="18" t="s">
        <v>396</v>
      </c>
    </row>
    <row r="70" spans="5:5">
      <c r="E70" s="18" t="s">
        <v>397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4" width="11.1640625" style="28" bestFit="1" customWidth="1"/>
    <col min="5" max="6" width="12.6640625" style="28" bestFit="1" customWidth="1"/>
    <col min="7" max="7" width="17" style="28" bestFit="1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7" ht="20" customHeight="1">
      <c r="A1" s="28" t="s">
        <v>73</v>
      </c>
      <c r="B1" s="28" t="s">
        <v>73</v>
      </c>
      <c r="C1" s="28" t="s">
        <v>144</v>
      </c>
      <c r="D1" s="28" t="str" cm="1">
        <f t="array" ref="D1:G16">TRANSPOSE(D34:S37)</f>
        <v>S</v>
      </c>
      <c r="E1" s="28" t="str">
        <v>M</v>
      </c>
      <c r="F1" s="28" t="str">
        <v>L</v>
      </c>
      <c r="G1" s="28" t="str">
        <v>XL</v>
      </c>
    </row>
    <row r="2" spans="1:7" ht="20" customHeight="1">
      <c r="A2" s="28" t="s">
        <v>55</v>
      </c>
      <c r="B2" s="28" t="s">
        <v>56</v>
      </c>
      <c r="C2" s="28" t="s">
        <v>1</v>
      </c>
      <c r="D2" s="28">
        <v>410</v>
      </c>
      <c r="E2" s="28">
        <v>423</v>
      </c>
      <c r="F2" s="28">
        <v>435</v>
      </c>
      <c r="G2" s="28">
        <v>445</v>
      </c>
    </row>
    <row r="3" spans="1:7" ht="20" customHeight="1">
      <c r="A3" s="28" t="s">
        <v>56</v>
      </c>
      <c r="B3" s="28" t="s">
        <v>55</v>
      </c>
      <c r="C3" s="28" t="s">
        <v>0</v>
      </c>
      <c r="D3" s="28">
        <v>548</v>
      </c>
      <c r="E3" s="28">
        <v>571</v>
      </c>
      <c r="F3" s="28">
        <v>589</v>
      </c>
      <c r="G3" s="28">
        <v>626</v>
      </c>
    </row>
    <row r="4" spans="1:7" ht="20" customHeight="1">
      <c r="A4" s="28" t="s">
        <v>61</v>
      </c>
      <c r="B4" s="28" t="s">
        <v>135</v>
      </c>
      <c r="C4" s="28" t="s">
        <v>1903</v>
      </c>
      <c r="D4" s="28">
        <v>657</v>
      </c>
      <c r="E4" s="28">
        <v>679</v>
      </c>
      <c r="F4" s="28">
        <v>701</v>
      </c>
      <c r="G4" s="28">
        <v>723</v>
      </c>
    </row>
    <row r="5" spans="1:7" ht="20" customHeight="1">
      <c r="A5" s="28" t="s">
        <v>74</v>
      </c>
      <c r="B5" s="28" t="s">
        <v>74</v>
      </c>
      <c r="C5" s="28" t="s">
        <v>580</v>
      </c>
      <c r="D5" s="28">
        <v>570</v>
      </c>
      <c r="E5" s="28">
        <v>597</v>
      </c>
      <c r="F5" s="28">
        <v>607</v>
      </c>
      <c r="G5" s="28">
        <v>626</v>
      </c>
    </row>
    <row r="6" spans="1:7" ht="20" customHeight="1">
      <c r="A6" s="28" t="s">
        <v>63</v>
      </c>
      <c r="B6" s="28" t="s">
        <v>65</v>
      </c>
      <c r="C6" s="28" t="s">
        <v>579</v>
      </c>
      <c r="D6" s="28">
        <v>130</v>
      </c>
      <c r="E6" s="28">
        <v>155</v>
      </c>
      <c r="F6" s="28">
        <v>184</v>
      </c>
      <c r="G6" s="28">
        <v>214</v>
      </c>
    </row>
    <row r="7" spans="1:7" ht="20" customHeight="1">
      <c r="A7" s="28" t="s">
        <v>64</v>
      </c>
      <c r="B7" s="28" t="s">
        <v>61</v>
      </c>
      <c r="C7" s="28" t="s">
        <v>585</v>
      </c>
      <c r="D7" s="28">
        <v>435</v>
      </c>
      <c r="E7" s="28">
        <v>467</v>
      </c>
      <c r="F7" s="28">
        <v>485</v>
      </c>
      <c r="G7" s="28">
        <v>515</v>
      </c>
    </row>
    <row r="8" spans="1:7" ht="20" customHeight="1">
      <c r="A8" s="28" t="s">
        <v>65</v>
      </c>
      <c r="B8" s="28" t="s">
        <v>67</v>
      </c>
      <c r="C8" s="28" t="s">
        <v>1354</v>
      </c>
      <c r="D8" s="28">
        <v>425</v>
      </c>
      <c r="E8" s="28">
        <v>425</v>
      </c>
      <c r="F8" s="28">
        <v>425</v>
      </c>
      <c r="G8" s="28">
        <v>425</v>
      </c>
    </row>
    <row r="9" spans="1:7" ht="20" customHeight="1">
      <c r="A9" s="28" t="s">
        <v>66</v>
      </c>
      <c r="B9" s="28" t="s">
        <v>66</v>
      </c>
      <c r="C9" s="28" t="s">
        <v>357</v>
      </c>
      <c r="D9" s="28">
        <v>75</v>
      </c>
      <c r="E9" s="28">
        <v>75</v>
      </c>
      <c r="F9" s="28">
        <v>75</v>
      </c>
      <c r="G9" s="28">
        <v>75</v>
      </c>
    </row>
    <row r="10" spans="1:7" ht="20" customHeight="1">
      <c r="A10" s="28" t="s">
        <v>67</v>
      </c>
      <c r="B10" s="28" t="s">
        <v>63</v>
      </c>
      <c r="C10" s="28" t="s">
        <v>1904</v>
      </c>
      <c r="D10" s="28">
        <v>68.599999999999994</v>
      </c>
      <c r="E10" s="28">
        <v>68.599999999999994</v>
      </c>
      <c r="F10" s="28">
        <v>68.599999999999994</v>
      </c>
      <c r="G10" s="28">
        <v>68.599999999999994</v>
      </c>
    </row>
    <row r="11" spans="1:7" ht="20" customHeight="1">
      <c r="A11" s="28" t="s">
        <v>57</v>
      </c>
      <c r="B11" s="28" t="s">
        <v>64</v>
      </c>
      <c r="C11" s="28" t="s">
        <v>1905</v>
      </c>
      <c r="D11" s="28">
        <v>74</v>
      </c>
      <c r="E11" s="28">
        <v>74</v>
      </c>
      <c r="F11" s="28">
        <v>74</v>
      </c>
      <c r="G11" s="28">
        <v>74</v>
      </c>
    </row>
    <row r="12" spans="1:7" ht="20" customHeight="1">
      <c r="A12" s="28" t="s">
        <v>68</v>
      </c>
      <c r="B12" s="28" t="s">
        <v>498</v>
      </c>
      <c r="C12" s="28" t="s">
        <v>583</v>
      </c>
      <c r="D12" s="28">
        <v>390</v>
      </c>
      <c r="E12" s="28">
        <v>390</v>
      </c>
      <c r="F12" s="28">
        <v>390</v>
      </c>
      <c r="G12" s="28">
        <v>390</v>
      </c>
    </row>
    <row r="13" spans="1:7" ht="20" customHeight="1">
      <c r="A13" s="28" t="s">
        <v>58</v>
      </c>
      <c r="B13" s="28" t="s">
        <v>68</v>
      </c>
      <c r="C13" s="28" t="s">
        <v>250</v>
      </c>
      <c r="D13" s="28">
        <v>55</v>
      </c>
      <c r="E13" s="28">
        <v>55</v>
      </c>
      <c r="F13" s="28">
        <v>55</v>
      </c>
      <c r="G13" s="28">
        <v>55</v>
      </c>
    </row>
    <row r="14" spans="1:7" ht="20" customHeight="1">
      <c r="A14" s="28" t="s">
        <v>70</v>
      </c>
      <c r="B14" s="28" t="s">
        <v>70</v>
      </c>
      <c r="C14" s="28" t="s">
        <v>59</v>
      </c>
      <c r="D14" s="28">
        <v>170</v>
      </c>
      <c r="E14" s="28">
        <v>172.5</v>
      </c>
      <c r="F14" s="28">
        <v>172.5</v>
      </c>
      <c r="G14" s="28">
        <v>175</v>
      </c>
    </row>
    <row r="15" spans="1:7" ht="20" customHeight="1">
      <c r="A15" s="28" t="s">
        <v>71</v>
      </c>
      <c r="B15" s="28" t="s">
        <v>71</v>
      </c>
      <c r="C15" s="28" t="s">
        <v>1906</v>
      </c>
      <c r="D15" s="28">
        <v>420</v>
      </c>
      <c r="E15" s="28">
        <v>440</v>
      </c>
      <c r="F15" s="28">
        <v>460</v>
      </c>
      <c r="G15" s="28">
        <v>460</v>
      </c>
    </row>
    <row r="16" spans="1:7" ht="20" customHeight="1">
      <c r="A16" s="28" t="s">
        <v>72</v>
      </c>
      <c r="B16" s="28" t="s">
        <v>72</v>
      </c>
      <c r="C16" s="28" t="s">
        <v>14</v>
      </c>
      <c r="D16" s="28">
        <v>50</v>
      </c>
      <c r="E16" s="28">
        <v>50</v>
      </c>
      <c r="F16" s="28">
        <v>70</v>
      </c>
      <c r="G16" s="28">
        <v>70</v>
      </c>
    </row>
    <row r="17" spans="1:20" ht="20" customHeight="1">
      <c r="A17" s="28" t="s">
        <v>69</v>
      </c>
      <c r="B17" s="28" t="s">
        <v>58</v>
      </c>
      <c r="C17" s="28" t="s">
        <v>58</v>
      </c>
    </row>
    <row r="18" spans="1:20" ht="20" customHeight="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 ht="20" customHeight="1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 ht="20" customHeight="1">
      <c r="A20" s="28" t="s">
        <v>1758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 ht="20" customHeight="1">
      <c r="A21" s="28" t="s">
        <v>1759</v>
      </c>
      <c r="B21" s="28" t="s">
        <v>1758</v>
      </c>
      <c r="C21" s="28" t="s">
        <v>1758</v>
      </c>
      <c r="D21" s="28">
        <v>165</v>
      </c>
      <c r="E21" s="28">
        <v>172</v>
      </c>
      <c r="F21" s="28">
        <v>179</v>
      </c>
      <c r="G21" s="28">
        <v>186</v>
      </c>
    </row>
    <row r="22" spans="1:20" ht="20" customHeight="1">
      <c r="B22" s="28" t="s">
        <v>1759</v>
      </c>
      <c r="C22" s="28" t="s">
        <v>1759</v>
      </c>
      <c r="D22" s="28">
        <v>173</v>
      </c>
      <c r="E22" s="28">
        <v>180</v>
      </c>
      <c r="F22" s="28">
        <v>187</v>
      </c>
      <c r="G22" s="28">
        <v>194</v>
      </c>
    </row>
    <row r="23" spans="1:20" ht="20" customHeight="1">
      <c r="B23" s="28" t="s">
        <v>57</v>
      </c>
      <c r="C23" s="28" t="s">
        <v>57</v>
      </c>
      <c r="D23" s="43">
        <f>D24+D25</f>
        <v>1071.0351534337137</v>
      </c>
      <c r="E23" s="43">
        <f t="shared" ref="E23:G23" si="0">E24+E25</f>
        <v>1093.1751806943521</v>
      </c>
      <c r="F23" s="43">
        <f t="shared" si="0"/>
        <v>1115.306339981224</v>
      </c>
      <c r="G23" s="43">
        <f t="shared" si="0"/>
        <v>1137.4294500628121</v>
      </c>
    </row>
    <row r="24" spans="1:20" ht="20" customHeight="1">
      <c r="C24" s="28" t="s">
        <v>1913</v>
      </c>
      <c r="D24" s="43">
        <f>SQRT(D8^2 - D9^2)</f>
        <v>418.33001326703777</v>
      </c>
      <c r="E24" s="43">
        <f t="shared" ref="E24:G24" si="1">SQRT(E8^2 - E9^2)</f>
        <v>418.33001326703777</v>
      </c>
      <c r="F24" s="43">
        <f t="shared" si="1"/>
        <v>418.33001326703777</v>
      </c>
      <c r="G24" s="43">
        <f t="shared" si="1"/>
        <v>418.33001326703777</v>
      </c>
    </row>
    <row r="25" spans="1:20" ht="20" customHeight="1">
      <c r="C25" s="28" t="s">
        <v>1914</v>
      </c>
      <c r="D25" s="43">
        <f>SQRT(D4^2-D9^2)</f>
        <v>652.70514016667585</v>
      </c>
      <c r="E25" s="43">
        <f t="shared" ref="E25:G25" si="2">SQRT(E4^2-E9^2)</f>
        <v>674.84516742731444</v>
      </c>
      <c r="F25" s="43">
        <f t="shared" si="2"/>
        <v>696.97632671418614</v>
      </c>
      <c r="G25" s="43">
        <f t="shared" si="2"/>
        <v>719.09943679577441</v>
      </c>
    </row>
    <row r="29" spans="1:20">
      <c r="C29" s="34" t="s">
        <v>1902</v>
      </c>
      <c r="D29" s="34" t="s">
        <v>144</v>
      </c>
      <c r="E29" s="34" t="s">
        <v>1</v>
      </c>
      <c r="F29" s="34" t="s">
        <v>0</v>
      </c>
      <c r="G29" s="34" t="s">
        <v>1903</v>
      </c>
      <c r="H29" s="34" t="s">
        <v>580</v>
      </c>
      <c r="I29" s="34" t="s">
        <v>579</v>
      </c>
      <c r="J29" s="34" t="s">
        <v>585</v>
      </c>
      <c r="K29" s="34" t="s">
        <v>1354</v>
      </c>
      <c r="L29" s="34" t="s">
        <v>357</v>
      </c>
      <c r="M29" s="34" t="s">
        <v>1904</v>
      </c>
      <c r="N29" s="34" t="s">
        <v>1905</v>
      </c>
      <c r="O29" s="34" t="s">
        <v>583</v>
      </c>
      <c r="P29" s="34" t="s">
        <v>250</v>
      </c>
      <c r="Q29" s="34" t="s">
        <v>59</v>
      </c>
      <c r="R29" s="34" t="s">
        <v>1906</v>
      </c>
      <c r="S29" s="34" t="s">
        <v>14</v>
      </c>
      <c r="T29"/>
    </row>
    <row r="30" spans="1:20">
      <c r="C30" s="28" t="s">
        <v>1907</v>
      </c>
      <c r="D30" s="28" t="s">
        <v>18</v>
      </c>
      <c r="E30" s="28">
        <v>405</v>
      </c>
      <c r="F30" s="28">
        <v>552</v>
      </c>
      <c r="G30" s="28">
        <v>652</v>
      </c>
      <c r="H30" s="28">
        <v>572</v>
      </c>
      <c r="I30" s="28">
        <v>130</v>
      </c>
      <c r="J30" s="28">
        <v>435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170</v>
      </c>
      <c r="R30" s="28">
        <v>420</v>
      </c>
      <c r="S30" s="28">
        <v>50</v>
      </c>
      <c r="T30"/>
    </row>
    <row r="31" spans="1:20">
      <c r="D31" s="28" t="s">
        <v>19</v>
      </c>
      <c r="E31" s="28">
        <v>418</v>
      </c>
      <c r="F31" s="28">
        <v>575</v>
      </c>
      <c r="G31" s="28">
        <v>674</v>
      </c>
      <c r="H31" s="28">
        <v>589</v>
      </c>
      <c r="I31" s="28">
        <v>155</v>
      </c>
      <c r="J31" s="28">
        <v>567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440</v>
      </c>
      <c r="S31" s="28">
        <v>50</v>
      </c>
      <c r="T31"/>
    </row>
    <row r="32" spans="1:20">
      <c r="D32" s="28" t="s">
        <v>20</v>
      </c>
      <c r="E32" s="28">
        <v>430</v>
      </c>
      <c r="F32" s="28">
        <v>602</v>
      </c>
      <c r="G32" s="28">
        <v>697</v>
      </c>
      <c r="H32" s="28">
        <v>609</v>
      </c>
      <c r="I32" s="28">
        <v>184</v>
      </c>
      <c r="J32" s="28">
        <v>585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172.5</v>
      </c>
      <c r="R32" s="28">
        <v>460</v>
      </c>
      <c r="S32" s="28">
        <v>70</v>
      </c>
      <c r="T32"/>
    </row>
    <row r="33" spans="3:20">
      <c r="D33" s="28" t="s">
        <v>21</v>
      </c>
      <c r="E33" s="28">
        <v>440</v>
      </c>
      <c r="F33" s="28">
        <v>630</v>
      </c>
      <c r="G33" s="28">
        <v>718</v>
      </c>
      <c r="H33" s="28">
        <v>628</v>
      </c>
      <c r="I33" s="28">
        <v>214</v>
      </c>
      <c r="J33" s="28">
        <v>515</v>
      </c>
      <c r="K33" s="28">
        <v>425</v>
      </c>
      <c r="L33" s="28">
        <v>70</v>
      </c>
      <c r="M33" s="28">
        <v>68</v>
      </c>
      <c r="N33" s="28">
        <v>73.400000000000006</v>
      </c>
      <c r="O33" s="28">
        <v>400</v>
      </c>
      <c r="P33" s="28">
        <v>45</v>
      </c>
      <c r="Q33" s="28">
        <v>175</v>
      </c>
      <c r="R33" s="28">
        <v>460</v>
      </c>
      <c r="S33" s="28">
        <v>70</v>
      </c>
      <c r="T33"/>
    </row>
    <row r="34" spans="3:20">
      <c r="C34" s="28" t="s">
        <v>1908</v>
      </c>
      <c r="D34" s="28" t="s">
        <v>18</v>
      </c>
      <c r="E34" s="28">
        <v>410</v>
      </c>
      <c r="F34" s="28">
        <v>548</v>
      </c>
      <c r="G34" s="28">
        <v>657</v>
      </c>
      <c r="H34" s="28">
        <v>570</v>
      </c>
      <c r="I34" s="28">
        <v>130</v>
      </c>
      <c r="J34" s="28">
        <v>435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170</v>
      </c>
      <c r="R34" s="28">
        <v>420</v>
      </c>
      <c r="S34" s="28">
        <v>50</v>
      </c>
      <c r="T34"/>
    </row>
    <row r="35" spans="3:20">
      <c r="D35" s="28" t="s">
        <v>19</v>
      </c>
      <c r="E35" s="28">
        <v>423</v>
      </c>
      <c r="F35" s="28">
        <v>571</v>
      </c>
      <c r="G35" s="28">
        <v>679</v>
      </c>
      <c r="H35" s="28">
        <v>597</v>
      </c>
      <c r="I35" s="28">
        <v>155</v>
      </c>
      <c r="J35" s="28">
        <v>467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440</v>
      </c>
      <c r="S35" s="28">
        <v>50</v>
      </c>
      <c r="T35"/>
    </row>
    <row r="36" spans="3:20">
      <c r="D36" s="28" t="s">
        <v>20</v>
      </c>
      <c r="E36" s="28">
        <v>435</v>
      </c>
      <c r="F36" s="28">
        <v>589</v>
      </c>
      <c r="G36" s="28">
        <v>701</v>
      </c>
      <c r="H36" s="28">
        <v>607</v>
      </c>
      <c r="I36" s="28">
        <v>184</v>
      </c>
      <c r="J36" s="28">
        <v>485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172.5</v>
      </c>
      <c r="R36" s="28">
        <v>460</v>
      </c>
      <c r="S36" s="28">
        <v>70</v>
      </c>
      <c r="T36"/>
    </row>
    <row r="37" spans="3:20">
      <c r="D37" s="28" t="s">
        <v>21</v>
      </c>
      <c r="E37" s="28">
        <v>445</v>
      </c>
      <c r="F37" s="28">
        <v>626</v>
      </c>
      <c r="G37" s="28">
        <v>723</v>
      </c>
      <c r="H37" s="28">
        <v>626</v>
      </c>
      <c r="I37" s="28">
        <v>214</v>
      </c>
      <c r="J37" s="28">
        <v>515</v>
      </c>
      <c r="K37" s="28">
        <v>425</v>
      </c>
      <c r="L37" s="28">
        <v>75</v>
      </c>
      <c r="M37" s="28">
        <v>68.599999999999994</v>
      </c>
      <c r="N37" s="28">
        <v>74</v>
      </c>
      <c r="O37" s="28">
        <v>390</v>
      </c>
      <c r="P37" s="28">
        <v>55</v>
      </c>
      <c r="Q37" s="28">
        <v>175</v>
      </c>
      <c r="R37" s="28">
        <v>460</v>
      </c>
      <c r="S37" s="28">
        <v>70</v>
      </c>
      <c r="T37"/>
    </row>
    <row r="40" spans="3:20">
      <c r="C40" s="35" t="s">
        <v>18</v>
      </c>
      <c r="D40" s="35" t="s">
        <v>1909</v>
      </c>
    </row>
    <row r="41" spans="3:20">
      <c r="C41" s="35" t="s">
        <v>19</v>
      </c>
      <c r="D41" s="35" t="s">
        <v>1910</v>
      </c>
    </row>
    <row r="42" spans="3:20">
      <c r="C42" s="35" t="s">
        <v>20</v>
      </c>
      <c r="D42" s="35" t="s">
        <v>1911</v>
      </c>
    </row>
    <row r="43" spans="3:20">
      <c r="C43" s="35" t="s">
        <v>21</v>
      </c>
      <c r="D43" s="35" t="s">
        <v>1912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8" bestFit="1" customWidth="1"/>
    <col min="3" max="3" width="46.8320312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1927</v>
      </c>
      <c r="D1" s="28" t="s">
        <v>1928</v>
      </c>
      <c r="E1" s="28" t="s">
        <v>415</v>
      </c>
      <c r="F1" s="28" t="s">
        <v>1929</v>
      </c>
      <c r="G1" s="28" t="s">
        <v>522</v>
      </c>
      <c r="H1" s="28" t="s">
        <v>25</v>
      </c>
      <c r="I1" s="28" t="s">
        <v>873</v>
      </c>
      <c r="J1" s="28" t="s">
        <v>753</v>
      </c>
    </row>
    <row r="2" spans="1:10">
      <c r="A2" s="28" t="s">
        <v>55</v>
      </c>
      <c r="B2" s="28" t="s">
        <v>61</v>
      </c>
      <c r="C2" s="28" t="s">
        <v>1940</v>
      </c>
      <c r="D2" s="28">
        <v>420</v>
      </c>
      <c r="E2" s="28">
        <v>450</v>
      </c>
      <c r="F2" s="28">
        <v>480</v>
      </c>
      <c r="G2" s="28">
        <v>500</v>
      </c>
      <c r="H2" s="28">
        <v>520</v>
      </c>
      <c r="I2" s="28">
        <v>540</v>
      </c>
      <c r="J2" s="28">
        <v>575</v>
      </c>
    </row>
    <row r="3" spans="1:10">
      <c r="A3" s="28" t="s">
        <v>56</v>
      </c>
      <c r="B3" s="28" t="s">
        <v>74</v>
      </c>
      <c r="C3" s="28" t="s">
        <v>1941</v>
      </c>
      <c r="D3" s="28">
        <v>499</v>
      </c>
      <c r="E3" s="28">
        <v>515</v>
      </c>
      <c r="F3" s="28">
        <v>534</v>
      </c>
      <c r="G3" s="28">
        <v>550</v>
      </c>
      <c r="H3" s="28">
        <v>568</v>
      </c>
      <c r="I3" s="28">
        <v>582</v>
      </c>
      <c r="J3" s="28">
        <v>602</v>
      </c>
    </row>
    <row r="4" spans="1:10">
      <c r="A4" s="28" t="s">
        <v>61</v>
      </c>
      <c r="B4" s="28" t="s">
        <v>65</v>
      </c>
      <c r="C4" s="28" t="s">
        <v>1942</v>
      </c>
      <c r="D4" s="28">
        <v>100</v>
      </c>
      <c r="E4" s="28">
        <v>100</v>
      </c>
      <c r="F4" s="28">
        <v>120</v>
      </c>
      <c r="G4" s="28">
        <v>135</v>
      </c>
      <c r="H4" s="28">
        <v>150</v>
      </c>
      <c r="I4" s="28">
        <v>165</v>
      </c>
      <c r="J4" s="28">
        <v>188</v>
      </c>
    </row>
    <row r="5" spans="1:10">
      <c r="A5" s="28" t="s">
        <v>74</v>
      </c>
      <c r="B5" s="28" t="s">
        <v>63</v>
      </c>
      <c r="C5" s="28" t="s">
        <v>1943</v>
      </c>
      <c r="D5" s="28">
        <v>70.5</v>
      </c>
      <c r="E5" s="28">
        <v>71</v>
      </c>
      <c r="F5" s="28">
        <v>71.25</v>
      </c>
      <c r="G5" s="28">
        <v>71.5</v>
      </c>
      <c r="H5" s="28">
        <v>71.75</v>
      </c>
      <c r="I5" s="28">
        <v>72</v>
      </c>
      <c r="J5" s="28">
        <v>72</v>
      </c>
    </row>
    <row r="6" spans="1:10">
      <c r="A6" s="28" t="s">
        <v>63</v>
      </c>
      <c r="B6" s="28" t="s">
        <v>64</v>
      </c>
      <c r="C6" s="28" t="s">
        <v>1944</v>
      </c>
      <c r="D6" s="28">
        <v>76</v>
      </c>
      <c r="E6" s="28">
        <v>75</v>
      </c>
      <c r="F6" s="28">
        <v>74.5</v>
      </c>
      <c r="G6" s="28">
        <v>74</v>
      </c>
      <c r="H6" s="28">
        <v>73.5</v>
      </c>
      <c r="I6" s="28">
        <v>73.5</v>
      </c>
      <c r="J6" s="28">
        <v>73.5</v>
      </c>
    </row>
    <row r="7" spans="1:10">
      <c r="A7" s="28" t="s">
        <v>64</v>
      </c>
      <c r="B7" s="28" t="s">
        <v>66</v>
      </c>
      <c r="C7" s="28" t="s">
        <v>426</v>
      </c>
      <c r="D7" s="28">
        <v>65</v>
      </c>
      <c r="E7" s="28">
        <v>76</v>
      </c>
      <c r="F7" s="28">
        <v>76</v>
      </c>
      <c r="G7" s="28">
        <v>76</v>
      </c>
      <c r="H7" s="28">
        <v>76</v>
      </c>
      <c r="I7" s="28">
        <v>76</v>
      </c>
      <c r="J7" s="28">
        <v>76</v>
      </c>
    </row>
    <row r="8" spans="1:10">
      <c r="A8" s="28" t="s">
        <v>65</v>
      </c>
      <c r="B8" s="28" t="s">
        <v>67</v>
      </c>
      <c r="C8" s="28" t="s">
        <v>1945</v>
      </c>
      <c r="D8" s="28">
        <v>414</v>
      </c>
      <c r="E8" s="28">
        <v>427</v>
      </c>
      <c r="F8" s="28">
        <v>427</v>
      </c>
      <c r="G8" s="28">
        <v>427</v>
      </c>
      <c r="H8" s="28">
        <v>434</v>
      </c>
      <c r="I8" s="28">
        <v>434</v>
      </c>
      <c r="J8" s="28">
        <v>434</v>
      </c>
    </row>
    <row r="9" spans="1:10">
      <c r="A9" s="28" t="s">
        <v>66</v>
      </c>
      <c r="B9" s="28" t="s">
        <v>57</v>
      </c>
      <c r="C9" s="28" t="s">
        <v>1946</v>
      </c>
      <c r="D9" s="28">
        <v>987</v>
      </c>
      <c r="E9" s="28">
        <v>1000</v>
      </c>
      <c r="F9" s="28">
        <v>1012</v>
      </c>
      <c r="G9" s="28">
        <v>1021</v>
      </c>
      <c r="H9" s="28">
        <v>1039</v>
      </c>
      <c r="I9" s="28">
        <v>1051</v>
      </c>
      <c r="J9" s="28">
        <v>1072</v>
      </c>
    </row>
    <row r="10" spans="1:10">
      <c r="A10" s="28" t="s">
        <v>67</v>
      </c>
      <c r="B10" s="28" t="s">
        <v>1960</v>
      </c>
      <c r="C10" s="28" t="s">
        <v>1947</v>
      </c>
      <c r="D10" s="28">
        <v>75</v>
      </c>
      <c r="E10" s="28">
        <v>79</v>
      </c>
      <c r="F10" s="28">
        <v>84</v>
      </c>
      <c r="G10" s="28">
        <v>87</v>
      </c>
      <c r="H10" s="28">
        <v>90</v>
      </c>
      <c r="I10" s="28">
        <v>93</v>
      </c>
      <c r="J10" s="28">
        <v>97</v>
      </c>
    </row>
    <row r="11" spans="1:10">
      <c r="A11" s="28" t="s">
        <v>57</v>
      </c>
      <c r="B11" s="28" t="s">
        <v>56</v>
      </c>
      <c r="C11" s="28" t="s">
        <v>1948</v>
      </c>
      <c r="D11" s="28">
        <v>374</v>
      </c>
      <c r="E11" s="28">
        <v>371</v>
      </c>
      <c r="F11" s="28">
        <v>380</v>
      </c>
      <c r="G11" s="28">
        <v>386</v>
      </c>
      <c r="H11" s="28">
        <v>395</v>
      </c>
      <c r="I11" s="28">
        <v>404</v>
      </c>
      <c r="J11" s="28">
        <v>417</v>
      </c>
    </row>
    <row r="12" spans="1:10">
      <c r="A12" s="28" t="s">
        <v>68</v>
      </c>
      <c r="B12" s="28" t="s">
        <v>55</v>
      </c>
      <c r="C12" s="28" t="s">
        <v>1949</v>
      </c>
      <c r="D12" s="28">
        <v>503</v>
      </c>
      <c r="E12" s="28">
        <v>536</v>
      </c>
      <c r="F12" s="28">
        <v>555</v>
      </c>
      <c r="G12" s="28">
        <v>570</v>
      </c>
      <c r="H12" s="28">
        <v>586</v>
      </c>
      <c r="I12" s="28">
        <v>601</v>
      </c>
      <c r="J12" s="28">
        <v>623</v>
      </c>
    </row>
    <row r="13" spans="1:10">
      <c r="A13" s="28" t="s">
        <v>58</v>
      </c>
      <c r="B13" s="28" t="s">
        <v>58</v>
      </c>
      <c r="C13" s="28" t="s">
        <v>1950</v>
      </c>
      <c r="D13" s="28">
        <v>719</v>
      </c>
      <c r="E13" s="28">
        <v>757</v>
      </c>
      <c r="F13" s="28">
        <v>782</v>
      </c>
      <c r="G13" s="28">
        <v>799</v>
      </c>
      <c r="H13" s="28">
        <v>816</v>
      </c>
      <c r="I13" s="28">
        <v>834</v>
      </c>
      <c r="J13" s="28">
        <v>862</v>
      </c>
    </row>
    <row r="14" spans="1:10">
      <c r="A14" s="28" t="s">
        <v>70</v>
      </c>
      <c r="B14" s="28" t="s">
        <v>1460</v>
      </c>
      <c r="C14" s="28" t="s">
        <v>1951</v>
      </c>
      <c r="D14" s="28">
        <v>1.34</v>
      </c>
      <c r="E14" s="28">
        <v>1.44</v>
      </c>
      <c r="F14" s="28">
        <v>1.46</v>
      </c>
      <c r="G14" s="28">
        <v>1.48</v>
      </c>
      <c r="H14" s="28">
        <v>1.48</v>
      </c>
      <c r="I14" s="28">
        <v>1.49</v>
      </c>
      <c r="J14" s="28">
        <v>1.49</v>
      </c>
    </row>
    <row r="15" spans="1:10">
      <c r="A15" s="28" t="s">
        <v>71</v>
      </c>
      <c r="B15" s="28" t="s">
        <v>68</v>
      </c>
      <c r="C15" s="28" t="s">
        <v>1952</v>
      </c>
      <c r="D15" s="28">
        <v>47</v>
      </c>
      <c r="E15" s="28">
        <v>47</v>
      </c>
      <c r="F15" s="28">
        <v>47</v>
      </c>
      <c r="G15" s="28">
        <v>47</v>
      </c>
      <c r="H15" s="28">
        <v>47</v>
      </c>
      <c r="I15" s="28">
        <v>47</v>
      </c>
      <c r="J15" s="28">
        <v>47</v>
      </c>
    </row>
    <row r="16" spans="1:10">
      <c r="A16" s="28" t="s">
        <v>72</v>
      </c>
      <c r="B16" s="28" t="s">
        <v>69</v>
      </c>
      <c r="C16" s="28" t="s">
        <v>69</v>
      </c>
      <c r="D16" s="28">
        <v>650</v>
      </c>
      <c r="E16" s="28">
        <v>700</v>
      </c>
      <c r="F16" s="28">
        <v>700</v>
      </c>
      <c r="G16" s="28">
        <v>700</v>
      </c>
      <c r="H16" s="28">
        <v>700</v>
      </c>
      <c r="I16" s="28">
        <v>700</v>
      </c>
      <c r="J16" s="28">
        <v>700</v>
      </c>
    </row>
    <row r="17" spans="1:10">
      <c r="A17" s="28" t="s">
        <v>69</v>
      </c>
      <c r="B17" s="28" t="s">
        <v>140</v>
      </c>
      <c r="C17" s="28" t="s">
        <v>140</v>
      </c>
      <c r="D17" s="28">
        <v>47</v>
      </c>
      <c r="E17" s="33">
        <v>44</v>
      </c>
      <c r="F17" s="33">
        <v>44</v>
      </c>
      <c r="G17" s="33">
        <v>44</v>
      </c>
      <c r="H17" s="33">
        <v>44</v>
      </c>
      <c r="I17" s="33">
        <v>44</v>
      </c>
      <c r="J17" s="33">
        <v>44</v>
      </c>
    </row>
    <row r="18" spans="1:10">
      <c r="A18" s="28" t="s">
        <v>140</v>
      </c>
      <c r="B18" s="28" t="s">
        <v>141</v>
      </c>
      <c r="C18" s="28" t="s">
        <v>1961</v>
      </c>
      <c r="D18" s="28">
        <v>48</v>
      </c>
      <c r="E18" s="28">
        <v>45</v>
      </c>
      <c r="F18" s="28">
        <v>45</v>
      </c>
      <c r="G18" s="28">
        <v>45</v>
      </c>
      <c r="H18" s="28">
        <v>45</v>
      </c>
      <c r="I18" s="28">
        <v>45</v>
      </c>
      <c r="J18" s="28">
        <v>45</v>
      </c>
    </row>
    <row r="19" spans="1:10">
      <c r="A19" s="28" t="s">
        <v>141</v>
      </c>
      <c r="B19" s="28" t="s">
        <v>1962</v>
      </c>
      <c r="C19" s="28" t="s">
        <v>1962</v>
      </c>
      <c r="D19" s="28">
        <v>48</v>
      </c>
      <c r="E19" s="28">
        <v>50</v>
      </c>
      <c r="F19" s="28">
        <v>50</v>
      </c>
      <c r="G19" s="28">
        <v>50</v>
      </c>
      <c r="H19" s="28">
        <v>50</v>
      </c>
      <c r="I19" s="28">
        <v>50</v>
      </c>
      <c r="J19" s="28">
        <v>50</v>
      </c>
    </row>
    <row r="20" spans="1:10">
      <c r="A20" s="28" t="s">
        <v>1758</v>
      </c>
      <c r="B20" s="28" t="s">
        <v>1963</v>
      </c>
      <c r="C20" s="28" t="s">
        <v>1963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0">
      <c r="A21" s="28" t="s">
        <v>1759</v>
      </c>
      <c r="B21" s="28" t="s">
        <v>498</v>
      </c>
      <c r="C21" s="28" t="s">
        <v>1955</v>
      </c>
      <c r="D21" s="28">
        <v>384</v>
      </c>
      <c r="E21" s="28">
        <v>405</v>
      </c>
      <c r="F21" s="28">
        <v>405</v>
      </c>
      <c r="G21" s="28">
        <v>405</v>
      </c>
      <c r="H21" s="28">
        <v>405</v>
      </c>
      <c r="I21" s="28">
        <v>405</v>
      </c>
      <c r="J21" s="28">
        <v>405</v>
      </c>
    </row>
    <row r="22" spans="1:10">
      <c r="B22" s="28" t="s">
        <v>135</v>
      </c>
      <c r="C22" s="28" t="s">
        <v>1956</v>
      </c>
      <c r="D22" s="28">
        <v>582</v>
      </c>
      <c r="E22" s="28">
        <v>585</v>
      </c>
      <c r="F22" s="28">
        <v>597</v>
      </c>
      <c r="G22" s="28">
        <v>606</v>
      </c>
      <c r="H22" s="28">
        <v>617</v>
      </c>
      <c r="I22" s="28">
        <v>628</v>
      </c>
      <c r="J22" s="28">
        <v>649</v>
      </c>
    </row>
    <row r="23" spans="1:10">
      <c r="B23" s="28" t="s">
        <v>70</v>
      </c>
      <c r="C23" s="28" t="s">
        <v>70</v>
      </c>
    </row>
    <row r="24" spans="1:10">
      <c r="B24" s="28" t="s">
        <v>71</v>
      </c>
      <c r="C24" s="28" t="s">
        <v>71</v>
      </c>
    </row>
    <row r="25" spans="1:10">
      <c r="B25" s="28" t="s">
        <v>72</v>
      </c>
      <c r="C25" s="28" t="s">
        <v>72</v>
      </c>
    </row>
    <row r="26" spans="1:10">
      <c r="B26" s="28" t="s">
        <v>1758</v>
      </c>
      <c r="C26" s="28" t="s">
        <v>1758</v>
      </c>
    </row>
    <row r="27" spans="1:10">
      <c r="B27" s="28" t="s">
        <v>1759</v>
      </c>
      <c r="C27" s="28" t="s">
        <v>1759</v>
      </c>
    </row>
    <row r="30" spans="1:10">
      <c r="C30" s="28" t="s">
        <v>1953</v>
      </c>
      <c r="D30" s="28" t="s">
        <v>1930</v>
      </c>
      <c r="E30" s="28">
        <v>28</v>
      </c>
      <c r="F30" s="28">
        <v>28</v>
      </c>
      <c r="G30" s="28">
        <v>28</v>
      </c>
      <c r="H30" s="28">
        <v>28</v>
      </c>
      <c r="I30" s="28">
        <v>28</v>
      </c>
      <c r="J30" s="28">
        <v>28</v>
      </c>
    </row>
    <row r="31" spans="1:10">
      <c r="C31" s="28" t="s">
        <v>1954</v>
      </c>
      <c r="D31" s="28">
        <v>48</v>
      </c>
      <c r="E31" s="28" t="s">
        <v>1931</v>
      </c>
      <c r="F31" s="28" t="s">
        <v>1931</v>
      </c>
      <c r="G31" s="28" t="s">
        <v>1931</v>
      </c>
      <c r="H31" s="28" t="s">
        <v>1931</v>
      </c>
      <c r="I31" s="28" t="s">
        <v>1931</v>
      </c>
      <c r="J31" s="28" t="s">
        <v>1931</v>
      </c>
    </row>
    <row r="32" spans="1:10">
      <c r="C32" s="28" t="s">
        <v>1957</v>
      </c>
      <c r="D32" s="28" t="s">
        <v>1932</v>
      </c>
      <c r="E32" s="28" t="s">
        <v>1932</v>
      </c>
      <c r="F32" s="28" t="s">
        <v>1932</v>
      </c>
      <c r="G32" s="28" t="s">
        <v>1932</v>
      </c>
      <c r="H32" s="28" t="s">
        <v>1932</v>
      </c>
      <c r="I32" s="28" t="s">
        <v>1932</v>
      </c>
      <c r="J32" s="28" t="s">
        <v>1932</v>
      </c>
    </row>
    <row r="33" spans="3:10">
      <c r="C33" s="28" t="s">
        <v>1958</v>
      </c>
      <c r="D33" s="28" t="s">
        <v>1933</v>
      </c>
      <c r="E33" s="28" t="s">
        <v>1934</v>
      </c>
      <c r="F33" s="28" t="s">
        <v>1935</v>
      </c>
      <c r="G33" s="28" t="s">
        <v>1936</v>
      </c>
      <c r="H33" s="28" t="s">
        <v>1937</v>
      </c>
      <c r="I33" s="28" t="s">
        <v>1938</v>
      </c>
      <c r="J33" s="28" t="s">
        <v>1939</v>
      </c>
    </row>
    <row r="34" spans="3:10">
      <c r="C34" s="28" t="s">
        <v>1959</v>
      </c>
      <c r="D34" s="28">
        <v>110</v>
      </c>
      <c r="E34" s="28">
        <v>110</v>
      </c>
      <c r="F34" s="28">
        <v>110</v>
      </c>
      <c r="G34" s="28">
        <v>110</v>
      </c>
      <c r="H34" s="28">
        <v>110</v>
      </c>
      <c r="I34" s="28">
        <v>110</v>
      </c>
      <c r="J34" s="28">
        <v>110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7" width="18.1640625" style="28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8">
      <c r="A1" s="28" t="s">
        <v>73</v>
      </c>
      <c r="B1" s="28" t="s">
        <v>73</v>
      </c>
      <c r="C1" s="28" t="str" cm="1">
        <f t="array" ref="C1:G16">TRANSPOSE(D28:S32)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55</v>
      </c>
      <c r="B2" s="28" t="s">
        <v>56</v>
      </c>
      <c r="C2" s="28" t="str">
        <v>Reach</v>
      </c>
      <c r="D2" s="28">
        <v>405</v>
      </c>
      <c r="E2" s="28">
        <v>418</v>
      </c>
      <c r="F2" s="28">
        <v>430</v>
      </c>
      <c r="G2" s="28">
        <v>440</v>
      </c>
    </row>
    <row r="3" spans="1:8">
      <c r="A3" s="28" t="s">
        <v>56</v>
      </c>
      <c r="B3" s="28" t="s">
        <v>55</v>
      </c>
      <c r="C3" s="28" t="str">
        <v>Stack</v>
      </c>
      <c r="D3" s="28">
        <v>552</v>
      </c>
      <c r="E3" s="28">
        <v>575</v>
      </c>
      <c r="F3" s="28">
        <v>602</v>
      </c>
      <c r="G3" s="28">
        <v>630</v>
      </c>
    </row>
    <row r="4" spans="1:8">
      <c r="A4" s="28" t="s">
        <v>61</v>
      </c>
      <c r="B4" s="28" t="s">
        <v>135</v>
      </c>
      <c r="C4" s="28" t="str">
        <v>Front center</v>
      </c>
      <c r="D4" s="28">
        <v>652</v>
      </c>
      <c r="E4" s="28">
        <v>674</v>
      </c>
      <c r="F4" s="28">
        <v>697</v>
      </c>
      <c r="G4" s="28">
        <v>718</v>
      </c>
      <c r="H4" s="28" t="s">
        <v>1915</v>
      </c>
    </row>
    <row r="5" spans="1:8">
      <c r="A5" s="28" t="s">
        <v>74</v>
      </c>
      <c r="B5" s="28" t="s">
        <v>74</v>
      </c>
      <c r="C5" s="28" t="str">
        <v>Effective Top Tube</v>
      </c>
      <c r="D5" s="28">
        <v>572</v>
      </c>
      <c r="E5" s="28">
        <v>589</v>
      </c>
      <c r="F5" s="28">
        <v>609</v>
      </c>
      <c r="G5" s="28">
        <v>628</v>
      </c>
    </row>
    <row r="6" spans="1:8">
      <c r="A6" s="28" t="s">
        <v>63</v>
      </c>
      <c r="B6" s="28" t="s">
        <v>65</v>
      </c>
      <c r="C6" s="28" t="str">
        <v>Head Tube</v>
      </c>
      <c r="D6" s="28">
        <v>130</v>
      </c>
      <c r="E6" s="28">
        <v>155</v>
      </c>
      <c r="F6" s="28">
        <v>184</v>
      </c>
      <c r="G6" s="28">
        <v>214</v>
      </c>
    </row>
    <row r="7" spans="1:8">
      <c r="A7" s="28" t="s">
        <v>64</v>
      </c>
      <c r="B7" s="28" t="s">
        <v>61</v>
      </c>
      <c r="C7" s="28" t="str">
        <v>Seat Tube</v>
      </c>
      <c r="D7" s="28">
        <v>435</v>
      </c>
      <c r="E7" s="28">
        <v>567</v>
      </c>
      <c r="F7" s="28">
        <v>585</v>
      </c>
      <c r="G7" s="28">
        <v>515</v>
      </c>
    </row>
    <row r="8" spans="1:8">
      <c r="A8" s="28" t="s">
        <v>65</v>
      </c>
      <c r="B8" s="28" t="s">
        <v>67</v>
      </c>
      <c r="C8" s="28" t="str">
        <v>Chainstay</v>
      </c>
      <c r="D8" s="28">
        <v>425</v>
      </c>
      <c r="E8" s="28">
        <v>425</v>
      </c>
      <c r="F8" s="28">
        <v>425</v>
      </c>
      <c r="G8" s="28">
        <v>425</v>
      </c>
    </row>
    <row r="9" spans="1:8">
      <c r="A9" s="28" t="s">
        <v>66</v>
      </c>
      <c r="B9" s="28" t="s">
        <v>66</v>
      </c>
      <c r="C9" s="28" t="str">
        <v>BB drop</v>
      </c>
      <c r="D9" s="28">
        <v>70</v>
      </c>
      <c r="E9" s="28">
        <v>70</v>
      </c>
      <c r="F9" s="28">
        <v>70</v>
      </c>
      <c r="G9" s="28">
        <v>70</v>
      </c>
    </row>
    <row r="10" spans="1:8">
      <c r="A10" s="28" t="s">
        <v>67</v>
      </c>
      <c r="B10" s="28" t="s">
        <v>63</v>
      </c>
      <c r="C10" s="28" t="str">
        <v>Head Tube angle</v>
      </c>
      <c r="D10" s="28">
        <v>68</v>
      </c>
      <c r="E10" s="28">
        <v>68</v>
      </c>
      <c r="F10" s="28">
        <v>68</v>
      </c>
      <c r="G10" s="28">
        <v>68</v>
      </c>
    </row>
    <row r="11" spans="1:8">
      <c r="A11" s="28" t="s">
        <v>57</v>
      </c>
      <c r="B11" s="28" t="s">
        <v>64</v>
      </c>
      <c r="C11" s="28" t="str">
        <v>Seat tube angle</v>
      </c>
      <c r="D11" s="28">
        <v>73.400000000000006</v>
      </c>
      <c r="E11" s="28">
        <v>73.400000000000006</v>
      </c>
      <c r="F11" s="28">
        <v>73.400000000000006</v>
      </c>
      <c r="G11" s="28">
        <v>73.400000000000006</v>
      </c>
    </row>
    <row r="12" spans="1:8">
      <c r="A12" s="28" t="s">
        <v>68</v>
      </c>
      <c r="B12" s="28" t="s">
        <v>498</v>
      </c>
      <c r="C12" s="28" t="str">
        <v>Fork Axle to Crown</v>
      </c>
      <c r="D12" s="28">
        <v>400</v>
      </c>
      <c r="E12" s="28">
        <v>400</v>
      </c>
      <c r="F12" s="28">
        <v>400</v>
      </c>
      <c r="G12" s="28">
        <v>400</v>
      </c>
    </row>
    <row r="13" spans="1:8">
      <c r="A13" s="28" t="s">
        <v>58</v>
      </c>
      <c r="B13" s="28" t="s">
        <v>68</v>
      </c>
      <c r="C13" s="28" t="str">
        <v>Fork Offset</v>
      </c>
      <c r="D13" s="28">
        <v>45</v>
      </c>
      <c r="E13" s="28">
        <v>45</v>
      </c>
      <c r="F13" s="28">
        <v>45</v>
      </c>
      <c r="G13" s="28">
        <v>45</v>
      </c>
    </row>
    <row r="14" spans="1:8">
      <c r="A14" s="28" t="s">
        <v>70</v>
      </c>
      <c r="B14" s="28" t="s">
        <v>70</v>
      </c>
      <c r="C14" s="28" t="str">
        <v>Crank Length</v>
      </c>
      <c r="D14" s="28">
        <v>170</v>
      </c>
      <c r="E14" s="28">
        <v>172.5</v>
      </c>
      <c r="F14" s="28">
        <v>172.5</v>
      </c>
      <c r="G14" s="28">
        <v>175</v>
      </c>
    </row>
    <row r="15" spans="1:8">
      <c r="A15" s="28" t="s">
        <v>71</v>
      </c>
      <c r="B15" s="28" t="s">
        <v>71</v>
      </c>
      <c r="C15" s="28" t="str">
        <v>Bar width</v>
      </c>
      <c r="D15" s="28">
        <v>420</v>
      </c>
      <c r="E15" s="28">
        <v>440</v>
      </c>
      <c r="F15" s="28">
        <v>460</v>
      </c>
      <c r="G15" s="28">
        <v>460</v>
      </c>
    </row>
    <row r="16" spans="1:8">
      <c r="A16" s="28" t="s">
        <v>72</v>
      </c>
      <c r="B16" s="28" t="s">
        <v>72</v>
      </c>
      <c r="C16" s="28" t="str">
        <v>Stem Length</v>
      </c>
      <c r="D16" s="28">
        <v>50</v>
      </c>
      <c r="E16" s="28">
        <v>50</v>
      </c>
      <c r="F16" s="28">
        <v>70</v>
      </c>
      <c r="G16" s="28">
        <v>70</v>
      </c>
    </row>
    <row r="17" spans="1:20">
      <c r="A17" s="28" t="s">
        <v>69</v>
      </c>
      <c r="B17" s="28" t="s">
        <v>58</v>
      </c>
      <c r="C17" s="28" t="s">
        <v>58</v>
      </c>
    </row>
    <row r="18" spans="1:2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>
      <c r="A20" s="28" t="s">
        <v>1758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>
      <c r="A21" s="28" t="s">
        <v>1759</v>
      </c>
      <c r="B21" s="28" t="s">
        <v>1758</v>
      </c>
      <c r="C21" s="28" t="s">
        <v>1758</v>
      </c>
      <c r="D21" s="28">
        <v>165</v>
      </c>
      <c r="E21" s="28">
        <v>172</v>
      </c>
      <c r="F21" s="28">
        <v>179</v>
      </c>
      <c r="G21" s="28">
        <v>186</v>
      </c>
    </row>
    <row r="22" spans="1:20">
      <c r="B22" s="28" t="s">
        <v>1759</v>
      </c>
      <c r="C22" s="28" t="s">
        <v>1759</v>
      </c>
      <c r="D22" s="28">
        <v>173</v>
      </c>
      <c r="E22" s="28">
        <v>180</v>
      </c>
      <c r="F22" s="28">
        <v>187</v>
      </c>
      <c r="G22" s="28">
        <v>194</v>
      </c>
    </row>
    <row r="23" spans="1:20">
      <c r="B23" s="28" t="s">
        <v>57</v>
      </c>
      <c r="C23" s="28" t="s">
        <v>57</v>
      </c>
      <c r="D23" s="43">
        <f>D24+D25</f>
        <v>1067.4270985252788</v>
      </c>
      <c r="E23" s="43">
        <f t="shared" ref="E23:G23" si="0">E24+E25</f>
        <v>1089.5507881377853</v>
      </c>
      <c r="F23" s="43">
        <f t="shared" si="0"/>
        <v>1112.6716853573723</v>
      </c>
      <c r="G23" s="43">
        <f t="shared" si="0"/>
        <v>1133.7752550605151</v>
      </c>
    </row>
    <row r="24" spans="1:20">
      <c r="C24" s="28" t="s">
        <v>1913</v>
      </c>
      <c r="D24" s="43">
        <f>SQRT(D8^2 - D9^2)</f>
        <v>419.19565837446362</v>
      </c>
      <c r="E24" s="43">
        <f t="shared" ref="E24:G24" si="1">SQRT(E8^2 - E9^2)</f>
        <v>419.19565837446362</v>
      </c>
      <c r="F24" s="43">
        <f t="shared" si="1"/>
        <v>419.19565837446362</v>
      </c>
      <c r="G24" s="43">
        <f t="shared" si="1"/>
        <v>419.19565837446362</v>
      </c>
    </row>
    <row r="25" spans="1:20">
      <c r="C25" s="28" t="s">
        <v>1914</v>
      </c>
      <c r="D25" s="43">
        <f>SQRT(D4^2-D9^2)</f>
        <v>648.23144015081527</v>
      </c>
      <c r="E25" s="43">
        <f t="shared" ref="E25:G25" si="2">SQRT(E4^2-E9^2)</f>
        <v>670.35512976332177</v>
      </c>
      <c r="F25" s="43">
        <f t="shared" si="2"/>
        <v>693.47602698290871</v>
      </c>
      <c r="G25" s="43">
        <f t="shared" si="2"/>
        <v>714.57959668605145</v>
      </c>
    </row>
    <row r="26" spans="1:20">
      <c r="A26" s="28" t="s">
        <v>58</v>
      </c>
    </row>
    <row r="28" spans="1:20">
      <c r="C28" s="34" t="s">
        <v>1902</v>
      </c>
      <c r="D28" s="34" t="s">
        <v>144</v>
      </c>
      <c r="E28" s="34" t="s">
        <v>1</v>
      </c>
      <c r="F28" s="34" t="s">
        <v>0</v>
      </c>
      <c r="G28" s="34" t="s">
        <v>1903</v>
      </c>
      <c r="H28" s="34" t="s">
        <v>580</v>
      </c>
      <c r="I28" s="34" t="s">
        <v>579</v>
      </c>
      <c r="J28" s="34" t="s">
        <v>585</v>
      </c>
      <c r="K28" s="34" t="s">
        <v>1354</v>
      </c>
      <c r="L28" s="34" t="s">
        <v>357</v>
      </c>
      <c r="M28" s="34" t="s">
        <v>1904</v>
      </c>
      <c r="N28" s="34" t="s">
        <v>1905</v>
      </c>
      <c r="O28" s="34" t="s">
        <v>583</v>
      </c>
      <c r="P28" s="34" t="s">
        <v>250</v>
      </c>
      <c r="Q28" s="34" t="s">
        <v>59</v>
      </c>
      <c r="R28" s="34" t="s">
        <v>1906</v>
      </c>
      <c r="S28" s="34" t="s">
        <v>14</v>
      </c>
      <c r="T28"/>
    </row>
    <row r="29" spans="1:20">
      <c r="C29" s="28" t="s">
        <v>1907</v>
      </c>
      <c r="D29" s="28" t="s">
        <v>18</v>
      </c>
      <c r="E29" s="28">
        <v>405</v>
      </c>
      <c r="F29" s="28">
        <v>552</v>
      </c>
      <c r="G29" s="28">
        <v>652</v>
      </c>
      <c r="H29" s="28">
        <v>572</v>
      </c>
      <c r="I29" s="28">
        <v>130</v>
      </c>
      <c r="J29" s="28">
        <v>435</v>
      </c>
      <c r="K29" s="28">
        <v>425</v>
      </c>
      <c r="L29" s="28">
        <v>70</v>
      </c>
      <c r="M29" s="28">
        <v>68</v>
      </c>
      <c r="N29" s="28">
        <v>73.400000000000006</v>
      </c>
      <c r="O29" s="28">
        <v>400</v>
      </c>
      <c r="P29" s="28">
        <v>45</v>
      </c>
      <c r="Q29" s="28">
        <v>170</v>
      </c>
      <c r="R29" s="28">
        <v>420</v>
      </c>
      <c r="S29" s="28">
        <v>50</v>
      </c>
      <c r="T29"/>
    </row>
    <row r="30" spans="1:20">
      <c r="D30" s="28" t="s">
        <v>19</v>
      </c>
      <c r="E30" s="28">
        <v>418</v>
      </c>
      <c r="F30" s="28">
        <v>575</v>
      </c>
      <c r="G30" s="28">
        <v>674</v>
      </c>
      <c r="H30" s="28">
        <v>589</v>
      </c>
      <c r="I30" s="28">
        <v>155</v>
      </c>
      <c r="J30" s="28">
        <v>567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172.5</v>
      </c>
      <c r="R30" s="28">
        <v>440</v>
      </c>
      <c r="S30" s="28">
        <v>50</v>
      </c>
      <c r="T30"/>
    </row>
    <row r="31" spans="1:20">
      <c r="D31" s="28" t="s">
        <v>20</v>
      </c>
      <c r="E31" s="28">
        <v>430</v>
      </c>
      <c r="F31" s="28">
        <v>602</v>
      </c>
      <c r="G31" s="28">
        <v>697</v>
      </c>
      <c r="H31" s="28">
        <v>609</v>
      </c>
      <c r="I31" s="28">
        <v>184</v>
      </c>
      <c r="J31" s="28">
        <v>585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460</v>
      </c>
      <c r="S31" s="28">
        <v>70</v>
      </c>
      <c r="T31"/>
    </row>
    <row r="32" spans="1:20">
      <c r="D32" s="28" t="s">
        <v>21</v>
      </c>
      <c r="E32" s="28">
        <v>440</v>
      </c>
      <c r="F32" s="28">
        <v>630</v>
      </c>
      <c r="G32" s="28">
        <v>718</v>
      </c>
      <c r="H32" s="28">
        <v>628</v>
      </c>
      <c r="I32" s="28">
        <v>214</v>
      </c>
      <c r="J32" s="28">
        <v>515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175</v>
      </c>
      <c r="R32" s="28">
        <v>460</v>
      </c>
      <c r="S32" s="28">
        <v>70</v>
      </c>
      <c r="T32"/>
    </row>
    <row r="33" spans="2:20">
      <c r="C33" s="28" t="s">
        <v>1908</v>
      </c>
      <c r="D33" s="28" t="s">
        <v>18</v>
      </c>
      <c r="E33" s="28">
        <v>410</v>
      </c>
      <c r="F33" s="28">
        <v>548</v>
      </c>
      <c r="G33" s="28">
        <v>657</v>
      </c>
      <c r="H33" s="28">
        <v>570</v>
      </c>
      <c r="I33" s="28">
        <v>130</v>
      </c>
      <c r="J33" s="28">
        <v>435</v>
      </c>
      <c r="K33" s="28">
        <v>425</v>
      </c>
      <c r="L33" s="28">
        <v>75</v>
      </c>
      <c r="M33" s="28">
        <v>68.599999999999994</v>
      </c>
      <c r="N33" s="28">
        <v>74</v>
      </c>
      <c r="O33" s="28">
        <v>390</v>
      </c>
      <c r="P33" s="28">
        <v>55</v>
      </c>
      <c r="Q33" s="28">
        <v>170</v>
      </c>
      <c r="R33" s="28">
        <v>420</v>
      </c>
      <c r="S33" s="28">
        <v>50</v>
      </c>
      <c r="T33"/>
    </row>
    <row r="34" spans="2:20">
      <c r="D34" s="28" t="s">
        <v>19</v>
      </c>
      <c r="E34" s="28">
        <v>423</v>
      </c>
      <c r="F34" s="28">
        <v>571</v>
      </c>
      <c r="G34" s="28">
        <v>679</v>
      </c>
      <c r="H34" s="28">
        <v>597</v>
      </c>
      <c r="I34" s="28">
        <v>155</v>
      </c>
      <c r="J34" s="28">
        <v>467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172.5</v>
      </c>
      <c r="R34" s="28">
        <v>440</v>
      </c>
      <c r="S34" s="28">
        <v>50</v>
      </c>
      <c r="T34"/>
    </row>
    <row r="35" spans="2:20">
      <c r="D35" s="28" t="s">
        <v>20</v>
      </c>
      <c r="E35" s="28">
        <v>435</v>
      </c>
      <c r="F35" s="28">
        <v>589</v>
      </c>
      <c r="G35" s="28">
        <v>701</v>
      </c>
      <c r="H35" s="28">
        <v>607</v>
      </c>
      <c r="I35" s="28">
        <v>184</v>
      </c>
      <c r="J35" s="28">
        <v>485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460</v>
      </c>
      <c r="S35" s="28">
        <v>70</v>
      </c>
      <c r="T35"/>
    </row>
    <row r="36" spans="2:20">
      <c r="D36" s="28" t="s">
        <v>21</v>
      </c>
      <c r="E36" s="28">
        <v>445</v>
      </c>
      <c r="F36" s="28">
        <v>626</v>
      </c>
      <c r="G36" s="28">
        <v>723</v>
      </c>
      <c r="H36" s="28">
        <v>626</v>
      </c>
      <c r="I36" s="28">
        <v>214</v>
      </c>
      <c r="J36" s="28">
        <v>515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175</v>
      </c>
      <c r="R36" s="28">
        <v>460</v>
      </c>
      <c r="S36" s="28">
        <v>70</v>
      </c>
      <c r="T36"/>
    </row>
    <row r="39" spans="2:20">
      <c r="C39" s="35" t="s">
        <v>18</v>
      </c>
      <c r="D39" s="35" t="s">
        <v>1909</v>
      </c>
    </row>
    <row r="40" spans="2:20">
      <c r="C40" s="35" t="s">
        <v>19</v>
      </c>
      <c r="D40" s="35" t="s">
        <v>1910</v>
      </c>
    </row>
    <row r="41" spans="2:20">
      <c r="C41" s="35" t="s">
        <v>20</v>
      </c>
      <c r="D41" s="35" t="s">
        <v>1911</v>
      </c>
    </row>
    <row r="42" spans="2:20">
      <c r="C42" s="35" t="s">
        <v>21</v>
      </c>
      <c r="D42" s="35" t="s">
        <v>1912</v>
      </c>
    </row>
    <row r="45" spans="2:20">
      <c r="B45" s="34" t="s">
        <v>1902</v>
      </c>
      <c r="C45" s="34" t="s">
        <v>144</v>
      </c>
      <c r="D45" s="34" t="s">
        <v>1</v>
      </c>
      <c r="E45" s="34" t="s">
        <v>0</v>
      </c>
      <c r="F45" s="34" t="s">
        <v>1903</v>
      </c>
      <c r="G45" s="34" t="s">
        <v>580</v>
      </c>
      <c r="H45" s="34" t="s">
        <v>579</v>
      </c>
      <c r="I45" s="34" t="s">
        <v>585</v>
      </c>
      <c r="J45" s="34" t="s">
        <v>1354</v>
      </c>
      <c r="K45" s="34" t="s">
        <v>357</v>
      </c>
      <c r="L45" s="34" t="s">
        <v>1904</v>
      </c>
      <c r="M45" s="34" t="s">
        <v>1905</v>
      </c>
      <c r="N45" s="34" t="s">
        <v>583</v>
      </c>
      <c r="O45" s="34" t="s">
        <v>250</v>
      </c>
      <c r="P45" s="34" t="s">
        <v>59</v>
      </c>
      <c r="Q45" s="34" t="s">
        <v>1906</v>
      </c>
      <c r="R45" s="34" t="s">
        <v>14</v>
      </c>
    </row>
    <row r="46" spans="2:20">
      <c r="B46" s="28" t="s">
        <v>1907</v>
      </c>
      <c r="C46" s="28" t="s">
        <v>18</v>
      </c>
      <c r="D46" s="28">
        <v>405</v>
      </c>
      <c r="E46" s="28">
        <v>552</v>
      </c>
      <c r="F46" s="28">
        <v>752</v>
      </c>
      <c r="G46" s="28">
        <v>572</v>
      </c>
      <c r="H46" s="28">
        <v>130</v>
      </c>
      <c r="I46" s="28">
        <v>435</v>
      </c>
      <c r="J46" s="28">
        <v>425</v>
      </c>
      <c r="K46" s="28">
        <v>70</v>
      </c>
      <c r="L46" s="28">
        <v>68</v>
      </c>
      <c r="M46" s="28">
        <v>73.400000000000006</v>
      </c>
      <c r="N46" s="28">
        <v>400</v>
      </c>
      <c r="O46" s="28">
        <v>45</v>
      </c>
      <c r="P46" s="28">
        <v>170</v>
      </c>
      <c r="Q46" s="28">
        <v>420</v>
      </c>
      <c r="R46" s="28">
        <v>50</v>
      </c>
    </row>
    <row r="47" spans="2:20">
      <c r="C47" s="28" t="s">
        <v>19</v>
      </c>
      <c r="D47" s="28">
        <v>418</v>
      </c>
      <c r="E47" s="28">
        <v>575</v>
      </c>
      <c r="F47" s="28">
        <v>674</v>
      </c>
      <c r="G47" s="28">
        <v>589</v>
      </c>
      <c r="H47" s="28">
        <v>155</v>
      </c>
      <c r="I47" s="28">
        <v>567</v>
      </c>
      <c r="J47" s="28">
        <v>425</v>
      </c>
      <c r="K47" s="28">
        <v>70</v>
      </c>
      <c r="L47" s="28">
        <v>68</v>
      </c>
      <c r="M47" s="28">
        <v>73.400000000000006</v>
      </c>
      <c r="N47" s="28">
        <v>400</v>
      </c>
      <c r="O47" s="28">
        <v>45</v>
      </c>
      <c r="P47" s="28">
        <v>172.5</v>
      </c>
      <c r="Q47" s="28">
        <v>440</v>
      </c>
      <c r="R47" s="28">
        <v>50</v>
      </c>
    </row>
    <row r="48" spans="2:20">
      <c r="C48" s="28" t="s">
        <v>20</v>
      </c>
      <c r="D48" s="28">
        <v>430</v>
      </c>
      <c r="E48" s="28">
        <v>602</v>
      </c>
      <c r="F48" s="28">
        <v>697</v>
      </c>
      <c r="G48" s="28">
        <v>609</v>
      </c>
      <c r="H48" s="28">
        <v>184</v>
      </c>
      <c r="I48" s="28">
        <v>585</v>
      </c>
      <c r="J48" s="28">
        <v>425</v>
      </c>
      <c r="K48" s="28">
        <v>70</v>
      </c>
      <c r="L48" s="28">
        <v>68</v>
      </c>
      <c r="M48" s="28">
        <v>73.400000000000006</v>
      </c>
      <c r="N48" s="28">
        <v>400</v>
      </c>
      <c r="O48" s="28">
        <v>45</v>
      </c>
      <c r="P48" s="28">
        <v>172.5</v>
      </c>
      <c r="Q48" s="28">
        <v>460</v>
      </c>
      <c r="R48" s="28">
        <v>70</v>
      </c>
    </row>
    <row r="49" spans="2:18">
      <c r="C49" s="28" t="s">
        <v>21</v>
      </c>
      <c r="D49" s="28">
        <v>440</v>
      </c>
      <c r="E49" s="28">
        <v>630</v>
      </c>
      <c r="F49" s="28">
        <v>718</v>
      </c>
      <c r="G49" s="28">
        <v>628</v>
      </c>
      <c r="H49" s="28">
        <v>214</v>
      </c>
      <c r="I49" s="28">
        <v>515</v>
      </c>
      <c r="J49" s="28">
        <v>425</v>
      </c>
      <c r="K49" s="28">
        <v>70</v>
      </c>
      <c r="L49" s="28">
        <v>68</v>
      </c>
      <c r="M49" s="28">
        <v>73.400000000000006</v>
      </c>
      <c r="N49" s="28">
        <v>400</v>
      </c>
      <c r="O49" s="28">
        <v>45</v>
      </c>
      <c r="P49" s="28">
        <v>175</v>
      </c>
      <c r="Q49" s="28">
        <v>460</v>
      </c>
      <c r="R49" s="28">
        <v>70</v>
      </c>
    </row>
    <row r="50" spans="2:18">
      <c r="B50" s="28" t="s">
        <v>1908</v>
      </c>
      <c r="C50" s="28" t="s">
        <v>18</v>
      </c>
      <c r="D50" s="28">
        <v>410</v>
      </c>
      <c r="E50" s="28">
        <v>548</v>
      </c>
      <c r="F50" s="28">
        <v>657</v>
      </c>
      <c r="G50" s="28">
        <v>570</v>
      </c>
      <c r="H50" s="28">
        <v>130</v>
      </c>
      <c r="I50" s="28">
        <v>435</v>
      </c>
      <c r="J50" s="28">
        <v>425</v>
      </c>
      <c r="K50" s="28">
        <v>75</v>
      </c>
      <c r="L50" s="28">
        <v>68.599999999999994</v>
      </c>
      <c r="M50" s="28">
        <v>74</v>
      </c>
      <c r="N50" s="28">
        <v>390</v>
      </c>
      <c r="O50" s="28">
        <v>55</v>
      </c>
      <c r="P50" s="28">
        <v>170</v>
      </c>
      <c r="Q50" s="28">
        <v>420</v>
      </c>
      <c r="R50" s="28">
        <v>50</v>
      </c>
    </row>
    <row r="51" spans="2:18">
      <c r="C51" s="28" t="s">
        <v>19</v>
      </c>
      <c r="D51" s="28">
        <v>423</v>
      </c>
      <c r="E51" s="28">
        <v>571</v>
      </c>
      <c r="F51" s="28">
        <v>679</v>
      </c>
      <c r="G51" s="28">
        <v>597</v>
      </c>
      <c r="H51" s="28">
        <v>155</v>
      </c>
      <c r="I51" s="28">
        <v>467</v>
      </c>
      <c r="J51" s="28">
        <v>425</v>
      </c>
      <c r="K51" s="28">
        <v>75</v>
      </c>
      <c r="L51" s="28">
        <v>68.599999999999994</v>
      </c>
      <c r="M51" s="28">
        <v>74</v>
      </c>
      <c r="N51" s="28">
        <v>390</v>
      </c>
      <c r="O51" s="28">
        <v>55</v>
      </c>
      <c r="P51" s="28">
        <v>172.5</v>
      </c>
      <c r="Q51" s="28">
        <v>440</v>
      </c>
      <c r="R51" s="28">
        <v>50</v>
      </c>
    </row>
    <row r="52" spans="2:18">
      <c r="C52" s="28" t="s">
        <v>20</v>
      </c>
      <c r="D52" s="28">
        <v>435</v>
      </c>
      <c r="E52" s="28">
        <v>589</v>
      </c>
      <c r="F52" s="28">
        <v>701</v>
      </c>
      <c r="G52" s="28">
        <v>607</v>
      </c>
      <c r="H52" s="28">
        <v>184</v>
      </c>
      <c r="I52" s="28">
        <v>485</v>
      </c>
      <c r="J52" s="28">
        <v>425</v>
      </c>
      <c r="K52" s="28">
        <v>75</v>
      </c>
      <c r="L52" s="28">
        <v>68.599999999999994</v>
      </c>
      <c r="M52" s="28">
        <v>74</v>
      </c>
      <c r="N52" s="28">
        <v>390</v>
      </c>
      <c r="O52" s="28">
        <v>55</v>
      </c>
      <c r="P52" s="28">
        <v>172.5</v>
      </c>
      <c r="Q52" s="28">
        <v>460</v>
      </c>
      <c r="R52" s="28">
        <v>70</v>
      </c>
    </row>
    <row r="53" spans="2:18">
      <c r="C53" s="28" t="s">
        <v>21</v>
      </c>
      <c r="D53" s="28">
        <v>445</v>
      </c>
      <c r="E53" s="28">
        <v>626</v>
      </c>
      <c r="F53" s="28">
        <v>723</v>
      </c>
      <c r="G53" s="28">
        <v>626</v>
      </c>
      <c r="H53" s="28">
        <v>214</v>
      </c>
      <c r="I53" s="28">
        <v>515</v>
      </c>
      <c r="J53" s="28">
        <v>425</v>
      </c>
      <c r="K53" s="28">
        <v>75</v>
      </c>
      <c r="L53" s="28">
        <v>68.599999999999994</v>
      </c>
      <c r="M53" s="28">
        <v>74</v>
      </c>
      <c r="N53" s="28">
        <v>390</v>
      </c>
      <c r="O53" s="28">
        <v>55</v>
      </c>
      <c r="P53" s="28">
        <v>175</v>
      </c>
      <c r="Q53" s="28">
        <v>460</v>
      </c>
      <c r="R53" s="28">
        <v>70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6" width="17.6640625" style="28" bestFit="1" customWidth="1"/>
    <col min="7" max="7" width="17.1640625" style="28" bestFit="1" customWidth="1"/>
    <col min="8" max="16384" width="10.83203125" style="28"/>
  </cols>
  <sheetData>
    <row r="1" spans="1:7">
      <c r="A1" s="28" t="s">
        <v>73</v>
      </c>
      <c r="B1" s="28" t="s">
        <v>144</v>
      </c>
      <c r="C1" s="28" t="s">
        <v>416</v>
      </c>
      <c r="D1" s="28" t="s">
        <v>24</v>
      </c>
      <c r="E1" s="28" t="s">
        <v>417</v>
      </c>
      <c r="F1" s="28" t="s">
        <v>418</v>
      </c>
      <c r="G1" s="28" t="s">
        <v>26</v>
      </c>
    </row>
    <row r="2" spans="1:7">
      <c r="A2" s="28" t="s">
        <v>74</v>
      </c>
      <c r="B2" s="28" t="s">
        <v>524</v>
      </c>
      <c r="C2" s="28">
        <v>520</v>
      </c>
      <c r="D2" s="28">
        <v>540</v>
      </c>
      <c r="E2" s="28">
        <v>560</v>
      </c>
      <c r="F2" s="28">
        <v>580</v>
      </c>
      <c r="G2" s="28">
        <v>600</v>
      </c>
    </row>
    <row r="3" spans="1:7">
      <c r="A3" s="28" t="s">
        <v>58</v>
      </c>
      <c r="B3" s="28" t="s">
        <v>525</v>
      </c>
      <c r="C3" s="28">
        <v>700.44</v>
      </c>
      <c r="D3" s="28">
        <v>741.72</v>
      </c>
      <c r="E3" s="28">
        <v>810.51</v>
      </c>
      <c r="F3" s="28">
        <v>851.75</v>
      </c>
      <c r="G3" s="28">
        <v>874.22</v>
      </c>
    </row>
    <row r="4" spans="1:7">
      <c r="A4" s="28" t="s">
        <v>56</v>
      </c>
      <c r="B4" s="28" t="s">
        <v>526</v>
      </c>
      <c r="C4" s="28">
        <v>357.77</v>
      </c>
      <c r="D4" s="28">
        <v>372.91</v>
      </c>
      <c r="E4" s="28">
        <v>385.28</v>
      </c>
      <c r="F4" s="28">
        <v>395.13</v>
      </c>
      <c r="G4" s="28">
        <v>406.36</v>
      </c>
    </row>
    <row r="5" spans="1:7">
      <c r="A5" s="28" t="s">
        <v>55</v>
      </c>
      <c r="B5" s="28" t="s">
        <v>527</v>
      </c>
      <c r="C5" s="28">
        <v>584.98</v>
      </c>
      <c r="D5" s="28">
        <v>592.45000000000005</v>
      </c>
      <c r="E5" s="28">
        <v>619.53</v>
      </c>
      <c r="F5" s="28">
        <v>644.73</v>
      </c>
      <c r="G5" s="28">
        <v>664.34</v>
      </c>
    </row>
    <row r="6" spans="1:7">
      <c r="A6" s="28" t="s">
        <v>61</v>
      </c>
      <c r="B6" s="28" t="s">
        <v>528</v>
      </c>
      <c r="C6" s="28">
        <v>355.6</v>
      </c>
      <c r="D6" s="28">
        <v>419.1</v>
      </c>
      <c r="E6" s="28">
        <v>508</v>
      </c>
      <c r="F6" s="28">
        <v>558.79999999999995</v>
      </c>
      <c r="G6" s="28">
        <v>584.20000000000005</v>
      </c>
    </row>
    <row r="7" spans="1:7">
      <c r="A7" s="28" t="s">
        <v>65</v>
      </c>
      <c r="B7" s="28" t="s">
        <v>529</v>
      </c>
      <c r="C7" s="28">
        <v>90</v>
      </c>
      <c r="D7" s="28">
        <v>98</v>
      </c>
      <c r="E7" s="28">
        <v>127</v>
      </c>
      <c r="F7" s="28">
        <v>154</v>
      </c>
      <c r="G7" s="28">
        <v>175</v>
      </c>
    </row>
    <row r="8" spans="1:7">
      <c r="A8" s="28" t="s">
        <v>63</v>
      </c>
      <c r="B8" s="28" t="s">
        <v>530</v>
      </c>
      <c r="C8" s="28">
        <v>69</v>
      </c>
      <c r="D8" s="28">
        <v>69</v>
      </c>
      <c r="E8" s="28">
        <v>69</v>
      </c>
      <c r="F8" s="28">
        <v>69</v>
      </c>
      <c r="G8" s="28">
        <v>69</v>
      </c>
    </row>
    <row r="9" spans="1:7">
      <c r="A9" s="28" t="s">
        <v>64</v>
      </c>
      <c r="B9" s="28" t="s">
        <v>531</v>
      </c>
      <c r="C9" s="28">
        <v>74.5</v>
      </c>
      <c r="D9" s="28">
        <v>74.25</v>
      </c>
      <c r="E9" s="28">
        <v>74.25</v>
      </c>
      <c r="F9" s="28">
        <v>74</v>
      </c>
      <c r="G9" s="28">
        <v>73.75</v>
      </c>
    </row>
    <row r="10" spans="1:7">
      <c r="A10" s="28" t="s">
        <v>66</v>
      </c>
      <c r="B10" s="28" t="s">
        <v>532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</row>
    <row r="11" spans="1:7">
      <c r="A11" s="28" t="s">
        <v>67</v>
      </c>
      <c r="B11" s="28" t="s">
        <v>533</v>
      </c>
      <c r="C11" s="28">
        <v>445</v>
      </c>
      <c r="D11" s="28">
        <v>445</v>
      </c>
      <c r="E11" s="28">
        <v>445</v>
      </c>
      <c r="F11" s="28">
        <v>445</v>
      </c>
      <c r="G11" s="28">
        <v>445</v>
      </c>
    </row>
    <row r="12" spans="1:7">
      <c r="A12" s="28" t="s">
        <v>166</v>
      </c>
      <c r="B12" s="28" t="s">
        <v>534</v>
      </c>
      <c r="C12" s="28">
        <v>483</v>
      </c>
      <c r="D12" s="28">
        <v>483</v>
      </c>
      <c r="E12" s="28">
        <v>483</v>
      </c>
      <c r="F12" s="28">
        <v>483</v>
      </c>
      <c r="G12" s="28">
        <v>483</v>
      </c>
    </row>
    <row r="13" spans="1:7">
      <c r="A13" s="28" t="s">
        <v>68</v>
      </c>
      <c r="B13" s="28" t="s">
        <v>535</v>
      </c>
      <c r="C13" s="28">
        <v>51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57</v>
      </c>
      <c r="B14" s="28" t="s">
        <v>536</v>
      </c>
      <c r="C14" s="28">
        <v>1049.54</v>
      </c>
      <c r="D14" s="28">
        <v>1067.55</v>
      </c>
      <c r="E14" s="28">
        <v>1090.31</v>
      </c>
      <c r="F14" s="28">
        <v>1109.83</v>
      </c>
      <c r="G14" s="28">
        <v>1128.5999999999999</v>
      </c>
    </row>
    <row r="15" spans="1:7">
      <c r="A15" s="28" t="s">
        <v>70</v>
      </c>
      <c r="B15" s="28" t="s">
        <v>537</v>
      </c>
      <c r="C15" s="28">
        <v>170</v>
      </c>
      <c r="D15" s="28">
        <v>170</v>
      </c>
      <c r="E15" s="28">
        <v>175</v>
      </c>
      <c r="F15" s="28">
        <v>175</v>
      </c>
      <c r="G15" s="28">
        <v>175</v>
      </c>
    </row>
    <row r="16" spans="1:7">
      <c r="A16" s="28" t="s">
        <v>71</v>
      </c>
      <c r="B16" s="28" t="s">
        <v>13</v>
      </c>
      <c r="C16" s="28">
        <f>VALUE(LEFT(C26,2))*10</f>
        <v>440</v>
      </c>
      <c r="D16" s="28">
        <f t="shared" ref="D16:G16" si="0">VALUE(LEFT(D26,2))*10</f>
        <v>460</v>
      </c>
      <c r="E16" s="28">
        <f t="shared" si="0"/>
        <v>460</v>
      </c>
      <c r="F16" s="28">
        <f t="shared" si="0"/>
        <v>460</v>
      </c>
      <c r="G16" s="28">
        <f t="shared" si="0"/>
        <v>460</v>
      </c>
    </row>
    <row r="17" spans="1:7">
      <c r="A17" s="28" t="s">
        <v>72</v>
      </c>
      <c r="B17" s="28" t="s">
        <v>14</v>
      </c>
      <c r="C17" s="28">
        <v>60</v>
      </c>
      <c r="D17" s="28">
        <v>70</v>
      </c>
      <c r="E17" s="28">
        <v>80</v>
      </c>
      <c r="F17" s="28">
        <v>80</v>
      </c>
      <c r="G17" s="28">
        <v>90</v>
      </c>
    </row>
    <row r="18" spans="1:7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</row>
    <row r="19" spans="1:7">
      <c r="A19" s="28" t="s">
        <v>140</v>
      </c>
      <c r="B19" s="28" t="s">
        <v>140</v>
      </c>
      <c r="C19" s="28">
        <f>2.2*25.4</f>
        <v>55.88</v>
      </c>
      <c r="D19" s="28">
        <f t="shared" ref="D19:G19" si="1">2.2*25.4</f>
        <v>55.88</v>
      </c>
      <c r="E19" s="28">
        <f t="shared" si="1"/>
        <v>55.88</v>
      </c>
      <c r="F19" s="28">
        <f t="shared" si="1"/>
        <v>55.88</v>
      </c>
      <c r="G19" s="28">
        <f t="shared" si="1"/>
        <v>55.88</v>
      </c>
    </row>
    <row r="20" spans="1:7">
      <c r="A20" s="28" t="s">
        <v>141</v>
      </c>
      <c r="B20" s="28" t="s">
        <v>141</v>
      </c>
      <c r="C20" s="28">
        <f>2.4*25.4</f>
        <v>60.959999999999994</v>
      </c>
      <c r="D20" s="28">
        <f t="shared" ref="D20:G20" si="2">2.4*25.4</f>
        <v>60.959999999999994</v>
      </c>
      <c r="E20" s="28">
        <f t="shared" si="2"/>
        <v>60.959999999999994</v>
      </c>
      <c r="F20" s="28">
        <f t="shared" si="2"/>
        <v>60.959999999999994</v>
      </c>
      <c r="G20" s="28">
        <f t="shared" si="2"/>
        <v>60.959999999999994</v>
      </c>
    </row>
    <row r="21" spans="1:7">
      <c r="A21" s="28" t="s">
        <v>1758</v>
      </c>
      <c r="B21" s="28" t="s">
        <v>1758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8" t="s">
        <v>1759</v>
      </c>
      <c r="B22" s="28" t="s">
        <v>1759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5" t="s">
        <v>24</v>
      </c>
    </row>
    <row r="24" spans="1:7">
      <c r="B24" s="28" t="s">
        <v>543</v>
      </c>
      <c r="C24" s="28" t="s">
        <v>884</v>
      </c>
      <c r="D24" s="28" t="s">
        <v>885</v>
      </c>
      <c r="E24" s="28" t="s">
        <v>886</v>
      </c>
      <c r="F24" s="28" t="s">
        <v>887</v>
      </c>
      <c r="G24" s="28" t="s">
        <v>880</v>
      </c>
    </row>
    <row r="26" spans="1:7">
      <c r="B26" s="28" t="s">
        <v>13</v>
      </c>
      <c r="C26" s="28" t="s">
        <v>541</v>
      </c>
      <c r="D26" s="28" t="s">
        <v>542</v>
      </c>
      <c r="E26" s="28" t="s">
        <v>881</v>
      </c>
      <c r="F26" s="28" t="s">
        <v>882</v>
      </c>
      <c r="G26" s="28" t="s">
        <v>883</v>
      </c>
    </row>
    <row r="27" spans="1:7">
      <c r="B27" s="28" t="s">
        <v>543</v>
      </c>
      <c r="C27" s="28" t="s">
        <v>884</v>
      </c>
      <c r="D27" s="28" t="s">
        <v>885</v>
      </c>
      <c r="E27" s="28" t="s">
        <v>886</v>
      </c>
      <c r="F27" s="28" t="s">
        <v>887</v>
      </c>
      <c r="G27" s="28" t="s">
        <v>880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1758</v>
      </c>
      <c r="B21" s="28" t="s">
        <v>1758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1759</v>
      </c>
      <c r="B22" s="28" t="s">
        <v>1759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1758</v>
      </c>
      <c r="B21" s="28" t="s">
        <v>1758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1759</v>
      </c>
      <c r="B22" s="28" t="s">
        <v>1759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8" t="s">
        <v>1758</v>
      </c>
      <c r="B21" s="28" t="s">
        <v>1758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8" t="s">
        <v>1759</v>
      </c>
      <c r="B22" s="28" t="s">
        <v>1759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8" t="s">
        <v>73</v>
      </c>
      <c r="B1" s="11" t="s">
        <v>144</v>
      </c>
      <c r="C1" s="11" t="s">
        <v>604</v>
      </c>
      <c r="D1" s="11" t="s">
        <v>870</v>
      </c>
      <c r="E1" s="11" t="s">
        <v>871</v>
      </c>
      <c r="F1" s="11" t="s">
        <v>417</v>
      </c>
      <c r="G1" s="11" t="s">
        <v>872</v>
      </c>
      <c r="H1" s="11" t="s">
        <v>873</v>
      </c>
      <c r="I1" s="11" t="s">
        <v>605</v>
      </c>
    </row>
    <row r="2" spans="1:9" ht="20">
      <c r="A2" s="28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8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8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8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8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8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8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8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8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8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8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8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8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8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8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8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8" t="s">
        <v>69</v>
      </c>
      <c r="B18" s="28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8" t="s">
        <v>140</v>
      </c>
      <c r="B19" s="28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8" t="s">
        <v>141</v>
      </c>
      <c r="B20" s="28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8" t="s">
        <v>1758</v>
      </c>
      <c r="B21" s="28" t="s">
        <v>1758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8" t="s">
        <v>1759</v>
      </c>
      <c r="B22" s="28" t="s">
        <v>1759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874</v>
      </c>
      <c r="D25" s="11" t="s">
        <v>875</v>
      </c>
      <c r="E25" s="11" t="s">
        <v>876</v>
      </c>
      <c r="F25" s="11" t="s">
        <v>877</v>
      </c>
      <c r="G25" s="11" t="s">
        <v>878</v>
      </c>
      <c r="H25" s="11" t="s">
        <v>879</v>
      </c>
      <c r="I25" s="11" t="s">
        <v>880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16</v>
      </c>
      <c r="C1" s="28">
        <v>52</v>
      </c>
      <c r="D1" s="28">
        <v>54</v>
      </c>
      <c r="E1" s="28">
        <v>56</v>
      </c>
      <c r="F1" s="28">
        <v>58</v>
      </c>
      <c r="G1" s="28">
        <v>60</v>
      </c>
    </row>
    <row r="2" spans="1:8">
      <c r="A2" s="28" t="s">
        <v>56</v>
      </c>
      <c r="B2" s="28" t="s">
        <v>1</v>
      </c>
      <c r="C2" s="28">
        <v>372</v>
      </c>
      <c r="D2" s="28">
        <v>380</v>
      </c>
      <c r="E2" s="28">
        <v>388</v>
      </c>
      <c r="F2" s="28">
        <v>392</v>
      </c>
      <c r="G2" s="28">
        <v>405</v>
      </c>
    </row>
    <row r="3" spans="1:8">
      <c r="A3" s="28" t="s">
        <v>55</v>
      </c>
      <c r="B3" s="28" t="s">
        <v>0</v>
      </c>
      <c r="C3" s="28">
        <v>555</v>
      </c>
      <c r="D3" s="28">
        <v>576</v>
      </c>
      <c r="E3" s="28">
        <v>596</v>
      </c>
      <c r="F3" s="28">
        <v>609</v>
      </c>
      <c r="G3" s="28">
        <v>628</v>
      </c>
    </row>
    <row r="4" spans="1:8">
      <c r="A4" s="28" t="s">
        <v>63</v>
      </c>
      <c r="B4" s="28" t="s">
        <v>4</v>
      </c>
      <c r="C4" s="28">
        <v>71</v>
      </c>
      <c r="D4" s="28">
        <v>71.5</v>
      </c>
      <c r="E4" s="28">
        <v>72</v>
      </c>
      <c r="F4" s="28">
        <v>72</v>
      </c>
      <c r="G4" s="28">
        <v>72</v>
      </c>
    </row>
    <row r="5" spans="1:8">
      <c r="A5" s="28" t="s">
        <v>61</v>
      </c>
      <c r="B5" s="28" t="s">
        <v>176</v>
      </c>
      <c r="C5" s="28">
        <v>495</v>
      </c>
      <c r="D5" s="28">
        <v>520</v>
      </c>
      <c r="E5" s="28">
        <v>545</v>
      </c>
      <c r="F5" s="28">
        <v>565</v>
      </c>
      <c r="G5" s="28">
        <v>590</v>
      </c>
    </row>
    <row r="6" spans="1:8">
      <c r="A6" s="28" t="s">
        <v>135</v>
      </c>
      <c r="B6" s="28" t="s">
        <v>481</v>
      </c>
      <c r="C6" s="28">
        <v>595</v>
      </c>
      <c r="D6" s="28">
        <v>600</v>
      </c>
      <c r="E6" s="28">
        <v>610</v>
      </c>
      <c r="F6" s="28">
        <v>618</v>
      </c>
      <c r="G6" s="28">
        <v>637</v>
      </c>
    </row>
    <row r="7" spans="1:8">
      <c r="A7" s="28" t="s">
        <v>138</v>
      </c>
      <c r="B7" s="28" t="s">
        <v>618</v>
      </c>
      <c r="C7" s="28">
        <v>280</v>
      </c>
      <c r="D7" s="28">
        <v>282</v>
      </c>
      <c r="E7" s="28">
        <v>282</v>
      </c>
      <c r="F7" s="28">
        <v>284</v>
      </c>
      <c r="G7" s="28">
        <v>284</v>
      </c>
    </row>
    <row r="8" spans="1:8">
      <c r="A8" s="28" t="s">
        <v>66</v>
      </c>
      <c r="B8" s="28" t="s">
        <v>177</v>
      </c>
      <c r="C8" s="28">
        <v>74</v>
      </c>
      <c r="D8" s="28">
        <v>72</v>
      </c>
      <c r="E8" s="28">
        <v>72</v>
      </c>
      <c r="F8" s="28">
        <v>70</v>
      </c>
      <c r="G8" s="28">
        <v>70</v>
      </c>
    </row>
    <row r="9" spans="1:8">
      <c r="A9" s="28" t="s">
        <v>57</v>
      </c>
      <c r="B9" s="28" t="s">
        <v>10</v>
      </c>
      <c r="C9" s="28">
        <v>1009</v>
      </c>
      <c r="D9" s="28">
        <v>1015</v>
      </c>
      <c r="E9" s="28">
        <v>1025</v>
      </c>
      <c r="F9" s="28">
        <v>1034</v>
      </c>
      <c r="G9" s="28">
        <v>1053</v>
      </c>
    </row>
    <row r="10" spans="1:8">
      <c r="A10" s="28" t="s">
        <v>67</v>
      </c>
      <c r="B10" s="28" t="s">
        <v>1286</v>
      </c>
      <c r="C10" s="28">
        <v>425</v>
      </c>
      <c r="D10" s="28">
        <v>425</v>
      </c>
      <c r="E10" s="28">
        <v>425</v>
      </c>
      <c r="F10" s="28">
        <v>425</v>
      </c>
      <c r="G10" s="28">
        <v>425</v>
      </c>
      <c r="H10" s="28" t="s">
        <v>1288</v>
      </c>
    </row>
    <row r="11" spans="1:8">
      <c r="A11" s="28" t="s">
        <v>65</v>
      </c>
      <c r="B11" s="28" t="s">
        <v>6</v>
      </c>
      <c r="C11" s="28">
        <v>130</v>
      </c>
      <c r="D11" s="28">
        <v>150</v>
      </c>
      <c r="E11" s="28">
        <v>170</v>
      </c>
      <c r="F11" s="28">
        <v>185</v>
      </c>
      <c r="G11" s="28">
        <v>205</v>
      </c>
    </row>
    <row r="12" spans="1:8">
      <c r="A12" s="28" t="s">
        <v>74</v>
      </c>
      <c r="B12" s="28" t="s">
        <v>1287</v>
      </c>
      <c r="C12" s="28">
        <v>526</v>
      </c>
      <c r="D12" s="28">
        <v>545</v>
      </c>
      <c r="E12" s="28">
        <v>565</v>
      </c>
      <c r="F12" s="28">
        <v>572</v>
      </c>
      <c r="G12" s="28">
        <v>591</v>
      </c>
    </row>
    <row r="13" spans="1:8">
      <c r="A13" s="28" t="s">
        <v>64</v>
      </c>
      <c r="B13" s="28" t="s">
        <v>5</v>
      </c>
      <c r="C13" s="28">
        <v>74.5</v>
      </c>
      <c r="D13" s="28">
        <v>74</v>
      </c>
      <c r="E13" s="28">
        <v>73.5</v>
      </c>
      <c r="F13" s="28">
        <v>73.5</v>
      </c>
      <c r="G13" s="28">
        <v>73.5</v>
      </c>
    </row>
    <row r="14" spans="1:8">
      <c r="A14" s="28" t="s">
        <v>58</v>
      </c>
      <c r="B14" s="28" t="s">
        <v>179</v>
      </c>
      <c r="C14" s="28">
        <v>754</v>
      </c>
      <c r="D14" s="28">
        <v>776</v>
      </c>
      <c r="E14" s="28">
        <v>797</v>
      </c>
      <c r="F14" s="28">
        <v>816</v>
      </c>
      <c r="G14" s="28">
        <v>834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45</v>
      </c>
      <c r="F15" s="28">
        <v>45</v>
      </c>
      <c r="G15" s="28">
        <v>45</v>
      </c>
    </row>
    <row r="16" spans="1:8">
      <c r="A16" s="28" t="s">
        <v>70</v>
      </c>
      <c r="C16" s="28">
        <v>170</v>
      </c>
      <c r="D16" s="28">
        <v>172.5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</row>
    <row r="18" spans="1:7">
      <c r="A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1758</v>
      </c>
      <c r="B22" s="28" t="s">
        <v>1758</v>
      </c>
      <c r="C22" s="28">
        <f>VALUE(LEFT(C25,3))</f>
        <v>160</v>
      </c>
      <c r="D22" s="28">
        <f t="shared" ref="D22:G22" si="0">VALUE(LEFT(D25,3))</f>
        <v>168</v>
      </c>
      <c r="E22" s="28">
        <f t="shared" si="0"/>
        <v>175</v>
      </c>
      <c r="F22" s="28">
        <f t="shared" si="0"/>
        <v>183</v>
      </c>
      <c r="G22" s="28">
        <f t="shared" si="0"/>
        <v>188</v>
      </c>
    </row>
    <row r="23" spans="1:7">
      <c r="A23" s="28" t="s">
        <v>1759</v>
      </c>
      <c r="B23" s="28" t="s">
        <v>1759</v>
      </c>
      <c r="C23" s="28">
        <f>VALUE(MID(C25,7,3))</f>
        <v>168</v>
      </c>
      <c r="D23" s="28">
        <f t="shared" ref="D23:G23" si="1">VALUE(MID(D25,7,3))</f>
        <v>175</v>
      </c>
      <c r="E23" s="28">
        <f t="shared" si="1"/>
        <v>183</v>
      </c>
      <c r="F23" s="28">
        <f t="shared" si="1"/>
        <v>188</v>
      </c>
      <c r="G23" s="28">
        <f t="shared" si="1"/>
        <v>196</v>
      </c>
    </row>
    <row r="25" spans="1:7" ht="24">
      <c r="A25" s="57">
        <v>52</v>
      </c>
      <c r="B25" s="28" t="s">
        <v>1039</v>
      </c>
      <c r="C25" s="56" t="s">
        <v>1289</v>
      </c>
      <c r="D25" s="56" t="s">
        <v>1290</v>
      </c>
      <c r="E25" s="56" t="s">
        <v>1291</v>
      </c>
      <c r="F25" s="56" t="s">
        <v>1292</v>
      </c>
      <c r="G25" s="56" t="s">
        <v>1293</v>
      </c>
    </row>
    <row r="27" spans="1:7" ht="24">
      <c r="A27" s="57">
        <v>54</v>
      </c>
    </row>
    <row r="29" spans="1:7" ht="24">
      <c r="A29" s="57">
        <v>56</v>
      </c>
    </row>
    <row r="31" spans="1:7" ht="24">
      <c r="A31" s="57">
        <v>58</v>
      </c>
    </row>
    <row r="33" spans="1:1" ht="24">
      <c r="A33" s="57">
        <v>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8" bestFit="1" customWidth="1"/>
    <col min="2" max="2" width="29.6640625" style="28" bestFit="1" customWidth="1"/>
    <col min="3" max="7" width="12.83203125" style="28" customWidth="1"/>
    <col min="8" max="8" width="10.83203125" style="28"/>
    <col min="9" max="122" width="4.6640625" style="28" customWidth="1"/>
    <col min="123" max="16384" width="10.83203125" style="28"/>
  </cols>
  <sheetData>
    <row r="1" spans="1:144">
      <c r="A1" s="28" t="s">
        <v>73</v>
      </c>
      <c r="B1" s="28" t="s">
        <v>144</v>
      </c>
      <c r="C1" s="28" t="str">
        <f>C25</f>
        <v>XS/49</v>
      </c>
      <c r="D1" s="28" t="str">
        <f>D25</f>
        <v>S/52</v>
      </c>
      <c r="E1" s="28" t="str">
        <f>E25</f>
        <v>M/54</v>
      </c>
      <c r="F1" s="28" t="str">
        <f>F25</f>
        <v>L/56</v>
      </c>
      <c r="G1" s="28" t="str">
        <f>G25</f>
        <v>XL/58</v>
      </c>
      <c r="I1" s="122">
        <v>155</v>
      </c>
      <c r="J1" s="122">
        <f>I1+1</f>
        <v>156</v>
      </c>
      <c r="K1" s="122">
        <f t="shared" ref="K1:BV1" si="0">J1+1</f>
        <v>157</v>
      </c>
      <c r="L1" s="122">
        <f t="shared" si="0"/>
        <v>158</v>
      </c>
      <c r="M1" s="122">
        <f t="shared" si="0"/>
        <v>159</v>
      </c>
      <c r="N1" s="122">
        <f t="shared" si="0"/>
        <v>160</v>
      </c>
      <c r="O1" s="122">
        <f t="shared" si="0"/>
        <v>161</v>
      </c>
      <c r="P1" s="122">
        <f t="shared" si="0"/>
        <v>162</v>
      </c>
      <c r="Q1" s="122">
        <f t="shared" si="0"/>
        <v>163</v>
      </c>
      <c r="R1" s="122">
        <f t="shared" si="0"/>
        <v>164</v>
      </c>
      <c r="S1" s="122">
        <f t="shared" si="0"/>
        <v>165</v>
      </c>
      <c r="T1" s="122">
        <f t="shared" si="0"/>
        <v>166</v>
      </c>
      <c r="U1" s="122">
        <f t="shared" si="0"/>
        <v>167</v>
      </c>
      <c r="V1" s="122">
        <f t="shared" si="0"/>
        <v>168</v>
      </c>
      <c r="W1" s="122">
        <f t="shared" si="0"/>
        <v>169</v>
      </c>
      <c r="X1" s="122">
        <f t="shared" si="0"/>
        <v>170</v>
      </c>
      <c r="Y1" s="122">
        <f t="shared" si="0"/>
        <v>171</v>
      </c>
      <c r="Z1" s="122">
        <f t="shared" si="0"/>
        <v>172</v>
      </c>
      <c r="AA1" s="122">
        <f t="shared" si="0"/>
        <v>173</v>
      </c>
      <c r="AB1" s="122">
        <f t="shared" si="0"/>
        <v>174</v>
      </c>
      <c r="AC1" s="122">
        <f t="shared" si="0"/>
        <v>175</v>
      </c>
      <c r="AD1" s="122">
        <f t="shared" si="0"/>
        <v>176</v>
      </c>
      <c r="AE1" s="122">
        <f t="shared" si="0"/>
        <v>177</v>
      </c>
      <c r="AF1" s="122">
        <f t="shared" si="0"/>
        <v>178</v>
      </c>
      <c r="AG1" s="122">
        <f t="shared" si="0"/>
        <v>179</v>
      </c>
      <c r="AH1" s="122">
        <f t="shared" si="0"/>
        <v>180</v>
      </c>
      <c r="AI1" s="122">
        <f t="shared" si="0"/>
        <v>181</v>
      </c>
      <c r="AJ1" s="122">
        <f t="shared" si="0"/>
        <v>182</v>
      </c>
      <c r="AK1" s="122">
        <f t="shared" si="0"/>
        <v>183</v>
      </c>
      <c r="AL1" s="122">
        <f t="shared" si="0"/>
        <v>184</v>
      </c>
      <c r="AM1" s="122">
        <f t="shared" si="0"/>
        <v>185</v>
      </c>
      <c r="AN1" s="122">
        <f t="shared" si="0"/>
        <v>186</v>
      </c>
      <c r="AO1" s="122">
        <f t="shared" si="0"/>
        <v>187</v>
      </c>
      <c r="AP1" s="122">
        <f t="shared" si="0"/>
        <v>188</v>
      </c>
      <c r="AQ1" s="122">
        <f t="shared" si="0"/>
        <v>189</v>
      </c>
      <c r="AR1" s="122">
        <f t="shared" si="0"/>
        <v>190</v>
      </c>
      <c r="AS1" s="122">
        <f t="shared" si="0"/>
        <v>191</v>
      </c>
      <c r="AT1" s="122">
        <f t="shared" si="0"/>
        <v>192</v>
      </c>
      <c r="AU1" s="122">
        <f t="shared" si="0"/>
        <v>193</v>
      </c>
      <c r="AV1" s="122">
        <f t="shared" si="0"/>
        <v>194</v>
      </c>
      <c r="AW1" s="122">
        <f t="shared" si="0"/>
        <v>195</v>
      </c>
      <c r="AX1" s="122">
        <f t="shared" si="0"/>
        <v>196</v>
      </c>
      <c r="AY1" s="122">
        <f t="shared" si="0"/>
        <v>197</v>
      </c>
      <c r="AZ1" s="122">
        <f t="shared" si="0"/>
        <v>198</v>
      </c>
      <c r="BA1" s="122">
        <f t="shared" si="0"/>
        <v>199</v>
      </c>
      <c r="BB1" s="122">
        <f t="shared" si="0"/>
        <v>200</v>
      </c>
      <c r="BC1" s="122">
        <f t="shared" si="0"/>
        <v>201</v>
      </c>
      <c r="BD1" s="122">
        <f t="shared" si="0"/>
        <v>202</v>
      </c>
      <c r="BE1" s="122">
        <f t="shared" si="0"/>
        <v>203</v>
      </c>
      <c r="BF1" s="122">
        <f t="shared" si="0"/>
        <v>204</v>
      </c>
      <c r="BG1" s="122">
        <f t="shared" si="0"/>
        <v>205</v>
      </c>
      <c r="BH1" s="122">
        <f t="shared" si="0"/>
        <v>206</v>
      </c>
      <c r="BI1" s="122">
        <f t="shared" si="0"/>
        <v>207</v>
      </c>
      <c r="BJ1" s="122">
        <f t="shared" si="0"/>
        <v>208</v>
      </c>
      <c r="BK1" s="122">
        <f t="shared" si="0"/>
        <v>209</v>
      </c>
      <c r="BL1" s="122">
        <f t="shared" si="0"/>
        <v>210</v>
      </c>
      <c r="BM1" s="122">
        <f t="shared" si="0"/>
        <v>211</v>
      </c>
      <c r="BN1" s="122">
        <f t="shared" si="0"/>
        <v>212</v>
      </c>
      <c r="BO1" s="122">
        <f t="shared" si="0"/>
        <v>213</v>
      </c>
      <c r="BP1" s="122">
        <f t="shared" si="0"/>
        <v>214</v>
      </c>
      <c r="BQ1" s="122">
        <f t="shared" si="0"/>
        <v>215</v>
      </c>
      <c r="BR1" s="122">
        <f t="shared" si="0"/>
        <v>216</v>
      </c>
      <c r="BS1" s="122">
        <f t="shared" si="0"/>
        <v>217</v>
      </c>
      <c r="BT1" s="122">
        <f t="shared" si="0"/>
        <v>218</v>
      </c>
      <c r="BU1" s="122">
        <f t="shared" si="0"/>
        <v>219</v>
      </c>
      <c r="BV1" s="122">
        <f t="shared" si="0"/>
        <v>220</v>
      </c>
      <c r="BW1" s="122">
        <f t="shared" ref="BW1:DS1" si="1">BV1+1</f>
        <v>221</v>
      </c>
      <c r="BX1" s="122">
        <f t="shared" si="1"/>
        <v>222</v>
      </c>
      <c r="BY1" s="122">
        <f t="shared" si="1"/>
        <v>223</v>
      </c>
      <c r="BZ1" s="122">
        <f t="shared" si="1"/>
        <v>224</v>
      </c>
      <c r="CA1" s="122">
        <f t="shared" si="1"/>
        <v>225</v>
      </c>
      <c r="CB1" s="122">
        <f t="shared" si="1"/>
        <v>226</v>
      </c>
      <c r="CC1" s="122">
        <f t="shared" si="1"/>
        <v>227</v>
      </c>
      <c r="CD1" s="122">
        <f t="shared" si="1"/>
        <v>228</v>
      </c>
      <c r="CE1" s="122">
        <f t="shared" si="1"/>
        <v>229</v>
      </c>
      <c r="CF1" s="122">
        <f t="shared" si="1"/>
        <v>230</v>
      </c>
      <c r="CG1" s="122">
        <f t="shared" si="1"/>
        <v>231</v>
      </c>
      <c r="CH1" s="122">
        <f t="shared" si="1"/>
        <v>232</v>
      </c>
      <c r="CI1" s="122">
        <f t="shared" si="1"/>
        <v>233</v>
      </c>
      <c r="CJ1" s="122">
        <f t="shared" si="1"/>
        <v>234</v>
      </c>
      <c r="CK1" s="122">
        <f t="shared" si="1"/>
        <v>235</v>
      </c>
      <c r="CL1" s="122">
        <f t="shared" si="1"/>
        <v>236</v>
      </c>
      <c r="CM1" s="122">
        <f t="shared" si="1"/>
        <v>237</v>
      </c>
      <c r="CN1" s="122">
        <f t="shared" si="1"/>
        <v>238</v>
      </c>
      <c r="CO1" s="122">
        <f t="shared" si="1"/>
        <v>239</v>
      </c>
      <c r="CP1" s="122">
        <f t="shared" si="1"/>
        <v>240</v>
      </c>
      <c r="CQ1" s="122">
        <f t="shared" si="1"/>
        <v>241</v>
      </c>
      <c r="CR1" s="122">
        <f t="shared" si="1"/>
        <v>242</v>
      </c>
      <c r="CS1" s="122">
        <f t="shared" si="1"/>
        <v>243</v>
      </c>
      <c r="CT1" s="122">
        <f t="shared" si="1"/>
        <v>244</v>
      </c>
      <c r="CU1" s="122">
        <f t="shared" si="1"/>
        <v>245</v>
      </c>
      <c r="CV1" s="122">
        <f t="shared" si="1"/>
        <v>246</v>
      </c>
      <c r="CW1" s="122">
        <f t="shared" si="1"/>
        <v>247</v>
      </c>
      <c r="CX1" s="122">
        <f t="shared" si="1"/>
        <v>248</v>
      </c>
      <c r="CY1" s="122">
        <f t="shared" si="1"/>
        <v>249</v>
      </c>
      <c r="CZ1" s="122">
        <f t="shared" si="1"/>
        <v>250</v>
      </c>
      <c r="DA1" s="122">
        <f t="shared" si="1"/>
        <v>251</v>
      </c>
      <c r="DB1" s="122">
        <f t="shared" si="1"/>
        <v>252</v>
      </c>
      <c r="DC1" s="122">
        <f t="shared" si="1"/>
        <v>253</v>
      </c>
      <c r="DD1" s="122">
        <f t="shared" si="1"/>
        <v>254</v>
      </c>
      <c r="DE1" s="122">
        <f t="shared" si="1"/>
        <v>255</v>
      </c>
      <c r="DF1" s="122">
        <f t="shared" si="1"/>
        <v>256</v>
      </c>
      <c r="DG1" s="122">
        <f t="shared" si="1"/>
        <v>257</v>
      </c>
      <c r="DH1" s="122">
        <f t="shared" si="1"/>
        <v>258</v>
      </c>
      <c r="DI1" s="122">
        <f t="shared" si="1"/>
        <v>259</v>
      </c>
      <c r="DJ1" s="122">
        <f t="shared" si="1"/>
        <v>260</v>
      </c>
      <c r="DK1" s="122">
        <f t="shared" si="1"/>
        <v>261</v>
      </c>
      <c r="DL1" s="122">
        <f t="shared" si="1"/>
        <v>262</v>
      </c>
      <c r="DM1" s="122">
        <f t="shared" si="1"/>
        <v>263</v>
      </c>
      <c r="DN1" s="122">
        <f t="shared" si="1"/>
        <v>264</v>
      </c>
      <c r="DO1" s="122">
        <f t="shared" si="1"/>
        <v>265</v>
      </c>
      <c r="DP1" s="122">
        <f t="shared" si="1"/>
        <v>266</v>
      </c>
      <c r="DQ1" s="122">
        <f t="shared" si="1"/>
        <v>267</v>
      </c>
      <c r="DR1" s="122">
        <f t="shared" si="1"/>
        <v>268</v>
      </c>
      <c r="DS1" s="122">
        <f t="shared" si="1"/>
        <v>269</v>
      </c>
      <c r="DT1" s="122">
        <v>280</v>
      </c>
      <c r="DU1" s="122">
        <v>281</v>
      </c>
      <c r="DV1" s="122">
        <v>282</v>
      </c>
      <c r="DW1" s="122">
        <v>283</v>
      </c>
      <c r="DX1" s="122">
        <v>284</v>
      </c>
      <c r="DY1" s="122">
        <v>285</v>
      </c>
      <c r="DZ1" s="122">
        <v>286</v>
      </c>
      <c r="EA1" s="122">
        <v>287</v>
      </c>
      <c r="EB1" s="122">
        <v>288</v>
      </c>
      <c r="EC1" s="122">
        <v>289</v>
      </c>
      <c r="ED1" s="122">
        <v>290</v>
      </c>
      <c r="EE1" s="122">
        <v>291</v>
      </c>
      <c r="EF1" s="122">
        <v>292</v>
      </c>
      <c r="EG1" s="122">
        <v>293</v>
      </c>
      <c r="EH1" s="122">
        <v>294</v>
      </c>
      <c r="EI1" s="122">
        <v>295</v>
      </c>
      <c r="EJ1" s="122">
        <v>296</v>
      </c>
      <c r="EK1" s="122">
        <v>297</v>
      </c>
      <c r="EL1" s="122">
        <v>298</v>
      </c>
      <c r="EM1" s="122">
        <v>299</v>
      </c>
      <c r="EN1" s="122">
        <v>300</v>
      </c>
    </row>
    <row r="2" spans="1:144">
      <c r="A2" s="28" t="s">
        <v>63</v>
      </c>
      <c r="B2" s="28" t="str">
        <f t="shared" ref="B2:B14" si="2">B26</f>
        <v>HEAD TUBE ANGLE</v>
      </c>
      <c r="C2" s="28">
        <f t="shared" ref="C2:G3" si="3">VALUE(LEFT(C26,4))</f>
        <v>70</v>
      </c>
      <c r="D2" s="28">
        <f t="shared" si="3"/>
        <v>70</v>
      </c>
      <c r="E2" s="28">
        <f t="shared" si="3"/>
        <v>71</v>
      </c>
      <c r="F2" s="28">
        <f t="shared" si="3"/>
        <v>71</v>
      </c>
      <c r="G2" s="28">
        <f t="shared" si="3"/>
        <v>71</v>
      </c>
    </row>
    <row r="3" spans="1:144">
      <c r="A3" s="28" t="s">
        <v>65</v>
      </c>
      <c r="B3" s="28" t="str">
        <f t="shared" si="2"/>
        <v>HEAD TUBE LENGTH</v>
      </c>
      <c r="C3" s="28">
        <f t="shared" si="3"/>
        <v>95</v>
      </c>
      <c r="D3" s="28">
        <f t="shared" si="3"/>
        <v>122</v>
      </c>
      <c r="E3" s="28">
        <f t="shared" si="3"/>
        <v>140</v>
      </c>
      <c r="F3" s="28">
        <f t="shared" si="3"/>
        <v>166</v>
      </c>
      <c r="G3" s="28">
        <f t="shared" si="3"/>
        <v>187</v>
      </c>
    </row>
    <row r="4" spans="1:144">
      <c r="A4" s="28" t="s">
        <v>74</v>
      </c>
      <c r="B4" s="28" t="str">
        <f t="shared" si="2"/>
        <v>TOP TUBE HORIZONTAL</v>
      </c>
      <c r="C4" s="28">
        <f t="shared" ref="C4:G5" si="4">VALUE(LEFT(C28,5))</f>
        <v>518</v>
      </c>
      <c r="D4" s="28">
        <f t="shared" si="4"/>
        <v>534.5</v>
      </c>
      <c r="E4" s="28">
        <f t="shared" si="4"/>
        <v>554.5</v>
      </c>
      <c r="F4" s="28">
        <f t="shared" si="4"/>
        <v>578.5</v>
      </c>
      <c r="G4" s="28">
        <f t="shared" si="4"/>
        <v>592.5</v>
      </c>
    </row>
    <row r="5" spans="1:144">
      <c r="A5" s="28" t="s">
        <v>58</v>
      </c>
      <c r="B5" s="28" t="str">
        <f t="shared" si="2"/>
        <v>STANDOVER HEIGHT</v>
      </c>
      <c r="C5" s="28">
        <f t="shared" si="4"/>
        <v>759</v>
      </c>
      <c r="D5" s="28">
        <f t="shared" si="4"/>
        <v>786</v>
      </c>
      <c r="E5" s="28">
        <f t="shared" si="4"/>
        <v>807</v>
      </c>
      <c r="F5" s="28">
        <f t="shared" si="4"/>
        <v>828</v>
      </c>
      <c r="G5" s="28">
        <f t="shared" si="4"/>
        <v>847</v>
      </c>
    </row>
    <row r="6" spans="1:144">
      <c r="A6" s="28" t="s">
        <v>66</v>
      </c>
      <c r="B6" s="28" t="str">
        <f t="shared" si="2"/>
        <v>BB OFFSET</v>
      </c>
      <c r="C6" s="28">
        <f>-VALUE(LEFT(C30,5))</f>
        <v>71</v>
      </c>
      <c r="D6" s="28">
        <f>-VALUE(LEFT(D30,5))</f>
        <v>71</v>
      </c>
      <c r="E6" s="28">
        <f>-VALUE(LEFT(E30,5))</f>
        <v>71</v>
      </c>
      <c r="F6" s="28">
        <f>-VALUE(LEFT(F30,5))</f>
        <v>71</v>
      </c>
      <c r="G6" s="28">
        <f>-VALUE(LEFT(G30,5))</f>
        <v>71</v>
      </c>
    </row>
    <row r="7" spans="1:144">
      <c r="A7" s="28" t="s">
        <v>138</v>
      </c>
      <c r="B7" s="28" t="str">
        <f t="shared" si="2"/>
        <v>BB HEIGHT</v>
      </c>
      <c r="C7" s="28">
        <f t="shared" ref="C7:G10" si="5">VALUE(LEFT(C31,5))</f>
        <v>283</v>
      </c>
      <c r="D7" s="28">
        <f t="shared" si="5"/>
        <v>283</v>
      </c>
      <c r="E7" s="28">
        <f t="shared" si="5"/>
        <v>283</v>
      </c>
      <c r="F7" s="28">
        <f t="shared" si="5"/>
        <v>283</v>
      </c>
      <c r="G7" s="28">
        <f t="shared" si="5"/>
        <v>283</v>
      </c>
    </row>
    <row r="8" spans="1:144">
      <c r="A8" s="28" t="s">
        <v>57</v>
      </c>
      <c r="B8" s="28" t="str">
        <f t="shared" si="2"/>
        <v>WHEEL BASE</v>
      </c>
      <c r="C8" s="28">
        <f>VALUE(LEFT(C32,7))</f>
        <v>1009.4</v>
      </c>
      <c r="D8" s="28">
        <f t="shared" ref="D8:G8" si="6">VALUE(LEFT(D32,7))</f>
        <v>1022.9</v>
      </c>
      <c r="E8" s="28">
        <f t="shared" si="6"/>
        <v>1029.2</v>
      </c>
      <c r="F8" s="28">
        <f t="shared" si="6"/>
        <v>1048.7</v>
      </c>
      <c r="G8" s="28">
        <f t="shared" si="6"/>
        <v>1063.5</v>
      </c>
    </row>
    <row r="9" spans="1:144">
      <c r="A9" s="28" t="s">
        <v>1880</v>
      </c>
      <c r="B9" s="28" t="str">
        <f t="shared" si="2"/>
        <v>BB CENTER TO TOPTUBE CENTER</v>
      </c>
      <c r="C9" s="28">
        <f t="shared" si="5"/>
        <v>447</v>
      </c>
      <c r="D9" s="28">
        <f t="shared" si="5"/>
        <v>477</v>
      </c>
      <c r="E9" s="28">
        <f t="shared" si="5"/>
        <v>498</v>
      </c>
      <c r="F9" s="28">
        <f t="shared" si="5"/>
        <v>516</v>
      </c>
      <c r="G9" s="28">
        <f t="shared" si="5"/>
        <v>536</v>
      </c>
    </row>
    <row r="10" spans="1:144">
      <c r="A10" s="28" t="s">
        <v>61</v>
      </c>
      <c r="B10" s="28" t="str">
        <f t="shared" si="2"/>
        <v>BB CENTER TO TOP OF SEATTUBE</v>
      </c>
      <c r="C10" s="28">
        <f t="shared" si="5"/>
        <v>477</v>
      </c>
      <c r="D10" s="28">
        <f t="shared" si="5"/>
        <v>507</v>
      </c>
      <c r="E10" s="28">
        <f t="shared" si="5"/>
        <v>528</v>
      </c>
      <c r="F10" s="28">
        <f t="shared" si="5"/>
        <v>546</v>
      </c>
      <c r="G10" s="28">
        <f t="shared" si="5"/>
        <v>566</v>
      </c>
    </row>
    <row r="11" spans="1:144">
      <c r="A11" s="28" t="s">
        <v>64</v>
      </c>
      <c r="B11" s="28" t="str">
        <f t="shared" si="2"/>
        <v>SEAT ANGLE</v>
      </c>
      <c r="C11" s="28">
        <f>VALUE(LEFT(C35,4))</f>
        <v>74.5</v>
      </c>
      <c r="D11" s="28">
        <f>VALUE(LEFT(D35,4))</f>
        <v>74</v>
      </c>
      <c r="E11" s="28">
        <f>VALUE(LEFT(E35,4))</f>
        <v>73.5</v>
      </c>
      <c r="F11" s="28">
        <f>VALUE(LEFT(F35,4))</f>
        <v>73</v>
      </c>
      <c r="G11" s="28">
        <f>VALUE(LEFT(G35,4))</f>
        <v>73</v>
      </c>
    </row>
    <row r="12" spans="1:144">
      <c r="A12" s="28" t="s">
        <v>67</v>
      </c>
      <c r="B12" s="28" t="str">
        <f t="shared" si="2"/>
        <v>CHAINSTAY</v>
      </c>
      <c r="C12" s="28">
        <f t="shared" ref="C12:G14" si="7">VALUE(LEFT(C36,5))</f>
        <v>425</v>
      </c>
      <c r="D12" s="28">
        <f t="shared" si="7"/>
        <v>425</v>
      </c>
      <c r="E12" s="28">
        <f t="shared" si="7"/>
        <v>425</v>
      </c>
      <c r="F12" s="28">
        <f t="shared" si="7"/>
        <v>425</v>
      </c>
      <c r="G12" s="28">
        <f t="shared" si="7"/>
        <v>425</v>
      </c>
    </row>
    <row r="13" spans="1:144">
      <c r="A13" s="28" t="s">
        <v>56</v>
      </c>
      <c r="B13" s="28" t="str">
        <f t="shared" si="2"/>
        <v>REACH</v>
      </c>
      <c r="C13" s="28">
        <f t="shared" si="7"/>
        <v>374.1</v>
      </c>
      <c r="D13" s="28">
        <f t="shared" si="7"/>
        <v>378.4</v>
      </c>
      <c r="E13" s="28">
        <f t="shared" si="7"/>
        <v>387.1</v>
      </c>
      <c r="F13" s="28">
        <f t="shared" si="7"/>
        <v>398.2</v>
      </c>
      <c r="G13" s="28">
        <f t="shared" si="7"/>
        <v>406.1</v>
      </c>
      <c r="L13" s="28">
        <v>159</v>
      </c>
      <c r="M13" s="28">
        <v>164</v>
      </c>
      <c r="N13" s="28">
        <v>171</v>
      </c>
      <c r="O13" s="28">
        <v>177</v>
      </c>
      <c r="P13" s="28">
        <v>186</v>
      </c>
    </row>
    <row r="14" spans="1:144">
      <c r="A14" s="28" t="s">
        <v>55</v>
      </c>
      <c r="B14" s="28" t="str">
        <f t="shared" si="2"/>
        <v>STACK</v>
      </c>
      <c r="C14" s="28">
        <f t="shared" si="7"/>
        <v>519</v>
      </c>
      <c r="D14" s="28">
        <f t="shared" si="7"/>
        <v>544.4</v>
      </c>
      <c r="E14" s="28">
        <f t="shared" si="7"/>
        <v>565.29999999999995</v>
      </c>
      <c r="F14" s="28">
        <f t="shared" si="7"/>
        <v>589.9</v>
      </c>
      <c r="G14" s="28">
        <f t="shared" si="7"/>
        <v>609.70000000000005</v>
      </c>
      <c r="L14" s="28">
        <v>167</v>
      </c>
      <c r="M14" s="28">
        <v>174</v>
      </c>
      <c r="N14" s="28">
        <v>179</v>
      </c>
      <c r="O14" s="28">
        <v>187</v>
      </c>
      <c r="P14" s="28">
        <v>197</v>
      </c>
    </row>
    <row r="15" spans="1:144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</row>
    <row r="16" spans="1:144">
      <c r="A16" s="28" t="s">
        <v>70</v>
      </c>
      <c r="B16" s="28" t="s">
        <v>70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1758</v>
      </c>
      <c r="B22" s="28" t="s">
        <v>1758</v>
      </c>
      <c r="C22" s="28">
        <v>159</v>
      </c>
      <c r="D22" s="28">
        <v>164</v>
      </c>
      <c r="E22" s="28">
        <v>171</v>
      </c>
      <c r="F22" s="28">
        <v>177</v>
      </c>
      <c r="G22" s="28">
        <v>186</v>
      </c>
    </row>
    <row r="23" spans="1:7">
      <c r="A23" s="28" t="s">
        <v>1759</v>
      </c>
      <c r="B23" s="28" t="s">
        <v>1759</v>
      </c>
      <c r="C23" s="28">
        <v>167</v>
      </c>
      <c r="D23" s="28">
        <v>174</v>
      </c>
      <c r="E23" s="28">
        <v>179</v>
      </c>
      <c r="F23" s="28">
        <v>187</v>
      </c>
      <c r="G23" s="28">
        <v>197</v>
      </c>
    </row>
    <row r="25" spans="1:7">
      <c r="C25" s="28" t="s">
        <v>1815</v>
      </c>
      <c r="D25" s="28" t="s">
        <v>1816</v>
      </c>
      <c r="E25" s="28" t="s">
        <v>1817</v>
      </c>
      <c r="F25" s="28" t="s">
        <v>1818</v>
      </c>
      <c r="G25" s="28" t="s">
        <v>1819</v>
      </c>
    </row>
    <row r="26" spans="1:7">
      <c r="A26" s="28" t="s">
        <v>1279</v>
      </c>
      <c r="B26" s="28" t="s">
        <v>35</v>
      </c>
      <c r="C26" s="28" t="s">
        <v>1820</v>
      </c>
      <c r="D26" s="28" t="s">
        <v>1820</v>
      </c>
      <c r="E26" s="28" t="s">
        <v>1821</v>
      </c>
      <c r="F26" s="28" t="s">
        <v>1821</v>
      </c>
      <c r="G26" s="28" t="s">
        <v>1821</v>
      </c>
    </row>
    <row r="27" spans="1:7">
      <c r="A27" s="28" t="s">
        <v>1280</v>
      </c>
      <c r="B27" s="28" t="s">
        <v>30</v>
      </c>
      <c r="C27" s="28" t="s">
        <v>1822</v>
      </c>
      <c r="D27" s="28" t="s">
        <v>1823</v>
      </c>
      <c r="E27" s="28" t="s">
        <v>1824</v>
      </c>
      <c r="F27" s="28" t="s">
        <v>1825</v>
      </c>
      <c r="G27" s="28" t="s">
        <v>1826</v>
      </c>
    </row>
    <row r="28" spans="1:7">
      <c r="A28" s="28" t="s">
        <v>28</v>
      </c>
      <c r="B28" s="28" t="s">
        <v>671</v>
      </c>
      <c r="C28" s="28" t="s">
        <v>1827</v>
      </c>
      <c r="D28" s="28" t="s">
        <v>1828</v>
      </c>
      <c r="E28" s="28" t="s">
        <v>1829</v>
      </c>
      <c r="F28" s="28" t="s">
        <v>1830</v>
      </c>
      <c r="G28" s="28" t="s">
        <v>1831</v>
      </c>
    </row>
    <row r="29" spans="1:7">
      <c r="A29" s="28" t="s">
        <v>893</v>
      </c>
      <c r="B29" s="28" t="s">
        <v>1832</v>
      </c>
      <c r="C29" s="28" t="s">
        <v>1833</v>
      </c>
      <c r="D29" s="28" t="s">
        <v>1834</v>
      </c>
      <c r="E29" s="28" t="s">
        <v>1835</v>
      </c>
      <c r="F29" s="28" t="s">
        <v>1836</v>
      </c>
      <c r="G29" s="28" t="s">
        <v>1837</v>
      </c>
    </row>
    <row r="30" spans="1:7">
      <c r="A30" s="28" t="s">
        <v>31</v>
      </c>
      <c r="B30" s="28" t="s">
        <v>1838</v>
      </c>
      <c r="C30" s="28" t="s">
        <v>1839</v>
      </c>
      <c r="D30" s="28" t="s">
        <v>1839</v>
      </c>
      <c r="E30" s="28" t="s">
        <v>1839</v>
      </c>
      <c r="F30" s="28" t="s">
        <v>1839</v>
      </c>
      <c r="G30" s="28" t="s">
        <v>1839</v>
      </c>
    </row>
    <row r="31" spans="1:7">
      <c r="A31" s="28" t="s">
        <v>581</v>
      </c>
      <c r="B31" s="28" t="s">
        <v>568</v>
      </c>
      <c r="C31" s="28" t="s">
        <v>1840</v>
      </c>
      <c r="D31" s="28" t="s">
        <v>1840</v>
      </c>
      <c r="E31" s="28" t="s">
        <v>1840</v>
      </c>
      <c r="F31" s="28" t="s">
        <v>1840</v>
      </c>
      <c r="G31" s="28" t="s">
        <v>1840</v>
      </c>
    </row>
    <row r="32" spans="1:7">
      <c r="A32" s="28" t="s">
        <v>894</v>
      </c>
      <c r="B32" s="28" t="s">
        <v>1356</v>
      </c>
      <c r="C32" s="28" t="s">
        <v>1841</v>
      </c>
      <c r="D32" s="28" t="s">
        <v>1842</v>
      </c>
      <c r="E32" s="28" t="s">
        <v>1843</v>
      </c>
      <c r="F32" s="28" t="s">
        <v>1844</v>
      </c>
      <c r="G32" s="28" t="s">
        <v>1845</v>
      </c>
    </row>
    <row r="33" spans="1:7">
      <c r="A33" s="28" t="s">
        <v>1281</v>
      </c>
      <c r="B33" s="28" t="s">
        <v>1846</v>
      </c>
      <c r="C33" s="28" t="s">
        <v>1847</v>
      </c>
      <c r="D33" s="28" t="s">
        <v>1848</v>
      </c>
      <c r="E33" s="28" t="s">
        <v>1849</v>
      </c>
      <c r="F33" s="28" t="s">
        <v>1850</v>
      </c>
      <c r="G33" s="28" t="s">
        <v>1851</v>
      </c>
    </row>
    <row r="34" spans="1:7">
      <c r="A34" s="28" t="s">
        <v>1282</v>
      </c>
      <c r="B34" s="28" t="s">
        <v>1852</v>
      </c>
      <c r="C34" s="28" t="s">
        <v>1848</v>
      </c>
      <c r="D34" s="28" t="s">
        <v>1853</v>
      </c>
      <c r="E34" s="28" t="s">
        <v>1854</v>
      </c>
      <c r="F34" s="28" t="s">
        <v>1855</v>
      </c>
      <c r="G34" s="28" t="s">
        <v>1856</v>
      </c>
    </row>
    <row r="35" spans="1:7">
      <c r="A35" s="28" t="s">
        <v>1283</v>
      </c>
      <c r="B35" s="28" t="s">
        <v>1857</v>
      </c>
      <c r="C35" s="28" t="s">
        <v>1858</v>
      </c>
      <c r="D35" s="28" t="s">
        <v>1859</v>
      </c>
      <c r="E35" s="28" t="s">
        <v>1860</v>
      </c>
      <c r="F35" s="28" t="s">
        <v>1861</v>
      </c>
      <c r="G35" s="28" t="s">
        <v>1861</v>
      </c>
    </row>
    <row r="36" spans="1:7">
      <c r="A36" s="28" t="s">
        <v>1862</v>
      </c>
      <c r="B36" s="28" t="s">
        <v>1863</v>
      </c>
      <c r="C36" s="28" t="s">
        <v>1864</v>
      </c>
      <c r="D36" s="28" t="s">
        <v>1864</v>
      </c>
      <c r="E36" s="28" t="s">
        <v>1864</v>
      </c>
      <c r="F36" s="28" t="s">
        <v>1864</v>
      </c>
      <c r="G36" s="28" t="s">
        <v>1864</v>
      </c>
    </row>
    <row r="37" spans="1:7">
      <c r="A37" s="28" t="s">
        <v>20</v>
      </c>
      <c r="B37" s="28" t="s">
        <v>41</v>
      </c>
      <c r="C37" s="28" t="s">
        <v>1865</v>
      </c>
      <c r="D37" s="28" t="s">
        <v>1866</v>
      </c>
      <c r="E37" s="28" t="s">
        <v>1867</v>
      </c>
      <c r="F37" s="28" t="s">
        <v>1868</v>
      </c>
      <c r="G37" s="28" t="s">
        <v>1869</v>
      </c>
    </row>
    <row r="38" spans="1:7">
      <c r="A38" s="28" t="s">
        <v>19</v>
      </c>
      <c r="B38" s="28" t="s">
        <v>40</v>
      </c>
      <c r="C38" s="28" t="s">
        <v>1870</v>
      </c>
      <c r="D38" s="28" t="s">
        <v>1871</v>
      </c>
      <c r="E38" s="28" t="s">
        <v>1872</v>
      </c>
      <c r="F38" s="28" t="s">
        <v>1873</v>
      </c>
      <c r="G38" s="28" t="s">
        <v>1874</v>
      </c>
    </row>
    <row r="39" spans="1:7">
      <c r="A39" s="28" t="s">
        <v>1875</v>
      </c>
      <c r="B39" s="28" t="s">
        <v>1536</v>
      </c>
      <c r="C39" s="28" t="s">
        <v>1876</v>
      </c>
      <c r="D39" s="28" t="s">
        <v>1877</v>
      </c>
      <c r="E39" s="28" t="s">
        <v>1878</v>
      </c>
      <c r="F39" s="28" t="s">
        <v>1878</v>
      </c>
      <c r="G39" s="28" t="s">
        <v>1879</v>
      </c>
    </row>
    <row r="44" spans="1:7">
      <c r="A44"/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8" bestFit="1" customWidth="1"/>
    <col min="2" max="2" width="23.6640625" style="28" bestFit="1" customWidth="1"/>
    <col min="3" max="16384" width="10.83203125" style="28"/>
  </cols>
  <sheetData>
    <row r="1" spans="1:7">
      <c r="A1" s="28" t="s">
        <v>73</v>
      </c>
      <c r="B1" s="34" t="s">
        <v>139</v>
      </c>
      <c r="C1" s="34" t="s">
        <v>17</v>
      </c>
      <c r="D1" s="38" t="s">
        <v>18</v>
      </c>
      <c r="E1" s="38" t="s">
        <v>19</v>
      </c>
      <c r="F1" s="38" t="s">
        <v>20</v>
      </c>
      <c r="G1" s="38" t="s">
        <v>21</v>
      </c>
    </row>
    <row r="2" spans="1:7">
      <c r="A2" s="28" t="s">
        <v>63</v>
      </c>
      <c r="B2" s="34" t="s">
        <v>118</v>
      </c>
      <c r="C2" s="38">
        <v>70</v>
      </c>
      <c r="D2" s="38">
        <v>70.5</v>
      </c>
      <c r="E2" s="28">
        <v>71.5</v>
      </c>
      <c r="F2" s="38">
        <v>71.5</v>
      </c>
      <c r="G2" s="38">
        <v>71.5</v>
      </c>
    </row>
    <row r="3" spans="1:7">
      <c r="A3" s="28" t="s">
        <v>64</v>
      </c>
      <c r="B3" s="34" t="s">
        <v>827</v>
      </c>
      <c r="C3" s="38">
        <v>74</v>
      </c>
      <c r="D3" s="38">
        <v>74</v>
      </c>
      <c r="E3" s="28">
        <v>72</v>
      </c>
      <c r="F3" s="38">
        <v>72</v>
      </c>
      <c r="G3" s="38">
        <v>71.5</v>
      </c>
    </row>
    <row r="4" spans="1:7">
      <c r="A4" s="28" t="s">
        <v>74</v>
      </c>
      <c r="B4" s="34" t="s">
        <v>828</v>
      </c>
      <c r="C4" s="28">
        <f>VALUE(LEFT(C27,3))</f>
        <v>520</v>
      </c>
      <c r="D4" s="28">
        <f t="shared" ref="D4:G4" si="0">VALUE(LEFT(D27,3))</f>
        <v>534</v>
      </c>
      <c r="E4" s="28">
        <f t="shared" si="0"/>
        <v>570</v>
      </c>
      <c r="F4" s="28">
        <f t="shared" si="0"/>
        <v>582</v>
      </c>
      <c r="G4" s="28">
        <f t="shared" si="0"/>
        <v>607</v>
      </c>
    </row>
    <row r="5" spans="1:7">
      <c r="A5" s="28" t="s">
        <v>61</v>
      </c>
      <c r="B5" s="34" t="s">
        <v>830</v>
      </c>
      <c r="C5" s="28">
        <f t="shared" ref="C5:G14" si="1">VALUE(LEFT(C28,3))</f>
        <v>500</v>
      </c>
      <c r="D5" s="28">
        <f t="shared" si="1"/>
        <v>520</v>
      </c>
      <c r="E5" s="28">
        <f t="shared" si="1"/>
        <v>540</v>
      </c>
      <c r="F5" s="28">
        <f t="shared" si="1"/>
        <v>560</v>
      </c>
      <c r="G5" s="28">
        <f t="shared" si="1"/>
        <v>590</v>
      </c>
    </row>
    <row r="6" spans="1:7">
      <c r="A6" s="28" t="s">
        <v>66</v>
      </c>
      <c r="B6" s="34" t="s">
        <v>831</v>
      </c>
      <c r="C6" s="28">
        <f>VALUE(LEFT(C29,2))</f>
        <v>68</v>
      </c>
      <c r="D6" s="28">
        <f t="shared" ref="D6:G6" si="2">VALUE(LEFT(D29,2))</f>
        <v>68</v>
      </c>
      <c r="E6" s="28">
        <f t="shared" si="2"/>
        <v>68</v>
      </c>
      <c r="F6" s="28">
        <f t="shared" si="2"/>
        <v>68</v>
      </c>
      <c r="G6" s="28">
        <f t="shared" si="2"/>
        <v>68</v>
      </c>
    </row>
    <row r="7" spans="1:7">
      <c r="A7" s="28" t="s">
        <v>67</v>
      </c>
      <c r="B7" s="34" t="s">
        <v>833</v>
      </c>
      <c r="C7" s="28">
        <f t="shared" si="1"/>
        <v>430</v>
      </c>
      <c r="D7" s="28">
        <f t="shared" si="1"/>
        <v>430</v>
      </c>
      <c r="E7" s="28">
        <f t="shared" si="1"/>
        <v>430</v>
      </c>
      <c r="F7" s="28">
        <f t="shared" si="1"/>
        <v>430</v>
      </c>
      <c r="G7" s="28">
        <f t="shared" si="1"/>
        <v>430</v>
      </c>
    </row>
    <row r="8" spans="1:7">
      <c r="A8" s="28" t="s">
        <v>65</v>
      </c>
      <c r="B8" s="34" t="s">
        <v>834</v>
      </c>
      <c r="C8" s="28">
        <f t="shared" si="1"/>
        <v>130</v>
      </c>
      <c r="D8" s="28">
        <f t="shared" si="1"/>
        <v>140</v>
      </c>
      <c r="E8" s="28">
        <f t="shared" si="1"/>
        <v>150</v>
      </c>
      <c r="F8" s="28">
        <f t="shared" si="1"/>
        <v>160</v>
      </c>
      <c r="G8" s="28">
        <f t="shared" si="1"/>
        <v>190</v>
      </c>
    </row>
    <row r="9" spans="1:7">
      <c r="A9" s="28" t="s">
        <v>57</v>
      </c>
      <c r="B9" s="34" t="s">
        <v>836</v>
      </c>
      <c r="C9" s="28">
        <f>VALUE(LEFT(C32,4))</f>
        <v>1011</v>
      </c>
      <c r="D9" s="28">
        <f t="shared" ref="D9:G9" si="3">VALUE(LEFT(D32,4))</f>
        <v>1020</v>
      </c>
      <c r="E9" s="28">
        <f t="shared" si="3"/>
        <v>1027</v>
      </c>
      <c r="F9" s="28">
        <f t="shared" si="3"/>
        <v>1038</v>
      </c>
      <c r="G9" s="28">
        <f t="shared" si="3"/>
        <v>1059</v>
      </c>
    </row>
    <row r="10" spans="1:7">
      <c r="A10" s="28" t="s">
        <v>135</v>
      </c>
      <c r="B10" s="34" t="s">
        <v>838</v>
      </c>
      <c r="C10" s="28">
        <f t="shared" si="1"/>
        <v>590</v>
      </c>
      <c r="D10" s="28">
        <f t="shared" si="1"/>
        <v>600</v>
      </c>
      <c r="E10" s="28">
        <f t="shared" si="1"/>
        <v>606</v>
      </c>
      <c r="F10" s="28">
        <f t="shared" si="1"/>
        <v>618</v>
      </c>
      <c r="G10" s="28">
        <f t="shared" si="1"/>
        <v>638</v>
      </c>
    </row>
    <row r="11" spans="1:7">
      <c r="A11" s="28" t="s">
        <v>68</v>
      </c>
      <c r="B11" s="34" t="s">
        <v>840</v>
      </c>
      <c r="C11" s="28">
        <f>VALUE(LEFT(C34,2))</f>
        <v>47</v>
      </c>
      <c r="D11" s="28">
        <f t="shared" ref="D11:G11" si="4">VALUE(LEFT(D34,2))</f>
        <v>47</v>
      </c>
      <c r="E11" s="28">
        <f t="shared" si="4"/>
        <v>47</v>
      </c>
      <c r="F11" s="28">
        <f t="shared" si="4"/>
        <v>47</v>
      </c>
      <c r="G11" s="28">
        <f t="shared" si="4"/>
        <v>47</v>
      </c>
    </row>
    <row r="12" spans="1:7">
      <c r="A12" s="28" t="s">
        <v>136</v>
      </c>
      <c r="B12" s="34" t="s">
        <v>842</v>
      </c>
      <c r="C12" s="28">
        <f>VALUE(LEFT(C35,2))</f>
        <v>74</v>
      </c>
      <c r="D12" s="28">
        <f t="shared" ref="D12:G12" si="5">VALUE(LEFT(D35,2))</f>
        <v>72</v>
      </c>
      <c r="E12" s="28">
        <f t="shared" si="5"/>
        <v>66</v>
      </c>
      <c r="F12" s="28">
        <f t="shared" si="5"/>
        <v>66</v>
      </c>
      <c r="G12" s="28">
        <f t="shared" si="5"/>
        <v>66</v>
      </c>
    </row>
    <row r="13" spans="1:7">
      <c r="A13" s="28" t="s">
        <v>56</v>
      </c>
      <c r="B13" s="34" t="s">
        <v>844</v>
      </c>
      <c r="C13" s="28">
        <f t="shared" si="1"/>
        <v>358</v>
      </c>
      <c r="D13" s="28">
        <f t="shared" si="1"/>
        <v>368</v>
      </c>
      <c r="E13" s="28">
        <f t="shared" si="1"/>
        <v>380</v>
      </c>
      <c r="F13" s="28">
        <f t="shared" si="1"/>
        <v>390</v>
      </c>
      <c r="G13" s="28">
        <f t="shared" si="1"/>
        <v>400</v>
      </c>
    </row>
    <row r="14" spans="1:7">
      <c r="A14" s="28" t="s">
        <v>55</v>
      </c>
      <c r="B14" s="34" t="s">
        <v>846</v>
      </c>
      <c r="C14" s="28">
        <f t="shared" si="1"/>
        <v>558</v>
      </c>
      <c r="D14" s="28">
        <f t="shared" si="1"/>
        <v>570</v>
      </c>
      <c r="E14" s="28">
        <f t="shared" si="1"/>
        <v>582</v>
      </c>
      <c r="F14" s="28">
        <f t="shared" si="1"/>
        <v>592</v>
      </c>
      <c r="G14" s="28">
        <f t="shared" si="1"/>
        <v>619</v>
      </c>
    </row>
    <row r="15" spans="1:7">
      <c r="A15" s="28" t="s">
        <v>58</v>
      </c>
      <c r="B15" s="28" t="s">
        <v>58</v>
      </c>
    </row>
    <row r="16" spans="1:7">
      <c r="A16" s="28" t="s">
        <v>70</v>
      </c>
      <c r="B16" s="28" t="s">
        <v>70</v>
      </c>
    </row>
    <row r="17" spans="1:10">
      <c r="A17" s="28" t="s">
        <v>71</v>
      </c>
      <c r="B17" s="28" t="s">
        <v>71</v>
      </c>
    </row>
    <row r="18" spans="1:10">
      <c r="A18" s="28" t="s">
        <v>72</v>
      </c>
      <c r="B18" s="28" t="s">
        <v>72</v>
      </c>
    </row>
    <row r="19" spans="1:10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10">
      <c r="A20" s="28" t="s">
        <v>140</v>
      </c>
      <c r="B20" s="28" t="s">
        <v>140</v>
      </c>
      <c r="C20" s="28">
        <v>35</v>
      </c>
      <c r="D20" s="28">
        <v>35</v>
      </c>
      <c r="E20" s="28">
        <v>35</v>
      </c>
      <c r="F20" s="28">
        <v>35</v>
      </c>
      <c r="G20" s="28">
        <v>35</v>
      </c>
    </row>
    <row r="21" spans="1:10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</row>
    <row r="22" spans="1:10">
      <c r="A22" s="28" t="s">
        <v>1758</v>
      </c>
    </row>
    <row r="23" spans="1:10">
      <c r="A23" s="28" t="s">
        <v>1759</v>
      </c>
    </row>
    <row r="24" spans="1:10">
      <c r="C24" s="34" t="s">
        <v>17</v>
      </c>
      <c r="D24" s="38" t="s">
        <v>18</v>
      </c>
      <c r="E24" s="38" t="s">
        <v>19</v>
      </c>
      <c r="F24" s="38" t="s">
        <v>20</v>
      </c>
      <c r="G24" s="38" t="s">
        <v>21</v>
      </c>
      <c r="I24" s="34"/>
    </row>
    <row r="25" spans="1:10">
      <c r="B25" s="34" t="s">
        <v>118</v>
      </c>
      <c r="C25" s="38" t="s">
        <v>582</v>
      </c>
      <c r="D25" s="38" t="s">
        <v>848</v>
      </c>
      <c r="E25" s="28" t="s">
        <v>794</v>
      </c>
      <c r="F25" s="38" t="s">
        <v>794</v>
      </c>
      <c r="G25" s="38" t="s">
        <v>794</v>
      </c>
      <c r="I25" s="34"/>
      <c r="J25" s="38"/>
    </row>
    <row r="26" spans="1:10">
      <c r="B26" s="34" t="s">
        <v>827</v>
      </c>
      <c r="C26" s="38" t="s">
        <v>33</v>
      </c>
      <c r="D26" s="38" t="s">
        <v>33</v>
      </c>
      <c r="E26" s="28" t="s">
        <v>795</v>
      </c>
      <c r="F26" s="38" t="s">
        <v>795</v>
      </c>
      <c r="G26" s="38" t="s">
        <v>794</v>
      </c>
      <c r="I26" s="34"/>
      <c r="J26" s="38"/>
    </row>
    <row r="27" spans="1:10">
      <c r="B27" s="34" t="s">
        <v>828</v>
      </c>
      <c r="C27" s="38" t="s">
        <v>829</v>
      </c>
      <c r="D27" s="38" t="s">
        <v>849</v>
      </c>
      <c r="E27" s="28" t="s">
        <v>853</v>
      </c>
      <c r="F27" s="38" t="s">
        <v>859</v>
      </c>
      <c r="G27" s="38" t="s">
        <v>610</v>
      </c>
      <c r="I27" s="34"/>
      <c r="J27" s="38"/>
    </row>
    <row r="28" spans="1:10">
      <c r="B28" s="34" t="s">
        <v>830</v>
      </c>
      <c r="C28" s="38" t="s">
        <v>640</v>
      </c>
      <c r="D28" s="38" t="s">
        <v>829</v>
      </c>
      <c r="E28" s="28" t="s">
        <v>854</v>
      </c>
      <c r="F28" s="38" t="s">
        <v>860</v>
      </c>
      <c r="G28" s="38" t="s">
        <v>839</v>
      </c>
      <c r="I28" s="34"/>
      <c r="J28" s="38"/>
    </row>
    <row r="29" spans="1:10">
      <c r="B29" s="34" t="s">
        <v>831</v>
      </c>
      <c r="C29" s="38" t="s">
        <v>832</v>
      </c>
      <c r="D29" s="38" t="s">
        <v>832</v>
      </c>
      <c r="E29" s="28" t="s">
        <v>832</v>
      </c>
      <c r="F29" s="38" t="s">
        <v>832</v>
      </c>
      <c r="G29" s="38" t="s">
        <v>832</v>
      </c>
      <c r="I29" s="34"/>
      <c r="J29" s="38"/>
    </row>
    <row r="30" spans="1:10">
      <c r="B30" s="34" t="s">
        <v>833</v>
      </c>
      <c r="C30" s="38" t="s">
        <v>240</v>
      </c>
      <c r="D30" s="38" t="s">
        <v>240</v>
      </c>
      <c r="E30" s="28" t="s">
        <v>240</v>
      </c>
      <c r="F30" s="38" t="s">
        <v>240</v>
      </c>
      <c r="G30" s="38" t="s">
        <v>240</v>
      </c>
      <c r="I30" s="34"/>
      <c r="J30" s="38"/>
    </row>
    <row r="31" spans="1:10">
      <c r="B31" s="34" t="s">
        <v>834</v>
      </c>
      <c r="C31" s="38" t="s">
        <v>835</v>
      </c>
      <c r="D31" s="38" t="s">
        <v>245</v>
      </c>
      <c r="E31" s="28" t="s">
        <v>855</v>
      </c>
      <c r="F31" s="38" t="s">
        <v>861</v>
      </c>
      <c r="G31" s="38" t="s">
        <v>865</v>
      </c>
      <c r="I31" s="34"/>
      <c r="J31" s="38"/>
    </row>
    <row r="32" spans="1:10">
      <c r="B32" s="34" t="s">
        <v>836</v>
      </c>
      <c r="C32" s="38" t="s">
        <v>837</v>
      </c>
      <c r="D32" s="38" t="s">
        <v>850</v>
      </c>
      <c r="E32" s="28" t="s">
        <v>856</v>
      </c>
      <c r="F32" s="38" t="s">
        <v>862</v>
      </c>
      <c r="G32" s="38" t="s">
        <v>866</v>
      </c>
      <c r="I32" s="34"/>
      <c r="J32" s="38"/>
    </row>
    <row r="33" spans="2:10">
      <c r="B33" s="34" t="s">
        <v>838</v>
      </c>
      <c r="C33" s="38" t="s">
        <v>839</v>
      </c>
      <c r="D33" s="38" t="s">
        <v>633</v>
      </c>
      <c r="E33" s="28" t="s">
        <v>857</v>
      </c>
      <c r="F33" s="38" t="s">
        <v>863</v>
      </c>
      <c r="G33" s="38" t="s">
        <v>867</v>
      </c>
      <c r="I33" s="34"/>
      <c r="J33" s="38"/>
    </row>
    <row r="34" spans="2:10">
      <c r="B34" s="34" t="s">
        <v>840</v>
      </c>
      <c r="C34" s="38" t="s">
        <v>841</v>
      </c>
      <c r="D34" s="38" t="s">
        <v>841</v>
      </c>
      <c r="E34" s="28" t="s">
        <v>841</v>
      </c>
      <c r="F34" s="38" t="s">
        <v>841</v>
      </c>
      <c r="G34" s="38" t="s">
        <v>841</v>
      </c>
      <c r="I34" s="34"/>
      <c r="J34" s="38"/>
    </row>
    <row r="35" spans="2:10">
      <c r="B35" s="34" t="s">
        <v>842</v>
      </c>
      <c r="C35" s="38" t="s">
        <v>843</v>
      </c>
      <c r="D35" s="38" t="s">
        <v>851</v>
      </c>
      <c r="E35" s="28" t="s">
        <v>858</v>
      </c>
      <c r="F35" s="38" t="s">
        <v>858</v>
      </c>
      <c r="G35" s="38" t="s">
        <v>858</v>
      </c>
      <c r="I35" s="34"/>
      <c r="J35" s="38"/>
    </row>
    <row r="36" spans="2:10">
      <c r="B36" s="34" t="s">
        <v>844</v>
      </c>
      <c r="C36" s="38" t="s">
        <v>845</v>
      </c>
      <c r="D36" s="38" t="s">
        <v>852</v>
      </c>
      <c r="E36" s="28" t="s">
        <v>239</v>
      </c>
      <c r="F36" s="38" t="s">
        <v>623</v>
      </c>
      <c r="G36" s="38" t="s">
        <v>868</v>
      </c>
      <c r="I36" s="34"/>
      <c r="J36" s="38"/>
    </row>
    <row r="37" spans="2:10">
      <c r="B37" s="34" t="s">
        <v>846</v>
      </c>
      <c r="C37" s="38" t="s">
        <v>847</v>
      </c>
      <c r="D37" s="38" t="s">
        <v>853</v>
      </c>
      <c r="E37" s="28" t="s">
        <v>859</v>
      </c>
      <c r="F37" s="38" t="s">
        <v>864</v>
      </c>
      <c r="G37" s="38" t="s">
        <v>869</v>
      </c>
      <c r="I37" s="34"/>
      <c r="J37" s="38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A21" sqref="A21:A22"/>
    </sheetView>
  </sheetViews>
  <sheetFormatPr baseColWidth="10" defaultRowHeight="20"/>
  <cols>
    <col min="1" max="1" width="19.1640625" style="28" bestFit="1" customWidth="1"/>
    <col min="2" max="2" width="24.83203125" style="28" bestFit="1" customWidth="1"/>
    <col min="3" max="3" width="11.33203125" style="28" bestFit="1" customWidth="1"/>
    <col min="4" max="16384" width="10.83203125" style="28"/>
  </cols>
  <sheetData>
    <row r="1" spans="1:7">
      <c r="A1" s="28" t="s">
        <v>73</v>
      </c>
      <c r="B1" s="28" t="s">
        <v>144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7">
      <c r="A2" s="28" t="s">
        <v>56</v>
      </c>
      <c r="B2" s="28" t="s">
        <v>41</v>
      </c>
      <c r="C2" s="28">
        <v>370</v>
      </c>
      <c r="D2" s="28">
        <v>383</v>
      </c>
      <c r="E2" s="28">
        <v>403</v>
      </c>
      <c r="F2" s="28">
        <v>422</v>
      </c>
    </row>
    <row r="3" spans="1:7">
      <c r="A3" s="28" t="s">
        <v>55</v>
      </c>
      <c r="B3" s="28" t="s">
        <v>40</v>
      </c>
      <c r="C3" s="28">
        <v>586</v>
      </c>
      <c r="D3" s="28">
        <v>609</v>
      </c>
      <c r="E3" s="28">
        <v>630</v>
      </c>
      <c r="F3" s="28">
        <v>651</v>
      </c>
    </row>
    <row r="4" spans="1:7">
      <c r="A4" s="28" t="s">
        <v>63</v>
      </c>
      <c r="B4" s="28" t="s">
        <v>35</v>
      </c>
      <c r="C4" s="28">
        <v>70</v>
      </c>
      <c r="D4" s="28">
        <v>70.5</v>
      </c>
      <c r="E4" s="28">
        <v>70.5</v>
      </c>
      <c r="F4" s="28">
        <v>70.5</v>
      </c>
    </row>
    <row r="5" spans="1:7">
      <c r="A5" s="28" t="s">
        <v>66</v>
      </c>
      <c r="B5" s="28" t="s">
        <v>187</v>
      </c>
      <c r="C5" s="28">
        <v>70</v>
      </c>
      <c r="D5" s="28">
        <v>70</v>
      </c>
      <c r="E5" s="28">
        <v>70</v>
      </c>
      <c r="F5" s="28">
        <v>70</v>
      </c>
    </row>
    <row r="6" spans="1:7">
      <c r="A6" s="28" t="s">
        <v>57</v>
      </c>
      <c r="B6" s="28" t="s">
        <v>37</v>
      </c>
      <c r="C6" s="28">
        <v>1029</v>
      </c>
      <c r="D6" s="28">
        <v>1044</v>
      </c>
      <c r="E6" s="28">
        <v>1071</v>
      </c>
      <c r="F6" s="28">
        <v>1097</v>
      </c>
    </row>
    <row r="7" spans="1:7">
      <c r="A7" s="28" t="s">
        <v>67</v>
      </c>
      <c r="B7" s="28" t="s">
        <v>36</v>
      </c>
      <c r="C7" s="28">
        <v>412</v>
      </c>
      <c r="D7" s="28">
        <v>412</v>
      </c>
      <c r="E7" s="28">
        <v>412</v>
      </c>
      <c r="F7" s="28">
        <v>412</v>
      </c>
      <c r="G7" s="28" t="s">
        <v>1265</v>
      </c>
    </row>
    <row r="8" spans="1:7">
      <c r="A8" s="28" t="s">
        <v>64</v>
      </c>
      <c r="B8" s="28" t="s">
        <v>32</v>
      </c>
      <c r="C8" s="28">
        <v>73</v>
      </c>
      <c r="D8" s="28">
        <v>73</v>
      </c>
      <c r="E8" s="28">
        <v>73</v>
      </c>
      <c r="F8" s="28">
        <v>73</v>
      </c>
    </row>
    <row r="9" spans="1:7">
      <c r="A9" s="28" t="s">
        <v>65</v>
      </c>
      <c r="B9" s="28" t="s">
        <v>65</v>
      </c>
      <c r="C9" s="28">
        <f>C37</f>
        <v>155.3373012085905</v>
      </c>
      <c r="D9" s="28">
        <f t="shared" ref="D9:F9" si="0">D37</f>
        <v>177.52643660055793</v>
      </c>
      <c r="E9" s="28">
        <f t="shared" si="0"/>
        <v>199.80425929184287</v>
      </c>
      <c r="F9" s="28">
        <f t="shared" si="0"/>
        <v>222.08208198312781</v>
      </c>
    </row>
    <row r="10" spans="1:7">
      <c r="A10" s="28" t="s">
        <v>61</v>
      </c>
      <c r="B10" s="28" t="s">
        <v>61</v>
      </c>
    </row>
    <row r="11" spans="1:7">
      <c r="A11" s="28" t="s">
        <v>74</v>
      </c>
      <c r="B11" s="28" t="s">
        <v>74</v>
      </c>
      <c r="C11" s="28">
        <f>C44</f>
        <v>549.15817933477501</v>
      </c>
      <c r="D11" s="28">
        <f t="shared" ref="D11:F11" si="1">D44</f>
        <v>569.18998500832413</v>
      </c>
      <c r="E11" s="28">
        <f t="shared" si="1"/>
        <v>595.61032931895602</v>
      </c>
      <c r="F11" s="28">
        <f t="shared" si="1"/>
        <v>621.03067362958791</v>
      </c>
    </row>
    <row r="12" spans="1:7">
      <c r="A12" s="28" t="s">
        <v>68</v>
      </c>
      <c r="B12" s="28" t="s">
        <v>68</v>
      </c>
      <c r="C12" s="28">
        <v>50</v>
      </c>
      <c r="D12" s="28">
        <v>50</v>
      </c>
      <c r="E12" s="28">
        <v>50</v>
      </c>
      <c r="F12" s="28">
        <v>50</v>
      </c>
      <c r="G12" s="28" t="s">
        <v>1218</v>
      </c>
    </row>
    <row r="13" spans="1:7">
      <c r="A13" s="28" t="s">
        <v>1237</v>
      </c>
      <c r="B13" s="28" t="s">
        <v>1237</v>
      </c>
      <c r="C13" s="28">
        <v>415</v>
      </c>
      <c r="D13" s="28">
        <v>415</v>
      </c>
      <c r="E13" s="28">
        <v>415</v>
      </c>
      <c r="F13" s="28">
        <v>415</v>
      </c>
      <c r="G13" s="28" t="s">
        <v>1218</v>
      </c>
    </row>
    <row r="14" spans="1:7">
      <c r="A14" s="28" t="s">
        <v>58</v>
      </c>
      <c r="B14" s="28" t="s">
        <v>58</v>
      </c>
    </row>
    <row r="15" spans="1:7">
      <c r="A15" s="28" t="s">
        <v>70</v>
      </c>
      <c r="B15" s="28" t="s">
        <v>70</v>
      </c>
    </row>
    <row r="16" spans="1:7">
      <c r="A16" s="28" t="s">
        <v>71</v>
      </c>
      <c r="B16" s="28" t="s">
        <v>71</v>
      </c>
    </row>
    <row r="17" spans="1:9">
      <c r="A17" s="28" t="s">
        <v>72</v>
      </c>
      <c r="B17" s="28" t="s">
        <v>72</v>
      </c>
    </row>
    <row r="18" spans="1:9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</row>
    <row r="19" spans="1:9">
      <c r="A19" s="28" t="s">
        <v>140</v>
      </c>
      <c r="B19" s="28" t="s">
        <v>140</v>
      </c>
      <c r="C19" s="28">
        <f>2.1*25.4</f>
        <v>53.339999999999996</v>
      </c>
      <c r="D19" s="28">
        <f t="shared" ref="D19:F19" si="2">2.1*25.4</f>
        <v>53.339999999999996</v>
      </c>
      <c r="E19" s="28">
        <f t="shared" si="2"/>
        <v>53.339999999999996</v>
      </c>
      <c r="F19" s="28">
        <f t="shared" si="2"/>
        <v>53.339999999999996</v>
      </c>
    </row>
    <row r="20" spans="1:9">
      <c r="A20" s="28" t="s">
        <v>141</v>
      </c>
      <c r="B20" s="28" t="s">
        <v>141</v>
      </c>
      <c r="C20" s="28">
        <f>2.2*25.4</f>
        <v>55.88</v>
      </c>
      <c r="D20" s="28">
        <f t="shared" ref="D20:F20" si="3">2.2*25.4</f>
        <v>55.88</v>
      </c>
      <c r="E20" s="28">
        <f t="shared" si="3"/>
        <v>55.88</v>
      </c>
      <c r="F20" s="28">
        <f t="shared" si="3"/>
        <v>55.88</v>
      </c>
    </row>
    <row r="21" spans="1:9">
      <c r="A21" s="28" t="s">
        <v>1758</v>
      </c>
    </row>
    <row r="22" spans="1:9">
      <c r="A22" s="28" t="s">
        <v>1759</v>
      </c>
    </row>
    <row r="24" spans="1:9">
      <c r="C24" s="54" t="s">
        <v>41</v>
      </c>
      <c r="D24" s="54" t="s">
        <v>40</v>
      </c>
      <c r="E24" s="54" t="s">
        <v>35</v>
      </c>
      <c r="F24" s="54" t="s">
        <v>187</v>
      </c>
      <c r="G24" s="54" t="s">
        <v>37</v>
      </c>
      <c r="H24" s="54" t="s">
        <v>36</v>
      </c>
      <c r="I24" s="54" t="s">
        <v>32</v>
      </c>
    </row>
    <row r="25" spans="1:9">
      <c r="B25" s="54" t="s">
        <v>18</v>
      </c>
      <c r="C25" s="55">
        <v>370</v>
      </c>
      <c r="D25" s="55">
        <v>586</v>
      </c>
      <c r="E25" s="55" t="s">
        <v>582</v>
      </c>
      <c r="F25" s="55">
        <v>70</v>
      </c>
      <c r="G25" s="55">
        <v>1029</v>
      </c>
      <c r="H25" s="55" t="s">
        <v>1217</v>
      </c>
      <c r="I25" s="55" t="s">
        <v>804</v>
      </c>
    </row>
    <row r="26" spans="1:9">
      <c r="B26" s="54" t="s">
        <v>19</v>
      </c>
      <c r="C26" s="55">
        <v>383</v>
      </c>
      <c r="D26" s="55">
        <v>609</v>
      </c>
      <c r="E26" s="55" t="s">
        <v>848</v>
      </c>
      <c r="F26" s="55">
        <v>70</v>
      </c>
      <c r="G26" s="55">
        <v>1044</v>
      </c>
      <c r="H26" s="55" t="s">
        <v>1217</v>
      </c>
      <c r="I26" s="55" t="s">
        <v>804</v>
      </c>
    </row>
    <row r="27" spans="1:9">
      <c r="B27" s="54" t="s">
        <v>20</v>
      </c>
      <c r="C27" s="55">
        <v>403</v>
      </c>
      <c r="D27" s="55">
        <v>630</v>
      </c>
      <c r="E27" s="55" t="s">
        <v>848</v>
      </c>
      <c r="F27" s="55">
        <v>70</v>
      </c>
      <c r="G27" s="55">
        <v>1071</v>
      </c>
      <c r="H27" s="55" t="s">
        <v>1217</v>
      </c>
      <c r="I27" s="55" t="s">
        <v>804</v>
      </c>
    </row>
    <row r="28" spans="1:9">
      <c r="B28" s="54" t="s">
        <v>21</v>
      </c>
      <c r="C28" s="55">
        <v>422</v>
      </c>
      <c r="D28" s="55">
        <v>651</v>
      </c>
      <c r="E28" s="55" t="s">
        <v>848</v>
      </c>
      <c r="F28" s="55">
        <v>70</v>
      </c>
      <c r="G28" s="55">
        <v>1097</v>
      </c>
      <c r="H28" s="55" t="s">
        <v>1217</v>
      </c>
      <c r="I28" s="55" t="s">
        <v>804</v>
      </c>
    </row>
    <row r="31" spans="1:9">
      <c r="A31" s="28" t="s">
        <v>1219</v>
      </c>
      <c r="B31" s="28" t="s">
        <v>1220</v>
      </c>
      <c r="C31" s="28">
        <f>ACOS(C12/C13)*180/PI()</f>
        <v>83.080083196969625</v>
      </c>
      <c r="D31" s="28">
        <f t="shared" ref="D31:F31" si="4">ACOS(D12/D13)*180/PI()</f>
        <v>83.080083196969625</v>
      </c>
      <c r="E31" s="28">
        <f t="shared" si="4"/>
        <v>83.080083196969625</v>
      </c>
      <c r="F31" s="28">
        <f t="shared" si="4"/>
        <v>83.080083196969625</v>
      </c>
      <c r="G31"/>
    </row>
    <row r="32" spans="1:9">
      <c r="A32" s="28" t="s">
        <v>1221</v>
      </c>
      <c r="B32" s="28" t="s">
        <v>1222</v>
      </c>
      <c r="C32" s="28">
        <f>90-C4</f>
        <v>20</v>
      </c>
      <c r="D32" s="28">
        <f t="shared" ref="D32:F32" si="5">90-D4</f>
        <v>19.5</v>
      </c>
      <c r="E32" s="28">
        <f t="shared" si="5"/>
        <v>19.5</v>
      </c>
      <c r="F32" s="28">
        <f t="shared" si="5"/>
        <v>19.5</v>
      </c>
      <c r="G32"/>
    </row>
    <row r="33" spans="1:7">
      <c r="A33" s="28" t="s">
        <v>1223</v>
      </c>
      <c r="B33" s="28" t="s">
        <v>1224</v>
      </c>
      <c r="C33" s="28">
        <f>C31-C32</f>
        <v>63.080083196969625</v>
      </c>
      <c r="D33" s="28">
        <f t="shared" ref="D33:F33" si="6">D31-D32</f>
        <v>63.580083196969625</v>
      </c>
      <c r="E33" s="28">
        <f t="shared" si="6"/>
        <v>63.580083196969625</v>
      </c>
      <c r="F33" s="28">
        <f t="shared" si="6"/>
        <v>63.580083196969625</v>
      </c>
      <c r="G33"/>
    </row>
    <row r="34" spans="1:7">
      <c r="A34" s="28" t="s">
        <v>1225</v>
      </c>
      <c r="B34" s="28" t="s">
        <v>1226</v>
      </c>
      <c r="C34" s="28">
        <f>C13*SIN(C33*PI()/180)</f>
        <v>370.03068432148956</v>
      </c>
      <c r="D34" s="28">
        <f t="shared" ref="D34:F34" si="7">D13*SIN(D33*PI()/180)</f>
        <v>371.65621509456901</v>
      </c>
      <c r="E34" s="28">
        <f t="shared" si="7"/>
        <v>371.65621509456901</v>
      </c>
      <c r="F34" s="28">
        <f t="shared" si="7"/>
        <v>371.65621509456901</v>
      </c>
      <c r="G34"/>
    </row>
    <row r="35" spans="1:7">
      <c r="A35" s="28" t="s">
        <v>1235</v>
      </c>
      <c r="B35" s="28" t="s">
        <v>1236</v>
      </c>
      <c r="C35" s="28">
        <f>C13*COS(C33*PI()/180)</f>
        <v>187.88904348197136</v>
      </c>
      <c r="D35" s="28">
        <f t="shared" ref="D35:F35" si="8">D13*COS(D33*PI()/180)</f>
        <v>184.65280334070067</v>
      </c>
      <c r="E35" s="28">
        <f t="shared" si="8"/>
        <v>184.65280334070067</v>
      </c>
      <c r="F35" s="28">
        <f t="shared" si="8"/>
        <v>184.65280334070067</v>
      </c>
      <c r="G35"/>
    </row>
    <row r="36" spans="1:7">
      <c r="A36" s="28" t="s">
        <v>1227</v>
      </c>
      <c r="B36" s="28" t="s">
        <v>1228</v>
      </c>
      <c r="C36" s="28">
        <f>C3-C5-C34</f>
        <v>145.96931567851044</v>
      </c>
      <c r="D36" s="28">
        <f t="shared" ref="D36:F36" si="9">D3-D5-D34</f>
        <v>167.34378490543099</v>
      </c>
      <c r="E36" s="28">
        <f t="shared" si="9"/>
        <v>188.34378490543099</v>
      </c>
      <c r="F36" s="28">
        <f t="shared" si="9"/>
        <v>209.34378490543099</v>
      </c>
      <c r="G36"/>
    </row>
    <row r="37" spans="1:7">
      <c r="A37" s="28" t="s">
        <v>1231</v>
      </c>
      <c r="B37" s="28" t="s">
        <v>1232</v>
      </c>
      <c r="C37" s="28">
        <f>C36/SIN(C4*PI()/180)</f>
        <v>155.3373012085905</v>
      </c>
      <c r="D37" s="28">
        <f t="shared" ref="D37:F37" si="10">D36/SIN(D4*PI()/180)</f>
        <v>177.52643660055793</v>
      </c>
      <c r="E37" s="28">
        <f t="shared" si="10"/>
        <v>199.80425929184287</v>
      </c>
      <c r="F37" s="28">
        <f t="shared" si="10"/>
        <v>222.08208198312781</v>
      </c>
      <c r="G37"/>
    </row>
    <row r="38" spans="1:7">
      <c r="A38" s="28" t="s">
        <v>1229</v>
      </c>
      <c r="B38" s="28" t="s">
        <v>1230</v>
      </c>
      <c r="C38" s="28">
        <f>C36/TAN(C4*PI()/180)</f>
        <v>53.128486023184713</v>
      </c>
      <c r="D38" s="28">
        <f t="shared" ref="D38:F38" si="11">D36/TAN(D4*PI()/180)</f>
        <v>59.259542232595436</v>
      </c>
      <c r="E38" s="28">
        <f t="shared" si="11"/>
        <v>66.696032255740107</v>
      </c>
      <c r="F38" s="28">
        <f t="shared" si="11"/>
        <v>74.132522278884764</v>
      </c>
    </row>
    <row r="39" spans="1:7">
      <c r="A39" s="28" t="s">
        <v>1233</v>
      </c>
      <c r="C39" s="28">
        <f>SQRT(C7^2+C5^2)</f>
        <v>417.90429526387976</v>
      </c>
      <c r="D39" s="28">
        <f t="shared" ref="D39:F39" si="12">SQRT(D7^2+D5^2)</f>
        <v>417.90429526387976</v>
      </c>
      <c r="E39" s="28">
        <f t="shared" si="12"/>
        <v>417.90429526387976</v>
      </c>
      <c r="F39" s="28">
        <f t="shared" si="12"/>
        <v>417.90429526387976</v>
      </c>
    </row>
    <row r="40" spans="1:7">
      <c r="A40" s="28" t="s">
        <v>1234</v>
      </c>
      <c r="C40" s="28">
        <f>C39+C2+C38+C35</f>
        <v>1028.9218247690358</v>
      </c>
      <c r="D40" s="28">
        <f t="shared" ref="D40:F40" si="13">D39+D2+D38+D35</f>
        <v>1044.8166408371758</v>
      </c>
      <c r="E40" s="28">
        <f t="shared" si="13"/>
        <v>1072.2531308603204</v>
      </c>
      <c r="F40" s="28">
        <f t="shared" si="13"/>
        <v>1098.6896208834651</v>
      </c>
    </row>
    <row r="41" spans="1:7">
      <c r="A41" s="28" t="s">
        <v>1238</v>
      </c>
      <c r="C41" s="28">
        <f>C6</f>
        <v>1029</v>
      </c>
      <c r="D41" s="28">
        <f t="shared" ref="D41:F41" si="14">D6</f>
        <v>1044</v>
      </c>
      <c r="E41" s="28">
        <f t="shared" si="14"/>
        <v>1071</v>
      </c>
      <c r="F41" s="28">
        <f t="shared" si="14"/>
        <v>1097</v>
      </c>
    </row>
    <row r="43" spans="1:7">
      <c r="A43" s="28" t="s">
        <v>1239</v>
      </c>
      <c r="B43" s="28" t="s">
        <v>1228</v>
      </c>
      <c r="C43" s="28">
        <f>C3/TAN(C8*PI()/180)</f>
        <v>179.15817933477499</v>
      </c>
      <c r="D43" s="28">
        <f t="shared" ref="D43:F43" si="15">D3/TAN(D8*PI()/180)</f>
        <v>186.18998500832419</v>
      </c>
      <c r="E43" s="28">
        <f t="shared" si="15"/>
        <v>192.61032931895605</v>
      </c>
      <c r="F43" s="28">
        <f t="shared" si="15"/>
        <v>199.03067362958791</v>
      </c>
    </row>
    <row r="44" spans="1:7">
      <c r="A44" s="28" t="s">
        <v>1240</v>
      </c>
      <c r="B44" s="28" t="s">
        <v>1241</v>
      </c>
      <c r="C44" s="28">
        <f>C43+C2</f>
        <v>549.15817933477501</v>
      </c>
      <c r="D44" s="28">
        <f t="shared" ref="D44:F44" si="16">D43+D2</f>
        <v>569.18998500832413</v>
      </c>
      <c r="E44" s="28">
        <f t="shared" si="16"/>
        <v>595.61032931895602</v>
      </c>
      <c r="F44" s="28">
        <f t="shared" si="16"/>
        <v>621.03067362958791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8" bestFit="1" customWidth="1"/>
    <col min="2" max="2" width="21.5" style="28" bestFit="1" customWidth="1"/>
    <col min="3" max="11" width="12.33203125" style="28" customWidth="1"/>
    <col min="12" max="13" width="12.83203125" style="28" customWidth="1"/>
    <col min="14" max="14" width="11.33203125" style="28" customWidth="1"/>
    <col min="15" max="16384" width="10.83203125" style="28"/>
  </cols>
  <sheetData>
    <row r="1" spans="1:11">
      <c r="A1" s="28" t="s">
        <v>73</v>
      </c>
      <c r="B1" s="28" t="s">
        <v>144</v>
      </c>
      <c r="C1" s="28">
        <v>46</v>
      </c>
      <c r="D1" s="28">
        <v>50</v>
      </c>
      <c r="E1" s="28">
        <v>52</v>
      </c>
      <c r="F1" s="28">
        <v>54</v>
      </c>
      <c r="G1" s="28">
        <v>56</v>
      </c>
      <c r="H1" s="28">
        <v>58</v>
      </c>
      <c r="I1" s="28">
        <v>60</v>
      </c>
      <c r="J1" s="28">
        <v>62</v>
      </c>
      <c r="K1" s="28">
        <v>66</v>
      </c>
    </row>
    <row r="2" spans="1:11">
      <c r="A2" s="28" t="s">
        <v>61</v>
      </c>
      <c r="B2" s="28" t="s">
        <v>585</v>
      </c>
      <c r="C2" s="28">
        <v>460</v>
      </c>
      <c r="D2" s="28">
        <v>500</v>
      </c>
      <c r="E2" s="28">
        <v>520</v>
      </c>
      <c r="F2" s="28">
        <v>540</v>
      </c>
      <c r="G2" s="28">
        <v>560</v>
      </c>
      <c r="H2" s="28">
        <v>580</v>
      </c>
      <c r="I2" s="28">
        <v>600</v>
      </c>
      <c r="J2" s="28">
        <v>620</v>
      </c>
      <c r="K2" s="28">
        <v>635</v>
      </c>
    </row>
    <row r="3" spans="1:11">
      <c r="A3" s="28" t="s">
        <v>74</v>
      </c>
      <c r="B3" s="28" t="s">
        <v>1881</v>
      </c>
      <c r="C3" s="28">
        <v>531</v>
      </c>
      <c r="D3" s="28">
        <v>546</v>
      </c>
      <c r="E3" s="28">
        <v>555</v>
      </c>
      <c r="F3" s="28">
        <v>566</v>
      </c>
      <c r="G3" s="28">
        <v>575</v>
      </c>
      <c r="H3" s="28">
        <v>587</v>
      </c>
      <c r="I3" s="28">
        <v>600</v>
      </c>
      <c r="J3" s="28">
        <v>615</v>
      </c>
      <c r="K3" s="28">
        <v>630</v>
      </c>
    </row>
    <row r="4" spans="1:11">
      <c r="A4" s="28" t="s">
        <v>63</v>
      </c>
      <c r="B4" s="28" t="s">
        <v>4</v>
      </c>
      <c r="C4" s="28">
        <v>71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  <c r="J4" s="28">
        <v>72</v>
      </c>
      <c r="K4" s="28">
        <v>72</v>
      </c>
    </row>
    <row r="5" spans="1:11">
      <c r="A5" s="28" t="s">
        <v>64</v>
      </c>
      <c r="B5" s="28" t="s">
        <v>5</v>
      </c>
      <c r="C5" s="28">
        <v>74</v>
      </c>
      <c r="D5" s="28">
        <v>74</v>
      </c>
      <c r="E5" s="28">
        <v>73.5</v>
      </c>
      <c r="F5" s="28">
        <v>73.5</v>
      </c>
      <c r="G5" s="28">
        <v>73.5</v>
      </c>
      <c r="H5" s="28">
        <v>73</v>
      </c>
      <c r="I5" s="28">
        <v>73</v>
      </c>
      <c r="J5" s="28">
        <v>72.5</v>
      </c>
      <c r="K5" s="28">
        <v>72.5</v>
      </c>
    </row>
    <row r="6" spans="1:11">
      <c r="A6" s="28" t="s">
        <v>67</v>
      </c>
      <c r="B6" s="28" t="s">
        <v>8</v>
      </c>
      <c r="C6" s="28">
        <v>427</v>
      </c>
      <c r="D6" s="28">
        <v>427</v>
      </c>
      <c r="E6" s="28">
        <v>427</v>
      </c>
      <c r="F6" s="28">
        <v>427</v>
      </c>
      <c r="G6" s="28">
        <v>427</v>
      </c>
      <c r="H6" s="28">
        <v>427</v>
      </c>
      <c r="I6" s="28">
        <v>427</v>
      </c>
      <c r="J6" s="28">
        <v>427</v>
      </c>
      <c r="K6" s="28">
        <v>427</v>
      </c>
    </row>
    <row r="7" spans="1:11">
      <c r="A7" s="28" t="s">
        <v>65</v>
      </c>
      <c r="B7" s="28" t="s">
        <v>1882</v>
      </c>
      <c r="C7" s="28">
        <v>120</v>
      </c>
      <c r="D7" s="28">
        <v>120</v>
      </c>
      <c r="E7" s="28">
        <v>130</v>
      </c>
      <c r="F7" s="28">
        <v>155</v>
      </c>
      <c r="G7" s="28">
        <v>170</v>
      </c>
      <c r="H7" s="28">
        <v>185</v>
      </c>
      <c r="I7" s="28">
        <v>200</v>
      </c>
      <c r="J7" s="28">
        <v>210</v>
      </c>
      <c r="K7" s="28">
        <v>240</v>
      </c>
    </row>
    <row r="8" spans="1:11">
      <c r="A8" s="28" t="s">
        <v>66</v>
      </c>
      <c r="B8" s="28" t="s">
        <v>7</v>
      </c>
      <c r="C8" s="28">
        <v>66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  <c r="I8" s="28">
        <v>70</v>
      </c>
      <c r="J8" s="28">
        <v>70</v>
      </c>
      <c r="K8" s="28">
        <v>66</v>
      </c>
    </row>
    <row r="9" spans="1:11">
      <c r="A9" s="28" t="s">
        <v>2358</v>
      </c>
      <c r="B9" s="28" t="s">
        <v>179</v>
      </c>
      <c r="C9" s="28">
        <v>29.1</v>
      </c>
      <c r="D9" s="28">
        <v>30.2</v>
      </c>
      <c r="E9" s="28">
        <v>30.7</v>
      </c>
      <c r="F9" s="28">
        <v>31.6</v>
      </c>
      <c r="G9" s="28">
        <v>32.299999999999997</v>
      </c>
      <c r="H9" s="28">
        <v>32.9</v>
      </c>
      <c r="I9" s="28">
        <v>33.6</v>
      </c>
      <c r="J9" s="28">
        <v>34.200000000000003</v>
      </c>
      <c r="K9" s="28">
        <v>34.5</v>
      </c>
    </row>
    <row r="10" spans="1:11">
      <c r="A10" s="28" t="s">
        <v>135</v>
      </c>
      <c r="B10" s="28" t="s">
        <v>481</v>
      </c>
      <c r="C10" s="28">
        <v>596</v>
      </c>
      <c r="D10" s="28">
        <v>610</v>
      </c>
      <c r="E10" s="28">
        <v>610</v>
      </c>
      <c r="F10" s="28">
        <v>616</v>
      </c>
      <c r="G10" s="28">
        <v>625</v>
      </c>
      <c r="H10" s="28">
        <v>632</v>
      </c>
      <c r="I10" s="28">
        <v>644</v>
      </c>
      <c r="J10" s="28">
        <v>654</v>
      </c>
      <c r="K10" s="28">
        <v>671</v>
      </c>
    </row>
    <row r="11" spans="1:11">
      <c r="A11" s="28" t="s">
        <v>57</v>
      </c>
      <c r="B11" s="28" t="s">
        <v>10</v>
      </c>
      <c r="C11" s="28">
        <v>1013</v>
      </c>
      <c r="D11" s="28">
        <v>1027</v>
      </c>
      <c r="E11" s="28">
        <v>1029</v>
      </c>
      <c r="F11" s="28">
        <v>1034</v>
      </c>
      <c r="G11" s="28">
        <v>1043</v>
      </c>
      <c r="H11" s="28">
        <v>1050</v>
      </c>
      <c r="I11" s="28">
        <v>1063</v>
      </c>
      <c r="J11" s="28">
        <v>1070</v>
      </c>
      <c r="K11" s="28">
        <v>1089</v>
      </c>
    </row>
    <row r="12" spans="1:11">
      <c r="A12" s="28" t="s">
        <v>55</v>
      </c>
      <c r="B12" s="28" t="s">
        <v>1246</v>
      </c>
      <c r="C12" s="28">
        <v>554</v>
      </c>
      <c r="D12" s="28">
        <v>554</v>
      </c>
      <c r="E12" s="28">
        <v>566</v>
      </c>
      <c r="F12" s="28">
        <v>591</v>
      </c>
      <c r="G12" s="28">
        <v>605</v>
      </c>
      <c r="H12" s="28">
        <v>619</v>
      </c>
      <c r="I12" s="28">
        <v>635</v>
      </c>
      <c r="J12" s="28">
        <v>644</v>
      </c>
      <c r="K12" s="28">
        <v>668</v>
      </c>
    </row>
    <row r="13" spans="1:11">
      <c r="A13" s="28" t="s">
        <v>56</v>
      </c>
      <c r="B13" s="28" t="s">
        <v>1245</v>
      </c>
      <c r="C13" s="28">
        <v>372</v>
      </c>
      <c r="D13" s="28">
        <v>385</v>
      </c>
      <c r="E13" s="28">
        <v>387</v>
      </c>
      <c r="F13" s="28">
        <v>391</v>
      </c>
      <c r="G13" s="28">
        <v>394</v>
      </c>
      <c r="H13" s="28">
        <v>398</v>
      </c>
      <c r="I13" s="28">
        <v>406</v>
      </c>
      <c r="J13" s="28">
        <v>412</v>
      </c>
      <c r="K13" s="28">
        <v>420</v>
      </c>
    </row>
    <row r="14" spans="1:11">
      <c r="A14" s="28" t="s">
        <v>68</v>
      </c>
      <c r="B14" s="28" t="s">
        <v>182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>
        <v>50</v>
      </c>
      <c r="J14" s="28">
        <v>50</v>
      </c>
      <c r="K14" s="28">
        <v>50</v>
      </c>
    </row>
    <row r="15" spans="1:11">
      <c r="A15" s="28" t="s">
        <v>58</v>
      </c>
      <c r="B15" s="28" t="s">
        <v>2240</v>
      </c>
      <c r="C15" s="28">
        <f>C9*2.54*10</f>
        <v>739.14</v>
      </c>
      <c r="D15" s="28">
        <f t="shared" ref="D15:K15" si="0">D9*2.54*10</f>
        <v>767.07999999999993</v>
      </c>
      <c r="E15" s="28">
        <f t="shared" si="0"/>
        <v>779.78</v>
      </c>
      <c r="F15" s="28">
        <f t="shared" si="0"/>
        <v>802.6400000000001</v>
      </c>
      <c r="G15" s="28">
        <f t="shared" si="0"/>
        <v>820.41999999999985</v>
      </c>
      <c r="H15" s="28">
        <f t="shared" si="0"/>
        <v>835.66000000000008</v>
      </c>
      <c r="I15" s="28">
        <f t="shared" si="0"/>
        <v>853.44</v>
      </c>
      <c r="J15" s="28">
        <f t="shared" si="0"/>
        <v>868.68000000000006</v>
      </c>
      <c r="K15" s="28">
        <f t="shared" si="0"/>
        <v>876.3</v>
      </c>
    </row>
    <row r="16" spans="1:11">
      <c r="A16" s="28" t="s">
        <v>70</v>
      </c>
    </row>
    <row r="17" spans="1:11">
      <c r="A17" s="28" t="s">
        <v>71</v>
      </c>
    </row>
    <row r="18" spans="1:11">
      <c r="A18" s="28" t="s">
        <v>72</v>
      </c>
    </row>
    <row r="19" spans="1:11">
      <c r="A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A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A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  <c r="K21" s="28">
        <v>45</v>
      </c>
    </row>
    <row r="22" spans="1:11">
      <c r="A22" s="28" t="s">
        <v>1758</v>
      </c>
      <c r="C22" s="28">
        <v>150</v>
      </c>
      <c r="D22" s="28">
        <v>165</v>
      </c>
      <c r="E22" s="28">
        <v>168</v>
      </c>
      <c r="F22" s="28">
        <v>173</v>
      </c>
      <c r="G22" s="28">
        <v>178</v>
      </c>
      <c r="H22" s="28">
        <v>180</v>
      </c>
      <c r="I22" s="28">
        <v>185</v>
      </c>
      <c r="J22" s="28">
        <v>188</v>
      </c>
      <c r="K22" s="28">
        <v>196</v>
      </c>
    </row>
    <row r="23" spans="1:11">
      <c r="A23" s="28" t="s">
        <v>1759</v>
      </c>
      <c r="C23" s="28">
        <v>168</v>
      </c>
      <c r="D23" s="28">
        <v>173</v>
      </c>
      <c r="E23" s="28">
        <v>175</v>
      </c>
      <c r="F23" s="28">
        <v>183</v>
      </c>
      <c r="G23" s="28">
        <v>185</v>
      </c>
      <c r="H23" s="28">
        <v>188</v>
      </c>
      <c r="I23" s="28">
        <v>193</v>
      </c>
      <c r="J23" s="28">
        <v>198</v>
      </c>
      <c r="K23" s="28">
        <v>205</v>
      </c>
    </row>
    <row r="62" spans="8:16">
      <c r="H62" s="28">
        <v>150</v>
      </c>
      <c r="I62" s="28">
        <v>165</v>
      </c>
      <c r="J62" s="28">
        <v>168</v>
      </c>
      <c r="K62" s="28">
        <v>173</v>
      </c>
      <c r="L62" s="28">
        <v>178</v>
      </c>
      <c r="M62" s="28">
        <v>180</v>
      </c>
      <c r="N62" s="28">
        <v>185</v>
      </c>
      <c r="O62" s="28">
        <v>188</v>
      </c>
      <c r="P62" s="28">
        <v>196</v>
      </c>
    </row>
    <row r="63" spans="8:16">
      <c r="H63" s="28">
        <v>168</v>
      </c>
      <c r="I63" s="28">
        <v>173</v>
      </c>
      <c r="J63" s="28">
        <v>175</v>
      </c>
      <c r="K63" s="28">
        <v>183</v>
      </c>
      <c r="L63" s="28">
        <v>185</v>
      </c>
      <c r="M63" s="28">
        <v>188</v>
      </c>
      <c r="N63" s="28">
        <v>193</v>
      </c>
      <c r="O63" s="28">
        <v>198</v>
      </c>
      <c r="P63" s="28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8.33203125" style="28" bestFit="1" customWidth="1"/>
    <col min="4" max="4" width="11.5" style="28" bestFit="1" customWidth="1"/>
    <col min="5" max="5" width="8.6640625" style="28" bestFit="1" customWidth="1"/>
    <col min="6" max="6" width="11.1640625" style="28" bestFit="1" customWidth="1"/>
    <col min="7" max="16384" width="10.83203125" style="28"/>
  </cols>
  <sheetData>
    <row r="1" spans="1:6">
      <c r="A1" s="28" t="s">
        <v>73</v>
      </c>
      <c r="B1" s="33" t="s">
        <v>144</v>
      </c>
      <c r="C1" s="33" t="s">
        <v>223</v>
      </c>
      <c r="D1" s="33" t="s">
        <v>224</v>
      </c>
      <c r="E1" s="33" t="s">
        <v>226</v>
      </c>
      <c r="F1" s="33" t="s">
        <v>1277</v>
      </c>
    </row>
    <row r="2" spans="1:6">
      <c r="A2" s="28" t="s">
        <v>61</v>
      </c>
      <c r="B2" s="28" t="s">
        <v>1548</v>
      </c>
      <c r="C2" s="28">
        <v>460</v>
      </c>
      <c r="D2" s="28">
        <v>490</v>
      </c>
      <c r="E2" s="28">
        <v>520</v>
      </c>
      <c r="F2" s="28">
        <v>550</v>
      </c>
    </row>
    <row r="3" spans="1:6">
      <c r="A3" s="28" t="s">
        <v>74</v>
      </c>
      <c r="B3" s="28" t="s">
        <v>1549</v>
      </c>
      <c r="C3" s="28">
        <v>536</v>
      </c>
      <c r="D3" s="28">
        <v>562</v>
      </c>
      <c r="E3" s="28">
        <v>592</v>
      </c>
      <c r="F3" s="28">
        <v>629</v>
      </c>
    </row>
    <row r="4" spans="1:6">
      <c r="A4" s="28" t="s">
        <v>65</v>
      </c>
      <c r="B4" s="28" t="s">
        <v>1550</v>
      </c>
      <c r="C4" s="28">
        <v>150</v>
      </c>
      <c r="D4" s="28">
        <v>170</v>
      </c>
      <c r="E4" s="28">
        <v>190</v>
      </c>
      <c r="F4" s="28">
        <v>210</v>
      </c>
    </row>
    <row r="5" spans="1:6">
      <c r="A5" s="28" t="s">
        <v>63</v>
      </c>
      <c r="B5" s="28" t="s">
        <v>1551</v>
      </c>
      <c r="C5" s="28">
        <v>69</v>
      </c>
      <c r="D5" s="28">
        <v>69</v>
      </c>
      <c r="E5" s="28">
        <v>69</v>
      </c>
      <c r="F5" s="28">
        <v>69</v>
      </c>
    </row>
    <row r="6" spans="1:6">
      <c r="A6" s="28" t="s">
        <v>64</v>
      </c>
      <c r="B6" s="28" t="s">
        <v>1552</v>
      </c>
      <c r="C6" s="28">
        <v>74.5</v>
      </c>
      <c r="D6" s="28">
        <v>74</v>
      </c>
      <c r="E6" s="28">
        <v>74</v>
      </c>
      <c r="F6" s="28">
        <v>73</v>
      </c>
    </row>
    <row r="7" spans="1:6">
      <c r="A7" s="28" t="s">
        <v>67</v>
      </c>
      <c r="B7" s="28" t="s">
        <v>1553</v>
      </c>
      <c r="C7" s="28">
        <v>435</v>
      </c>
      <c r="D7" s="28">
        <v>435</v>
      </c>
      <c r="E7" s="28">
        <v>435</v>
      </c>
      <c r="F7" s="28">
        <v>435</v>
      </c>
    </row>
    <row r="8" spans="1:6">
      <c r="A8" s="28" t="s">
        <v>66</v>
      </c>
      <c r="B8" s="28" t="s">
        <v>1554</v>
      </c>
      <c r="C8" s="28">
        <v>73</v>
      </c>
      <c r="D8" s="28">
        <v>73</v>
      </c>
      <c r="E8" s="28">
        <v>73</v>
      </c>
      <c r="F8" s="28">
        <v>73</v>
      </c>
    </row>
    <row r="9" spans="1:6">
      <c r="A9" s="28" t="s">
        <v>68</v>
      </c>
      <c r="B9" s="28" t="s">
        <v>1555</v>
      </c>
      <c r="C9" s="28">
        <v>50</v>
      </c>
      <c r="D9" s="28">
        <v>50</v>
      </c>
      <c r="E9" s="28">
        <v>50</v>
      </c>
      <c r="F9" s="28">
        <v>50</v>
      </c>
    </row>
    <row r="10" spans="1:6">
      <c r="A10" s="28" t="s">
        <v>57</v>
      </c>
      <c r="B10" s="28" t="s">
        <v>1556</v>
      </c>
      <c r="C10" s="28">
        <v>1051</v>
      </c>
      <c r="D10" s="28">
        <v>1073</v>
      </c>
      <c r="E10" s="28">
        <v>1105</v>
      </c>
      <c r="F10" s="28">
        <v>1132</v>
      </c>
    </row>
    <row r="11" spans="1:6">
      <c r="A11" s="28" t="s">
        <v>58</v>
      </c>
      <c r="B11" s="28" t="s">
        <v>1557</v>
      </c>
      <c r="C11" s="28">
        <v>752</v>
      </c>
      <c r="D11" s="28">
        <v>773</v>
      </c>
      <c r="E11" s="28">
        <v>795</v>
      </c>
      <c r="F11" s="28">
        <v>815</v>
      </c>
    </row>
    <row r="12" spans="1:6">
      <c r="A12" s="28" t="s">
        <v>56</v>
      </c>
      <c r="B12" s="28" t="s">
        <v>1558</v>
      </c>
      <c r="C12" s="28">
        <v>380</v>
      </c>
      <c r="D12" s="28">
        <v>395</v>
      </c>
      <c r="E12" s="28">
        <v>420</v>
      </c>
      <c r="F12" s="28">
        <v>440</v>
      </c>
    </row>
    <row r="13" spans="1:6">
      <c r="A13" s="28" t="s">
        <v>55</v>
      </c>
      <c r="B13" s="28" t="s">
        <v>1559</v>
      </c>
      <c r="C13" s="28">
        <v>563</v>
      </c>
      <c r="D13" s="28">
        <v>582</v>
      </c>
      <c r="E13" s="28">
        <v>600</v>
      </c>
      <c r="F13" s="28">
        <v>619</v>
      </c>
    </row>
    <row r="14" spans="1:6">
      <c r="A14" s="28" t="s">
        <v>70</v>
      </c>
      <c r="B14" s="28" t="s">
        <v>70</v>
      </c>
    </row>
    <row r="15" spans="1:6">
      <c r="A15" s="28" t="s">
        <v>71</v>
      </c>
      <c r="B15" s="28" t="s">
        <v>71</v>
      </c>
    </row>
    <row r="16" spans="1:6">
      <c r="A16" s="28" t="s">
        <v>72</v>
      </c>
      <c r="B16" s="28" t="s">
        <v>72</v>
      </c>
    </row>
    <row r="17" spans="1:6">
      <c r="A17" s="28" t="s">
        <v>69</v>
      </c>
      <c r="B17" s="28" t="s">
        <v>69</v>
      </c>
      <c r="C17" s="28">
        <v>700</v>
      </c>
      <c r="D17" s="28">
        <v>700</v>
      </c>
      <c r="E17" s="28">
        <v>700</v>
      </c>
      <c r="F17" s="28">
        <v>700</v>
      </c>
    </row>
    <row r="18" spans="1:6">
      <c r="A18" s="28" t="s">
        <v>140</v>
      </c>
      <c r="B18" s="28" t="s">
        <v>140</v>
      </c>
      <c r="C18" s="28">
        <v>35</v>
      </c>
      <c r="D18" s="28">
        <v>35</v>
      </c>
      <c r="E18" s="28">
        <v>35</v>
      </c>
      <c r="F18" s="28">
        <v>35</v>
      </c>
    </row>
    <row r="19" spans="1:6">
      <c r="A19" s="28" t="s">
        <v>141</v>
      </c>
      <c r="B19" s="28" t="s">
        <v>141</v>
      </c>
      <c r="C19" s="28">
        <v>50</v>
      </c>
      <c r="D19" s="28">
        <v>50</v>
      </c>
      <c r="E19" s="28">
        <v>50</v>
      </c>
      <c r="F19" s="28">
        <v>50</v>
      </c>
    </row>
    <row r="20" spans="1:6">
      <c r="A20" s="28" t="s">
        <v>1758</v>
      </c>
      <c r="B20" s="28" t="s">
        <v>1758</v>
      </c>
      <c r="C20" s="28">
        <f>C22*2.54</f>
        <v>157.47999999999999</v>
      </c>
      <c r="D20" s="28">
        <f t="shared" ref="D20:F21" si="0">D22*2.54</f>
        <v>167.64000000000001</v>
      </c>
      <c r="E20" s="28">
        <f t="shared" si="0"/>
        <v>175.26</v>
      </c>
      <c r="F20" s="28">
        <f t="shared" si="0"/>
        <v>187.96</v>
      </c>
    </row>
    <row r="21" spans="1:6">
      <c r="A21" s="28" t="s">
        <v>1759</v>
      </c>
      <c r="B21" s="28" t="s">
        <v>1759</v>
      </c>
      <c r="C21" s="28">
        <f>C23*2.54</f>
        <v>170.18</v>
      </c>
      <c r="D21" s="28">
        <f t="shared" si="0"/>
        <v>177.8</v>
      </c>
      <c r="E21" s="28">
        <f t="shared" si="0"/>
        <v>187.96</v>
      </c>
      <c r="F21" s="28">
        <f t="shared" si="0"/>
        <v>200.66</v>
      </c>
    </row>
    <row r="22" spans="1:6">
      <c r="C22" s="28">
        <v>62</v>
      </c>
      <c r="D22" s="28">
        <v>66</v>
      </c>
      <c r="E22" s="28">
        <v>69</v>
      </c>
      <c r="F22" s="28">
        <v>74</v>
      </c>
    </row>
    <row r="23" spans="1:6">
      <c r="C23" s="28">
        <v>67</v>
      </c>
      <c r="D23" s="28">
        <v>70</v>
      </c>
      <c r="E23" s="28">
        <v>74</v>
      </c>
      <c r="F23" s="28">
        <v>79</v>
      </c>
    </row>
    <row r="25" spans="1:6" ht="24">
      <c r="A25" s="68" t="s">
        <v>1560</v>
      </c>
    </row>
    <row r="26" spans="1:6" ht="24">
      <c r="A26" s="68" t="s">
        <v>1561</v>
      </c>
    </row>
    <row r="27" spans="1:6" ht="24">
      <c r="A27" s="68" t="s">
        <v>1562</v>
      </c>
    </row>
    <row r="28" spans="1:6" ht="24">
      <c r="A28" s="68" t="s">
        <v>1563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9">
      <c r="A1" s="28" t="s">
        <v>73</v>
      </c>
      <c r="B1" s="28" t="s">
        <v>16</v>
      </c>
      <c r="C1" s="28">
        <v>49</v>
      </c>
      <c r="D1" s="28">
        <v>52</v>
      </c>
      <c r="E1" s="28">
        <v>54</v>
      </c>
      <c r="F1" s="28">
        <v>56</v>
      </c>
      <c r="G1" s="28">
        <v>58</v>
      </c>
      <c r="H1" s="28">
        <v>61</v>
      </c>
      <c r="I1" s="28">
        <v>64</v>
      </c>
    </row>
    <row r="2" spans="1:9">
      <c r="A2" s="28" t="s">
        <v>70</v>
      </c>
      <c r="B2" s="28" t="s">
        <v>59</v>
      </c>
      <c r="C2" s="28">
        <f>VALUE(LEFT(C31,3))</f>
        <v>165</v>
      </c>
      <c r="D2" s="28">
        <f t="shared" ref="D2:I2" si="0">VALUE(LEFT(D31,3))</f>
        <v>170</v>
      </c>
      <c r="E2" s="28">
        <f>VALUE(LEFT(E31,5))</f>
        <v>172.5</v>
      </c>
      <c r="F2" s="28">
        <f>VALUE(LEFT(F31,5))</f>
        <v>172.5</v>
      </c>
      <c r="G2" s="28">
        <f t="shared" si="0"/>
        <v>175</v>
      </c>
      <c r="H2" s="28">
        <f t="shared" si="0"/>
        <v>175</v>
      </c>
      <c r="I2" s="28">
        <f t="shared" si="0"/>
        <v>175</v>
      </c>
    </row>
    <row r="3" spans="1:9">
      <c r="A3" s="28" t="s">
        <v>72</v>
      </c>
      <c r="B3" s="28" t="s">
        <v>14</v>
      </c>
      <c r="C3" s="28">
        <f>VALUE(LEFT(C32,2))</f>
        <v>60</v>
      </c>
      <c r="D3" s="28">
        <f t="shared" ref="D3:F3" si="1">VALUE(LEFT(D32,2))</f>
        <v>70</v>
      </c>
      <c r="E3" s="28">
        <f t="shared" si="1"/>
        <v>80</v>
      </c>
      <c r="F3" s="28">
        <f t="shared" si="1"/>
        <v>90</v>
      </c>
      <c r="G3" s="28">
        <f>VALUE(LEFT(G32,3))</f>
        <v>100</v>
      </c>
      <c r="H3" s="28">
        <f t="shared" ref="H3:I3" si="2">VALUE(LEFT(H32,3))</f>
        <v>100</v>
      </c>
      <c r="I3" s="28">
        <f t="shared" si="2"/>
        <v>110</v>
      </c>
    </row>
    <row r="4" spans="1:9">
      <c r="A4" s="28" t="s">
        <v>71</v>
      </c>
      <c r="B4" s="28" t="s">
        <v>13</v>
      </c>
      <c r="C4" s="28">
        <f t="shared" ref="C4:I21" si="3">VALUE(LEFT(C33,3))</f>
        <v>380</v>
      </c>
      <c r="D4" s="28">
        <f t="shared" si="3"/>
        <v>400</v>
      </c>
      <c r="E4" s="28">
        <f t="shared" si="3"/>
        <v>420</v>
      </c>
      <c r="F4" s="28">
        <f t="shared" si="3"/>
        <v>420</v>
      </c>
      <c r="G4" s="28">
        <f t="shared" si="3"/>
        <v>440</v>
      </c>
      <c r="H4" s="28">
        <f t="shared" si="3"/>
        <v>440</v>
      </c>
      <c r="I4" s="28">
        <f t="shared" si="3"/>
        <v>440</v>
      </c>
    </row>
    <row r="5" spans="1:9">
      <c r="A5" s="28" t="s">
        <v>1347</v>
      </c>
      <c r="B5" s="28" t="s">
        <v>1299</v>
      </c>
      <c r="C5" s="28">
        <f t="shared" si="3"/>
        <v>330</v>
      </c>
      <c r="D5" s="28">
        <f t="shared" si="3"/>
        <v>330</v>
      </c>
      <c r="E5" s="28">
        <f t="shared" si="3"/>
        <v>380</v>
      </c>
      <c r="F5" s="28">
        <f t="shared" si="3"/>
        <v>380</v>
      </c>
      <c r="G5" s="28">
        <f t="shared" si="3"/>
        <v>380</v>
      </c>
      <c r="H5" s="28">
        <f t="shared" si="3"/>
        <v>380</v>
      </c>
      <c r="I5" s="28">
        <f t="shared" si="3"/>
        <v>380</v>
      </c>
    </row>
    <row r="6" spans="1:9">
      <c r="A6" s="28" t="s">
        <v>1346</v>
      </c>
      <c r="B6" s="28" t="s">
        <v>1301</v>
      </c>
      <c r="C6" s="28">
        <f t="shared" si="3"/>
        <v>155</v>
      </c>
      <c r="D6" s="28">
        <f t="shared" si="3"/>
        <v>155</v>
      </c>
      <c r="E6" s="28">
        <f t="shared" si="3"/>
        <v>143</v>
      </c>
      <c r="F6" s="28">
        <f t="shared" si="3"/>
        <v>143</v>
      </c>
      <c r="G6" s="28">
        <f t="shared" si="3"/>
        <v>143</v>
      </c>
      <c r="H6" s="28">
        <f t="shared" si="3"/>
        <v>143</v>
      </c>
      <c r="I6" s="28">
        <f t="shared" si="3"/>
        <v>143</v>
      </c>
    </row>
    <row r="7" spans="1:9">
      <c r="A7" s="28" t="s">
        <v>55</v>
      </c>
      <c r="B7" s="28" t="s">
        <v>0</v>
      </c>
      <c r="C7" s="28">
        <f t="shared" si="3"/>
        <v>571</v>
      </c>
      <c r="D7" s="28">
        <f t="shared" si="3"/>
        <v>577</v>
      </c>
      <c r="E7" s="28">
        <f t="shared" si="3"/>
        <v>592</v>
      </c>
      <c r="F7" s="28">
        <f t="shared" si="3"/>
        <v>610</v>
      </c>
      <c r="G7" s="28">
        <f t="shared" si="3"/>
        <v>634</v>
      </c>
      <c r="H7" s="28">
        <f t="shared" si="3"/>
        <v>659</v>
      </c>
      <c r="I7" s="28">
        <f t="shared" si="3"/>
        <v>684</v>
      </c>
    </row>
    <row r="8" spans="1:9">
      <c r="A8" s="28" t="s">
        <v>56</v>
      </c>
      <c r="B8" s="28" t="s">
        <v>1</v>
      </c>
      <c r="C8" s="28">
        <f t="shared" si="3"/>
        <v>365</v>
      </c>
      <c r="D8" s="28">
        <f t="shared" si="3"/>
        <v>374</v>
      </c>
      <c r="E8" s="28">
        <f t="shared" si="3"/>
        <v>383</v>
      </c>
      <c r="F8" s="28">
        <f t="shared" si="3"/>
        <v>392</v>
      </c>
      <c r="G8" s="28">
        <f t="shared" si="3"/>
        <v>401</v>
      </c>
      <c r="H8" s="28">
        <f t="shared" si="3"/>
        <v>410</v>
      </c>
      <c r="I8" s="28">
        <f t="shared" si="3"/>
        <v>419</v>
      </c>
    </row>
    <row r="9" spans="1:9">
      <c r="A9" s="28" t="s">
        <v>65</v>
      </c>
      <c r="B9" s="28" t="s">
        <v>6</v>
      </c>
      <c r="C9" s="28">
        <f>VALUE(LEFT(C38,2))</f>
        <v>99</v>
      </c>
      <c r="D9" s="28">
        <f t="shared" ref="D9:I9" si="4">VALUE(LEFT(D38,3))</f>
        <v>104</v>
      </c>
      <c r="E9" s="28">
        <f t="shared" si="4"/>
        <v>116</v>
      </c>
      <c r="F9" s="28">
        <f t="shared" si="4"/>
        <v>133</v>
      </c>
      <c r="G9" s="28">
        <f t="shared" si="4"/>
        <v>159</v>
      </c>
      <c r="H9" s="28">
        <f t="shared" si="4"/>
        <v>185</v>
      </c>
      <c r="I9" s="28">
        <f t="shared" si="4"/>
        <v>209</v>
      </c>
    </row>
    <row r="10" spans="1:9">
      <c r="A10" s="28" t="s">
        <v>63</v>
      </c>
      <c r="B10" s="28" t="s">
        <v>4</v>
      </c>
      <c r="C10" s="28">
        <f>VALUE(LEFT(C39,2))</f>
        <v>70</v>
      </c>
      <c r="D10" s="28">
        <f t="shared" ref="D10" si="5">VALUE(LEFT(D39,4))</f>
        <v>70.5</v>
      </c>
      <c r="E10" s="28">
        <f>VALUE(LEFT(E39,5))</f>
        <v>71.25</v>
      </c>
      <c r="F10" s="28">
        <f t="shared" ref="F10:I10" si="6">VALUE(LEFT(F39,5))</f>
        <v>71.75</v>
      </c>
      <c r="G10" s="28">
        <f t="shared" si="6"/>
        <v>71.75</v>
      </c>
      <c r="H10" s="28">
        <f t="shared" si="6"/>
        <v>71.75</v>
      </c>
      <c r="I10" s="28">
        <f t="shared" si="6"/>
        <v>72.25</v>
      </c>
    </row>
    <row r="11" spans="1:9">
      <c r="A11" s="28" t="s">
        <v>138</v>
      </c>
      <c r="B11" s="28" t="s">
        <v>618</v>
      </c>
      <c r="C11" s="28">
        <f t="shared" si="3"/>
        <v>270</v>
      </c>
      <c r="D11" s="28">
        <f t="shared" si="3"/>
        <v>270</v>
      </c>
      <c r="E11" s="28">
        <f t="shared" si="3"/>
        <v>270</v>
      </c>
      <c r="F11" s="28">
        <f t="shared" si="3"/>
        <v>270</v>
      </c>
      <c r="G11" s="28">
        <f t="shared" si="3"/>
        <v>270</v>
      </c>
      <c r="H11" s="28">
        <f t="shared" si="3"/>
        <v>270</v>
      </c>
      <c r="I11" s="28">
        <f t="shared" si="3"/>
        <v>270</v>
      </c>
    </row>
    <row r="12" spans="1:9">
      <c r="A12" s="28" t="s">
        <v>66</v>
      </c>
      <c r="B12" s="28" t="s">
        <v>177</v>
      </c>
      <c r="C12" s="28">
        <f>VALUE(LEFT(C41,2))</f>
        <v>80</v>
      </c>
      <c r="D12" s="28">
        <f t="shared" ref="D12:I12" si="7">VALUE(LEFT(D41,2))</f>
        <v>80</v>
      </c>
      <c r="E12" s="28">
        <f t="shared" si="7"/>
        <v>80</v>
      </c>
      <c r="F12" s="28">
        <f t="shared" si="7"/>
        <v>80</v>
      </c>
      <c r="G12" s="28">
        <f t="shared" si="7"/>
        <v>80</v>
      </c>
      <c r="H12" s="28">
        <f t="shared" si="7"/>
        <v>80</v>
      </c>
      <c r="I12" s="28">
        <f t="shared" si="7"/>
        <v>80</v>
      </c>
    </row>
    <row r="13" spans="1:9">
      <c r="A13" s="28" t="s">
        <v>136</v>
      </c>
      <c r="B13" s="28" t="s">
        <v>134</v>
      </c>
      <c r="C13" s="28">
        <f>VALUE(LEFT(C42,2))</f>
        <v>69</v>
      </c>
      <c r="D13" s="28">
        <f t="shared" ref="D13:I13" si="8">VALUE(LEFT(D42,2))</f>
        <v>66</v>
      </c>
      <c r="E13" s="28">
        <f t="shared" si="8"/>
        <v>61</v>
      </c>
      <c r="F13" s="28">
        <f t="shared" si="8"/>
        <v>57</v>
      </c>
      <c r="G13" s="28">
        <f t="shared" si="8"/>
        <v>57</v>
      </c>
      <c r="H13" s="28">
        <f t="shared" si="8"/>
        <v>57</v>
      </c>
      <c r="I13" s="28">
        <f t="shared" si="8"/>
        <v>54</v>
      </c>
    </row>
    <row r="14" spans="1:9">
      <c r="A14" s="28" t="s">
        <v>137</v>
      </c>
      <c r="B14" s="28" t="s">
        <v>622</v>
      </c>
      <c r="C14" s="28">
        <f>VALUE(LEFT(C43,3))</f>
        <v>389</v>
      </c>
      <c r="D14" s="28">
        <f t="shared" ref="D14:I14" si="9">VALUE(LEFT(D43,3))</f>
        <v>389</v>
      </c>
      <c r="E14" s="28">
        <f t="shared" si="9"/>
        <v>389</v>
      </c>
      <c r="F14" s="28">
        <f t="shared" si="9"/>
        <v>389</v>
      </c>
      <c r="G14" s="28">
        <f t="shared" si="9"/>
        <v>389</v>
      </c>
      <c r="H14" s="28">
        <f t="shared" si="9"/>
        <v>389</v>
      </c>
      <c r="I14" s="28">
        <f t="shared" si="9"/>
        <v>389</v>
      </c>
    </row>
    <row r="15" spans="1:9">
      <c r="A15" s="28" t="s">
        <v>68</v>
      </c>
      <c r="B15" s="28" t="s">
        <v>624</v>
      </c>
      <c r="C15" s="28">
        <f>VALUE(LEFT(C44,2))</f>
        <v>55</v>
      </c>
      <c r="D15" s="28">
        <f t="shared" ref="D15:I15" si="10">VALUE(LEFT(D44,2))</f>
        <v>55</v>
      </c>
      <c r="E15" s="28">
        <f t="shared" si="10"/>
        <v>55</v>
      </c>
      <c r="F15" s="28">
        <f t="shared" si="10"/>
        <v>55</v>
      </c>
      <c r="G15" s="28">
        <f t="shared" si="10"/>
        <v>55</v>
      </c>
      <c r="H15" s="28">
        <f t="shared" si="10"/>
        <v>55</v>
      </c>
      <c r="I15" s="28">
        <f t="shared" si="10"/>
        <v>55</v>
      </c>
    </row>
    <row r="16" spans="1:9">
      <c r="A16" s="28" t="s">
        <v>135</v>
      </c>
      <c r="B16" s="28" t="s">
        <v>481</v>
      </c>
      <c r="C16" s="28">
        <f t="shared" si="3"/>
        <v>607</v>
      </c>
      <c r="D16" s="28">
        <f t="shared" si="3"/>
        <v>614</v>
      </c>
      <c r="E16" s="28">
        <f t="shared" si="3"/>
        <v>620</v>
      </c>
      <c r="F16" s="28">
        <f t="shared" si="3"/>
        <v>630</v>
      </c>
      <c r="G16" s="28">
        <f t="shared" si="3"/>
        <v>647</v>
      </c>
      <c r="H16" s="28">
        <f t="shared" si="3"/>
        <v>664</v>
      </c>
      <c r="I16" s="28">
        <f t="shared" si="3"/>
        <v>675</v>
      </c>
    </row>
    <row r="17" spans="1:9">
      <c r="A17" s="28" t="s">
        <v>67</v>
      </c>
      <c r="B17" s="28" t="s">
        <v>8</v>
      </c>
      <c r="C17" s="28">
        <f t="shared" si="3"/>
        <v>425</v>
      </c>
      <c r="D17" s="28">
        <f t="shared" si="3"/>
        <v>425</v>
      </c>
      <c r="E17" s="28">
        <f t="shared" si="3"/>
        <v>425</v>
      </c>
      <c r="F17" s="28">
        <f t="shared" si="3"/>
        <v>425</v>
      </c>
      <c r="G17" s="28">
        <f t="shared" si="3"/>
        <v>425</v>
      </c>
      <c r="H17" s="28">
        <f t="shared" si="3"/>
        <v>425</v>
      </c>
      <c r="I17" s="28">
        <f t="shared" si="3"/>
        <v>425</v>
      </c>
    </row>
    <row r="18" spans="1:9">
      <c r="A18" s="28" t="s">
        <v>57</v>
      </c>
      <c r="B18" s="28" t="s">
        <v>10</v>
      </c>
      <c r="C18" s="28">
        <f>VALUE(LEFT(C47,4))</f>
        <v>1019</v>
      </c>
      <c r="D18" s="28">
        <f t="shared" ref="D18:I18" si="11">VALUE(LEFT(D47,4))</f>
        <v>1026</v>
      </c>
      <c r="E18" s="28">
        <f t="shared" si="11"/>
        <v>1032</v>
      </c>
      <c r="F18" s="28">
        <f t="shared" si="11"/>
        <v>1042</v>
      </c>
      <c r="G18" s="28">
        <f t="shared" si="11"/>
        <v>1059</v>
      </c>
      <c r="H18" s="28">
        <f t="shared" si="11"/>
        <v>1076</v>
      </c>
      <c r="I18" s="28">
        <f t="shared" si="11"/>
        <v>1088</v>
      </c>
    </row>
    <row r="19" spans="1:9">
      <c r="A19" s="28" t="s">
        <v>74</v>
      </c>
      <c r="B19" s="28" t="s">
        <v>631</v>
      </c>
      <c r="C19" s="28">
        <f t="shared" si="3"/>
        <v>529</v>
      </c>
      <c r="D19" s="28">
        <f t="shared" si="3"/>
        <v>542</v>
      </c>
      <c r="E19" s="28">
        <f t="shared" si="3"/>
        <v>558</v>
      </c>
      <c r="F19" s="28">
        <f t="shared" si="3"/>
        <v>573</v>
      </c>
      <c r="G19" s="28">
        <f t="shared" si="3"/>
        <v>589</v>
      </c>
      <c r="H19" s="28">
        <f t="shared" si="3"/>
        <v>605</v>
      </c>
      <c r="I19" s="28">
        <f t="shared" si="3"/>
        <v>628</v>
      </c>
    </row>
    <row r="20" spans="1:9">
      <c r="A20" s="28" t="s">
        <v>58</v>
      </c>
      <c r="B20" s="28" t="s">
        <v>635</v>
      </c>
      <c r="C20" s="28">
        <f t="shared" si="3"/>
        <v>700</v>
      </c>
      <c r="D20" s="28">
        <f t="shared" si="3"/>
        <v>725</v>
      </c>
      <c r="E20" s="28">
        <f t="shared" si="3"/>
        <v>754</v>
      </c>
      <c r="F20" s="28">
        <f t="shared" si="3"/>
        <v>779</v>
      </c>
      <c r="G20" s="28">
        <f t="shared" si="3"/>
        <v>805</v>
      </c>
      <c r="H20" s="28">
        <f t="shared" si="3"/>
        <v>832</v>
      </c>
      <c r="I20" s="28">
        <f t="shared" si="3"/>
        <v>859</v>
      </c>
    </row>
    <row r="21" spans="1:9">
      <c r="A21" s="28" t="s">
        <v>61</v>
      </c>
      <c r="B21" s="28" t="s">
        <v>176</v>
      </c>
      <c r="C21" s="28">
        <f t="shared" si="3"/>
        <v>390</v>
      </c>
      <c r="D21" s="28">
        <f t="shared" si="3"/>
        <v>430</v>
      </c>
      <c r="E21" s="28">
        <f t="shared" si="3"/>
        <v>470</v>
      </c>
      <c r="F21" s="28">
        <f t="shared" si="3"/>
        <v>500</v>
      </c>
      <c r="G21" s="28">
        <f t="shared" si="3"/>
        <v>530</v>
      </c>
      <c r="H21" s="28">
        <f t="shared" si="3"/>
        <v>560</v>
      </c>
      <c r="I21" s="28">
        <f t="shared" si="3"/>
        <v>590</v>
      </c>
    </row>
    <row r="22" spans="1:9">
      <c r="A22" s="28" t="s">
        <v>64</v>
      </c>
      <c r="B22" s="28" t="s">
        <v>5</v>
      </c>
      <c r="C22" s="28">
        <f>VALUE(LEFT(C51,2))</f>
        <v>74</v>
      </c>
      <c r="D22" s="28">
        <f>VALUE(LEFT(D51,5))</f>
        <v>73.75</v>
      </c>
      <c r="E22" s="28">
        <f t="shared" ref="E22:H22" si="12">VALUE(LEFT(E51,4))</f>
        <v>73.5</v>
      </c>
      <c r="F22" s="28">
        <f t="shared" si="12"/>
        <v>73.5</v>
      </c>
      <c r="G22" s="28">
        <f t="shared" si="12"/>
        <v>73.5</v>
      </c>
      <c r="H22" s="28">
        <f t="shared" si="12"/>
        <v>73.5</v>
      </c>
      <c r="I22" s="28">
        <f>VALUE(LEFT(I51,2))</f>
        <v>73</v>
      </c>
    </row>
    <row r="23" spans="1:9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  <c r="I23" s="28">
        <v>700</v>
      </c>
    </row>
    <row r="24" spans="1:9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  <c r="I24" s="28">
        <v>42</v>
      </c>
    </row>
    <row r="25" spans="1:9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  <c r="I25" s="28">
        <v>47</v>
      </c>
    </row>
    <row r="26" spans="1:9">
      <c r="A26" s="28" t="s">
        <v>1758</v>
      </c>
      <c r="B26" s="28" t="s">
        <v>1758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  <c r="I26" s="28">
        <v>196</v>
      </c>
    </row>
    <row r="27" spans="1:9">
      <c r="A27" s="28" t="s">
        <v>1759</v>
      </c>
      <c r="B27" s="28" t="s">
        <v>1759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  <c r="I27" s="28">
        <v>205</v>
      </c>
    </row>
    <row r="30" spans="1:9">
      <c r="C30" s="28">
        <v>49</v>
      </c>
      <c r="D30" s="28">
        <v>52</v>
      </c>
      <c r="E30" s="28">
        <v>54</v>
      </c>
      <c r="F30" s="28">
        <v>56</v>
      </c>
      <c r="G30" s="28">
        <v>58</v>
      </c>
      <c r="H30" s="28">
        <v>61</v>
      </c>
      <c r="I30" s="28">
        <v>64</v>
      </c>
    </row>
    <row r="31" spans="1:9">
      <c r="B31" s="28" t="s">
        <v>59</v>
      </c>
      <c r="C31" s="28" t="s">
        <v>1295</v>
      </c>
      <c r="D31" s="28" t="s">
        <v>1195</v>
      </c>
      <c r="E31" s="28" t="s">
        <v>1038</v>
      </c>
      <c r="F31" s="28" t="s">
        <v>1038</v>
      </c>
      <c r="G31" s="28" t="s">
        <v>246</v>
      </c>
      <c r="H31" s="28" t="s">
        <v>246</v>
      </c>
      <c r="I31" s="28" t="s">
        <v>246</v>
      </c>
    </row>
    <row r="32" spans="1:9">
      <c r="B32" s="28" t="s">
        <v>14</v>
      </c>
      <c r="C32" s="28" t="s">
        <v>1296</v>
      </c>
      <c r="D32" s="28" t="s">
        <v>1209</v>
      </c>
      <c r="E32" s="28" t="s">
        <v>1033</v>
      </c>
      <c r="F32" s="28" t="s">
        <v>1297</v>
      </c>
      <c r="G32" s="28" t="s">
        <v>1256</v>
      </c>
      <c r="H32" s="28" t="s">
        <v>1256</v>
      </c>
      <c r="I32" s="28" t="s">
        <v>1298</v>
      </c>
    </row>
    <row r="33" spans="2:9">
      <c r="B33" s="28" t="s">
        <v>13</v>
      </c>
      <c r="C33" s="28" t="s">
        <v>239</v>
      </c>
      <c r="D33" s="28" t="s">
        <v>868</v>
      </c>
      <c r="E33" s="28" t="s">
        <v>613</v>
      </c>
      <c r="F33" s="28" t="s">
        <v>613</v>
      </c>
      <c r="G33" s="28" t="s">
        <v>614</v>
      </c>
      <c r="H33" s="28" t="s">
        <v>614</v>
      </c>
      <c r="I33" s="28" t="s">
        <v>614</v>
      </c>
    </row>
    <row r="34" spans="2:9">
      <c r="B34" s="28" t="s">
        <v>1299</v>
      </c>
      <c r="C34" s="28" t="s">
        <v>1300</v>
      </c>
      <c r="D34" s="28" t="s">
        <v>1300</v>
      </c>
      <c r="E34" s="28" t="s">
        <v>239</v>
      </c>
      <c r="F34" s="28" t="s">
        <v>239</v>
      </c>
      <c r="G34" s="28" t="s">
        <v>239</v>
      </c>
      <c r="H34" s="28" t="s">
        <v>239</v>
      </c>
      <c r="I34" s="28" t="s">
        <v>239</v>
      </c>
    </row>
    <row r="35" spans="2:9">
      <c r="B35" s="28" t="s">
        <v>1301</v>
      </c>
      <c r="C35" s="28" t="s">
        <v>1302</v>
      </c>
      <c r="D35" s="28" t="s">
        <v>1302</v>
      </c>
      <c r="E35" s="28" t="s">
        <v>1303</v>
      </c>
      <c r="F35" s="28" t="s">
        <v>1303</v>
      </c>
      <c r="G35" s="28" t="s">
        <v>1303</v>
      </c>
      <c r="H35" s="28" t="s">
        <v>1303</v>
      </c>
      <c r="I35" s="28" t="s">
        <v>1303</v>
      </c>
    </row>
    <row r="36" spans="2:9">
      <c r="B36" s="28" t="s">
        <v>0</v>
      </c>
      <c r="C36" s="28" t="s">
        <v>1181</v>
      </c>
      <c r="D36" s="28" t="s">
        <v>1304</v>
      </c>
      <c r="E36" s="28" t="s">
        <v>864</v>
      </c>
      <c r="F36" s="28" t="s">
        <v>1305</v>
      </c>
      <c r="G36" s="28" t="s">
        <v>1306</v>
      </c>
      <c r="H36" s="28" t="s">
        <v>1307</v>
      </c>
      <c r="I36" s="28" t="s">
        <v>1308</v>
      </c>
    </row>
    <row r="37" spans="2:9">
      <c r="B37" s="28" t="s">
        <v>1</v>
      </c>
      <c r="C37" s="28" t="s">
        <v>260</v>
      </c>
      <c r="D37" s="28" t="s">
        <v>1309</v>
      </c>
      <c r="E37" s="28" t="s">
        <v>1310</v>
      </c>
      <c r="F37" s="28" t="s">
        <v>1311</v>
      </c>
      <c r="G37" s="28" t="s">
        <v>1312</v>
      </c>
      <c r="H37" s="28" t="s">
        <v>1267</v>
      </c>
      <c r="I37" s="28" t="s">
        <v>1313</v>
      </c>
    </row>
    <row r="38" spans="2:9">
      <c r="B38" s="28" t="s">
        <v>6</v>
      </c>
      <c r="C38" s="28" t="s">
        <v>1314</v>
      </c>
      <c r="D38" s="28" t="s">
        <v>615</v>
      </c>
      <c r="E38" s="28" t="s">
        <v>1315</v>
      </c>
      <c r="F38" s="28" t="s">
        <v>616</v>
      </c>
      <c r="G38" s="28" t="s">
        <v>617</v>
      </c>
      <c r="H38" s="28" t="s">
        <v>1196</v>
      </c>
      <c r="I38" s="28" t="s">
        <v>1316</v>
      </c>
    </row>
    <row r="39" spans="2:9">
      <c r="B39" s="28" t="s">
        <v>4</v>
      </c>
      <c r="C39" s="28" t="s">
        <v>582</v>
      </c>
      <c r="D39" s="28" t="s">
        <v>848</v>
      </c>
      <c r="E39" s="28" t="s">
        <v>1317</v>
      </c>
      <c r="F39" s="28" t="s">
        <v>1318</v>
      </c>
      <c r="G39" s="28" t="s">
        <v>1318</v>
      </c>
      <c r="H39" s="28" t="s">
        <v>1318</v>
      </c>
      <c r="I39" s="28" t="s">
        <v>1319</v>
      </c>
    </row>
    <row r="40" spans="2:9">
      <c r="B40" s="28" t="s">
        <v>618</v>
      </c>
      <c r="C40" s="28" t="s">
        <v>1320</v>
      </c>
      <c r="D40" s="28" t="s">
        <v>1320</v>
      </c>
      <c r="E40" s="28" t="s">
        <v>1320</v>
      </c>
      <c r="F40" s="28" t="s">
        <v>1320</v>
      </c>
      <c r="G40" s="28" t="s">
        <v>1320</v>
      </c>
      <c r="H40" s="28" t="s">
        <v>1320</v>
      </c>
      <c r="I40" s="28" t="s">
        <v>1320</v>
      </c>
    </row>
    <row r="41" spans="2:9">
      <c r="B41" s="28" t="s">
        <v>177</v>
      </c>
      <c r="C41" s="28" t="s">
        <v>1033</v>
      </c>
      <c r="D41" s="28" t="s">
        <v>1033</v>
      </c>
      <c r="E41" s="28" t="s">
        <v>1033</v>
      </c>
      <c r="F41" s="28" t="s">
        <v>1033</v>
      </c>
      <c r="G41" s="28" t="s">
        <v>1033</v>
      </c>
      <c r="H41" s="28" t="s">
        <v>1033</v>
      </c>
      <c r="I41" s="28" t="s">
        <v>1033</v>
      </c>
    </row>
    <row r="42" spans="2:9">
      <c r="B42" s="28" t="s">
        <v>134</v>
      </c>
      <c r="C42" s="28" t="s">
        <v>621</v>
      </c>
      <c r="D42" s="28" t="s">
        <v>858</v>
      </c>
      <c r="E42" s="28" t="s">
        <v>1321</v>
      </c>
      <c r="F42" s="28" t="s">
        <v>1322</v>
      </c>
      <c r="G42" s="28" t="s">
        <v>1322</v>
      </c>
      <c r="H42" s="28" t="s">
        <v>1322</v>
      </c>
      <c r="I42" s="28" t="s">
        <v>1323</v>
      </c>
    </row>
    <row r="43" spans="2:9">
      <c r="B43" s="28" t="s">
        <v>622</v>
      </c>
      <c r="C43" s="28" t="s">
        <v>263</v>
      </c>
      <c r="D43" s="28" t="s">
        <v>263</v>
      </c>
      <c r="E43" s="28" t="s">
        <v>263</v>
      </c>
      <c r="F43" s="28" t="s">
        <v>263</v>
      </c>
      <c r="G43" s="28" t="s">
        <v>263</v>
      </c>
      <c r="H43" s="28" t="s">
        <v>263</v>
      </c>
      <c r="I43" s="28" t="s">
        <v>263</v>
      </c>
    </row>
    <row r="44" spans="2:9">
      <c r="B44" s="28" t="s">
        <v>624</v>
      </c>
      <c r="C44" s="28" t="s">
        <v>251</v>
      </c>
      <c r="D44" s="28" t="s">
        <v>251</v>
      </c>
      <c r="E44" s="28" t="s">
        <v>251</v>
      </c>
      <c r="F44" s="28" t="s">
        <v>251</v>
      </c>
      <c r="G44" s="28" t="s">
        <v>251</v>
      </c>
      <c r="H44" s="28" t="s">
        <v>251</v>
      </c>
      <c r="I44" s="28" t="s">
        <v>251</v>
      </c>
    </row>
    <row r="45" spans="2:9">
      <c r="B45" s="28" t="s">
        <v>481</v>
      </c>
      <c r="C45" s="28" t="s">
        <v>610</v>
      </c>
      <c r="D45" s="28" t="s">
        <v>1266</v>
      </c>
      <c r="E45" s="28" t="s">
        <v>1324</v>
      </c>
      <c r="F45" s="28" t="s">
        <v>257</v>
      </c>
      <c r="G45" s="28" t="s">
        <v>1325</v>
      </c>
      <c r="H45" s="28" t="s">
        <v>1326</v>
      </c>
      <c r="I45" s="28" t="s">
        <v>1327</v>
      </c>
    </row>
    <row r="46" spans="2:9">
      <c r="B46" s="28" t="s">
        <v>8</v>
      </c>
      <c r="C46" s="28" t="s">
        <v>1165</v>
      </c>
      <c r="D46" s="28" t="s">
        <v>1165</v>
      </c>
      <c r="E46" s="28" t="s">
        <v>1165</v>
      </c>
      <c r="F46" s="28" t="s">
        <v>1165</v>
      </c>
      <c r="G46" s="28" t="s">
        <v>1165</v>
      </c>
      <c r="H46" s="28" t="s">
        <v>1165</v>
      </c>
      <c r="I46" s="28" t="s">
        <v>1165</v>
      </c>
    </row>
    <row r="47" spans="2:9">
      <c r="B47" s="28" t="s">
        <v>10</v>
      </c>
      <c r="C47" s="28" t="s">
        <v>1328</v>
      </c>
      <c r="D47" s="28" t="s">
        <v>1329</v>
      </c>
      <c r="E47" s="28" t="s">
        <v>1330</v>
      </c>
      <c r="F47" s="28" t="s">
        <v>1331</v>
      </c>
      <c r="G47" s="28" t="s">
        <v>866</v>
      </c>
      <c r="H47" s="28" t="s">
        <v>1332</v>
      </c>
      <c r="I47" s="28" t="s">
        <v>1333</v>
      </c>
    </row>
    <row r="48" spans="2:9">
      <c r="B48" s="28" t="s">
        <v>631</v>
      </c>
      <c r="C48" s="28" t="s">
        <v>1171</v>
      </c>
      <c r="D48" s="28" t="s">
        <v>1334</v>
      </c>
      <c r="E48" s="28" t="s">
        <v>847</v>
      </c>
      <c r="F48" s="28" t="s">
        <v>1335</v>
      </c>
      <c r="G48" s="28" t="s">
        <v>1247</v>
      </c>
      <c r="H48" s="28" t="s">
        <v>1336</v>
      </c>
      <c r="I48" s="28" t="s">
        <v>1337</v>
      </c>
    </row>
    <row r="49" spans="2:9">
      <c r="B49" s="28" t="s">
        <v>635</v>
      </c>
      <c r="C49" s="28" t="s">
        <v>1338</v>
      </c>
      <c r="D49" s="28" t="s">
        <v>1339</v>
      </c>
      <c r="E49" s="28" t="s">
        <v>637</v>
      </c>
      <c r="F49" s="28" t="s">
        <v>1340</v>
      </c>
      <c r="G49" s="28" t="s">
        <v>1341</v>
      </c>
      <c r="H49" s="28" t="s">
        <v>1342</v>
      </c>
      <c r="I49" s="28" t="s">
        <v>1343</v>
      </c>
    </row>
    <row r="50" spans="2:9">
      <c r="B50" s="28" t="s">
        <v>176</v>
      </c>
      <c r="C50" s="28" t="s">
        <v>623</v>
      </c>
      <c r="D50" s="28" t="s">
        <v>240</v>
      </c>
      <c r="E50" s="28" t="s">
        <v>639</v>
      </c>
      <c r="F50" s="28" t="s">
        <v>640</v>
      </c>
      <c r="G50" s="28" t="s">
        <v>641</v>
      </c>
      <c r="H50" s="28" t="s">
        <v>860</v>
      </c>
      <c r="I50" s="28" t="s">
        <v>839</v>
      </c>
    </row>
    <row r="51" spans="2:9">
      <c r="B51" s="28" t="s">
        <v>5</v>
      </c>
      <c r="C51" s="28" t="s">
        <v>33</v>
      </c>
      <c r="D51" s="28" t="s">
        <v>1344</v>
      </c>
      <c r="E51" s="28" t="s">
        <v>34</v>
      </c>
      <c r="F51" s="28" t="s">
        <v>34</v>
      </c>
      <c r="G51" s="28" t="s">
        <v>34</v>
      </c>
      <c r="H51" s="28" t="s">
        <v>34</v>
      </c>
      <c r="I51" s="28" t="s">
        <v>804</v>
      </c>
    </row>
    <row r="52" spans="2:9">
      <c r="B52" s="28" t="s">
        <v>1345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3" width="18.5" style="28" bestFit="1" customWidth="1"/>
    <col min="4" max="5" width="11.1640625" style="28" bestFit="1" customWidth="1"/>
    <col min="6" max="16384" width="10.83203125" style="28"/>
  </cols>
  <sheetData>
    <row r="1" spans="1:6">
      <c r="A1" s="28" t="s">
        <v>73</v>
      </c>
      <c r="B1" s="31" t="s">
        <v>144</v>
      </c>
      <c r="C1" s="31" t="s">
        <v>18</v>
      </c>
      <c r="D1" s="31" t="s">
        <v>19</v>
      </c>
      <c r="E1" s="31" t="s">
        <v>20</v>
      </c>
    </row>
    <row r="2" spans="1:6">
      <c r="A2" s="28" t="s">
        <v>55</v>
      </c>
      <c r="B2" s="32" t="s">
        <v>0</v>
      </c>
      <c r="C2" s="32">
        <f>VALUE(LEFT(C28,3))</f>
        <v>580</v>
      </c>
      <c r="D2" s="32">
        <f t="shared" ref="D2:E2" si="0">VALUE(LEFT(D28,3))</f>
        <v>607</v>
      </c>
      <c r="E2" s="32">
        <f t="shared" si="0"/>
        <v>632</v>
      </c>
    </row>
    <row r="3" spans="1:6">
      <c r="A3" s="28" t="s">
        <v>56</v>
      </c>
      <c r="B3" s="32" t="s">
        <v>1</v>
      </c>
      <c r="C3" s="32">
        <f t="shared" ref="C3:C17" si="1">VALUE(LEFT(C29,3))</f>
        <v>395</v>
      </c>
      <c r="D3" s="32">
        <f t="shared" ref="D3:E3" si="2">VALUE(LEFT(D29,3))</f>
        <v>420</v>
      </c>
      <c r="E3" s="32">
        <f t="shared" si="2"/>
        <v>440</v>
      </c>
    </row>
    <row r="4" spans="1:6">
      <c r="A4" s="28" t="s">
        <v>65</v>
      </c>
      <c r="B4" s="32" t="s">
        <v>6</v>
      </c>
      <c r="C4" s="32">
        <f t="shared" si="1"/>
        <v>104</v>
      </c>
      <c r="D4" s="32">
        <f t="shared" ref="D4:E4" si="3">VALUE(LEFT(D30,3))</f>
        <v>133</v>
      </c>
      <c r="E4" s="32">
        <f t="shared" si="3"/>
        <v>159</v>
      </c>
    </row>
    <row r="5" spans="1:6">
      <c r="A5" s="28" t="s">
        <v>63</v>
      </c>
      <c r="B5" s="32" t="s">
        <v>4</v>
      </c>
      <c r="C5" s="32">
        <f>VALUE(LEFT(C31,2))</f>
        <v>70</v>
      </c>
      <c r="D5" s="32">
        <f t="shared" ref="D5:E5" si="4">VALUE(LEFT(D31,2))</f>
        <v>70</v>
      </c>
      <c r="E5" s="32">
        <f t="shared" si="4"/>
        <v>70</v>
      </c>
    </row>
    <row r="6" spans="1:6">
      <c r="A6" s="28" t="s">
        <v>643</v>
      </c>
      <c r="B6" s="32" t="s">
        <v>618</v>
      </c>
      <c r="C6" s="32">
        <f t="shared" si="1"/>
        <v>265</v>
      </c>
      <c r="D6" s="32">
        <f t="shared" ref="D6:E6" si="5">VALUE(LEFT(D32,3))</f>
        <v>265</v>
      </c>
      <c r="E6" s="32">
        <f t="shared" si="5"/>
        <v>265</v>
      </c>
    </row>
    <row r="7" spans="1:6">
      <c r="A7" s="28" t="s">
        <v>66</v>
      </c>
      <c r="B7" s="32" t="s">
        <v>177</v>
      </c>
      <c r="C7" s="32">
        <f>VALUE(LEFT(C33,2))</f>
        <v>85</v>
      </c>
      <c r="D7" s="32">
        <f t="shared" ref="D7:E7" si="6">VALUE(LEFT(D33,2))</f>
        <v>85</v>
      </c>
      <c r="E7" s="32">
        <f t="shared" si="6"/>
        <v>85</v>
      </c>
    </row>
    <row r="8" spans="1:6">
      <c r="A8" s="28" t="s">
        <v>497</v>
      </c>
      <c r="B8" s="32" t="s">
        <v>134</v>
      </c>
      <c r="C8" s="32">
        <f>VALUE(LEFT(C34,2))</f>
        <v>69</v>
      </c>
      <c r="D8" s="32">
        <f t="shared" ref="D8:E8" si="7">VALUE(LEFT(D34,2))</f>
        <v>69</v>
      </c>
      <c r="E8" s="32">
        <f t="shared" si="7"/>
        <v>69</v>
      </c>
    </row>
    <row r="9" spans="1:6">
      <c r="A9" s="28" t="s">
        <v>642</v>
      </c>
      <c r="B9" s="32" t="s">
        <v>622</v>
      </c>
      <c r="C9" s="32">
        <f t="shared" si="1"/>
        <v>390</v>
      </c>
      <c r="D9" s="32">
        <f t="shared" ref="D9:E9" si="8">VALUE(LEFT(D35,3))</f>
        <v>390</v>
      </c>
      <c r="E9" s="32">
        <f t="shared" si="8"/>
        <v>390</v>
      </c>
    </row>
    <row r="10" spans="1:6">
      <c r="A10" s="28" t="s">
        <v>68</v>
      </c>
      <c r="B10" s="32" t="s">
        <v>624</v>
      </c>
      <c r="C10" s="32">
        <f>VALUE(LEFT(C36,2))</f>
        <v>55</v>
      </c>
      <c r="D10" s="32">
        <f t="shared" ref="D10:E10" si="9">VALUE(LEFT(D36,2))</f>
        <v>55</v>
      </c>
      <c r="E10" s="32">
        <f t="shared" si="9"/>
        <v>55</v>
      </c>
    </row>
    <row r="11" spans="1:6">
      <c r="A11" s="28" t="s">
        <v>483</v>
      </c>
      <c r="B11" s="32" t="s">
        <v>481</v>
      </c>
      <c r="C11" s="32">
        <f t="shared" si="1"/>
        <v>639</v>
      </c>
      <c r="D11" s="32">
        <f t="shared" ref="D11:E11" si="10">VALUE(LEFT(D37,3))</f>
        <v>674</v>
      </c>
      <c r="E11" s="32">
        <f t="shared" si="10"/>
        <v>703</v>
      </c>
    </row>
    <row r="12" spans="1:6">
      <c r="A12" s="28" t="s">
        <v>67</v>
      </c>
      <c r="B12" s="32" t="s">
        <v>8</v>
      </c>
      <c r="C12" s="32">
        <f t="shared" si="1"/>
        <v>432</v>
      </c>
      <c r="D12" s="32">
        <f t="shared" ref="D12:E12" si="11">VALUE(LEFT(D38,3))</f>
        <v>432</v>
      </c>
      <c r="E12" s="32">
        <f t="shared" si="11"/>
        <v>432</v>
      </c>
    </row>
    <row r="13" spans="1:6">
      <c r="A13" s="28" t="s">
        <v>57</v>
      </c>
      <c r="B13" s="32" t="s">
        <v>10</v>
      </c>
      <c r="C13" s="32">
        <f>VALUE(LEFT(C39,3))*10</f>
        <v>1050</v>
      </c>
      <c r="D13" s="32">
        <f t="shared" ref="D13:E13" si="12">VALUE(LEFT(D39,3))*10</f>
        <v>1090</v>
      </c>
      <c r="E13" s="32">
        <f t="shared" si="12"/>
        <v>1120</v>
      </c>
    </row>
    <row r="14" spans="1:6">
      <c r="A14" s="28" t="s">
        <v>74</v>
      </c>
      <c r="B14" s="32" t="s">
        <v>631</v>
      </c>
      <c r="C14" s="32">
        <f>C53</f>
        <v>567.38853863708255</v>
      </c>
      <c r="D14" s="32">
        <f t="shared" ref="D14:E14" si="13">VALUE(LEFT(D40,3))</f>
        <v>600</v>
      </c>
      <c r="E14" s="32">
        <f t="shared" si="13"/>
        <v>627</v>
      </c>
      <c r="F14" s="28" t="s">
        <v>1023</v>
      </c>
    </row>
    <row r="15" spans="1:6">
      <c r="A15" s="28" t="s">
        <v>58</v>
      </c>
      <c r="B15" s="32" t="s">
        <v>635</v>
      </c>
      <c r="C15" s="32">
        <f t="shared" si="1"/>
        <v>732</v>
      </c>
      <c r="D15" s="32">
        <f t="shared" ref="D15:E15" si="14">VALUE(LEFT(D41,3))</f>
        <v>754</v>
      </c>
      <c r="E15" s="32">
        <f t="shared" si="14"/>
        <v>774</v>
      </c>
    </row>
    <row r="16" spans="1:6">
      <c r="A16" s="28" t="s">
        <v>61</v>
      </c>
      <c r="B16" s="32" t="s">
        <v>176</v>
      </c>
      <c r="C16" s="32">
        <f t="shared" si="1"/>
        <v>470</v>
      </c>
      <c r="D16" s="32">
        <f t="shared" ref="D16:E16" si="15">VALUE(LEFT(D42,3))</f>
        <v>500</v>
      </c>
      <c r="E16" s="32">
        <f t="shared" si="15"/>
        <v>530</v>
      </c>
    </row>
    <row r="17" spans="1:5">
      <c r="A17" s="28" t="s">
        <v>64</v>
      </c>
      <c r="B17" s="32" t="s">
        <v>5</v>
      </c>
      <c r="C17" s="32">
        <f t="shared" si="1"/>
        <v>73</v>
      </c>
      <c r="D17" s="32">
        <f t="shared" ref="D17:E17" si="16">VALUE(LEFT(D43,3))</f>
        <v>73</v>
      </c>
      <c r="E17" s="32">
        <f t="shared" si="16"/>
        <v>73</v>
      </c>
    </row>
    <row r="18" spans="1:5">
      <c r="A18" s="28" t="s">
        <v>70</v>
      </c>
      <c r="B18" s="28" t="s">
        <v>70</v>
      </c>
    </row>
    <row r="19" spans="1:5">
      <c r="A19" s="28" t="s">
        <v>71</v>
      </c>
      <c r="B19" s="28" t="s">
        <v>71</v>
      </c>
    </row>
    <row r="20" spans="1:5">
      <c r="A20" s="28" t="s">
        <v>72</v>
      </c>
      <c r="B20" s="28" t="s">
        <v>72</v>
      </c>
    </row>
    <row r="21" spans="1:5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</row>
    <row r="22" spans="1:5">
      <c r="A22" s="28" t="s">
        <v>140</v>
      </c>
      <c r="B22" s="28" t="s">
        <v>140</v>
      </c>
      <c r="C22" s="28">
        <v>42</v>
      </c>
      <c r="D22" s="28">
        <v>42</v>
      </c>
      <c r="E22" s="28">
        <v>42</v>
      </c>
    </row>
    <row r="23" spans="1:5">
      <c r="A23" s="28" t="s">
        <v>141</v>
      </c>
      <c r="B23" s="28" t="s">
        <v>141</v>
      </c>
      <c r="C23" s="28">
        <v>47</v>
      </c>
      <c r="D23" s="28">
        <v>47</v>
      </c>
      <c r="E23" s="28">
        <v>47</v>
      </c>
    </row>
    <row r="24" spans="1:5">
      <c r="A24" s="28" t="s">
        <v>1758</v>
      </c>
      <c r="B24" s="28" t="s">
        <v>1758</v>
      </c>
      <c r="C24" s="28">
        <v>154</v>
      </c>
      <c r="D24" s="28">
        <v>168</v>
      </c>
      <c r="E24" s="28">
        <v>179</v>
      </c>
    </row>
    <row r="25" spans="1:5">
      <c r="A25" s="28" t="s">
        <v>1759</v>
      </c>
      <c r="B25" s="28" t="s">
        <v>1759</v>
      </c>
      <c r="C25" s="28">
        <v>169</v>
      </c>
      <c r="D25" s="28">
        <v>180</v>
      </c>
      <c r="E25" s="28">
        <v>215</v>
      </c>
    </row>
    <row r="28" spans="1:5">
      <c r="C28" s="32" t="s">
        <v>609</v>
      </c>
      <c r="D28" s="32" t="s">
        <v>610</v>
      </c>
      <c r="E28" s="32" t="s">
        <v>611</v>
      </c>
    </row>
    <row r="29" spans="1:5">
      <c r="C29" s="32" t="s">
        <v>612</v>
      </c>
      <c r="D29" s="32" t="s">
        <v>613</v>
      </c>
      <c r="E29" s="32" t="s">
        <v>614</v>
      </c>
    </row>
    <row r="30" spans="1:5">
      <c r="C30" s="32" t="s">
        <v>615</v>
      </c>
      <c r="D30" s="32" t="s">
        <v>616</v>
      </c>
      <c r="E30" s="32" t="s">
        <v>617</v>
      </c>
    </row>
    <row r="31" spans="1:5">
      <c r="C31" s="32" t="s">
        <v>582</v>
      </c>
      <c r="D31" s="32" t="s">
        <v>582</v>
      </c>
      <c r="E31" s="32" t="s">
        <v>582</v>
      </c>
    </row>
    <row r="32" spans="1:5">
      <c r="C32" s="32" t="s">
        <v>619</v>
      </c>
      <c r="D32" s="32" t="s">
        <v>619</v>
      </c>
      <c r="E32" s="32" t="s">
        <v>619</v>
      </c>
    </row>
    <row r="33" spans="2:5">
      <c r="C33" s="32" t="s">
        <v>620</v>
      </c>
      <c r="D33" s="32" t="s">
        <v>620</v>
      </c>
      <c r="E33" s="32" t="s">
        <v>620</v>
      </c>
    </row>
    <row r="34" spans="2:5">
      <c r="C34" s="32" t="s">
        <v>621</v>
      </c>
      <c r="D34" s="32" t="s">
        <v>621</v>
      </c>
      <c r="E34" s="32" t="s">
        <v>621</v>
      </c>
    </row>
    <row r="35" spans="2:5">
      <c r="C35" s="32" t="s">
        <v>623</v>
      </c>
      <c r="D35" s="32" t="s">
        <v>623</v>
      </c>
      <c r="E35" s="32" t="s">
        <v>623</v>
      </c>
    </row>
    <row r="36" spans="2:5">
      <c r="C36" s="32" t="s">
        <v>251</v>
      </c>
      <c r="D36" s="32" t="s">
        <v>251</v>
      </c>
      <c r="E36" s="32" t="s">
        <v>251</v>
      </c>
    </row>
    <row r="37" spans="2:5">
      <c r="C37" s="32" t="s">
        <v>625</v>
      </c>
      <c r="D37" s="32" t="s">
        <v>626</v>
      </c>
      <c r="E37" s="32" t="s">
        <v>411</v>
      </c>
    </row>
    <row r="38" spans="2:5">
      <c r="C38" s="32" t="s">
        <v>627</v>
      </c>
      <c r="D38" s="32" t="s">
        <v>627</v>
      </c>
      <c r="E38" s="32" t="s">
        <v>627</v>
      </c>
    </row>
    <row r="39" spans="2:5">
      <c r="C39" s="32" t="s">
        <v>628</v>
      </c>
      <c r="D39" s="32" t="s">
        <v>629</v>
      </c>
      <c r="E39" s="32" t="s">
        <v>630</v>
      </c>
    </row>
    <row r="40" spans="2:5">
      <c r="C40" s="32" t="s">
        <v>632</v>
      </c>
      <c r="D40" s="32" t="s">
        <v>633</v>
      </c>
      <c r="E40" s="32" t="s">
        <v>634</v>
      </c>
    </row>
    <row r="41" spans="2:5">
      <c r="C41" s="32" t="s">
        <v>636</v>
      </c>
      <c r="D41" s="32" t="s">
        <v>637</v>
      </c>
      <c r="E41" s="32" t="s">
        <v>638</v>
      </c>
    </row>
    <row r="42" spans="2:5">
      <c r="C42" s="32" t="s">
        <v>639</v>
      </c>
      <c r="D42" s="32" t="s">
        <v>640</v>
      </c>
      <c r="E42" s="32" t="s">
        <v>641</v>
      </c>
    </row>
    <row r="43" spans="2:5">
      <c r="C43" s="32" t="s">
        <v>34</v>
      </c>
      <c r="D43" s="32" t="s">
        <v>34</v>
      </c>
      <c r="E43" s="32" t="s">
        <v>34</v>
      </c>
    </row>
    <row r="44" spans="2:5">
      <c r="B44" s="28" t="s">
        <v>1015</v>
      </c>
    </row>
    <row r="45" spans="2:5">
      <c r="B45" s="28" t="s">
        <v>1014</v>
      </c>
      <c r="C45" s="28">
        <f>C16*SIN(C17*PI()/180)</f>
        <v>449.46323530262663</v>
      </c>
      <c r="D45" s="28">
        <f>D16*SIN(D17*PI()/180)</f>
        <v>478.1523779815177</v>
      </c>
      <c r="E45" s="28">
        <f>E16*SIN(E17*PI()/180)</f>
        <v>506.84152066040878</v>
      </c>
    </row>
    <row r="46" spans="2:5">
      <c r="B46" s="28" t="s">
        <v>1017</v>
      </c>
      <c r="C46" s="28">
        <f>-C16*COS(C17*PI()/180)</f>
        <v>-137.41470121968629</v>
      </c>
      <c r="D46" s="28">
        <f>-D16*COS(D17*PI()/180)</f>
        <v>-146.18585236136838</v>
      </c>
      <c r="E46" s="28">
        <f>-E16*COS(E17*PI()/180)</f>
        <v>-154.95700350305049</v>
      </c>
    </row>
    <row r="47" spans="2:5">
      <c r="B47" s="28" t="s">
        <v>1016</v>
      </c>
      <c r="C47" s="28">
        <f t="shared" ref="C47:E48" si="17">C2</f>
        <v>580</v>
      </c>
      <c r="D47" s="28">
        <f t="shared" si="17"/>
        <v>607</v>
      </c>
      <c r="E47" s="28">
        <f t="shared" si="17"/>
        <v>632</v>
      </c>
    </row>
    <row r="48" spans="2:5">
      <c r="B48" s="28" t="s">
        <v>1018</v>
      </c>
      <c r="C48" s="28">
        <f t="shared" si="17"/>
        <v>395</v>
      </c>
      <c r="D48" s="28">
        <f t="shared" si="17"/>
        <v>420</v>
      </c>
      <c r="E48" s="28">
        <f t="shared" si="17"/>
        <v>440</v>
      </c>
    </row>
    <row r="49" spans="2:5">
      <c r="B49" s="28" t="s">
        <v>1019</v>
      </c>
      <c r="C49" s="28">
        <f>SQRT((C48-C46)^2 + (C47-C45)^2)</f>
        <v>548.18360155380901</v>
      </c>
      <c r="D49" s="28">
        <f t="shared" ref="D49:E49" si="18">SQRT((D48-D46)^2 + (D47-D45)^2)</f>
        <v>580.66180269928805</v>
      </c>
      <c r="E49" s="28">
        <f t="shared" si="18"/>
        <v>607.97901359169271</v>
      </c>
    </row>
    <row r="50" spans="2:5">
      <c r="B50" s="28" t="s">
        <v>1020</v>
      </c>
      <c r="C50" s="28">
        <f>C2/TAN(C17*PI()/180)</f>
        <v>177.32379524602302</v>
      </c>
      <c r="D50" s="28">
        <f>D2/TAN(D17*PI()/180)</f>
        <v>185.57852364540685</v>
      </c>
      <c r="E50" s="28">
        <f>E2/TAN(E17*PI()/180)</f>
        <v>193.22179068187336</v>
      </c>
    </row>
    <row r="51" spans="2:5">
      <c r="B51" s="28" t="s">
        <v>1021</v>
      </c>
      <c r="C51" s="28">
        <f>C50+C3</f>
        <v>572.323795246023</v>
      </c>
      <c r="D51" s="28">
        <f>D50+D3</f>
        <v>605.5785236454069</v>
      </c>
      <c r="E51" s="28">
        <f>E50+E3</f>
        <v>633.22179068187336</v>
      </c>
    </row>
    <row r="52" spans="2:5">
      <c r="B52" s="28" t="s">
        <v>1022</v>
      </c>
      <c r="C52" s="28">
        <f>C51-C14</f>
        <v>4.935256608940449</v>
      </c>
      <c r="D52" s="28">
        <f>D51-D14</f>
        <v>5.5785236454069036</v>
      </c>
      <c r="E52" s="28">
        <f>E51-E14</f>
        <v>6.2217906818733582</v>
      </c>
    </row>
    <row r="53" spans="2:5">
      <c r="C53" s="28">
        <f>C51-(D52-(E52-D52))</f>
        <v>567.38853863708255</v>
      </c>
    </row>
    <row r="54" spans="2:5">
      <c r="C54" s="28">
        <f>C51-C53</f>
        <v>4.935256608940449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8">
      <c r="A1" s="28" t="s">
        <v>73</v>
      </c>
      <c r="B1" s="28" t="s">
        <v>16</v>
      </c>
      <c r="C1" s="28">
        <f>C30</f>
        <v>49</v>
      </c>
      <c r="D1" s="28">
        <f t="shared" ref="D1:H1" si="0">D30</f>
        <v>52</v>
      </c>
      <c r="E1" s="28">
        <f t="shared" si="0"/>
        <v>54</v>
      </c>
      <c r="F1" s="28">
        <f t="shared" si="0"/>
        <v>56</v>
      </c>
      <c r="G1" s="28">
        <f t="shared" si="0"/>
        <v>58</v>
      </c>
      <c r="H1" s="28">
        <f t="shared" si="0"/>
        <v>61</v>
      </c>
    </row>
    <row r="2" spans="1:8" ht="22">
      <c r="A2" s="28" t="s">
        <v>70</v>
      </c>
      <c r="B2" s="99" t="s">
        <v>59</v>
      </c>
      <c r="C2" s="59">
        <f>VALUE(LEFT(C31,3))</f>
        <v>165</v>
      </c>
      <c r="D2" s="59">
        <f t="shared" ref="D2:H2" si="1">VALUE(LEFT(D31,3))</f>
        <v>170</v>
      </c>
      <c r="E2" s="59">
        <f t="shared" si="1"/>
        <v>172</v>
      </c>
      <c r="F2" s="59">
        <f t="shared" si="1"/>
        <v>172</v>
      </c>
      <c r="G2" s="59">
        <f t="shared" si="1"/>
        <v>175</v>
      </c>
      <c r="H2" s="59">
        <f t="shared" si="1"/>
        <v>175</v>
      </c>
    </row>
    <row r="3" spans="1:8" ht="22">
      <c r="A3" s="28" t="s">
        <v>71</v>
      </c>
      <c r="B3" s="99" t="s">
        <v>13</v>
      </c>
      <c r="C3" s="59">
        <f t="shared" ref="C3:H3" si="2">VALUE(LEFT(C32,3))</f>
        <v>380</v>
      </c>
      <c r="D3" s="59">
        <f t="shared" si="2"/>
        <v>400</v>
      </c>
      <c r="E3" s="59">
        <f t="shared" si="2"/>
        <v>420</v>
      </c>
      <c r="F3" s="59">
        <f t="shared" si="2"/>
        <v>420</v>
      </c>
      <c r="G3" s="59">
        <f t="shared" si="2"/>
        <v>440</v>
      </c>
      <c r="H3" s="59">
        <f t="shared" si="2"/>
        <v>440</v>
      </c>
    </row>
    <row r="4" spans="1:8" ht="22">
      <c r="A4" s="28" t="s">
        <v>72</v>
      </c>
      <c r="B4" s="99" t="s">
        <v>14</v>
      </c>
      <c r="C4" s="59">
        <f>VALUE(LEFT(C33,2))</f>
        <v>60</v>
      </c>
      <c r="D4" s="59">
        <f t="shared" ref="D4:F4" si="3">VALUE(LEFT(D33,2))</f>
        <v>70</v>
      </c>
      <c r="E4" s="59">
        <f t="shared" si="3"/>
        <v>80</v>
      </c>
      <c r="F4" s="59">
        <f t="shared" si="3"/>
        <v>90</v>
      </c>
      <c r="G4" s="59">
        <f t="shared" ref="G4:H4" si="4">VALUE(LEFT(G33,3))</f>
        <v>100</v>
      </c>
      <c r="H4" s="59">
        <f t="shared" si="4"/>
        <v>100</v>
      </c>
    </row>
    <row r="5" spans="1:8" ht="22">
      <c r="A5" s="28" t="s">
        <v>1346</v>
      </c>
      <c r="B5" s="99" t="s">
        <v>1301</v>
      </c>
      <c r="C5" s="59">
        <f t="shared" ref="C5:H5" si="5">VALUE(LEFT(C34,3))</f>
        <v>155</v>
      </c>
      <c r="D5" s="59">
        <f t="shared" si="5"/>
        <v>155</v>
      </c>
      <c r="E5" s="59">
        <f t="shared" si="5"/>
        <v>143</v>
      </c>
      <c r="F5" s="59">
        <f t="shared" si="5"/>
        <v>143</v>
      </c>
      <c r="G5" s="59">
        <f t="shared" si="5"/>
        <v>143</v>
      </c>
      <c r="H5" s="59">
        <f t="shared" si="5"/>
        <v>143</v>
      </c>
    </row>
    <row r="6" spans="1:8" ht="22">
      <c r="A6" s="28" t="s">
        <v>1347</v>
      </c>
      <c r="B6" s="99" t="s">
        <v>1299</v>
      </c>
      <c r="C6" s="59">
        <f t="shared" ref="C6:H6" si="6">VALUE(LEFT(C35,3))</f>
        <v>350</v>
      </c>
      <c r="D6" s="59">
        <f t="shared" si="6"/>
        <v>350</v>
      </c>
      <c r="E6" s="59">
        <f t="shared" si="6"/>
        <v>350</v>
      </c>
      <c r="F6" s="59">
        <f t="shared" si="6"/>
        <v>350</v>
      </c>
      <c r="G6" s="59">
        <f t="shared" si="6"/>
        <v>350</v>
      </c>
      <c r="H6" s="59">
        <f t="shared" si="6"/>
        <v>350</v>
      </c>
    </row>
    <row r="7" spans="1:8" ht="22">
      <c r="A7" s="28" t="s">
        <v>55</v>
      </c>
      <c r="B7" s="99" t="s">
        <v>0</v>
      </c>
      <c r="C7" s="59">
        <f t="shared" ref="C7:H7" si="7">VALUE(LEFT(C36,3))</f>
        <v>569</v>
      </c>
      <c r="D7" s="59">
        <f t="shared" si="7"/>
        <v>576</v>
      </c>
      <c r="E7" s="59">
        <f t="shared" si="7"/>
        <v>593</v>
      </c>
      <c r="F7" s="59">
        <f t="shared" si="7"/>
        <v>609</v>
      </c>
      <c r="G7" s="59">
        <f t="shared" si="7"/>
        <v>633</v>
      </c>
      <c r="H7" s="59">
        <f t="shared" si="7"/>
        <v>659</v>
      </c>
    </row>
    <row r="8" spans="1:8" ht="22">
      <c r="A8" s="28" t="s">
        <v>56</v>
      </c>
      <c r="B8" s="99" t="s">
        <v>1</v>
      </c>
      <c r="C8" s="59">
        <f t="shared" ref="C8:H8" si="8">VALUE(LEFT(C37,3))</f>
        <v>365</v>
      </c>
      <c r="D8" s="59">
        <f t="shared" si="8"/>
        <v>374</v>
      </c>
      <c r="E8" s="59">
        <f t="shared" si="8"/>
        <v>383</v>
      </c>
      <c r="F8" s="59">
        <f t="shared" si="8"/>
        <v>392</v>
      </c>
      <c r="G8" s="59">
        <f t="shared" si="8"/>
        <v>401</v>
      </c>
      <c r="H8" s="59">
        <f t="shared" si="8"/>
        <v>410</v>
      </c>
    </row>
    <row r="9" spans="1:8" ht="22">
      <c r="A9" s="28" t="s">
        <v>65</v>
      </c>
      <c r="B9" s="99" t="s">
        <v>6</v>
      </c>
      <c r="C9" s="59">
        <f t="shared" ref="C9:H9" si="9">VALUE(LEFT(C38,3))</f>
        <v>100</v>
      </c>
      <c r="D9" s="59">
        <f t="shared" si="9"/>
        <v>100</v>
      </c>
      <c r="E9" s="59">
        <f t="shared" si="9"/>
        <v>115</v>
      </c>
      <c r="F9" s="59">
        <f t="shared" si="9"/>
        <v>130</v>
      </c>
      <c r="G9" s="59">
        <f t="shared" si="9"/>
        <v>155</v>
      </c>
      <c r="H9" s="59">
        <f t="shared" si="9"/>
        <v>182</v>
      </c>
    </row>
    <row r="10" spans="1:8" ht="22">
      <c r="A10" s="28" t="s">
        <v>63</v>
      </c>
      <c r="B10" s="99" t="s">
        <v>4</v>
      </c>
      <c r="C10" s="59">
        <f>VALUE(LEFT(C39,2))</f>
        <v>70</v>
      </c>
      <c r="D10" s="59">
        <f>VALUE(LEFT(D39,4))</f>
        <v>70.5</v>
      </c>
      <c r="E10" s="59">
        <f>VALUE(LEFT(E39,5))</f>
        <v>71.25</v>
      </c>
      <c r="F10" s="59">
        <f t="shared" ref="F10:H10" si="10">VALUE(LEFT(F39,5))</f>
        <v>71.75</v>
      </c>
      <c r="G10" s="59">
        <f t="shared" si="10"/>
        <v>71.75</v>
      </c>
      <c r="H10" s="59">
        <f t="shared" si="10"/>
        <v>71.75</v>
      </c>
    </row>
    <row r="11" spans="1:8" ht="22">
      <c r="A11" s="28" t="s">
        <v>138</v>
      </c>
      <c r="B11" s="99" t="s">
        <v>618</v>
      </c>
      <c r="C11" s="59">
        <f t="shared" ref="C11:H11" si="11">VALUE(LEFT(C40,3))</f>
        <v>270</v>
      </c>
      <c r="D11" s="59">
        <f t="shared" si="11"/>
        <v>265</v>
      </c>
      <c r="E11" s="59">
        <f t="shared" si="11"/>
        <v>265</v>
      </c>
      <c r="F11" s="59">
        <f t="shared" si="11"/>
        <v>265</v>
      </c>
      <c r="G11" s="59">
        <f t="shared" si="11"/>
        <v>265</v>
      </c>
      <c r="H11" s="59">
        <f t="shared" si="11"/>
        <v>265</v>
      </c>
    </row>
    <row r="12" spans="1:8" ht="22">
      <c r="A12" s="28" t="s">
        <v>66</v>
      </c>
      <c r="B12" s="99" t="s">
        <v>177</v>
      </c>
      <c r="C12" s="59">
        <f>VALUE(LEFT(C41,2))</f>
        <v>80</v>
      </c>
      <c r="D12" s="59">
        <f t="shared" ref="D12:H13" si="12">VALUE(LEFT(D41,2))</f>
        <v>85</v>
      </c>
      <c r="E12" s="59">
        <f t="shared" si="12"/>
        <v>85</v>
      </c>
      <c r="F12" s="59">
        <f t="shared" si="12"/>
        <v>85</v>
      </c>
      <c r="G12" s="59">
        <f t="shared" si="12"/>
        <v>85</v>
      </c>
      <c r="H12" s="59">
        <f t="shared" si="12"/>
        <v>85</v>
      </c>
    </row>
    <row r="13" spans="1:8" ht="22">
      <c r="A13" s="28" t="s">
        <v>136</v>
      </c>
      <c r="B13" s="99" t="s">
        <v>134</v>
      </c>
      <c r="C13" s="59">
        <f>VALUE(LEFT(C42,2))</f>
        <v>69</v>
      </c>
      <c r="D13" s="59">
        <f t="shared" si="12"/>
        <v>66</v>
      </c>
      <c r="E13" s="59">
        <f t="shared" si="12"/>
        <v>61</v>
      </c>
      <c r="F13" s="59">
        <f t="shared" si="12"/>
        <v>57</v>
      </c>
      <c r="G13" s="59">
        <f t="shared" si="12"/>
        <v>57</v>
      </c>
      <c r="H13" s="59">
        <f t="shared" si="12"/>
        <v>57</v>
      </c>
    </row>
    <row r="14" spans="1:8" ht="22">
      <c r="A14" s="28" t="s">
        <v>498</v>
      </c>
      <c r="B14" s="99" t="s">
        <v>622</v>
      </c>
      <c r="C14" s="59">
        <f t="shared" ref="C14:H14" si="13">VALUE(LEFT(C43,3))</f>
        <v>390</v>
      </c>
      <c r="D14" s="59">
        <f t="shared" si="13"/>
        <v>390</v>
      </c>
      <c r="E14" s="59">
        <f t="shared" si="13"/>
        <v>390</v>
      </c>
      <c r="F14" s="59">
        <f t="shared" si="13"/>
        <v>390</v>
      </c>
      <c r="G14" s="59">
        <f t="shared" si="13"/>
        <v>390</v>
      </c>
      <c r="H14" s="59">
        <f t="shared" si="13"/>
        <v>390</v>
      </c>
    </row>
    <row r="15" spans="1:8" ht="22">
      <c r="A15" s="28" t="s">
        <v>68</v>
      </c>
      <c r="B15" s="99" t="s">
        <v>624</v>
      </c>
      <c r="C15" s="59">
        <f>VALUE(LEFT(C44,2))</f>
        <v>55</v>
      </c>
      <c r="D15" s="59">
        <f t="shared" ref="D15:H15" si="14">VALUE(LEFT(D44,2))</f>
        <v>55</v>
      </c>
      <c r="E15" s="59">
        <f t="shared" si="14"/>
        <v>55</v>
      </c>
      <c r="F15" s="59">
        <f t="shared" si="14"/>
        <v>55</v>
      </c>
      <c r="G15" s="59">
        <f t="shared" si="14"/>
        <v>55</v>
      </c>
      <c r="H15" s="59">
        <f t="shared" si="14"/>
        <v>55</v>
      </c>
    </row>
    <row r="16" spans="1:8" ht="22">
      <c r="A16" s="28" t="s">
        <v>366</v>
      </c>
      <c r="B16" s="99" t="s">
        <v>481</v>
      </c>
      <c r="C16" s="59">
        <f t="shared" ref="C16:H16" si="15">VALUE(LEFT(C45,3))</f>
        <v>607</v>
      </c>
      <c r="D16" s="59">
        <f t="shared" si="15"/>
        <v>612</v>
      </c>
      <c r="E16" s="59">
        <f t="shared" si="15"/>
        <v>619</v>
      </c>
      <c r="F16" s="59">
        <f t="shared" si="15"/>
        <v>629</v>
      </c>
      <c r="G16" s="59">
        <f t="shared" si="15"/>
        <v>645</v>
      </c>
      <c r="H16" s="59">
        <f t="shared" si="15"/>
        <v>663</v>
      </c>
    </row>
    <row r="17" spans="1:10" ht="22">
      <c r="A17" s="28" t="s">
        <v>67</v>
      </c>
      <c r="B17" s="99" t="s">
        <v>8</v>
      </c>
      <c r="C17" s="59">
        <f t="shared" ref="C17:H17" si="16">VALUE(LEFT(C46,3))</f>
        <v>429</v>
      </c>
      <c r="D17" s="59">
        <f t="shared" si="16"/>
        <v>429</v>
      </c>
      <c r="E17" s="59">
        <f t="shared" si="16"/>
        <v>429</v>
      </c>
      <c r="F17" s="59">
        <f t="shared" si="16"/>
        <v>429</v>
      </c>
      <c r="G17" s="59">
        <f t="shared" si="16"/>
        <v>429</v>
      </c>
      <c r="H17" s="59">
        <f t="shared" si="16"/>
        <v>429</v>
      </c>
    </row>
    <row r="18" spans="1:10" ht="22">
      <c r="A18" s="28" t="s">
        <v>57</v>
      </c>
      <c r="B18" s="99" t="s">
        <v>10</v>
      </c>
      <c r="C18" s="59">
        <f>VALUE(LEFT(C47,4))</f>
        <v>1023</v>
      </c>
      <c r="D18" s="59">
        <f t="shared" ref="D18:H18" si="17">VALUE(LEFT(D47,4))</f>
        <v>1027</v>
      </c>
      <c r="E18" s="59">
        <f t="shared" si="17"/>
        <v>1034</v>
      </c>
      <c r="F18" s="59">
        <f t="shared" si="17"/>
        <v>1044</v>
      </c>
      <c r="G18" s="59">
        <f t="shared" si="17"/>
        <v>1060</v>
      </c>
      <c r="H18" s="59">
        <f t="shared" si="17"/>
        <v>1078</v>
      </c>
    </row>
    <row r="19" spans="1:10" ht="22">
      <c r="A19" s="28" t="s">
        <v>74</v>
      </c>
      <c r="B19" s="99" t="s">
        <v>631</v>
      </c>
      <c r="C19" s="59">
        <f t="shared" ref="C19:H19" si="18">VALUE(LEFT(C48,3))</f>
        <v>527</v>
      </c>
      <c r="D19" s="59">
        <f t="shared" si="18"/>
        <v>540</v>
      </c>
      <c r="E19" s="59">
        <f t="shared" si="18"/>
        <v>556</v>
      </c>
      <c r="F19" s="59">
        <f t="shared" si="18"/>
        <v>570</v>
      </c>
      <c r="G19" s="59">
        <f t="shared" si="18"/>
        <v>586</v>
      </c>
      <c r="H19" s="59">
        <f t="shared" si="18"/>
        <v>602</v>
      </c>
    </row>
    <row r="20" spans="1:10" ht="22">
      <c r="A20" s="28" t="s">
        <v>58</v>
      </c>
      <c r="B20" s="99" t="s">
        <v>635</v>
      </c>
      <c r="C20" s="59">
        <f t="shared" ref="C20:H20" si="19">VALUE(LEFT(C49,3))</f>
        <v>704</v>
      </c>
      <c r="D20" s="59">
        <f t="shared" si="19"/>
        <v>730</v>
      </c>
      <c r="E20" s="59">
        <f t="shared" si="19"/>
        <v>753</v>
      </c>
      <c r="F20" s="59">
        <f t="shared" si="19"/>
        <v>778</v>
      </c>
      <c r="G20" s="59">
        <f t="shared" si="19"/>
        <v>804</v>
      </c>
      <c r="H20" s="59">
        <f t="shared" si="19"/>
        <v>833</v>
      </c>
    </row>
    <row r="21" spans="1:10" ht="22">
      <c r="A21" s="28" t="s">
        <v>61</v>
      </c>
      <c r="B21" s="99" t="s">
        <v>176</v>
      </c>
      <c r="C21" s="59">
        <f t="shared" ref="C21:H21" si="20">VALUE(LEFT(C50,3))</f>
        <v>390</v>
      </c>
      <c r="D21" s="59">
        <f t="shared" si="20"/>
        <v>430</v>
      </c>
      <c r="E21" s="59">
        <f t="shared" si="20"/>
        <v>470</v>
      </c>
      <c r="F21" s="59">
        <f t="shared" si="20"/>
        <v>500</v>
      </c>
      <c r="G21" s="59">
        <f t="shared" si="20"/>
        <v>530</v>
      </c>
      <c r="H21" s="59">
        <f t="shared" si="20"/>
        <v>560</v>
      </c>
    </row>
    <row r="22" spans="1:10" ht="22">
      <c r="A22" s="28" t="s">
        <v>64</v>
      </c>
      <c r="B22" s="99" t="s">
        <v>5</v>
      </c>
      <c r="C22" s="59">
        <f>VALUE(LEFT(C51,4))</f>
        <v>74.5</v>
      </c>
      <c r="D22" s="59">
        <f>VALUE(LEFT(D51,5))</f>
        <v>74.25</v>
      </c>
      <c r="E22" s="59">
        <f>VALUE(LEFT(E51,2))</f>
        <v>74</v>
      </c>
      <c r="F22" s="59">
        <f t="shared" ref="F22:H22" si="21">VALUE(LEFT(F51,2))</f>
        <v>74</v>
      </c>
      <c r="G22" s="59">
        <f t="shared" si="21"/>
        <v>74</v>
      </c>
      <c r="H22" s="59">
        <f t="shared" si="21"/>
        <v>74</v>
      </c>
    </row>
    <row r="23" spans="1:10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10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</row>
    <row r="25" spans="1:10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</row>
    <row r="26" spans="1:10">
      <c r="A26" s="28" t="s">
        <v>1758</v>
      </c>
      <c r="B26" s="28" t="s">
        <v>1758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</row>
    <row r="27" spans="1:10">
      <c r="A27" s="28" t="s">
        <v>1759</v>
      </c>
      <c r="B27" s="28" t="s">
        <v>1759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</row>
    <row r="30" spans="1:10" ht="22">
      <c r="C30" s="98">
        <v>49</v>
      </c>
      <c r="D30" s="98">
        <v>52</v>
      </c>
      <c r="E30" s="98">
        <v>54</v>
      </c>
      <c r="F30" s="98">
        <v>56</v>
      </c>
      <c r="G30" s="98">
        <v>58</v>
      </c>
      <c r="H30" s="98">
        <v>61</v>
      </c>
      <c r="J30"/>
    </row>
    <row r="31" spans="1:10" ht="22">
      <c r="B31" s="99" t="s">
        <v>59</v>
      </c>
      <c r="C31" s="100" t="s">
        <v>1295</v>
      </c>
      <c r="D31" s="100" t="s">
        <v>1195</v>
      </c>
      <c r="E31" s="100" t="s">
        <v>1038</v>
      </c>
      <c r="F31" s="100" t="s">
        <v>1038</v>
      </c>
      <c r="G31" s="100" t="s">
        <v>246</v>
      </c>
      <c r="H31" s="100" t="s">
        <v>246</v>
      </c>
    </row>
    <row r="32" spans="1:10" ht="22">
      <c r="B32" s="99" t="s">
        <v>13</v>
      </c>
      <c r="C32" s="100" t="s">
        <v>239</v>
      </c>
      <c r="D32" s="100" t="s">
        <v>868</v>
      </c>
      <c r="E32" s="100" t="s">
        <v>613</v>
      </c>
      <c r="F32" s="100" t="s">
        <v>613</v>
      </c>
      <c r="G32" s="100" t="s">
        <v>614</v>
      </c>
      <c r="H32" s="100" t="s">
        <v>614</v>
      </c>
    </row>
    <row r="33" spans="2:8" ht="22">
      <c r="B33" s="99" t="s">
        <v>14</v>
      </c>
      <c r="C33" s="100" t="s">
        <v>1296</v>
      </c>
      <c r="D33" s="100" t="s">
        <v>1209</v>
      </c>
      <c r="E33" s="100" t="s">
        <v>1033</v>
      </c>
      <c r="F33" s="100" t="s">
        <v>1297</v>
      </c>
      <c r="G33" s="100" t="s">
        <v>1256</v>
      </c>
      <c r="H33" s="100" t="s">
        <v>1256</v>
      </c>
    </row>
    <row r="34" spans="2:8" ht="22">
      <c r="B34" s="99" t="s">
        <v>1301</v>
      </c>
      <c r="C34" s="100" t="s">
        <v>1302</v>
      </c>
      <c r="D34" s="100" t="s">
        <v>1302</v>
      </c>
      <c r="E34" s="100" t="s">
        <v>1303</v>
      </c>
      <c r="F34" s="100" t="s">
        <v>1303</v>
      </c>
      <c r="G34" s="100" t="s">
        <v>1303</v>
      </c>
      <c r="H34" s="100" t="s">
        <v>1303</v>
      </c>
    </row>
    <row r="35" spans="2:8" ht="22">
      <c r="B35" s="99" t="s">
        <v>1299</v>
      </c>
      <c r="C35" s="100" t="s">
        <v>2058</v>
      </c>
      <c r="D35" s="100" t="s">
        <v>2058</v>
      </c>
      <c r="E35" s="100" t="s">
        <v>2058</v>
      </c>
      <c r="F35" s="100" t="s">
        <v>2058</v>
      </c>
      <c r="G35" s="100" t="s">
        <v>2058</v>
      </c>
      <c r="H35" s="100" t="s">
        <v>2058</v>
      </c>
    </row>
    <row r="36" spans="2:8" ht="22">
      <c r="B36" s="99" t="s">
        <v>0</v>
      </c>
      <c r="C36" s="100" t="s">
        <v>2059</v>
      </c>
      <c r="D36" s="100" t="s">
        <v>2060</v>
      </c>
      <c r="E36" s="100" t="s">
        <v>1262</v>
      </c>
      <c r="F36" s="100" t="s">
        <v>2061</v>
      </c>
      <c r="G36" s="100" t="s">
        <v>1472</v>
      </c>
      <c r="H36" s="100" t="s">
        <v>1307</v>
      </c>
    </row>
    <row r="37" spans="2:8" ht="22">
      <c r="B37" s="99" t="s">
        <v>1</v>
      </c>
      <c r="C37" s="100" t="s">
        <v>260</v>
      </c>
      <c r="D37" s="100" t="s">
        <v>1309</v>
      </c>
      <c r="E37" s="100" t="s">
        <v>1310</v>
      </c>
      <c r="F37" s="100" t="s">
        <v>1311</v>
      </c>
      <c r="G37" s="100" t="s">
        <v>1312</v>
      </c>
      <c r="H37" s="100" t="s">
        <v>1267</v>
      </c>
    </row>
    <row r="38" spans="2:8" ht="22">
      <c r="B38" s="99" t="s">
        <v>6</v>
      </c>
      <c r="C38" s="100" t="s">
        <v>1256</v>
      </c>
      <c r="D38" s="100" t="s">
        <v>1256</v>
      </c>
      <c r="E38" s="100" t="s">
        <v>244</v>
      </c>
      <c r="F38" s="100" t="s">
        <v>835</v>
      </c>
      <c r="G38" s="100" t="s">
        <v>1302</v>
      </c>
      <c r="H38" s="100" t="s">
        <v>2062</v>
      </c>
    </row>
    <row r="39" spans="2:8" ht="22">
      <c r="B39" s="99" t="s">
        <v>4</v>
      </c>
      <c r="C39" s="100" t="s">
        <v>582</v>
      </c>
      <c r="D39" s="100" t="s">
        <v>848</v>
      </c>
      <c r="E39" s="100" t="s">
        <v>1317</v>
      </c>
      <c r="F39" s="100" t="s">
        <v>1318</v>
      </c>
      <c r="G39" s="100" t="s">
        <v>1318</v>
      </c>
      <c r="H39" s="100" t="s">
        <v>1318</v>
      </c>
    </row>
    <row r="40" spans="2:8" ht="22">
      <c r="B40" s="99" t="s">
        <v>618</v>
      </c>
      <c r="C40" s="100" t="s">
        <v>1320</v>
      </c>
      <c r="D40" s="100" t="s">
        <v>619</v>
      </c>
      <c r="E40" s="100" t="s">
        <v>619</v>
      </c>
      <c r="F40" s="100" t="s">
        <v>619</v>
      </c>
      <c r="G40" s="100" t="s">
        <v>619</v>
      </c>
      <c r="H40" s="100" t="s">
        <v>619</v>
      </c>
    </row>
    <row r="41" spans="2:8" ht="22">
      <c r="B41" s="99" t="s">
        <v>177</v>
      </c>
      <c r="C41" s="100" t="s">
        <v>1033</v>
      </c>
      <c r="D41" s="100" t="s">
        <v>620</v>
      </c>
      <c r="E41" s="100" t="s">
        <v>620</v>
      </c>
      <c r="F41" s="100" t="s">
        <v>620</v>
      </c>
      <c r="G41" s="100" t="s">
        <v>620</v>
      </c>
      <c r="H41" s="100" t="s">
        <v>620</v>
      </c>
    </row>
    <row r="42" spans="2:8" ht="22">
      <c r="B42" s="99" t="s">
        <v>134</v>
      </c>
      <c r="C42" s="100" t="s">
        <v>621</v>
      </c>
      <c r="D42" s="100" t="s">
        <v>858</v>
      </c>
      <c r="E42" s="100" t="s">
        <v>1321</v>
      </c>
      <c r="F42" s="100" t="s">
        <v>1322</v>
      </c>
      <c r="G42" s="100" t="s">
        <v>1322</v>
      </c>
      <c r="H42" s="100" t="s">
        <v>1322</v>
      </c>
    </row>
    <row r="43" spans="2:8" ht="22">
      <c r="B43" s="99" t="s">
        <v>622</v>
      </c>
      <c r="C43" s="100" t="s">
        <v>623</v>
      </c>
      <c r="D43" s="100" t="s">
        <v>623</v>
      </c>
      <c r="E43" s="100" t="s">
        <v>623</v>
      </c>
      <c r="F43" s="100" t="s">
        <v>623</v>
      </c>
      <c r="G43" s="100" t="s">
        <v>623</v>
      </c>
      <c r="H43" s="100" t="s">
        <v>623</v>
      </c>
    </row>
    <row r="44" spans="2:8" ht="22">
      <c r="B44" s="99" t="s">
        <v>624</v>
      </c>
      <c r="C44" s="100" t="s">
        <v>251</v>
      </c>
      <c r="D44" s="100" t="s">
        <v>251</v>
      </c>
      <c r="E44" s="100" t="s">
        <v>251</v>
      </c>
      <c r="F44" s="100" t="s">
        <v>251</v>
      </c>
      <c r="G44" s="100" t="s">
        <v>251</v>
      </c>
      <c r="H44" s="100" t="s">
        <v>251</v>
      </c>
    </row>
    <row r="45" spans="2:8" ht="22">
      <c r="B45" s="99" t="s">
        <v>481</v>
      </c>
      <c r="C45" s="100" t="s">
        <v>610</v>
      </c>
      <c r="D45" s="100" t="s">
        <v>2063</v>
      </c>
      <c r="E45" s="100" t="s">
        <v>869</v>
      </c>
      <c r="F45" s="100" t="s">
        <v>2064</v>
      </c>
      <c r="G45" s="100" t="s">
        <v>2065</v>
      </c>
      <c r="H45" s="100" t="s">
        <v>2066</v>
      </c>
    </row>
    <row r="46" spans="2:8" ht="22">
      <c r="B46" s="99" t="s">
        <v>8</v>
      </c>
      <c r="C46" s="100" t="s">
        <v>2067</v>
      </c>
      <c r="D46" s="100" t="s">
        <v>2067</v>
      </c>
      <c r="E46" s="100" t="s">
        <v>2067</v>
      </c>
      <c r="F46" s="100" t="s">
        <v>2067</v>
      </c>
      <c r="G46" s="100" t="s">
        <v>2067</v>
      </c>
      <c r="H46" s="100" t="s">
        <v>2067</v>
      </c>
    </row>
    <row r="47" spans="2:8" ht="22">
      <c r="B47" s="99" t="s">
        <v>10</v>
      </c>
      <c r="C47" s="100" t="s">
        <v>2068</v>
      </c>
      <c r="D47" s="100" t="s">
        <v>856</v>
      </c>
      <c r="E47" s="100" t="s">
        <v>2069</v>
      </c>
      <c r="F47" s="100" t="s">
        <v>2070</v>
      </c>
      <c r="G47" s="100" t="s">
        <v>1204</v>
      </c>
      <c r="H47" s="100" t="s">
        <v>2071</v>
      </c>
    </row>
    <row r="48" spans="2:8" ht="22">
      <c r="B48" s="99" t="s">
        <v>631</v>
      </c>
      <c r="C48" s="100" t="s">
        <v>2072</v>
      </c>
      <c r="D48" s="100" t="s">
        <v>854</v>
      </c>
      <c r="E48" s="100" t="s">
        <v>2073</v>
      </c>
      <c r="F48" s="100" t="s">
        <v>853</v>
      </c>
      <c r="G48" s="100" t="s">
        <v>2074</v>
      </c>
      <c r="H48" s="100" t="s">
        <v>2075</v>
      </c>
    </row>
    <row r="49" spans="2:8" ht="22">
      <c r="B49" s="99" t="s">
        <v>635</v>
      </c>
      <c r="C49" s="100" t="s">
        <v>2076</v>
      </c>
      <c r="D49" s="100" t="s">
        <v>2077</v>
      </c>
      <c r="E49" s="100" t="s">
        <v>2078</v>
      </c>
      <c r="F49" s="100" t="s">
        <v>2079</v>
      </c>
      <c r="G49" s="100" t="s">
        <v>2080</v>
      </c>
      <c r="H49" s="100" t="s">
        <v>2081</v>
      </c>
    </row>
    <row r="50" spans="2:8" ht="22">
      <c r="B50" s="99" t="s">
        <v>176</v>
      </c>
      <c r="C50" s="100" t="s">
        <v>623</v>
      </c>
      <c r="D50" s="100" t="s">
        <v>240</v>
      </c>
      <c r="E50" s="100" t="s">
        <v>639</v>
      </c>
      <c r="F50" s="100" t="s">
        <v>640</v>
      </c>
      <c r="G50" s="100" t="s">
        <v>641</v>
      </c>
      <c r="H50" s="100" t="s">
        <v>860</v>
      </c>
    </row>
    <row r="51" spans="2:8" ht="22">
      <c r="B51" s="99" t="s">
        <v>5</v>
      </c>
      <c r="C51" s="100" t="s">
        <v>803</v>
      </c>
      <c r="D51" s="100" t="s">
        <v>1187</v>
      </c>
      <c r="E51" s="100" t="s">
        <v>33</v>
      </c>
      <c r="F51" s="100" t="s">
        <v>33</v>
      </c>
      <c r="G51" s="100" t="s">
        <v>33</v>
      </c>
      <c r="H51" s="100" t="s">
        <v>33</v>
      </c>
    </row>
    <row r="52" spans="2:8">
      <c r="B52" s="28" t="s">
        <v>1345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775</v>
      </c>
      <c r="F1" s="28" t="s">
        <v>1355</v>
      </c>
      <c r="G1" s="28" t="s">
        <v>21</v>
      </c>
      <c r="H1" s="28" t="s">
        <v>1294</v>
      </c>
    </row>
    <row r="2" spans="1:8">
      <c r="A2" s="28" t="s">
        <v>61</v>
      </c>
      <c r="B2" s="28" t="s">
        <v>585</v>
      </c>
      <c r="C2" s="28">
        <v>420</v>
      </c>
      <c r="D2" s="28">
        <v>475</v>
      </c>
      <c r="E2" s="28">
        <v>490</v>
      </c>
      <c r="F2" s="28">
        <v>530</v>
      </c>
      <c r="G2" s="28">
        <v>560</v>
      </c>
      <c r="H2" s="28">
        <v>580</v>
      </c>
    </row>
    <row r="3" spans="1:8">
      <c r="A3" s="28" t="s">
        <v>74</v>
      </c>
      <c r="B3" s="28" t="s">
        <v>1352</v>
      </c>
      <c r="C3" s="28">
        <v>505</v>
      </c>
      <c r="D3" s="28">
        <v>519</v>
      </c>
      <c r="E3" s="28">
        <v>535</v>
      </c>
      <c r="F3" s="28">
        <v>550</v>
      </c>
      <c r="G3" s="28">
        <v>565</v>
      </c>
      <c r="H3" s="28">
        <v>585</v>
      </c>
    </row>
    <row r="4" spans="1:8">
      <c r="A4" s="28" t="s">
        <v>65</v>
      </c>
      <c r="B4" s="28" t="s">
        <v>1353</v>
      </c>
      <c r="C4" s="28">
        <v>80</v>
      </c>
      <c r="D4" s="28">
        <v>85</v>
      </c>
      <c r="E4" s="28">
        <v>101</v>
      </c>
      <c r="F4" s="28">
        <v>120</v>
      </c>
      <c r="G4" s="28">
        <v>140</v>
      </c>
      <c r="H4" s="28">
        <v>159</v>
      </c>
    </row>
    <row r="5" spans="1:8">
      <c r="A5" s="28" t="s">
        <v>63</v>
      </c>
      <c r="B5" s="28" t="s">
        <v>490</v>
      </c>
      <c r="C5" s="28">
        <v>69</v>
      </c>
      <c r="D5" s="28">
        <v>69.5</v>
      </c>
      <c r="E5" s="28">
        <v>70</v>
      </c>
      <c r="F5" s="28">
        <v>70.5</v>
      </c>
      <c r="G5" s="28">
        <v>71</v>
      </c>
      <c r="H5" s="28">
        <v>71.5</v>
      </c>
    </row>
    <row r="6" spans="1:8">
      <c r="A6" s="28" t="s">
        <v>64</v>
      </c>
      <c r="B6" s="28" t="s">
        <v>488</v>
      </c>
      <c r="C6" s="28">
        <v>74.5</v>
      </c>
      <c r="D6" s="28">
        <v>74</v>
      </c>
      <c r="E6" s="28">
        <v>73.5</v>
      </c>
      <c r="F6" s="28">
        <v>73</v>
      </c>
      <c r="G6" s="28">
        <v>72.5</v>
      </c>
      <c r="H6" s="28">
        <v>72.5</v>
      </c>
    </row>
    <row r="7" spans="1:8">
      <c r="A7" s="28" t="s">
        <v>135</v>
      </c>
      <c r="B7" s="28" t="s">
        <v>481</v>
      </c>
      <c r="C7" s="28">
        <v>592</v>
      </c>
      <c r="D7" s="28">
        <v>597</v>
      </c>
      <c r="E7" s="28">
        <v>604</v>
      </c>
      <c r="F7" s="28">
        <v>610</v>
      </c>
      <c r="G7" s="28">
        <v>615</v>
      </c>
      <c r="H7" s="28">
        <v>630</v>
      </c>
    </row>
    <row r="8" spans="1:8">
      <c r="A8" s="28" t="s">
        <v>56</v>
      </c>
      <c r="B8" s="28" t="s">
        <v>1</v>
      </c>
      <c r="C8" s="28">
        <v>359</v>
      </c>
      <c r="D8" s="28">
        <v>366</v>
      </c>
      <c r="E8" s="28">
        <v>372</v>
      </c>
      <c r="F8" s="28">
        <v>376</v>
      </c>
      <c r="G8" s="28">
        <v>379</v>
      </c>
      <c r="H8" s="28">
        <v>392</v>
      </c>
    </row>
    <row r="9" spans="1:8">
      <c r="A9" s="28" t="s">
        <v>55</v>
      </c>
      <c r="B9" s="28" t="s">
        <v>0</v>
      </c>
      <c r="C9" s="28">
        <v>526</v>
      </c>
      <c r="D9" s="28">
        <v>533</v>
      </c>
      <c r="E9" s="28">
        <v>550</v>
      </c>
      <c r="F9" s="28">
        <v>570</v>
      </c>
      <c r="G9" s="28">
        <v>591</v>
      </c>
      <c r="H9" s="28">
        <v>611</v>
      </c>
    </row>
    <row r="10" spans="1:8">
      <c r="A10" s="28" t="s">
        <v>66</v>
      </c>
      <c r="B10" s="28" t="s">
        <v>357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  <c r="H10" s="28">
        <v>70</v>
      </c>
    </row>
    <row r="11" spans="1:8">
      <c r="A11" s="28" t="s">
        <v>67</v>
      </c>
      <c r="B11" s="28" t="s">
        <v>1354</v>
      </c>
      <c r="C11" s="28">
        <v>420</v>
      </c>
      <c r="D11" s="28">
        <v>420</v>
      </c>
      <c r="E11" s="28">
        <v>420</v>
      </c>
      <c r="F11" s="28">
        <v>420</v>
      </c>
      <c r="G11" s="28">
        <v>420</v>
      </c>
      <c r="H11" s="28">
        <v>420</v>
      </c>
    </row>
    <row r="12" spans="1:8">
      <c r="A12" s="28" t="s">
        <v>58</v>
      </c>
      <c r="B12" s="28" t="s">
        <v>15</v>
      </c>
      <c r="C12" s="28">
        <v>718</v>
      </c>
      <c r="D12" s="28">
        <v>750</v>
      </c>
      <c r="E12" s="28">
        <v>764</v>
      </c>
      <c r="F12" s="28">
        <v>791</v>
      </c>
      <c r="G12" s="28">
        <v>818</v>
      </c>
      <c r="H12" s="28">
        <v>838</v>
      </c>
    </row>
    <row r="13" spans="1:8">
      <c r="A13" s="28" t="s">
        <v>57</v>
      </c>
      <c r="B13" s="28" t="s">
        <v>57</v>
      </c>
      <c r="C13" s="28">
        <f>SQRT(C11^2+C10^2) + SQRT(C7^2 + C10^2)</f>
        <v>1021.9175252645318</v>
      </c>
      <c r="D13" s="28">
        <f t="shared" ref="D13:H13" si="0">SQRT(D11^2+D10^2) + SQRT(D7^2 + D10^2)</f>
        <v>1026.8832206551012</v>
      </c>
      <c r="E13" s="28">
        <f t="shared" si="0"/>
        <v>1033.8361387750208</v>
      </c>
      <c r="F13" s="28">
        <f t="shared" si="0"/>
        <v>1039.7966344412255</v>
      </c>
      <c r="G13" s="28">
        <f t="shared" si="0"/>
        <v>1044.7642972778729</v>
      </c>
      <c r="H13" s="28">
        <f t="shared" si="0"/>
        <v>1059.6703367904945</v>
      </c>
    </row>
    <row r="14" spans="1:8">
      <c r="A14" s="28" t="s">
        <v>137</v>
      </c>
      <c r="C14" s="28">
        <v>415</v>
      </c>
      <c r="D14" s="28">
        <v>415</v>
      </c>
      <c r="E14" s="28">
        <v>415</v>
      </c>
      <c r="F14" s="28">
        <v>415</v>
      </c>
      <c r="G14" s="28">
        <v>415</v>
      </c>
      <c r="H14" s="28">
        <v>415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  <c r="H15" s="28">
        <v>50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8">
      <c r="A21" s="28" t="s">
        <v>141</v>
      </c>
      <c r="B21" s="28" t="s">
        <v>141</v>
      </c>
      <c r="C21" s="28">
        <v>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A22" s="28" t="s">
        <v>2137</v>
      </c>
    </row>
    <row r="23" spans="1:8">
      <c r="A23" s="28" t="s">
        <v>2138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8" t="s">
        <v>170</v>
      </c>
      <c r="C1" s="118" t="s">
        <v>17</v>
      </c>
      <c r="D1" s="118" t="s">
        <v>171</v>
      </c>
      <c r="E1" s="118" t="s">
        <v>172</v>
      </c>
      <c r="F1" s="118" t="s">
        <v>173</v>
      </c>
      <c r="G1" s="118" t="s">
        <v>21</v>
      </c>
    </row>
    <row r="2" spans="1:7">
      <c r="A2" s="3" t="s">
        <v>56</v>
      </c>
      <c r="B2" s="118" t="s">
        <v>1</v>
      </c>
      <c r="C2" s="119">
        <v>381</v>
      </c>
      <c r="D2" s="119">
        <v>405</v>
      </c>
      <c r="E2" s="119">
        <v>420</v>
      </c>
      <c r="F2" s="119">
        <v>444</v>
      </c>
      <c r="G2" s="119">
        <v>458</v>
      </c>
    </row>
    <row r="3" spans="1:7">
      <c r="A3" s="3" t="s">
        <v>55</v>
      </c>
      <c r="B3" s="118" t="s">
        <v>0</v>
      </c>
      <c r="C3" s="119">
        <v>585</v>
      </c>
      <c r="D3" s="119">
        <v>604</v>
      </c>
      <c r="E3" s="119">
        <v>623</v>
      </c>
      <c r="F3" s="119">
        <v>641</v>
      </c>
      <c r="G3" s="119">
        <v>660</v>
      </c>
    </row>
    <row r="4" spans="1:7">
      <c r="A4" s="3" t="s">
        <v>63</v>
      </c>
      <c r="B4" s="118" t="s">
        <v>4</v>
      </c>
      <c r="C4" s="119">
        <v>69.5</v>
      </c>
      <c r="D4" s="119">
        <v>69.5</v>
      </c>
      <c r="E4" s="119">
        <v>69.5</v>
      </c>
      <c r="F4" s="119">
        <v>69.5</v>
      </c>
      <c r="G4" s="119">
        <v>69.5</v>
      </c>
    </row>
    <row r="5" spans="1:7">
      <c r="A5" s="3" t="s">
        <v>65</v>
      </c>
      <c r="B5" s="118" t="s">
        <v>6</v>
      </c>
      <c r="C5" s="119">
        <v>160</v>
      </c>
      <c r="D5" s="119">
        <v>180</v>
      </c>
      <c r="E5" s="119">
        <v>200</v>
      </c>
      <c r="F5" s="119">
        <v>220</v>
      </c>
      <c r="G5" s="119">
        <v>240</v>
      </c>
    </row>
    <row r="6" spans="1:7">
      <c r="A6" s="3" t="s">
        <v>61</v>
      </c>
      <c r="B6" s="118" t="s">
        <v>176</v>
      </c>
      <c r="C6" s="119">
        <v>316</v>
      </c>
      <c r="D6" s="119">
        <v>386</v>
      </c>
      <c r="E6" s="119">
        <v>437.2</v>
      </c>
      <c r="F6" s="119">
        <v>488</v>
      </c>
      <c r="G6" s="119">
        <v>539</v>
      </c>
    </row>
    <row r="7" spans="1:7">
      <c r="A7" s="3" t="s">
        <v>66</v>
      </c>
      <c r="B7" s="118" t="s">
        <v>177</v>
      </c>
      <c r="C7" s="119">
        <v>50</v>
      </c>
      <c r="D7" s="119">
        <v>50</v>
      </c>
      <c r="E7" s="119">
        <v>50</v>
      </c>
      <c r="F7" s="119">
        <v>50</v>
      </c>
      <c r="G7" s="119">
        <v>50</v>
      </c>
    </row>
    <row r="8" spans="1:7">
      <c r="A8" s="3" t="s">
        <v>57</v>
      </c>
      <c r="B8" s="118" t="s">
        <v>10</v>
      </c>
      <c r="C8" s="119">
        <v>1057</v>
      </c>
      <c r="D8" s="119">
        <v>1088</v>
      </c>
      <c r="E8" s="119">
        <v>1109</v>
      </c>
      <c r="F8" s="119">
        <v>1140</v>
      </c>
      <c r="G8" s="119">
        <v>1162</v>
      </c>
    </row>
    <row r="9" spans="1:7">
      <c r="A9" s="3" t="s">
        <v>67</v>
      </c>
      <c r="B9" s="118" t="s">
        <v>8</v>
      </c>
      <c r="C9" s="119">
        <v>425</v>
      </c>
      <c r="D9" s="119">
        <v>425</v>
      </c>
      <c r="E9" s="119">
        <v>425</v>
      </c>
      <c r="F9" s="119">
        <v>425</v>
      </c>
      <c r="G9" s="119">
        <v>425</v>
      </c>
    </row>
    <row r="10" spans="1:7">
      <c r="A10" s="3" t="s">
        <v>74</v>
      </c>
      <c r="B10" s="118" t="s">
        <v>178</v>
      </c>
      <c r="C10" s="119">
        <v>560</v>
      </c>
      <c r="D10" s="119">
        <v>590</v>
      </c>
      <c r="E10" s="119">
        <v>610</v>
      </c>
      <c r="F10" s="119">
        <v>640</v>
      </c>
      <c r="G10" s="119">
        <v>660</v>
      </c>
    </row>
    <row r="11" spans="1:7">
      <c r="A11" s="3" t="s">
        <v>64</v>
      </c>
      <c r="B11" s="118" t="s">
        <v>5</v>
      </c>
      <c r="C11" s="119">
        <v>73</v>
      </c>
      <c r="D11" s="119">
        <v>73</v>
      </c>
      <c r="E11" s="119">
        <v>73</v>
      </c>
      <c r="F11" s="119">
        <v>73</v>
      </c>
      <c r="G11" s="119">
        <v>73</v>
      </c>
    </row>
    <row r="12" spans="1:7">
      <c r="A12" s="3" t="s">
        <v>58</v>
      </c>
      <c r="B12" s="118" t="s">
        <v>179</v>
      </c>
      <c r="C12" s="119">
        <v>719</v>
      </c>
      <c r="D12" s="119">
        <v>762</v>
      </c>
      <c r="E12" s="119">
        <v>796</v>
      </c>
      <c r="F12" s="119">
        <v>830</v>
      </c>
      <c r="G12" s="119">
        <v>863</v>
      </c>
    </row>
    <row r="13" spans="1:7">
      <c r="A13" s="3" t="s">
        <v>72</v>
      </c>
      <c r="B13" s="118" t="s">
        <v>14</v>
      </c>
      <c r="C13" s="119">
        <v>60</v>
      </c>
      <c r="D13" s="119">
        <v>60</v>
      </c>
      <c r="E13" s="119">
        <v>60</v>
      </c>
      <c r="F13" s="119">
        <v>60</v>
      </c>
      <c r="G13" s="119">
        <v>60</v>
      </c>
    </row>
    <row r="14" spans="1:7">
      <c r="A14" s="3" t="s">
        <v>184</v>
      </c>
      <c r="B14" s="118" t="s">
        <v>180</v>
      </c>
      <c r="C14" s="119">
        <v>6</v>
      </c>
      <c r="D14" s="119">
        <v>6</v>
      </c>
      <c r="E14" s="119">
        <v>6</v>
      </c>
      <c r="F14" s="119">
        <v>6</v>
      </c>
      <c r="G14" s="119">
        <v>6</v>
      </c>
    </row>
    <row r="15" spans="1:7">
      <c r="A15" s="3" t="s">
        <v>71</v>
      </c>
      <c r="B15" s="118" t="s">
        <v>13</v>
      </c>
      <c r="C15" s="119">
        <v>400</v>
      </c>
      <c r="D15" s="119">
        <v>420</v>
      </c>
      <c r="E15" s="119">
        <v>440</v>
      </c>
      <c r="F15" s="119">
        <v>460</v>
      </c>
      <c r="G15" s="119">
        <v>480</v>
      </c>
    </row>
    <row r="16" spans="1:7">
      <c r="A16" s="3" t="s">
        <v>70</v>
      </c>
      <c r="B16" s="118" t="s">
        <v>59</v>
      </c>
      <c r="C16" s="119">
        <v>170</v>
      </c>
      <c r="D16" s="119">
        <v>170</v>
      </c>
      <c r="E16" s="119">
        <v>175</v>
      </c>
      <c r="F16" s="119">
        <v>175</v>
      </c>
      <c r="G16" s="119">
        <v>175</v>
      </c>
    </row>
    <row r="17" spans="1:7">
      <c r="A17" s="3" t="s">
        <v>166</v>
      </c>
      <c r="B17" s="118" t="s">
        <v>181</v>
      </c>
      <c r="C17" s="119">
        <v>420</v>
      </c>
      <c r="D17" s="119">
        <v>420</v>
      </c>
      <c r="E17" s="119">
        <v>420</v>
      </c>
      <c r="F17" s="119">
        <v>420</v>
      </c>
      <c r="G17" s="119">
        <v>420</v>
      </c>
    </row>
    <row r="18" spans="1:7">
      <c r="A18" s="3" t="s">
        <v>68</v>
      </c>
      <c r="B18" s="118" t="s">
        <v>182</v>
      </c>
      <c r="C18" s="119">
        <v>50</v>
      </c>
      <c r="D18" s="119">
        <v>50</v>
      </c>
      <c r="E18" s="119">
        <v>50</v>
      </c>
      <c r="F18" s="119">
        <v>50</v>
      </c>
      <c r="G18" s="119">
        <v>50</v>
      </c>
    </row>
    <row r="19" spans="1:7">
      <c r="A19" s="3" t="s">
        <v>69</v>
      </c>
      <c r="B19" s="3" t="s">
        <v>69</v>
      </c>
      <c r="C19" s="119">
        <v>650</v>
      </c>
      <c r="D19" s="119">
        <v>651</v>
      </c>
      <c r="E19" s="119">
        <v>652</v>
      </c>
      <c r="F19" s="119">
        <v>653</v>
      </c>
      <c r="G19" s="119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8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8" t="s">
        <v>1758</v>
      </c>
      <c r="B22" s="28" t="s">
        <v>2137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8" t="s">
        <v>1759</v>
      </c>
      <c r="B23" s="28" t="s">
        <v>2138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8"/>
      <c r="B26" s="28"/>
    </row>
    <row r="27" spans="1:7">
      <c r="B27" s="120" t="s">
        <v>170</v>
      </c>
      <c r="C27" s="120" t="s">
        <v>17</v>
      </c>
      <c r="D27" s="120" t="s">
        <v>171</v>
      </c>
      <c r="E27" s="120" t="s">
        <v>172</v>
      </c>
      <c r="F27" s="120" t="s">
        <v>173</v>
      </c>
      <c r="G27" s="120" t="s">
        <v>21</v>
      </c>
    </row>
    <row r="28" spans="1:7">
      <c r="B28" s="120" t="s">
        <v>174</v>
      </c>
      <c r="C28" s="121" t="s">
        <v>1106</v>
      </c>
      <c r="D28" s="121" t="s">
        <v>1107</v>
      </c>
      <c r="E28" s="121" t="s">
        <v>1108</v>
      </c>
      <c r="F28" s="121" t="s">
        <v>1109</v>
      </c>
      <c r="G28" s="121" t="s">
        <v>1110</v>
      </c>
    </row>
    <row r="29" spans="1:7">
      <c r="B29" s="120" t="s">
        <v>1</v>
      </c>
      <c r="C29" s="121">
        <v>381</v>
      </c>
      <c r="D29" s="121">
        <v>405</v>
      </c>
      <c r="E29" s="121">
        <v>420</v>
      </c>
      <c r="F29" s="121">
        <v>444</v>
      </c>
      <c r="G29" s="121">
        <v>458</v>
      </c>
    </row>
    <row r="30" spans="1:7">
      <c r="B30" s="120" t="s">
        <v>0</v>
      </c>
      <c r="C30" s="121">
        <v>585</v>
      </c>
      <c r="D30" s="121">
        <v>604</v>
      </c>
      <c r="E30" s="121">
        <v>623</v>
      </c>
      <c r="F30" s="121">
        <v>641</v>
      </c>
      <c r="G30" s="121">
        <v>660</v>
      </c>
    </row>
    <row r="31" spans="1:7">
      <c r="B31" s="120" t="s">
        <v>4</v>
      </c>
      <c r="C31" s="121" t="s">
        <v>175</v>
      </c>
      <c r="D31" s="121" t="s">
        <v>175</v>
      </c>
      <c r="E31" s="121" t="s">
        <v>175</v>
      </c>
      <c r="F31" s="121" t="s">
        <v>175</v>
      </c>
      <c r="G31" s="121" t="s">
        <v>175</v>
      </c>
    </row>
    <row r="32" spans="1:7">
      <c r="B32" s="120" t="s">
        <v>6</v>
      </c>
      <c r="C32" s="121">
        <v>160</v>
      </c>
      <c r="D32" s="121">
        <v>180</v>
      </c>
      <c r="E32" s="121">
        <v>200</v>
      </c>
      <c r="F32" s="121">
        <v>220</v>
      </c>
      <c r="G32" s="121">
        <v>240</v>
      </c>
    </row>
    <row r="33" spans="2:7">
      <c r="B33" s="120" t="s">
        <v>176</v>
      </c>
      <c r="C33" s="121">
        <v>316</v>
      </c>
      <c r="D33" s="121">
        <v>386</v>
      </c>
      <c r="E33" s="121">
        <v>437.2</v>
      </c>
      <c r="F33" s="121">
        <v>488</v>
      </c>
      <c r="G33" s="121">
        <v>539</v>
      </c>
    </row>
    <row r="34" spans="2:7">
      <c r="B34" s="120" t="s">
        <v>177</v>
      </c>
      <c r="C34" s="121">
        <v>50</v>
      </c>
      <c r="D34" s="121">
        <v>50</v>
      </c>
      <c r="E34" s="121">
        <v>50</v>
      </c>
      <c r="F34" s="121">
        <v>50</v>
      </c>
      <c r="G34" s="121">
        <v>50</v>
      </c>
    </row>
    <row r="35" spans="2:7">
      <c r="B35" s="120" t="s">
        <v>10</v>
      </c>
      <c r="C35" s="121">
        <v>1057</v>
      </c>
      <c r="D35" s="121">
        <v>1088</v>
      </c>
      <c r="E35" s="121">
        <v>1109</v>
      </c>
      <c r="F35" s="121">
        <v>1140</v>
      </c>
      <c r="G35" s="121">
        <v>1162</v>
      </c>
    </row>
    <row r="36" spans="2:7">
      <c r="B36" s="120" t="s">
        <v>8</v>
      </c>
      <c r="C36" s="121">
        <v>425</v>
      </c>
      <c r="D36" s="121">
        <v>425</v>
      </c>
      <c r="E36" s="121">
        <v>425</v>
      </c>
      <c r="F36" s="121">
        <v>425</v>
      </c>
      <c r="G36" s="121">
        <v>425</v>
      </c>
    </row>
    <row r="37" spans="2:7">
      <c r="B37" s="120" t="s">
        <v>178</v>
      </c>
      <c r="C37" s="121">
        <v>560</v>
      </c>
      <c r="D37" s="121">
        <v>590</v>
      </c>
      <c r="E37" s="121">
        <v>610</v>
      </c>
      <c r="F37" s="121">
        <v>640</v>
      </c>
      <c r="G37" s="121">
        <v>660</v>
      </c>
    </row>
    <row r="38" spans="2:7">
      <c r="B38" s="120" t="s">
        <v>5</v>
      </c>
      <c r="C38" s="121" t="s">
        <v>1111</v>
      </c>
      <c r="D38" s="121" t="s">
        <v>1111</v>
      </c>
      <c r="E38" s="121" t="s">
        <v>1111</v>
      </c>
      <c r="F38" s="121" t="s">
        <v>1111</v>
      </c>
      <c r="G38" s="121" t="s">
        <v>1111</v>
      </c>
    </row>
    <row r="39" spans="2:7">
      <c r="B39" s="120" t="s">
        <v>179</v>
      </c>
      <c r="C39" s="121">
        <v>719</v>
      </c>
      <c r="D39" s="121">
        <v>762</v>
      </c>
      <c r="E39" s="121">
        <v>796</v>
      </c>
      <c r="F39" s="121">
        <v>830</v>
      </c>
      <c r="G39" s="121">
        <v>863</v>
      </c>
    </row>
    <row r="40" spans="2:7">
      <c r="B40" s="120" t="s">
        <v>14</v>
      </c>
      <c r="C40" s="121" t="s">
        <v>1112</v>
      </c>
      <c r="D40" s="121" t="s">
        <v>1112</v>
      </c>
      <c r="E40" s="121" t="s">
        <v>1112</v>
      </c>
      <c r="F40" s="121" t="s">
        <v>1112</v>
      </c>
      <c r="G40" s="121" t="s">
        <v>1112</v>
      </c>
    </row>
    <row r="41" spans="2:7">
      <c r="B41" s="120" t="s">
        <v>180</v>
      </c>
      <c r="C41" s="121" t="s">
        <v>1113</v>
      </c>
      <c r="D41" s="121" t="s">
        <v>1113</v>
      </c>
      <c r="E41" s="121" t="s">
        <v>1113</v>
      </c>
      <c r="F41" s="121" t="s">
        <v>1113</v>
      </c>
      <c r="G41" s="121" t="s">
        <v>1113</v>
      </c>
    </row>
    <row r="42" spans="2:7">
      <c r="B42" s="120" t="s">
        <v>13</v>
      </c>
      <c r="C42" s="121">
        <v>400</v>
      </c>
      <c r="D42" s="121">
        <v>420</v>
      </c>
      <c r="E42" s="121">
        <v>440</v>
      </c>
      <c r="F42" s="121">
        <v>460</v>
      </c>
      <c r="G42" s="121">
        <v>480</v>
      </c>
    </row>
    <row r="43" spans="2:7">
      <c r="B43" s="120" t="s">
        <v>59</v>
      </c>
      <c r="C43" s="121">
        <v>170</v>
      </c>
      <c r="D43" s="121">
        <v>170</v>
      </c>
      <c r="E43" s="121">
        <v>175</v>
      </c>
      <c r="F43" s="121">
        <v>175</v>
      </c>
      <c r="G43" s="121">
        <v>175</v>
      </c>
    </row>
    <row r="44" spans="2:7">
      <c r="B44" s="120" t="s">
        <v>181</v>
      </c>
      <c r="C44" s="121">
        <v>420</v>
      </c>
      <c r="D44" s="121">
        <v>420</v>
      </c>
      <c r="E44" s="121">
        <v>420</v>
      </c>
      <c r="F44" s="121">
        <v>420</v>
      </c>
      <c r="G44" s="121">
        <v>420</v>
      </c>
    </row>
    <row r="45" spans="2:7">
      <c r="B45" s="120" t="s">
        <v>182</v>
      </c>
      <c r="C45" s="121">
        <v>50</v>
      </c>
      <c r="D45" s="121">
        <v>50</v>
      </c>
      <c r="E45" s="121">
        <v>50</v>
      </c>
      <c r="F45" s="121">
        <v>50</v>
      </c>
      <c r="G45" s="121">
        <v>50</v>
      </c>
    </row>
    <row r="46" spans="2:7">
      <c r="B46" s="3" t="s">
        <v>1114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6" t="s">
        <v>16</v>
      </c>
      <c r="C1" s="26" t="s">
        <v>17</v>
      </c>
      <c r="D1" s="26" t="s">
        <v>18</v>
      </c>
      <c r="E1" s="26" t="s">
        <v>19</v>
      </c>
      <c r="F1" s="26" t="s">
        <v>20</v>
      </c>
      <c r="G1" s="26" t="s">
        <v>21</v>
      </c>
      <c r="H1" s="3"/>
      <c r="I1" s="3"/>
      <c r="J1" s="3"/>
    </row>
    <row r="2" spans="1:10" ht="19">
      <c r="A2" s="3" t="s">
        <v>56</v>
      </c>
      <c r="B2" s="26" t="s">
        <v>1</v>
      </c>
      <c r="C2" s="26">
        <v>356</v>
      </c>
      <c r="D2" s="26">
        <v>363</v>
      </c>
      <c r="E2" s="26">
        <v>378</v>
      </c>
      <c r="F2" s="26">
        <v>388</v>
      </c>
      <c r="G2" s="26">
        <v>403</v>
      </c>
      <c r="H2" s="3"/>
      <c r="I2" s="3"/>
      <c r="J2" s="3"/>
    </row>
    <row r="3" spans="1:10" ht="19">
      <c r="A3" s="3" t="s">
        <v>55</v>
      </c>
      <c r="B3" s="26" t="s">
        <v>0</v>
      </c>
      <c r="C3" s="26">
        <v>521</v>
      </c>
      <c r="D3" s="26">
        <v>551</v>
      </c>
      <c r="E3" s="26">
        <v>571</v>
      </c>
      <c r="F3" s="26">
        <v>595</v>
      </c>
      <c r="G3" s="26">
        <v>614</v>
      </c>
      <c r="H3" s="3"/>
      <c r="I3" s="3"/>
      <c r="J3" s="3"/>
    </row>
    <row r="4" spans="1:10" ht="19">
      <c r="A4" s="3" t="s">
        <v>65</v>
      </c>
      <c r="B4" s="27" t="s">
        <v>579</v>
      </c>
      <c r="C4" s="27">
        <v>110</v>
      </c>
      <c r="D4" s="27">
        <v>138</v>
      </c>
      <c r="E4" s="27">
        <v>155</v>
      </c>
      <c r="F4" s="27">
        <v>180</v>
      </c>
      <c r="G4" s="27">
        <v>200</v>
      </c>
      <c r="H4" s="3"/>
      <c r="I4" s="3"/>
      <c r="J4" s="3"/>
    </row>
    <row r="5" spans="1:10" ht="19">
      <c r="A5" s="3" t="s">
        <v>74</v>
      </c>
      <c r="B5" s="27" t="s">
        <v>580</v>
      </c>
      <c r="C5" s="27">
        <v>515</v>
      </c>
      <c r="D5" s="27">
        <v>531</v>
      </c>
      <c r="E5" s="27">
        <v>547</v>
      </c>
      <c r="F5" s="27">
        <v>570</v>
      </c>
      <c r="G5" s="27">
        <v>591</v>
      </c>
      <c r="H5" s="3"/>
      <c r="I5" s="3"/>
      <c r="J5" s="3"/>
    </row>
    <row r="6" spans="1:10" ht="19">
      <c r="A6" s="3" t="s">
        <v>57</v>
      </c>
      <c r="B6" s="27" t="s">
        <v>10</v>
      </c>
      <c r="C6" s="27">
        <v>987</v>
      </c>
      <c r="D6" s="27">
        <v>995</v>
      </c>
      <c r="E6" s="27">
        <v>1007</v>
      </c>
      <c r="F6" s="27">
        <v>1025</v>
      </c>
      <c r="G6" s="27">
        <v>1046</v>
      </c>
      <c r="H6" s="3"/>
      <c r="I6" s="3"/>
      <c r="J6" s="3"/>
    </row>
    <row r="7" spans="1:10" ht="19">
      <c r="A7" s="3" t="s">
        <v>483</v>
      </c>
      <c r="B7" s="27" t="s">
        <v>9</v>
      </c>
      <c r="C7" s="27">
        <v>578</v>
      </c>
      <c r="D7" s="27">
        <v>586</v>
      </c>
      <c r="E7" s="27">
        <v>598</v>
      </c>
      <c r="F7" s="27">
        <v>616</v>
      </c>
      <c r="G7" s="27">
        <v>637</v>
      </c>
      <c r="H7" s="3"/>
      <c r="I7" s="3"/>
      <c r="J7" s="3"/>
    </row>
    <row r="8" spans="1:10" ht="19">
      <c r="A8" s="3" t="s">
        <v>63</v>
      </c>
      <c r="B8" s="27" t="s">
        <v>4</v>
      </c>
      <c r="C8" s="27">
        <v>70</v>
      </c>
      <c r="D8" s="27">
        <v>71</v>
      </c>
      <c r="E8" s="27">
        <v>72</v>
      </c>
      <c r="F8" s="27">
        <v>72</v>
      </c>
      <c r="G8" s="27">
        <v>72</v>
      </c>
      <c r="H8" s="3"/>
      <c r="I8" s="3"/>
      <c r="J8" s="3"/>
    </row>
    <row r="9" spans="1:10" ht="19">
      <c r="A9" s="3" t="s">
        <v>68</v>
      </c>
      <c r="B9" s="27" t="s">
        <v>250</v>
      </c>
      <c r="C9" s="27">
        <v>51</v>
      </c>
      <c r="D9" s="27">
        <v>51</v>
      </c>
      <c r="E9" s="27">
        <v>51</v>
      </c>
      <c r="F9" s="27">
        <v>51</v>
      </c>
      <c r="G9" s="27">
        <v>51</v>
      </c>
      <c r="H9" s="3"/>
      <c r="I9" s="3"/>
      <c r="J9" s="3"/>
    </row>
    <row r="10" spans="1:10" ht="19">
      <c r="A10" s="3" t="s">
        <v>498</v>
      </c>
      <c r="B10" s="27" t="s">
        <v>583</v>
      </c>
      <c r="C10" s="27">
        <v>385</v>
      </c>
      <c r="D10" s="27">
        <v>385</v>
      </c>
      <c r="E10" s="27">
        <v>385</v>
      </c>
      <c r="F10" s="27">
        <v>385</v>
      </c>
      <c r="G10" s="27">
        <v>385</v>
      </c>
      <c r="H10" s="3"/>
      <c r="I10" s="3"/>
      <c r="J10" s="3"/>
    </row>
    <row r="11" spans="1:10" ht="19">
      <c r="A11" s="3" t="s">
        <v>66</v>
      </c>
      <c r="B11" s="27" t="s">
        <v>177</v>
      </c>
      <c r="C11" s="27">
        <v>73</v>
      </c>
      <c r="D11" s="27">
        <v>73</v>
      </c>
      <c r="E11" s="27">
        <v>73</v>
      </c>
      <c r="F11" s="27">
        <v>73</v>
      </c>
      <c r="G11" s="27">
        <v>73</v>
      </c>
      <c r="H11" s="3"/>
      <c r="I11" s="3"/>
      <c r="J11" s="3"/>
    </row>
    <row r="12" spans="1:10" ht="19">
      <c r="A12" s="3" t="s">
        <v>67</v>
      </c>
      <c r="B12" s="27" t="s">
        <v>584</v>
      </c>
      <c r="C12" s="27">
        <v>420</v>
      </c>
      <c r="D12" s="27">
        <v>420</v>
      </c>
      <c r="E12" s="27">
        <v>420</v>
      </c>
      <c r="F12" s="27">
        <v>420</v>
      </c>
      <c r="G12" s="27">
        <v>420</v>
      </c>
      <c r="H12" s="3"/>
      <c r="I12" s="3"/>
      <c r="J12" s="3"/>
    </row>
    <row r="13" spans="1:10" ht="19">
      <c r="A13" s="3" t="s">
        <v>64</v>
      </c>
      <c r="B13" s="27" t="s">
        <v>5</v>
      </c>
      <c r="C13" s="27">
        <v>73</v>
      </c>
      <c r="D13" s="27">
        <v>73</v>
      </c>
      <c r="E13" s="27">
        <v>73</v>
      </c>
      <c r="F13" s="27">
        <v>73</v>
      </c>
      <c r="G13" s="27">
        <v>73</v>
      </c>
      <c r="H13" s="3"/>
      <c r="I13" s="3"/>
      <c r="J13" s="3"/>
    </row>
    <row r="14" spans="1:10" ht="19">
      <c r="A14" s="3" t="s">
        <v>61</v>
      </c>
      <c r="B14" s="27" t="s">
        <v>585</v>
      </c>
      <c r="C14" s="27">
        <v>440</v>
      </c>
      <c r="D14" s="27">
        <v>470</v>
      </c>
      <c r="E14" s="27">
        <v>500</v>
      </c>
      <c r="F14" s="27">
        <v>530</v>
      </c>
      <c r="G14" s="27">
        <v>560</v>
      </c>
      <c r="H14" s="3"/>
      <c r="I14" s="3"/>
      <c r="J14" s="3"/>
    </row>
    <row r="15" spans="1:10" ht="19">
      <c r="A15" s="3" t="s">
        <v>58</v>
      </c>
      <c r="B15" s="27" t="s">
        <v>586</v>
      </c>
      <c r="C15" s="27">
        <v>720</v>
      </c>
      <c r="D15" s="27">
        <v>750</v>
      </c>
      <c r="E15" s="27">
        <v>775</v>
      </c>
      <c r="F15" s="27">
        <v>805</v>
      </c>
      <c r="G15" s="27">
        <v>835</v>
      </c>
      <c r="H15" s="3"/>
      <c r="I15" s="3"/>
      <c r="J15" s="3"/>
    </row>
    <row r="16" spans="1:10" ht="19">
      <c r="A16" s="3" t="s">
        <v>71</v>
      </c>
      <c r="B16" s="27" t="s">
        <v>587</v>
      </c>
      <c r="C16" s="27">
        <v>380</v>
      </c>
      <c r="D16" s="27">
        <v>400</v>
      </c>
      <c r="E16" s="27">
        <v>420</v>
      </c>
      <c r="F16" s="27">
        <v>420</v>
      </c>
      <c r="G16" s="27">
        <v>440</v>
      </c>
      <c r="H16" s="3"/>
      <c r="I16" s="3"/>
      <c r="J16" s="3"/>
    </row>
    <row r="17" spans="1:10" ht="19">
      <c r="A17" s="3" t="s">
        <v>72</v>
      </c>
      <c r="B17" s="27" t="s">
        <v>588</v>
      </c>
      <c r="C17" s="27">
        <v>70</v>
      </c>
      <c r="D17" s="27">
        <v>80</v>
      </c>
      <c r="E17" s="27">
        <v>90</v>
      </c>
      <c r="F17" s="27">
        <v>100</v>
      </c>
      <c r="G17" s="27">
        <v>110</v>
      </c>
      <c r="H17" s="3"/>
      <c r="I17" s="3"/>
      <c r="J17" s="3"/>
    </row>
    <row r="18" spans="1:10" ht="19">
      <c r="A18" s="3" t="s">
        <v>70</v>
      </c>
      <c r="B18" s="27" t="s">
        <v>589</v>
      </c>
      <c r="C18" s="27">
        <v>155</v>
      </c>
      <c r="D18" s="27">
        <v>160</v>
      </c>
      <c r="E18" s="27">
        <v>165</v>
      </c>
      <c r="F18" s="27">
        <v>170</v>
      </c>
      <c r="G18" s="27">
        <v>175</v>
      </c>
      <c r="H18" s="3"/>
      <c r="I18" s="3"/>
      <c r="J18" s="3"/>
    </row>
    <row r="19" spans="1:10" ht="19">
      <c r="A19" s="3" t="s">
        <v>169</v>
      </c>
      <c r="B19" s="27" t="s">
        <v>590</v>
      </c>
      <c r="C19" s="27">
        <v>350</v>
      </c>
      <c r="D19" s="27">
        <v>350</v>
      </c>
      <c r="E19" s="27">
        <v>400</v>
      </c>
      <c r="F19" s="27">
        <v>400</v>
      </c>
      <c r="G19" s="27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8" t="s">
        <v>1758</v>
      </c>
      <c r="B23" s="28" t="s">
        <v>2137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8" t="s">
        <v>1759</v>
      </c>
      <c r="B24" s="28" t="s">
        <v>2138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7" t="s">
        <v>573</v>
      </c>
      <c r="C27" s="27" t="s">
        <v>574</v>
      </c>
      <c r="D27" s="27" t="s">
        <v>575</v>
      </c>
      <c r="E27" s="27" t="s">
        <v>576</v>
      </c>
      <c r="F27" s="27" t="s">
        <v>577</v>
      </c>
      <c r="G27" s="27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8" t="s">
        <v>1758</v>
      </c>
      <c r="C21" s="28" t="s">
        <v>2137</v>
      </c>
    </row>
    <row r="22" spans="1:6" ht="20">
      <c r="B22" s="28" t="s">
        <v>1759</v>
      </c>
      <c r="C22" s="28" t="s">
        <v>2138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s="13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s="131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52" t="s">
        <v>1115</v>
      </c>
      <c r="K2" s="52" t="s">
        <v>1116</v>
      </c>
    </row>
    <row r="3" spans="1:11" ht="18">
      <c r="A3" s="131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1117</v>
      </c>
      <c r="K3" s="9" t="s">
        <v>1119</v>
      </c>
    </row>
    <row r="4" spans="1:11" ht="18">
      <c r="A4" s="131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1118</v>
      </c>
      <c r="K4" s="9" t="s">
        <v>1120</v>
      </c>
    </row>
    <row r="5" spans="1:11" ht="18">
      <c r="A5" s="131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1121</v>
      </c>
      <c r="K5" s="9" t="s">
        <v>1123</v>
      </c>
    </row>
    <row r="6" spans="1:11" ht="18">
      <c r="A6" s="131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1122</v>
      </c>
      <c r="K6" s="9" t="s">
        <v>1124</v>
      </c>
    </row>
    <row r="7" spans="1:11" ht="18">
      <c r="A7" s="131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1125</v>
      </c>
      <c r="K7" s="9" t="s">
        <v>1127</v>
      </c>
    </row>
    <row r="8" spans="1:11" ht="18">
      <c r="A8" s="131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1126</v>
      </c>
      <c r="K8" s="9" t="s">
        <v>1128</v>
      </c>
    </row>
    <row r="9" spans="1:11" ht="18">
      <c r="A9" s="131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1129</v>
      </c>
      <c r="K9" s="9" t="s">
        <v>1131</v>
      </c>
    </row>
    <row r="10" spans="1:11" ht="18">
      <c r="A10" s="131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1130</v>
      </c>
      <c r="K10" s="9" t="s">
        <v>1132</v>
      </c>
    </row>
    <row r="11" spans="1:11" ht="18">
      <c r="A11" s="13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1133</v>
      </c>
      <c r="K11" s="9" t="s">
        <v>1135</v>
      </c>
    </row>
    <row r="12" spans="1:11" ht="18">
      <c r="A12" s="131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1134</v>
      </c>
      <c r="K12" s="9" t="s">
        <v>1136</v>
      </c>
    </row>
    <row r="13" spans="1:11" ht="18">
      <c r="A13" s="131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1137</v>
      </c>
      <c r="K13" s="9" t="s">
        <v>1139</v>
      </c>
    </row>
    <row r="14" spans="1:11" ht="18">
      <c r="A14" s="131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1138</v>
      </c>
      <c r="K14" s="9" t="s">
        <v>1140</v>
      </c>
    </row>
    <row r="15" spans="1:11">
      <c r="A15" s="131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s="131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s="131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s="131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s="131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s="131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8" t="s">
        <v>1758</v>
      </c>
      <c r="B21" s="28" t="s">
        <v>2137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8" t="s">
        <v>1759</v>
      </c>
      <c r="B22" s="28" t="s">
        <v>2138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8"/>
      <c r="B23" s="28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8" bestFit="1" customWidth="1"/>
    <col min="2" max="2" width="30.83203125" style="28" bestFit="1" customWidth="1"/>
    <col min="3" max="16384" width="10.83203125" style="28"/>
  </cols>
  <sheetData>
    <row r="1" spans="1:8">
      <c r="A1" s="28" t="s">
        <v>73</v>
      </c>
      <c r="B1" s="82" t="s">
        <v>222</v>
      </c>
      <c r="C1" s="82" t="s">
        <v>223</v>
      </c>
      <c r="D1" s="82" t="s">
        <v>224</v>
      </c>
      <c r="E1" s="82" t="s">
        <v>225</v>
      </c>
      <c r="F1" s="82" t="s">
        <v>226</v>
      </c>
      <c r="G1" s="82" t="s">
        <v>227</v>
      </c>
    </row>
    <row r="2" spans="1:8">
      <c r="A2" s="28" t="s">
        <v>74</v>
      </c>
      <c r="B2" s="83" t="s">
        <v>228</v>
      </c>
      <c r="C2" s="28">
        <f>VALUE(LEFT(C24,3))</f>
        <v>535</v>
      </c>
      <c r="D2" s="28">
        <f>VALUE(LEFT(D24,3))</f>
        <v>555</v>
      </c>
      <c r="E2" s="28">
        <f>VALUE(LEFT(E24,3))</f>
        <v>575</v>
      </c>
      <c r="F2" s="28">
        <f>VALUE(LEFT(F24,3))</f>
        <v>595</v>
      </c>
      <c r="G2" s="28">
        <f>VALUE(LEFT(G24,3))</f>
        <v>615</v>
      </c>
    </row>
    <row r="3" spans="1:8">
      <c r="A3" s="28" t="s">
        <v>64</v>
      </c>
      <c r="B3" s="83" t="s">
        <v>5</v>
      </c>
      <c r="C3" s="28">
        <f>VALUE(LEFT(C25,4))</f>
        <v>73.5</v>
      </c>
      <c r="D3" s="28">
        <f>VALUE(LEFT(D25,2))</f>
        <v>73</v>
      </c>
      <c r="E3" s="28">
        <f>VALUE(LEFT(E25,2))</f>
        <v>73</v>
      </c>
      <c r="F3" s="28">
        <f>VALUE(LEFT(F25,4))</f>
        <v>72.5</v>
      </c>
      <c r="G3" s="28">
        <f>VALUE(LEFT(G25,4))</f>
        <v>72.5</v>
      </c>
    </row>
    <row r="4" spans="1:8">
      <c r="A4" s="28" t="s">
        <v>61</v>
      </c>
      <c r="B4" s="83" t="s">
        <v>238</v>
      </c>
      <c r="C4" s="28">
        <f t="shared" ref="C4:G6" si="0">VALUE(LEFT(C26,3))</f>
        <v>380</v>
      </c>
      <c r="D4" s="28">
        <f t="shared" si="0"/>
        <v>430</v>
      </c>
      <c r="E4" s="28">
        <f t="shared" si="0"/>
        <v>460</v>
      </c>
      <c r="F4" s="28">
        <f t="shared" si="0"/>
        <v>490</v>
      </c>
      <c r="G4" s="28">
        <f t="shared" si="0"/>
        <v>545</v>
      </c>
    </row>
    <row r="5" spans="1:8">
      <c r="A5" s="28" t="s">
        <v>65</v>
      </c>
      <c r="B5" s="83" t="s">
        <v>6</v>
      </c>
      <c r="C5" s="28">
        <f t="shared" si="0"/>
        <v>115</v>
      </c>
      <c r="D5" s="28">
        <f t="shared" si="0"/>
        <v>140</v>
      </c>
      <c r="E5" s="28">
        <f t="shared" si="0"/>
        <v>175</v>
      </c>
      <c r="F5" s="28">
        <f t="shared" si="0"/>
        <v>200</v>
      </c>
      <c r="G5" s="28">
        <f t="shared" si="0"/>
        <v>220</v>
      </c>
    </row>
    <row r="6" spans="1:8">
      <c r="A6" s="28" t="s">
        <v>63</v>
      </c>
      <c r="B6" s="83" t="s">
        <v>4</v>
      </c>
      <c r="C6" s="28">
        <f t="shared" si="0"/>
        <v>69</v>
      </c>
      <c r="D6" s="28">
        <f t="shared" si="0"/>
        <v>69</v>
      </c>
      <c r="E6" s="28">
        <f t="shared" si="0"/>
        <v>69</v>
      </c>
      <c r="F6" s="28">
        <f t="shared" si="0"/>
        <v>69</v>
      </c>
      <c r="G6" s="28">
        <f t="shared" si="0"/>
        <v>69</v>
      </c>
    </row>
    <row r="7" spans="1:8">
      <c r="A7" s="28" t="s">
        <v>68</v>
      </c>
      <c r="B7" s="83" t="s">
        <v>250</v>
      </c>
      <c r="C7" s="28">
        <f>VALUE(LEFT(C29,2))</f>
        <v>55</v>
      </c>
      <c r="D7" s="28">
        <f>VALUE(LEFT(D29,2))</f>
        <v>55</v>
      </c>
      <c r="E7" s="28">
        <f>VALUE(LEFT(E29,2))</f>
        <v>55</v>
      </c>
      <c r="F7" s="28">
        <f>VALUE(LEFT(F29,2))</f>
        <v>55</v>
      </c>
      <c r="G7" s="28">
        <f>VALUE(LEFT(G29,2))</f>
        <v>55</v>
      </c>
    </row>
    <row r="8" spans="1:8">
      <c r="A8" s="28" t="s">
        <v>67</v>
      </c>
      <c r="B8" s="83" t="s">
        <v>8</v>
      </c>
      <c r="C8" s="28">
        <f>VALUE(LEFT(C30,3))</f>
        <v>450</v>
      </c>
      <c r="D8" s="28">
        <f>VALUE(LEFT(D30,3))</f>
        <v>450</v>
      </c>
      <c r="E8" s="28">
        <f>VALUE(LEFT(E30,3))</f>
        <v>450</v>
      </c>
      <c r="F8" s="28">
        <f>VALUE(LEFT(F30,3))</f>
        <v>450</v>
      </c>
      <c r="G8" s="28">
        <f>VALUE(LEFT(G30,3))</f>
        <v>450</v>
      </c>
    </row>
    <row r="9" spans="1:8">
      <c r="A9" s="28" t="s">
        <v>66</v>
      </c>
      <c r="B9" s="83" t="s">
        <v>253</v>
      </c>
      <c r="C9" s="28">
        <f>VALUE(LEFT(C31,4))</f>
        <v>63.5</v>
      </c>
      <c r="D9" s="28">
        <f>VALUE(LEFT(D31,4))</f>
        <v>63.5</v>
      </c>
      <c r="E9" s="28">
        <f>VALUE(LEFT(E31,4))</f>
        <v>63.5</v>
      </c>
      <c r="F9" s="28">
        <f>VALUE(LEFT(F31,4))</f>
        <v>63.5</v>
      </c>
      <c r="G9" s="28">
        <f>VALUE(LEFT(G31,4))</f>
        <v>63.5</v>
      </c>
    </row>
    <row r="10" spans="1:8">
      <c r="A10" s="28" t="s">
        <v>55</v>
      </c>
      <c r="B10" s="83" t="s">
        <v>0</v>
      </c>
      <c r="C10" s="28">
        <f t="shared" ref="C10:G12" si="1">VALUE(LEFT(C32,3))</f>
        <v>574</v>
      </c>
      <c r="D10" s="28">
        <f t="shared" si="1"/>
        <v>597</v>
      </c>
      <c r="E10" s="28">
        <f t="shared" si="1"/>
        <v>630</v>
      </c>
      <c r="F10" s="28">
        <f t="shared" si="1"/>
        <v>653</v>
      </c>
      <c r="G10" s="28">
        <f t="shared" si="1"/>
        <v>672</v>
      </c>
    </row>
    <row r="11" spans="1:8">
      <c r="A11" s="28" t="s">
        <v>56</v>
      </c>
      <c r="B11" s="83" t="s">
        <v>1</v>
      </c>
      <c r="C11" s="28">
        <f t="shared" si="1"/>
        <v>365</v>
      </c>
      <c r="D11" s="28">
        <f t="shared" si="1"/>
        <v>372</v>
      </c>
      <c r="E11" s="28">
        <f t="shared" si="1"/>
        <v>382</v>
      </c>
      <c r="F11" s="28">
        <f t="shared" si="1"/>
        <v>389</v>
      </c>
      <c r="G11" s="28">
        <f t="shared" si="1"/>
        <v>403</v>
      </c>
    </row>
    <row r="12" spans="1:8">
      <c r="A12" s="28" t="s">
        <v>58</v>
      </c>
      <c r="B12" s="83" t="s">
        <v>265</v>
      </c>
      <c r="C12" s="28">
        <f t="shared" si="1"/>
        <v>750</v>
      </c>
      <c r="D12" s="28">
        <f t="shared" si="1"/>
        <v>784</v>
      </c>
      <c r="E12" s="28">
        <f t="shared" si="1"/>
        <v>815</v>
      </c>
      <c r="F12" s="28">
        <f t="shared" si="1"/>
        <v>840</v>
      </c>
      <c r="G12" s="28">
        <f t="shared" si="1"/>
        <v>875</v>
      </c>
    </row>
    <row r="13" spans="1:8">
      <c r="A13" s="28" t="s">
        <v>57</v>
      </c>
      <c r="B13" s="33" t="s">
        <v>10</v>
      </c>
      <c r="C13" s="28">
        <f>VALUE(LEFT(C35,6))</f>
        <v>1065.4000000000001</v>
      </c>
      <c r="D13" s="28">
        <f>VALUE(LEFT(D35,6))</f>
        <v>1081.2</v>
      </c>
      <c r="E13" s="28">
        <f>VALUE(LEFT(E35,6))</f>
        <v>1103.9000000000001</v>
      </c>
      <c r="F13" s="28">
        <f>VALUE(LEFT(F35,6))</f>
        <v>1119.7</v>
      </c>
      <c r="G13" s="28">
        <f>VALUE(LEFT(G35,4))</f>
        <v>1141</v>
      </c>
    </row>
    <row r="14" spans="1:8">
      <c r="A14" s="28" t="s">
        <v>70</v>
      </c>
      <c r="B14" s="28" t="s">
        <v>70</v>
      </c>
      <c r="C14" s="28">
        <v>170</v>
      </c>
      <c r="D14" s="28">
        <v>170</v>
      </c>
      <c r="E14" s="28">
        <v>170</v>
      </c>
      <c r="F14" s="28">
        <v>170</v>
      </c>
      <c r="G14" s="28">
        <v>170</v>
      </c>
      <c r="H14" s="28" t="s">
        <v>271</v>
      </c>
    </row>
    <row r="15" spans="1:8">
      <c r="A15" s="28" t="s">
        <v>71</v>
      </c>
      <c r="B15" s="28" t="s">
        <v>71</v>
      </c>
      <c r="C15" s="28">
        <v>520</v>
      </c>
      <c r="D15" s="28">
        <v>520</v>
      </c>
      <c r="E15" s="28">
        <v>520</v>
      </c>
      <c r="F15" s="28">
        <v>520</v>
      </c>
      <c r="G15" s="28">
        <v>520</v>
      </c>
    </row>
    <row r="16" spans="1:8">
      <c r="A16" s="28" t="s">
        <v>72</v>
      </c>
      <c r="B16" s="28" t="s">
        <v>72</v>
      </c>
      <c r="C16" s="28">
        <v>80</v>
      </c>
      <c r="D16" s="28">
        <v>80</v>
      </c>
      <c r="E16" s="28">
        <v>80</v>
      </c>
      <c r="F16" s="28">
        <v>80</v>
      </c>
      <c r="G16" s="28">
        <v>80</v>
      </c>
      <c r="H16" s="28" t="s">
        <v>271</v>
      </c>
    </row>
    <row r="17" spans="1:7">
      <c r="A17" s="28" t="s">
        <v>69</v>
      </c>
      <c r="B17" s="28" t="s">
        <v>69</v>
      </c>
      <c r="C17" s="28">
        <v>29</v>
      </c>
      <c r="D17" s="28">
        <v>29</v>
      </c>
      <c r="E17" s="28">
        <v>29</v>
      </c>
      <c r="F17" s="28">
        <v>29</v>
      </c>
      <c r="G17" s="28">
        <v>29</v>
      </c>
    </row>
    <row r="18" spans="1:7">
      <c r="A18" s="28" t="s">
        <v>140</v>
      </c>
      <c r="B18" s="28" t="s">
        <v>140</v>
      </c>
      <c r="C18" s="28">
        <f>2.35*25.4</f>
        <v>59.69</v>
      </c>
      <c r="D18" s="28">
        <f t="shared" ref="D18:G18" si="2">2.35*25.4</f>
        <v>59.69</v>
      </c>
      <c r="E18" s="28">
        <f t="shared" si="2"/>
        <v>59.69</v>
      </c>
      <c r="F18" s="28">
        <f t="shared" si="2"/>
        <v>59.69</v>
      </c>
      <c r="G18" s="28">
        <f t="shared" si="2"/>
        <v>59.69</v>
      </c>
    </row>
    <row r="19" spans="1:7">
      <c r="A19" s="28" t="s">
        <v>141</v>
      </c>
      <c r="B19" s="28" t="s">
        <v>141</v>
      </c>
      <c r="C19" s="28">
        <f>2.5*25.4</f>
        <v>63.5</v>
      </c>
      <c r="D19" s="28">
        <f t="shared" ref="D19:G19" si="3">2.5*25.4</f>
        <v>63.5</v>
      </c>
      <c r="E19" s="28">
        <f t="shared" si="3"/>
        <v>63.5</v>
      </c>
      <c r="F19" s="28">
        <f t="shared" si="3"/>
        <v>63.5</v>
      </c>
      <c r="G19" s="28">
        <f t="shared" si="3"/>
        <v>63.5</v>
      </c>
    </row>
    <row r="20" spans="1:7">
      <c r="A20" s="28" t="s">
        <v>1758</v>
      </c>
      <c r="B20" s="28" t="s">
        <v>2137</v>
      </c>
    </row>
    <row r="21" spans="1:7">
      <c r="A21" s="28" t="s">
        <v>1759</v>
      </c>
      <c r="B21" s="28" t="s">
        <v>2138</v>
      </c>
    </row>
    <row r="23" spans="1:7">
      <c r="B23" s="82" t="s">
        <v>222</v>
      </c>
      <c r="C23" s="82" t="s">
        <v>223</v>
      </c>
      <c r="D23" s="82" t="s">
        <v>224</v>
      </c>
      <c r="E23" s="82" t="s">
        <v>225</v>
      </c>
      <c r="F23" s="82" t="s">
        <v>226</v>
      </c>
      <c r="G23" s="82" t="s">
        <v>227</v>
      </c>
    </row>
    <row r="24" spans="1:7">
      <c r="B24" s="83" t="s">
        <v>228</v>
      </c>
      <c r="C24" s="84" t="s">
        <v>229</v>
      </c>
      <c r="D24" s="84" t="s">
        <v>230</v>
      </c>
      <c r="E24" s="84" t="s">
        <v>231</v>
      </c>
      <c r="F24" s="84" t="s">
        <v>232</v>
      </c>
      <c r="G24" s="84" t="s">
        <v>233</v>
      </c>
    </row>
    <row r="25" spans="1:7">
      <c r="B25" s="83" t="s">
        <v>5</v>
      </c>
      <c r="C25" s="84" t="s">
        <v>234</v>
      </c>
      <c r="D25" s="84" t="s">
        <v>235</v>
      </c>
      <c r="E25" s="84" t="s">
        <v>235</v>
      </c>
      <c r="F25" s="84" t="s">
        <v>236</v>
      </c>
      <c r="G25" s="84" t="s">
        <v>237</v>
      </c>
    </row>
    <row r="26" spans="1:7">
      <c r="B26" s="83" t="s">
        <v>238</v>
      </c>
      <c r="C26" s="84" t="s">
        <v>239</v>
      </c>
      <c r="D26" s="84" t="s">
        <v>240</v>
      </c>
      <c r="E26" s="84" t="s">
        <v>241</v>
      </c>
      <c r="F26" s="84" t="s">
        <v>242</v>
      </c>
      <c r="G26" s="84" t="s">
        <v>243</v>
      </c>
    </row>
    <row r="27" spans="1:7">
      <c r="B27" s="83" t="s">
        <v>6</v>
      </c>
      <c r="C27" s="84" t="s">
        <v>244</v>
      </c>
      <c r="D27" s="84" t="s">
        <v>245</v>
      </c>
      <c r="E27" s="84" t="s">
        <v>246</v>
      </c>
      <c r="F27" s="84" t="s">
        <v>247</v>
      </c>
      <c r="G27" s="84" t="s">
        <v>248</v>
      </c>
    </row>
    <row r="28" spans="1:7">
      <c r="B28" s="83" t="s">
        <v>4</v>
      </c>
      <c r="C28" s="84" t="s">
        <v>249</v>
      </c>
      <c r="D28" s="84" t="s">
        <v>249</v>
      </c>
      <c r="E28" s="84" t="s">
        <v>249</v>
      </c>
      <c r="F28" s="84" t="s">
        <v>249</v>
      </c>
      <c r="G28" s="84" t="s">
        <v>249</v>
      </c>
    </row>
    <row r="29" spans="1:7">
      <c r="B29" s="83" t="s">
        <v>250</v>
      </c>
      <c r="C29" s="84" t="s">
        <v>251</v>
      </c>
      <c r="D29" s="84" t="s">
        <v>251</v>
      </c>
      <c r="E29" s="84" t="s">
        <v>251</v>
      </c>
      <c r="F29" s="84" t="s">
        <v>251</v>
      </c>
      <c r="G29" s="84" t="s">
        <v>251</v>
      </c>
    </row>
    <row r="30" spans="1:7">
      <c r="B30" s="83" t="s">
        <v>8</v>
      </c>
      <c r="C30" s="84" t="s">
        <v>252</v>
      </c>
      <c r="D30" s="84" t="s">
        <v>252</v>
      </c>
      <c r="E30" s="84" t="s">
        <v>252</v>
      </c>
      <c r="F30" s="84" t="s">
        <v>252</v>
      </c>
      <c r="G30" s="84" t="s">
        <v>252</v>
      </c>
    </row>
    <row r="31" spans="1:7">
      <c r="B31" s="83" t="s">
        <v>253</v>
      </c>
      <c r="C31" s="84" t="s">
        <v>254</v>
      </c>
      <c r="D31" s="84" t="s">
        <v>254</v>
      </c>
      <c r="E31" s="84" t="s">
        <v>254</v>
      </c>
      <c r="F31" s="84" t="s">
        <v>254</v>
      </c>
      <c r="G31" s="84" t="s">
        <v>254</v>
      </c>
    </row>
    <row r="32" spans="1:7">
      <c r="B32" s="83" t="s">
        <v>0</v>
      </c>
      <c r="C32" s="84" t="s">
        <v>255</v>
      </c>
      <c r="D32" s="84" t="s">
        <v>256</v>
      </c>
      <c r="E32" s="84" t="s">
        <v>257</v>
      </c>
      <c r="F32" s="84" t="s">
        <v>258</v>
      </c>
      <c r="G32" s="84" t="s">
        <v>259</v>
      </c>
    </row>
    <row r="33" spans="2:7">
      <c r="B33" s="83" t="s">
        <v>1</v>
      </c>
      <c r="C33" s="84" t="s">
        <v>260</v>
      </c>
      <c r="D33" s="84" t="s">
        <v>261</v>
      </c>
      <c r="E33" s="84" t="s">
        <v>262</v>
      </c>
      <c r="F33" s="84" t="s">
        <v>263</v>
      </c>
      <c r="G33" s="84" t="s">
        <v>264</v>
      </c>
    </row>
    <row r="34" spans="2:7">
      <c r="B34" s="83" t="s">
        <v>265</v>
      </c>
      <c r="C34" s="84" t="s">
        <v>266</v>
      </c>
      <c r="D34" s="84" t="s">
        <v>267</v>
      </c>
      <c r="E34" s="84" t="s">
        <v>268</v>
      </c>
      <c r="F34" s="84" t="s">
        <v>269</v>
      </c>
      <c r="G34" s="84" t="s">
        <v>270</v>
      </c>
    </row>
    <row r="35" spans="2:7">
      <c r="B35" s="33" t="s">
        <v>10</v>
      </c>
      <c r="C35" s="30" t="s">
        <v>1883</v>
      </c>
      <c r="D35" s="30" t="s">
        <v>1884</v>
      </c>
      <c r="E35" s="30" t="s">
        <v>1885</v>
      </c>
      <c r="F35" s="30" t="s">
        <v>1886</v>
      </c>
      <c r="G35" s="30" t="s">
        <v>1441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8" t="s">
        <v>73</v>
      </c>
      <c r="B1" s="104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8" t="s">
        <v>55</v>
      </c>
      <c r="B2" s="105" t="s">
        <v>2223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8" t="s">
        <v>56</v>
      </c>
      <c r="B3" s="105" t="s">
        <v>2224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8" t="s">
        <v>65</v>
      </c>
      <c r="B4" s="105" t="s">
        <v>2225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8" t="s">
        <v>67</v>
      </c>
      <c r="B5" s="105" t="s">
        <v>2226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8" t="s">
        <v>135</v>
      </c>
      <c r="B6" s="105" t="s">
        <v>2227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8" t="s">
        <v>57</v>
      </c>
      <c r="B7" s="105" t="s">
        <v>2228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8" t="s">
        <v>66</v>
      </c>
      <c r="B8" s="105" t="s">
        <v>2229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8" t="s">
        <v>64</v>
      </c>
      <c r="B9" s="105" t="s">
        <v>2230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8" t="s">
        <v>63</v>
      </c>
      <c r="B10" s="105" t="s">
        <v>2231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8" t="s">
        <v>74</v>
      </c>
      <c r="B11" s="105" t="s">
        <v>2232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8" t="s">
        <v>61</v>
      </c>
      <c r="B12" s="105" t="s">
        <v>2233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8" t="s">
        <v>58</v>
      </c>
      <c r="B13" s="105" t="s">
        <v>2234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8" t="s">
        <v>2216</v>
      </c>
      <c r="B14" s="105" t="s">
        <v>2235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8" t="s">
        <v>498</v>
      </c>
      <c r="B15" s="105" t="s">
        <v>2236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8" t="s">
        <v>68</v>
      </c>
      <c r="B16" s="105" t="s">
        <v>2237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8" t="s">
        <v>2217</v>
      </c>
      <c r="B17" s="105" t="s">
        <v>2214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8" t="s">
        <v>2218</v>
      </c>
      <c r="B18" s="105" t="s">
        <v>2215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8" t="s">
        <v>70</v>
      </c>
      <c r="B19" s="28" t="s">
        <v>2219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8" t="s">
        <v>71</v>
      </c>
      <c r="B20" s="28" t="s">
        <v>2220</v>
      </c>
    </row>
    <row r="21" spans="1:12" ht="20">
      <c r="A21" s="28" t="s">
        <v>72</v>
      </c>
      <c r="B21" s="28" t="s">
        <v>1646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8" t="s">
        <v>69</v>
      </c>
      <c r="B22" s="28" t="s">
        <v>982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8" t="s">
        <v>140</v>
      </c>
      <c r="B23" s="28" t="s">
        <v>2221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8" t="s">
        <v>141</v>
      </c>
      <c r="B24" s="28" t="s">
        <v>2222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8" t="s">
        <v>1758</v>
      </c>
      <c r="B25" s="28" t="s">
        <v>2137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8" t="s">
        <v>1759</v>
      </c>
      <c r="B26" s="28" t="s">
        <v>2138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5" t="s">
        <v>2367</v>
      </c>
      <c r="D27" s="125" t="s">
        <v>2370</v>
      </c>
      <c r="E27" s="125" t="s">
        <v>2372</v>
      </c>
      <c r="F27" s="125" t="s">
        <v>2375</v>
      </c>
      <c r="G27" s="125" t="s">
        <v>2378</v>
      </c>
      <c r="H27" s="125" t="s">
        <v>2380</v>
      </c>
    </row>
    <row r="30" spans="1:12">
      <c r="J30" s="3" t="s">
        <v>2382</v>
      </c>
    </row>
    <row r="31" spans="1:12">
      <c r="B31" s="104" t="s">
        <v>760</v>
      </c>
      <c r="C31" s="105" t="s">
        <v>17</v>
      </c>
      <c r="D31" s="105" t="s">
        <v>18</v>
      </c>
      <c r="E31" s="105" t="s">
        <v>19</v>
      </c>
      <c r="F31" s="105" t="s">
        <v>2181</v>
      </c>
      <c r="G31" s="105" t="s">
        <v>20</v>
      </c>
      <c r="H31" s="105" t="s">
        <v>21</v>
      </c>
      <c r="J31" s="125" t="s">
        <v>2364</v>
      </c>
      <c r="K31"/>
      <c r="L31"/>
    </row>
    <row r="32" spans="1:12">
      <c r="B32" s="105" t="s">
        <v>2223</v>
      </c>
      <c r="C32" s="106" t="s">
        <v>2182</v>
      </c>
      <c r="D32" s="106" t="s">
        <v>2183</v>
      </c>
      <c r="E32" s="106" t="s">
        <v>243</v>
      </c>
      <c r="F32" s="106" t="s">
        <v>853</v>
      </c>
      <c r="G32" s="106" t="s">
        <v>1247</v>
      </c>
      <c r="H32" s="106" t="s">
        <v>2184</v>
      </c>
      <c r="J32"/>
      <c r="K32"/>
      <c r="L32"/>
    </row>
    <row r="33" spans="2:12">
      <c r="B33" s="105" t="s">
        <v>2224</v>
      </c>
      <c r="C33" s="106" t="s">
        <v>2185</v>
      </c>
      <c r="D33" s="106" t="s">
        <v>1259</v>
      </c>
      <c r="E33" s="106" t="s">
        <v>1177</v>
      </c>
      <c r="F33" s="106" t="s">
        <v>2186</v>
      </c>
      <c r="G33" s="106" t="s">
        <v>2187</v>
      </c>
      <c r="H33" s="106" t="s">
        <v>2188</v>
      </c>
      <c r="J33" s="125" t="s">
        <v>2365</v>
      </c>
      <c r="K33"/>
      <c r="L33"/>
    </row>
    <row r="34" spans="2:12">
      <c r="B34" s="105" t="s">
        <v>2225</v>
      </c>
      <c r="C34" s="106" t="s">
        <v>1297</v>
      </c>
      <c r="D34" s="106" t="s">
        <v>2189</v>
      </c>
      <c r="E34" s="106" t="s">
        <v>2190</v>
      </c>
      <c r="F34" s="106" t="s">
        <v>855</v>
      </c>
      <c r="G34" s="106" t="s">
        <v>2191</v>
      </c>
      <c r="H34" s="106" t="s">
        <v>1269</v>
      </c>
      <c r="J34" s="125"/>
      <c r="K34"/>
      <c r="L34"/>
    </row>
    <row r="35" spans="2:12">
      <c r="B35" s="105" t="s">
        <v>2226</v>
      </c>
      <c r="C35" s="106" t="s">
        <v>613</v>
      </c>
      <c r="D35" s="106" t="s">
        <v>613</v>
      </c>
      <c r="E35" s="106" t="s">
        <v>613</v>
      </c>
      <c r="F35" s="106" t="s">
        <v>613</v>
      </c>
      <c r="G35" s="106" t="s">
        <v>613</v>
      </c>
      <c r="H35" s="106" t="s">
        <v>613</v>
      </c>
      <c r="J35" s="125" t="s">
        <v>2366</v>
      </c>
      <c r="K35" s="125" t="s">
        <v>2367</v>
      </c>
      <c r="L35" s="125" t="s">
        <v>2368</v>
      </c>
    </row>
    <row r="36" spans="2:12">
      <c r="B36" s="105" t="s">
        <v>2227</v>
      </c>
      <c r="C36" s="106" t="s">
        <v>2192</v>
      </c>
      <c r="D36" s="106" t="s">
        <v>2193</v>
      </c>
      <c r="E36" s="106" t="s">
        <v>1266</v>
      </c>
      <c r="F36" s="106" t="s">
        <v>1184</v>
      </c>
      <c r="G36" s="106" t="s">
        <v>634</v>
      </c>
      <c r="H36" s="106" t="s">
        <v>2194</v>
      </c>
      <c r="J36" s="125" t="s">
        <v>2369</v>
      </c>
      <c r="K36" s="125" t="s">
        <v>2370</v>
      </c>
      <c r="L36" s="125" t="s">
        <v>2371</v>
      </c>
    </row>
    <row r="37" spans="2:12">
      <c r="B37" s="105" t="s">
        <v>2228</v>
      </c>
      <c r="C37" s="106" t="s">
        <v>2195</v>
      </c>
      <c r="D37" s="106" t="s">
        <v>2196</v>
      </c>
      <c r="E37" s="106" t="s">
        <v>2197</v>
      </c>
      <c r="F37" s="106" t="s">
        <v>1330</v>
      </c>
      <c r="G37" s="106" t="s">
        <v>2198</v>
      </c>
      <c r="H37" s="106" t="s">
        <v>1202</v>
      </c>
      <c r="J37" s="125" t="s">
        <v>1542</v>
      </c>
      <c r="K37" s="125" t="s">
        <v>2372</v>
      </c>
      <c r="L37" s="125" t="s">
        <v>2373</v>
      </c>
    </row>
    <row r="38" spans="2:12">
      <c r="B38" s="105" t="s">
        <v>2229</v>
      </c>
      <c r="C38" s="106" t="s">
        <v>1209</v>
      </c>
      <c r="D38" s="106" t="s">
        <v>1209</v>
      </c>
      <c r="E38" s="106" t="s">
        <v>1209</v>
      </c>
      <c r="F38" s="106" t="s">
        <v>1209</v>
      </c>
      <c r="G38" s="106" t="s">
        <v>1209</v>
      </c>
      <c r="H38" s="106" t="s">
        <v>1209</v>
      </c>
      <c r="J38" s="125" t="s">
        <v>2374</v>
      </c>
      <c r="K38" s="125" t="s">
        <v>2375</v>
      </c>
      <c r="L38" s="125" t="s">
        <v>2376</v>
      </c>
    </row>
    <row r="39" spans="2:12">
      <c r="B39" s="105" t="s">
        <v>2230</v>
      </c>
      <c r="C39" s="106" t="s">
        <v>296</v>
      </c>
      <c r="D39" s="106" t="s">
        <v>296</v>
      </c>
      <c r="E39" s="106" t="s">
        <v>296</v>
      </c>
      <c r="F39" s="106" t="s">
        <v>296</v>
      </c>
      <c r="G39" s="106" t="s">
        <v>296</v>
      </c>
      <c r="H39" s="106" t="s">
        <v>296</v>
      </c>
      <c r="J39" s="125" t="s">
        <v>2377</v>
      </c>
      <c r="K39" s="125" t="s">
        <v>2378</v>
      </c>
      <c r="L39" s="125" t="s">
        <v>2379</v>
      </c>
    </row>
    <row r="40" spans="2:12">
      <c r="B40" s="105" t="s">
        <v>2231</v>
      </c>
      <c r="C40" s="106" t="s">
        <v>1191</v>
      </c>
      <c r="D40" s="106" t="s">
        <v>175</v>
      </c>
      <c r="E40" s="106" t="s">
        <v>582</v>
      </c>
      <c r="F40" s="106" t="s">
        <v>312</v>
      </c>
      <c r="G40" s="106" t="s">
        <v>795</v>
      </c>
      <c r="H40" s="106" t="s">
        <v>296</v>
      </c>
      <c r="J40" s="125" t="s">
        <v>1546</v>
      </c>
      <c r="K40" s="125" t="s">
        <v>2380</v>
      </c>
      <c r="L40" s="125" t="s">
        <v>2381</v>
      </c>
    </row>
    <row r="41" spans="2:12">
      <c r="B41" s="105" t="s">
        <v>2232</v>
      </c>
      <c r="C41" s="106" t="s">
        <v>1171</v>
      </c>
      <c r="D41" s="106" t="s">
        <v>854</v>
      </c>
      <c r="E41" s="106" t="s">
        <v>2073</v>
      </c>
      <c r="F41" s="106" t="s">
        <v>1335</v>
      </c>
      <c r="G41" s="106" t="s">
        <v>2199</v>
      </c>
      <c r="H41" s="106" t="s">
        <v>2193</v>
      </c>
    </row>
    <row r="42" spans="2:12">
      <c r="B42" s="105" t="s">
        <v>2233</v>
      </c>
      <c r="C42" s="106" t="s">
        <v>2200</v>
      </c>
      <c r="D42" s="106" t="s">
        <v>2201</v>
      </c>
      <c r="E42" s="106" t="s">
        <v>2202</v>
      </c>
      <c r="F42" s="106" t="s">
        <v>1172</v>
      </c>
      <c r="G42" s="106" t="s">
        <v>2059</v>
      </c>
      <c r="H42" s="106" t="s">
        <v>2203</v>
      </c>
    </row>
    <row r="43" spans="2:12">
      <c r="B43" s="105" t="s">
        <v>2234</v>
      </c>
      <c r="C43" s="106" t="s">
        <v>2204</v>
      </c>
      <c r="D43" s="106" t="s">
        <v>2205</v>
      </c>
      <c r="E43" s="106" t="s">
        <v>2206</v>
      </c>
      <c r="F43" s="106" t="s">
        <v>2081</v>
      </c>
      <c r="G43" s="106" t="s">
        <v>2207</v>
      </c>
      <c r="H43" s="106" t="s">
        <v>1612</v>
      </c>
    </row>
    <row r="44" spans="2:12">
      <c r="B44" s="105" t="s">
        <v>2238</v>
      </c>
      <c r="C44" s="106" t="s">
        <v>2208</v>
      </c>
      <c r="D44" s="106" t="s">
        <v>2209</v>
      </c>
      <c r="E44" s="106" t="s">
        <v>2210</v>
      </c>
      <c r="F44" s="106" t="s">
        <v>2211</v>
      </c>
      <c r="G44" s="106" t="s">
        <v>2212</v>
      </c>
      <c r="H44" s="106" t="s">
        <v>2213</v>
      </c>
    </row>
    <row r="45" spans="2:12">
      <c r="B45" s="105" t="s">
        <v>2236</v>
      </c>
      <c r="C45" s="106" t="s">
        <v>612</v>
      </c>
      <c r="D45" s="106" t="s">
        <v>612</v>
      </c>
      <c r="E45" s="106" t="s">
        <v>612</v>
      </c>
      <c r="F45" s="106" t="s">
        <v>612</v>
      </c>
      <c r="G45" s="106" t="s">
        <v>612</v>
      </c>
      <c r="H45" s="106" t="s">
        <v>612</v>
      </c>
    </row>
    <row r="46" spans="2:12">
      <c r="B46" s="105" t="s">
        <v>2239</v>
      </c>
      <c r="C46" s="106" t="s">
        <v>598</v>
      </c>
      <c r="D46" s="106" t="s">
        <v>598</v>
      </c>
      <c r="E46" s="106" t="s">
        <v>598</v>
      </c>
      <c r="F46" s="106" t="s">
        <v>598</v>
      </c>
      <c r="G46" s="106" t="s">
        <v>598</v>
      </c>
      <c r="H46" s="106" t="s">
        <v>598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8" bestFit="1" customWidth="1"/>
    <col min="3" max="3" width="15.5" style="28" customWidth="1"/>
    <col min="4" max="16384" width="10.83203125" style="28"/>
  </cols>
  <sheetData>
    <row r="1" spans="1:7">
      <c r="A1" s="3" t="s">
        <v>73</v>
      </c>
      <c r="B1" s="28" t="s">
        <v>16</v>
      </c>
      <c r="C1" s="28" t="s">
        <v>18</v>
      </c>
      <c r="D1" s="28" t="s">
        <v>19</v>
      </c>
      <c r="E1" s="28" t="s">
        <v>20</v>
      </c>
      <c r="F1" s="28" t="s">
        <v>21</v>
      </c>
      <c r="G1" s="28" t="s">
        <v>1294</v>
      </c>
    </row>
    <row r="2" spans="1:7">
      <c r="A2" s="3" t="s">
        <v>74</v>
      </c>
      <c r="B2" s="28" t="s">
        <v>228</v>
      </c>
      <c r="C2" s="28">
        <v>540</v>
      </c>
      <c r="D2" s="28">
        <v>557</v>
      </c>
      <c r="E2" s="28">
        <v>570</v>
      </c>
      <c r="F2" s="28">
        <v>583</v>
      </c>
      <c r="G2" s="28">
        <v>600</v>
      </c>
    </row>
    <row r="3" spans="1:7">
      <c r="A3" s="3" t="s">
        <v>61</v>
      </c>
      <c r="B3" s="28" t="s">
        <v>176</v>
      </c>
      <c r="C3" s="28">
        <v>450</v>
      </c>
      <c r="D3" s="28">
        <v>490</v>
      </c>
      <c r="E3" s="28">
        <v>520</v>
      </c>
      <c r="F3" s="28">
        <v>550</v>
      </c>
      <c r="G3" s="28">
        <v>580</v>
      </c>
    </row>
    <row r="4" spans="1:7">
      <c r="A4" s="3" t="s">
        <v>64</v>
      </c>
      <c r="B4" s="28" t="s">
        <v>5</v>
      </c>
      <c r="C4" s="28">
        <v>73</v>
      </c>
      <c r="D4" s="28">
        <v>73</v>
      </c>
      <c r="E4" s="28">
        <v>73</v>
      </c>
      <c r="F4" s="28">
        <v>73</v>
      </c>
      <c r="G4" s="28">
        <v>73</v>
      </c>
    </row>
    <row r="5" spans="1:7">
      <c r="A5" s="3" t="s">
        <v>67</v>
      </c>
      <c r="B5" s="28" t="s">
        <v>8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</row>
    <row r="6" spans="1:7">
      <c r="A6" s="3" t="s">
        <v>66</v>
      </c>
      <c r="B6" s="28" t="s">
        <v>7</v>
      </c>
      <c r="C6" s="28">
        <v>70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138</v>
      </c>
      <c r="B7" s="28" t="s">
        <v>1276</v>
      </c>
      <c r="C7" s="28">
        <v>285</v>
      </c>
      <c r="D7" s="28">
        <v>285</v>
      </c>
      <c r="E7" s="28">
        <v>285</v>
      </c>
      <c r="F7" s="28">
        <v>285</v>
      </c>
      <c r="G7" s="28">
        <v>285</v>
      </c>
    </row>
    <row r="8" spans="1:7">
      <c r="A8" s="3" t="s">
        <v>63</v>
      </c>
      <c r="B8" s="28" t="s">
        <v>4</v>
      </c>
      <c r="C8" s="28">
        <v>71.5</v>
      </c>
      <c r="D8" s="28">
        <v>71.5</v>
      </c>
      <c r="E8" s="28">
        <v>71.5</v>
      </c>
      <c r="F8" s="28">
        <v>71.5</v>
      </c>
      <c r="G8" s="28">
        <v>71.5</v>
      </c>
    </row>
    <row r="9" spans="1:7">
      <c r="A9" s="3" t="s">
        <v>57</v>
      </c>
      <c r="B9" s="28" t="s">
        <v>10</v>
      </c>
      <c r="C9" s="28">
        <v>1016</v>
      </c>
      <c r="D9" s="28">
        <v>1034</v>
      </c>
      <c r="E9" s="28">
        <v>1049</v>
      </c>
      <c r="F9" s="28">
        <v>1064</v>
      </c>
      <c r="G9" s="28">
        <v>1082</v>
      </c>
    </row>
    <row r="10" spans="1:7">
      <c r="A10" s="3" t="s">
        <v>65</v>
      </c>
      <c r="B10" s="28" t="s">
        <v>6</v>
      </c>
      <c r="C10" s="28">
        <v>110</v>
      </c>
      <c r="D10" s="28">
        <v>136</v>
      </c>
      <c r="E10" s="28">
        <v>157</v>
      </c>
      <c r="F10" s="28">
        <v>178</v>
      </c>
      <c r="G10" s="28">
        <v>205</v>
      </c>
    </row>
    <row r="11" spans="1:7">
      <c r="A11" s="28" t="s">
        <v>498</v>
      </c>
      <c r="B11" s="28" t="s">
        <v>493</v>
      </c>
      <c r="C11" s="28">
        <v>395</v>
      </c>
      <c r="D11" s="28">
        <v>395</v>
      </c>
      <c r="E11" s="28">
        <v>395</v>
      </c>
      <c r="F11" s="28">
        <v>395</v>
      </c>
      <c r="G11" s="28">
        <v>395</v>
      </c>
    </row>
    <row r="12" spans="1:7">
      <c r="A12" s="3" t="s">
        <v>68</v>
      </c>
      <c r="B12" s="28" t="s">
        <v>250</v>
      </c>
      <c r="C12" s="28">
        <v>47</v>
      </c>
      <c r="D12" s="28">
        <v>47</v>
      </c>
      <c r="E12" s="28">
        <v>47</v>
      </c>
      <c r="F12" s="28">
        <v>47</v>
      </c>
      <c r="G12" s="28">
        <v>47</v>
      </c>
    </row>
    <row r="13" spans="1:7">
      <c r="A13" s="3" t="s">
        <v>136</v>
      </c>
      <c r="B13" s="28" t="s">
        <v>134</v>
      </c>
      <c r="C13" s="28">
        <v>69</v>
      </c>
      <c r="D13" s="28">
        <v>69</v>
      </c>
      <c r="E13" s="28">
        <v>69</v>
      </c>
      <c r="F13" s="28">
        <v>69</v>
      </c>
      <c r="G13" s="28">
        <v>69</v>
      </c>
    </row>
    <row r="14" spans="1:7">
      <c r="A14" s="3" t="s">
        <v>55</v>
      </c>
      <c r="B14" s="28" t="s">
        <v>0</v>
      </c>
      <c r="C14" s="28">
        <v>535</v>
      </c>
      <c r="D14" s="28">
        <v>560</v>
      </c>
      <c r="E14" s="28">
        <v>580</v>
      </c>
      <c r="F14" s="28">
        <v>600</v>
      </c>
      <c r="G14" s="28">
        <v>625</v>
      </c>
    </row>
    <row r="15" spans="1:7">
      <c r="A15" s="3" t="s">
        <v>56</v>
      </c>
      <c r="B15" s="28" t="s">
        <v>1</v>
      </c>
      <c r="C15" s="28">
        <v>397</v>
      </c>
      <c r="D15" s="28">
        <v>407</v>
      </c>
      <c r="E15" s="28">
        <v>415</v>
      </c>
      <c r="F15" s="28">
        <v>423</v>
      </c>
      <c r="G15" s="28">
        <v>433</v>
      </c>
    </row>
    <row r="16" spans="1:7">
      <c r="A16" s="3" t="s">
        <v>58</v>
      </c>
      <c r="B16" s="28" t="s">
        <v>58</v>
      </c>
    </row>
    <row r="17" spans="1:7">
      <c r="A17" s="3" t="s">
        <v>70</v>
      </c>
      <c r="B17" s="28" t="s">
        <v>70</v>
      </c>
    </row>
    <row r="18" spans="1:7">
      <c r="A18" s="3" t="s">
        <v>71</v>
      </c>
      <c r="B18" s="28" t="s">
        <v>71</v>
      </c>
    </row>
    <row r="19" spans="1:7">
      <c r="A19" s="3" t="s">
        <v>72</v>
      </c>
      <c r="B19" s="28" t="s">
        <v>72</v>
      </c>
    </row>
    <row r="20" spans="1:7">
      <c r="A20" s="3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</row>
    <row r="21" spans="1:7">
      <c r="A21" s="3" t="s">
        <v>140</v>
      </c>
      <c r="B21" s="28" t="s">
        <v>140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A22" s="3" t="s">
        <v>141</v>
      </c>
      <c r="B22" s="28" t="s">
        <v>141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1758</v>
      </c>
      <c r="B23" s="28" t="s">
        <v>1758</v>
      </c>
      <c r="C23" s="28">
        <f>VALUE(LEFT(B28,3))</f>
        <v>155</v>
      </c>
      <c r="D23" s="28">
        <f t="shared" ref="D23:G23" si="0">VALUE(LEFT(C28,3))</f>
        <v>165</v>
      </c>
      <c r="E23" s="28">
        <f t="shared" si="0"/>
        <v>175</v>
      </c>
      <c r="F23" s="28">
        <f t="shared" si="0"/>
        <v>183</v>
      </c>
      <c r="G23" s="28">
        <f t="shared" si="0"/>
        <v>190</v>
      </c>
    </row>
    <row r="24" spans="1:7">
      <c r="A24" s="28" t="s">
        <v>1759</v>
      </c>
      <c r="B24" s="28" t="s">
        <v>1759</v>
      </c>
      <c r="C24" s="28">
        <f>VALUE(MID(B28,6,3))</f>
        <v>168</v>
      </c>
      <c r="D24" s="28">
        <f>VALUE(MID(C28,7,3))</f>
        <v>178</v>
      </c>
      <c r="E24" s="28">
        <f t="shared" ref="E24:G24" si="1">VALUE(MID(D28,7,3))</f>
        <v>185</v>
      </c>
      <c r="F24" s="28">
        <f t="shared" si="1"/>
        <v>193</v>
      </c>
      <c r="G24" s="28">
        <f t="shared" si="1"/>
        <v>203</v>
      </c>
    </row>
    <row r="26" spans="1:7">
      <c r="C26" s="28" t="s">
        <v>18</v>
      </c>
      <c r="D26" s="28" t="s">
        <v>19</v>
      </c>
      <c r="E26" s="28" t="s">
        <v>20</v>
      </c>
      <c r="F26" s="28" t="s">
        <v>21</v>
      </c>
      <c r="G26" s="28" t="s">
        <v>1294</v>
      </c>
    </row>
    <row r="27" spans="1:7">
      <c r="A27" s="28" t="s">
        <v>2330</v>
      </c>
      <c r="B27" s="28" t="s">
        <v>2331</v>
      </c>
      <c r="C27" s="28" t="s">
        <v>2332</v>
      </c>
      <c r="D27" s="28" t="s">
        <v>2333</v>
      </c>
      <c r="E27" s="28" t="s">
        <v>2334</v>
      </c>
      <c r="F27" s="28" t="s">
        <v>2335</v>
      </c>
    </row>
    <row r="28" spans="1:7">
      <c r="A28" s="28" t="s">
        <v>2336</v>
      </c>
      <c r="B28" s="28" t="s">
        <v>2337</v>
      </c>
      <c r="C28" s="28" t="s">
        <v>2338</v>
      </c>
      <c r="D28" s="28" t="s">
        <v>2339</v>
      </c>
      <c r="E28" s="28" t="s">
        <v>2340</v>
      </c>
      <c r="F28" s="28" t="s">
        <v>2341</v>
      </c>
    </row>
    <row r="29" spans="1:7">
      <c r="A29" s="28" t="s">
        <v>409</v>
      </c>
      <c r="B29" s="28" t="s">
        <v>854</v>
      </c>
      <c r="C29" s="28" t="s">
        <v>1179</v>
      </c>
      <c r="D29" s="28" t="s">
        <v>853</v>
      </c>
      <c r="E29" s="28" t="s">
        <v>1471</v>
      </c>
      <c r="F29" s="28" t="s">
        <v>633</v>
      </c>
    </row>
    <row r="30" spans="1:7">
      <c r="A30" s="28" t="s">
        <v>412</v>
      </c>
      <c r="B30" s="28" t="s">
        <v>252</v>
      </c>
      <c r="C30" s="28" t="s">
        <v>242</v>
      </c>
      <c r="D30" s="28" t="s">
        <v>829</v>
      </c>
      <c r="E30" s="28" t="s">
        <v>1172</v>
      </c>
      <c r="F30" s="28" t="s">
        <v>609</v>
      </c>
    </row>
    <row r="31" spans="1:7">
      <c r="A31" s="28" t="s">
        <v>2342</v>
      </c>
      <c r="B31" s="28" t="s">
        <v>2343</v>
      </c>
      <c r="C31" s="28" t="s">
        <v>2343</v>
      </c>
      <c r="D31" s="28" t="s">
        <v>2343</v>
      </c>
      <c r="E31" s="28" t="s">
        <v>2343</v>
      </c>
      <c r="F31" s="28" t="s">
        <v>2343</v>
      </c>
    </row>
    <row r="32" spans="1:7">
      <c r="A32" s="28" t="s">
        <v>673</v>
      </c>
      <c r="B32" s="28" t="s">
        <v>613</v>
      </c>
      <c r="C32" s="28" t="s">
        <v>613</v>
      </c>
      <c r="D32" s="28" t="s">
        <v>613</v>
      </c>
      <c r="E32" s="28" t="s">
        <v>613</v>
      </c>
      <c r="F32" s="28" t="s">
        <v>613</v>
      </c>
    </row>
    <row r="33" spans="1:6">
      <c r="A33" s="28" t="s">
        <v>38</v>
      </c>
      <c r="B33" s="28" t="s">
        <v>1209</v>
      </c>
      <c r="C33" s="28" t="s">
        <v>1209</v>
      </c>
      <c r="D33" s="28" t="s">
        <v>1209</v>
      </c>
      <c r="E33" s="28" t="s">
        <v>1209</v>
      </c>
      <c r="F33" s="28" t="s">
        <v>1209</v>
      </c>
    </row>
    <row r="34" spans="1:6">
      <c r="A34" s="28" t="s">
        <v>2344</v>
      </c>
      <c r="B34" s="28" t="s">
        <v>2345</v>
      </c>
      <c r="C34" s="28" t="s">
        <v>2345</v>
      </c>
      <c r="D34" s="28" t="s">
        <v>2345</v>
      </c>
      <c r="E34" s="28" t="s">
        <v>2345</v>
      </c>
      <c r="F34" s="28" t="s">
        <v>2345</v>
      </c>
    </row>
    <row r="35" spans="1:6">
      <c r="A35" s="28" t="s">
        <v>35</v>
      </c>
      <c r="B35" s="28" t="s">
        <v>794</v>
      </c>
      <c r="C35" s="28" t="s">
        <v>794</v>
      </c>
      <c r="D35" s="28" t="s">
        <v>794</v>
      </c>
      <c r="E35" s="28" t="s">
        <v>794</v>
      </c>
      <c r="F35" s="28" t="s">
        <v>794</v>
      </c>
    </row>
    <row r="36" spans="1:6">
      <c r="A36" s="28" t="s">
        <v>1356</v>
      </c>
      <c r="B36" s="28" t="s">
        <v>2346</v>
      </c>
      <c r="C36" s="28" t="s">
        <v>2069</v>
      </c>
      <c r="D36" s="28" t="s">
        <v>1203</v>
      </c>
      <c r="E36" s="28" t="s">
        <v>2347</v>
      </c>
      <c r="F36" s="28" t="s">
        <v>2348</v>
      </c>
    </row>
    <row r="37" spans="1:6">
      <c r="A37" s="28" t="s">
        <v>30</v>
      </c>
      <c r="B37" s="28" t="s">
        <v>1298</v>
      </c>
      <c r="C37" s="28" t="s">
        <v>2349</v>
      </c>
      <c r="D37" s="28" t="s">
        <v>2350</v>
      </c>
      <c r="E37" s="28" t="s">
        <v>2351</v>
      </c>
      <c r="F37" s="28" t="s">
        <v>1475</v>
      </c>
    </row>
    <row r="38" spans="1:6">
      <c r="A38" s="28" t="s">
        <v>1921</v>
      </c>
      <c r="B38" s="28" t="s">
        <v>612</v>
      </c>
      <c r="C38" s="28" t="s">
        <v>612</v>
      </c>
      <c r="D38" s="28" t="s">
        <v>612</v>
      </c>
      <c r="E38" s="28" t="s">
        <v>612</v>
      </c>
      <c r="F38" s="28" t="s">
        <v>612</v>
      </c>
    </row>
    <row r="39" spans="1:6">
      <c r="A39" s="28" t="s">
        <v>571</v>
      </c>
      <c r="B39" s="28" t="s">
        <v>841</v>
      </c>
      <c r="C39" s="28" t="s">
        <v>841</v>
      </c>
      <c r="D39" s="28" t="s">
        <v>841</v>
      </c>
      <c r="E39" s="28" t="s">
        <v>841</v>
      </c>
      <c r="F39" s="28" t="s">
        <v>841</v>
      </c>
    </row>
    <row r="40" spans="1:6">
      <c r="A40" s="28" t="s">
        <v>192</v>
      </c>
      <c r="B40" s="28" t="s">
        <v>621</v>
      </c>
      <c r="C40" s="28" t="s">
        <v>621</v>
      </c>
      <c r="D40" s="28" t="s">
        <v>621</v>
      </c>
      <c r="E40" s="28" t="s">
        <v>621</v>
      </c>
      <c r="F40" s="28" t="s">
        <v>621</v>
      </c>
    </row>
    <row r="41" spans="1:6">
      <c r="A41" s="28" t="s">
        <v>40</v>
      </c>
      <c r="B41" s="28" t="s">
        <v>229</v>
      </c>
      <c r="C41" s="28" t="s">
        <v>860</v>
      </c>
      <c r="D41" s="28" t="s">
        <v>609</v>
      </c>
      <c r="E41" s="28" t="s">
        <v>633</v>
      </c>
      <c r="F41" s="28" t="s">
        <v>2352</v>
      </c>
    </row>
    <row r="42" spans="1:6">
      <c r="A42" s="28" t="s">
        <v>41</v>
      </c>
      <c r="B42" s="28" t="s">
        <v>2353</v>
      </c>
      <c r="C42" s="28" t="s">
        <v>2354</v>
      </c>
      <c r="D42" s="28" t="s">
        <v>1198</v>
      </c>
      <c r="E42" s="28" t="s">
        <v>2355</v>
      </c>
      <c r="F42" s="28" t="s">
        <v>2356</v>
      </c>
    </row>
    <row r="43" spans="1:6">
      <c r="A43" s="28" t="s">
        <v>42</v>
      </c>
      <c r="B43" s="28" t="s">
        <v>1501</v>
      </c>
      <c r="C43" s="28" t="s">
        <v>1502</v>
      </c>
      <c r="D43" s="28" t="s">
        <v>1255</v>
      </c>
      <c r="E43" s="28" t="s">
        <v>1503</v>
      </c>
      <c r="F43" s="28" t="s">
        <v>2357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8" bestFit="1" customWidth="1"/>
    <col min="2" max="2" width="37.5" style="28" bestFit="1" customWidth="1"/>
    <col min="3" max="16384" width="10.83203125" style="28"/>
  </cols>
  <sheetData>
    <row r="1" spans="1:8">
      <c r="A1" s="28" t="s">
        <v>73</v>
      </c>
      <c r="B1" s="34" t="s">
        <v>170</v>
      </c>
      <c r="C1" s="34">
        <v>50</v>
      </c>
      <c r="D1" s="34">
        <v>52</v>
      </c>
      <c r="E1" s="34">
        <v>54</v>
      </c>
      <c r="F1" s="34">
        <v>56</v>
      </c>
      <c r="G1" s="34">
        <v>58</v>
      </c>
    </row>
    <row r="2" spans="1:8">
      <c r="A2" s="28" t="s">
        <v>63</v>
      </c>
      <c r="B2" s="34" t="s">
        <v>35</v>
      </c>
      <c r="C2" s="35">
        <v>70</v>
      </c>
      <c r="D2" s="35">
        <v>70</v>
      </c>
      <c r="E2" s="35">
        <v>70</v>
      </c>
      <c r="F2" s="35">
        <v>70</v>
      </c>
      <c r="G2" s="35">
        <v>70</v>
      </c>
    </row>
    <row r="3" spans="1:8">
      <c r="A3" s="28" t="s">
        <v>64</v>
      </c>
      <c r="B3" s="28" t="s">
        <v>32</v>
      </c>
      <c r="C3" s="35">
        <v>74</v>
      </c>
      <c r="D3" s="35">
        <v>74</v>
      </c>
      <c r="E3" s="35">
        <v>74</v>
      </c>
      <c r="F3" s="35">
        <v>74</v>
      </c>
      <c r="G3" s="35">
        <v>74</v>
      </c>
    </row>
    <row r="4" spans="1:8">
      <c r="A4" s="28" t="s">
        <v>74</v>
      </c>
      <c r="B4" s="34" t="s">
        <v>671</v>
      </c>
      <c r="C4" s="35">
        <v>559</v>
      </c>
      <c r="D4" s="35">
        <v>568</v>
      </c>
      <c r="E4" s="35">
        <v>597</v>
      </c>
      <c r="F4" s="35">
        <v>606</v>
      </c>
      <c r="G4" s="35">
        <v>624</v>
      </c>
    </row>
    <row r="5" spans="1:8">
      <c r="A5" s="28" t="s">
        <v>572</v>
      </c>
      <c r="B5" s="28" t="s">
        <v>672</v>
      </c>
      <c r="C5" s="35">
        <v>277</v>
      </c>
      <c r="D5" s="35">
        <v>277</v>
      </c>
      <c r="E5" s="35">
        <v>277</v>
      </c>
      <c r="F5" s="35">
        <v>277</v>
      </c>
      <c r="G5" s="35">
        <v>277</v>
      </c>
    </row>
    <row r="6" spans="1:8">
      <c r="A6" s="28" t="s">
        <v>58</v>
      </c>
      <c r="B6" s="34" t="s">
        <v>410</v>
      </c>
      <c r="C6" s="35">
        <v>784</v>
      </c>
      <c r="D6" s="35">
        <v>801</v>
      </c>
      <c r="E6" s="35">
        <v>818</v>
      </c>
      <c r="F6" s="35">
        <v>835</v>
      </c>
      <c r="G6" s="35">
        <v>852</v>
      </c>
    </row>
    <row r="7" spans="1:8">
      <c r="A7" s="28" t="s">
        <v>57</v>
      </c>
      <c r="B7" s="28" t="s">
        <v>675</v>
      </c>
      <c r="C7" s="35">
        <v>1032</v>
      </c>
      <c r="D7" s="35">
        <v>1041</v>
      </c>
      <c r="E7" s="35">
        <v>1072</v>
      </c>
      <c r="F7" s="35">
        <v>1071</v>
      </c>
      <c r="G7" s="35">
        <v>1102</v>
      </c>
    </row>
    <row r="8" spans="1:8">
      <c r="A8" s="28" t="s">
        <v>67</v>
      </c>
      <c r="B8" s="34" t="s">
        <v>673</v>
      </c>
      <c r="C8" s="35">
        <v>425</v>
      </c>
      <c r="D8" s="35">
        <v>425</v>
      </c>
      <c r="E8" s="35">
        <v>425</v>
      </c>
      <c r="F8" s="35">
        <v>425</v>
      </c>
      <c r="G8" s="35">
        <v>425</v>
      </c>
    </row>
    <row r="9" spans="1:8">
      <c r="A9" s="28" t="s">
        <v>676</v>
      </c>
      <c r="B9" s="34" t="s">
        <v>674</v>
      </c>
      <c r="C9" s="35">
        <v>30.9</v>
      </c>
      <c r="D9" s="35">
        <v>30.9</v>
      </c>
      <c r="E9" s="35">
        <v>30.9</v>
      </c>
      <c r="F9" s="35">
        <v>30.9</v>
      </c>
      <c r="G9" s="35">
        <v>30.9</v>
      </c>
    </row>
    <row r="10" spans="1:8">
      <c r="A10" s="28" t="s">
        <v>65</v>
      </c>
      <c r="B10" s="34" t="s">
        <v>30</v>
      </c>
      <c r="C10" s="35">
        <v>130</v>
      </c>
      <c r="D10" s="35">
        <v>145</v>
      </c>
      <c r="E10" s="35">
        <v>160</v>
      </c>
      <c r="F10" s="35">
        <v>175</v>
      </c>
      <c r="G10" s="35">
        <v>190</v>
      </c>
    </row>
    <row r="11" spans="1:8">
      <c r="A11" s="28" t="s">
        <v>61</v>
      </c>
      <c r="B11" s="34" t="s">
        <v>412</v>
      </c>
      <c r="C11" s="35">
        <v>500</v>
      </c>
      <c r="D11" s="35">
        <v>520</v>
      </c>
      <c r="E11" s="35">
        <v>540</v>
      </c>
      <c r="F11" s="35">
        <v>560</v>
      </c>
      <c r="G11" s="35">
        <v>580</v>
      </c>
    </row>
    <row r="12" spans="1:8">
      <c r="A12" s="28" t="s">
        <v>55</v>
      </c>
      <c r="B12" s="34" t="s">
        <v>40</v>
      </c>
      <c r="C12" s="35">
        <v>570</v>
      </c>
      <c r="D12" s="35">
        <v>584</v>
      </c>
      <c r="E12" s="35">
        <v>598</v>
      </c>
      <c r="F12" s="35">
        <v>612</v>
      </c>
      <c r="G12" s="35">
        <v>626</v>
      </c>
    </row>
    <row r="13" spans="1:8">
      <c r="A13" s="28" t="s">
        <v>56</v>
      </c>
      <c r="B13" s="34" t="s">
        <v>41</v>
      </c>
      <c r="C13" s="35">
        <v>396</v>
      </c>
      <c r="D13" s="35">
        <v>400.4</v>
      </c>
      <c r="E13" s="35">
        <v>425</v>
      </c>
      <c r="F13" s="35">
        <v>430</v>
      </c>
      <c r="G13" s="35">
        <v>445</v>
      </c>
    </row>
    <row r="14" spans="1:8">
      <c r="A14" s="28" t="s">
        <v>66</v>
      </c>
      <c r="B14" s="28" t="s">
        <v>66</v>
      </c>
      <c r="C14" s="28">
        <v>79</v>
      </c>
      <c r="D14" s="28">
        <v>79</v>
      </c>
      <c r="E14" s="28">
        <v>79</v>
      </c>
      <c r="F14" s="28">
        <v>79</v>
      </c>
      <c r="G14" s="28">
        <v>79</v>
      </c>
      <c r="H14" s="28" t="s">
        <v>677</v>
      </c>
    </row>
    <row r="15" spans="1:8">
      <c r="A15" s="28" t="s">
        <v>68</v>
      </c>
      <c r="B15" s="28" t="s">
        <v>68</v>
      </c>
      <c r="C15" s="28">
        <v>45</v>
      </c>
      <c r="D15" s="28">
        <v>45</v>
      </c>
      <c r="E15" s="28">
        <v>45</v>
      </c>
      <c r="F15" s="28">
        <v>45</v>
      </c>
      <c r="G15" s="28">
        <v>45</v>
      </c>
      <c r="H15" s="28" t="s">
        <v>677</v>
      </c>
    </row>
    <row r="16" spans="1:8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  <c r="B17" s="28" t="s">
        <v>71</v>
      </c>
      <c r="C17" s="28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72</v>
      </c>
      <c r="B18" s="28" t="s">
        <v>72</v>
      </c>
      <c r="C18" s="28">
        <v>60</v>
      </c>
      <c r="D18" s="28">
        <v>70</v>
      </c>
      <c r="E18" s="28">
        <v>80</v>
      </c>
      <c r="F18" s="28">
        <v>90</v>
      </c>
      <c r="G18" s="28">
        <v>90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1758</v>
      </c>
      <c r="B22" s="28" t="s">
        <v>1758</v>
      </c>
      <c r="C22" s="28">
        <f>VALUE(LEFT(C27,3))</f>
        <v>157</v>
      </c>
      <c r="D22" s="28">
        <f t="shared" ref="D22:F22" si="0">VALUE(LEFT(D27,3))</f>
        <v>165</v>
      </c>
      <c r="E22" s="28">
        <f t="shared" si="0"/>
        <v>172</v>
      </c>
      <c r="F22" s="28">
        <f t="shared" si="0"/>
        <v>180</v>
      </c>
      <c r="G22" s="28">
        <f t="shared" ref="G22" si="1">VALUE(LEFT(G27,3))</f>
        <v>187</v>
      </c>
    </row>
    <row r="23" spans="1:7">
      <c r="A23" s="28" t="s">
        <v>1759</v>
      </c>
      <c r="B23" s="28" t="s">
        <v>1759</v>
      </c>
      <c r="C23" s="28">
        <f>VALUE(MID(C27,7,3))</f>
        <v>165</v>
      </c>
      <c r="D23" s="28">
        <f t="shared" ref="D23:F23" si="2">VALUE(MID(D27,7,3))</f>
        <v>172</v>
      </c>
      <c r="E23" s="28">
        <f t="shared" si="2"/>
        <v>180</v>
      </c>
      <c r="F23" s="28">
        <f t="shared" si="2"/>
        <v>187</v>
      </c>
      <c r="G23" s="28">
        <f t="shared" ref="G23" si="3">VALUE(MID(G27,7,3))</f>
        <v>195</v>
      </c>
    </row>
    <row r="25" spans="1:7">
      <c r="B25" s="34" t="s">
        <v>1357</v>
      </c>
      <c r="C25" s="34">
        <v>50</v>
      </c>
      <c r="D25" s="34">
        <v>52</v>
      </c>
      <c r="E25" s="34">
        <v>54</v>
      </c>
      <c r="F25" s="34">
        <v>56</v>
      </c>
      <c r="G25" s="34">
        <v>58</v>
      </c>
    </row>
    <row r="26" spans="1:7">
      <c r="B26" s="35"/>
      <c r="C26" s="35" t="s">
        <v>661</v>
      </c>
      <c r="D26" s="35" t="s">
        <v>662</v>
      </c>
      <c r="E26" s="35" t="s">
        <v>663</v>
      </c>
      <c r="F26" s="35" t="s">
        <v>664</v>
      </c>
      <c r="G26" s="35" t="s">
        <v>665</v>
      </c>
    </row>
    <row r="27" spans="1:7">
      <c r="B27" s="35"/>
      <c r="C27" s="35" t="s">
        <v>666</v>
      </c>
      <c r="D27" s="35" t="s">
        <v>667</v>
      </c>
      <c r="E27" s="35" t="s">
        <v>668</v>
      </c>
      <c r="F27" s="35" t="s">
        <v>669</v>
      </c>
      <c r="G27" s="35" t="s">
        <v>670</v>
      </c>
    </row>
    <row r="28" spans="1:7">
      <c r="A28" s="28" t="s">
        <v>1361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8" bestFit="1" customWidth="1"/>
    <col min="2" max="2" width="38" style="28" bestFit="1" customWidth="1"/>
    <col min="3" max="6" width="19.1640625" style="28" bestFit="1" customWidth="1"/>
    <col min="7" max="7" width="7.5" style="28" bestFit="1" customWidth="1"/>
    <col min="8" max="8" width="7.5" style="28" customWidth="1"/>
    <col min="9" max="16384" width="10.83203125" style="28"/>
  </cols>
  <sheetData>
    <row r="1" spans="1:9">
      <c r="A1" s="28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9">
      <c r="A2" s="28" t="s">
        <v>63</v>
      </c>
      <c r="B2" s="33" t="s">
        <v>35</v>
      </c>
      <c r="C2" s="28">
        <v>70</v>
      </c>
      <c r="D2" s="28">
        <v>70</v>
      </c>
      <c r="E2" s="28">
        <v>70</v>
      </c>
      <c r="F2" s="28">
        <v>70</v>
      </c>
      <c r="G2" s="28">
        <v>70</v>
      </c>
      <c r="H2" s="59"/>
    </row>
    <row r="3" spans="1:9">
      <c r="A3" s="28" t="s">
        <v>64</v>
      </c>
      <c r="B3" s="33" t="s">
        <v>32</v>
      </c>
      <c r="C3" s="28">
        <v>74</v>
      </c>
      <c r="D3" s="28">
        <v>74</v>
      </c>
      <c r="E3" s="28">
        <v>74</v>
      </c>
      <c r="F3" s="28">
        <v>74</v>
      </c>
      <c r="G3" s="28">
        <v>74</v>
      </c>
      <c r="H3" s="59"/>
    </row>
    <row r="4" spans="1:9">
      <c r="A4" s="28" t="s">
        <v>74</v>
      </c>
      <c r="B4" s="33" t="s">
        <v>671</v>
      </c>
      <c r="C4" s="28">
        <v>559</v>
      </c>
      <c r="D4" s="28">
        <v>568</v>
      </c>
      <c r="E4" s="28">
        <v>597</v>
      </c>
      <c r="F4" s="28">
        <v>606</v>
      </c>
      <c r="G4" s="28">
        <v>624</v>
      </c>
      <c r="H4" s="59"/>
    </row>
    <row r="5" spans="1:9">
      <c r="A5" s="28" t="s">
        <v>1358</v>
      </c>
      <c r="B5" s="33" t="s">
        <v>672</v>
      </c>
      <c r="C5" s="28">
        <v>277</v>
      </c>
      <c r="D5" s="28">
        <v>277</v>
      </c>
      <c r="E5" s="28">
        <v>277</v>
      </c>
      <c r="F5" s="28">
        <v>277</v>
      </c>
      <c r="G5" s="28">
        <v>277</v>
      </c>
      <c r="H5" s="59"/>
    </row>
    <row r="6" spans="1:9">
      <c r="A6" s="28" t="s">
        <v>58</v>
      </c>
      <c r="B6" s="33" t="s">
        <v>410</v>
      </c>
      <c r="C6" s="28">
        <v>784</v>
      </c>
      <c r="D6" s="28">
        <v>801</v>
      </c>
      <c r="E6" s="28">
        <v>818</v>
      </c>
      <c r="F6" s="28">
        <v>835</v>
      </c>
      <c r="G6" s="28">
        <v>852</v>
      </c>
      <c r="H6" s="59"/>
    </row>
    <row r="7" spans="1:9">
      <c r="A7" s="28" t="s">
        <v>57</v>
      </c>
      <c r="B7" s="33" t="s">
        <v>1356</v>
      </c>
      <c r="C7" s="28">
        <v>1032</v>
      </c>
      <c r="D7" s="28">
        <v>1042</v>
      </c>
      <c r="E7" s="28">
        <v>1072</v>
      </c>
      <c r="F7" s="28">
        <v>1081</v>
      </c>
      <c r="G7" s="28">
        <v>1102</v>
      </c>
      <c r="H7" s="59"/>
    </row>
    <row r="8" spans="1:9">
      <c r="A8" s="28" t="s">
        <v>67</v>
      </c>
      <c r="B8" s="33" t="s">
        <v>673</v>
      </c>
      <c r="C8" s="28">
        <v>425</v>
      </c>
      <c r="D8" s="28">
        <v>425</v>
      </c>
      <c r="E8" s="28">
        <v>425</v>
      </c>
      <c r="F8" s="28">
        <v>425</v>
      </c>
      <c r="G8" s="28">
        <v>425</v>
      </c>
      <c r="H8" s="59"/>
    </row>
    <row r="9" spans="1:9">
      <c r="A9" s="28" t="s">
        <v>60</v>
      </c>
      <c r="B9" s="33" t="s">
        <v>674</v>
      </c>
      <c r="C9" s="28">
        <v>30.9</v>
      </c>
      <c r="D9" s="28">
        <v>30.9</v>
      </c>
      <c r="E9" s="28">
        <v>30.9</v>
      </c>
      <c r="F9" s="28">
        <v>30.9</v>
      </c>
      <c r="G9" s="28">
        <v>30.9</v>
      </c>
      <c r="H9" s="59"/>
    </row>
    <row r="10" spans="1:9">
      <c r="A10" s="28" t="s">
        <v>65</v>
      </c>
      <c r="B10" s="33" t="s">
        <v>30</v>
      </c>
      <c r="C10" s="28">
        <v>130</v>
      </c>
      <c r="D10" s="28">
        <v>145</v>
      </c>
      <c r="E10" s="28">
        <v>160</v>
      </c>
      <c r="F10" s="28">
        <v>175</v>
      </c>
      <c r="G10" s="28">
        <v>190</v>
      </c>
      <c r="H10" s="59"/>
    </row>
    <row r="11" spans="1:9">
      <c r="A11" s="28" t="s">
        <v>61</v>
      </c>
      <c r="B11" s="33" t="s">
        <v>412</v>
      </c>
      <c r="C11" s="28">
        <v>500</v>
      </c>
      <c r="D11" s="28">
        <v>520</v>
      </c>
      <c r="E11" s="28">
        <v>540</v>
      </c>
      <c r="F11" s="28">
        <v>560</v>
      </c>
      <c r="G11" s="28">
        <v>580</v>
      </c>
      <c r="H11" s="59"/>
    </row>
    <row r="12" spans="1:9">
      <c r="A12" s="28" t="s">
        <v>55</v>
      </c>
      <c r="B12" s="33" t="s">
        <v>40</v>
      </c>
      <c r="C12" s="28">
        <v>570</v>
      </c>
      <c r="D12" s="28">
        <v>584</v>
      </c>
      <c r="E12" s="28">
        <v>598</v>
      </c>
      <c r="F12" s="28">
        <v>612</v>
      </c>
      <c r="G12" s="28">
        <v>626</v>
      </c>
      <c r="H12" s="59"/>
    </row>
    <row r="13" spans="1:9">
      <c r="A13" s="28" t="s">
        <v>56</v>
      </c>
      <c r="B13" s="33" t="s">
        <v>41</v>
      </c>
      <c r="C13" s="28">
        <v>396</v>
      </c>
      <c r="D13" s="28">
        <v>400.4</v>
      </c>
      <c r="E13" s="28">
        <v>425</v>
      </c>
      <c r="F13" s="28">
        <v>430</v>
      </c>
      <c r="G13" s="28">
        <v>445</v>
      </c>
      <c r="H13" s="59"/>
    </row>
    <row r="14" spans="1:9">
      <c r="A14" s="28" t="s">
        <v>66</v>
      </c>
      <c r="B14" s="28" t="s">
        <v>66</v>
      </c>
      <c r="C14" s="28">
        <v>76</v>
      </c>
      <c r="D14" s="28">
        <v>76</v>
      </c>
      <c r="E14" s="28">
        <v>76</v>
      </c>
      <c r="F14" s="28">
        <v>76</v>
      </c>
      <c r="G14" s="28">
        <v>76</v>
      </c>
      <c r="H14" s="59"/>
      <c r="I14" s="28" t="s">
        <v>1360</v>
      </c>
    </row>
    <row r="15" spans="1:9">
      <c r="A15" s="28" t="s">
        <v>1359</v>
      </c>
      <c r="B15" s="28" t="s">
        <v>1359</v>
      </c>
      <c r="C15" s="28">
        <f>(622+2*C21)/2-C5</f>
        <v>79</v>
      </c>
      <c r="D15" s="28">
        <f>(622+2*D21)/2-D5</f>
        <v>79</v>
      </c>
      <c r="E15" s="28">
        <f>(622+2*E21)/2-E5</f>
        <v>79</v>
      </c>
      <c r="F15" s="28">
        <f>(622+2*F21)/2-F5</f>
        <v>79</v>
      </c>
      <c r="G15" s="28">
        <f>(622+2*G21)/2-G5</f>
        <v>79</v>
      </c>
      <c r="H15" s="59"/>
      <c r="I15" s="28" t="s">
        <v>1362</v>
      </c>
    </row>
    <row r="16" spans="1:9">
      <c r="A16" s="28" t="s">
        <v>68</v>
      </c>
      <c r="B16" s="28" t="s">
        <v>68</v>
      </c>
      <c r="H16" s="59"/>
      <c r="I16" s="28" t="s">
        <v>1363</v>
      </c>
    </row>
    <row r="17" spans="1:8">
      <c r="A17" s="28" t="s">
        <v>70</v>
      </c>
      <c r="B17" s="28" t="s">
        <v>70</v>
      </c>
      <c r="H17" s="59"/>
    </row>
    <row r="18" spans="1:8">
      <c r="A18" s="28" t="s">
        <v>71</v>
      </c>
      <c r="B18" s="28" t="s">
        <v>71</v>
      </c>
      <c r="H18" s="59"/>
    </row>
    <row r="19" spans="1:8">
      <c r="A19" s="28" t="s">
        <v>72</v>
      </c>
      <c r="B19" s="28" t="s">
        <v>72</v>
      </c>
      <c r="C19" s="28">
        <v>60</v>
      </c>
      <c r="D19" s="28">
        <v>70</v>
      </c>
      <c r="E19" s="28">
        <v>80</v>
      </c>
      <c r="F19" s="28">
        <v>90</v>
      </c>
      <c r="G19" s="28">
        <v>90</v>
      </c>
      <c r="H19" s="59"/>
    </row>
    <row r="20" spans="1:8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  <c r="H20" s="59"/>
    </row>
    <row r="21" spans="1:8">
      <c r="A21" s="28" t="s">
        <v>140</v>
      </c>
      <c r="B21" s="28" t="s">
        <v>140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59"/>
    </row>
    <row r="22" spans="1:8">
      <c r="A22" s="28" t="s">
        <v>141</v>
      </c>
      <c r="B22" s="28" t="s">
        <v>141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>
      <c r="A23" s="28" t="s">
        <v>1758</v>
      </c>
      <c r="B23" s="28" t="s">
        <v>1758</v>
      </c>
      <c r="C23" s="28">
        <f>VALUE(LEFT(C28,3))</f>
        <v>157</v>
      </c>
      <c r="D23" s="28">
        <f t="shared" ref="D23:F23" si="0">VALUE(LEFT(D28,3))</f>
        <v>165</v>
      </c>
      <c r="E23" s="28">
        <f t="shared" si="0"/>
        <v>172</v>
      </c>
      <c r="F23" s="28">
        <f t="shared" si="0"/>
        <v>180</v>
      </c>
      <c r="G23" s="28">
        <f t="shared" ref="G23" si="1">VALUE(LEFT(G28,3))</f>
        <v>187</v>
      </c>
    </row>
    <row r="24" spans="1:8">
      <c r="A24" s="28" t="s">
        <v>1759</v>
      </c>
      <c r="B24" s="28" t="s">
        <v>1759</v>
      </c>
      <c r="C24" s="28">
        <f>VALUE(MID(C28,7,3))</f>
        <v>165</v>
      </c>
      <c r="D24" s="28">
        <f t="shared" ref="D24:F24" si="2">VALUE(MID(D28,7,3))</f>
        <v>172</v>
      </c>
      <c r="E24" s="28">
        <f t="shared" si="2"/>
        <v>180</v>
      </c>
      <c r="F24" s="28">
        <f t="shared" si="2"/>
        <v>187</v>
      </c>
      <c r="G24" s="28">
        <f t="shared" ref="G24" si="3">VALUE(MID(G28,7,3))</f>
        <v>195</v>
      </c>
    </row>
    <row r="26" spans="1:8">
      <c r="B26" s="34" t="s">
        <v>1357</v>
      </c>
      <c r="C26" s="34">
        <v>50</v>
      </c>
      <c r="D26" s="34">
        <v>52</v>
      </c>
      <c r="E26" s="34">
        <v>54</v>
      </c>
      <c r="F26" s="34">
        <v>56</v>
      </c>
      <c r="G26" s="34">
        <v>58</v>
      </c>
    </row>
    <row r="27" spans="1:8">
      <c r="B27" s="35"/>
      <c r="C27" s="35" t="s">
        <v>661</v>
      </c>
      <c r="D27" s="35" t="s">
        <v>662</v>
      </c>
      <c r="E27" s="35" t="s">
        <v>663</v>
      </c>
      <c r="F27" s="35" t="s">
        <v>664</v>
      </c>
      <c r="G27" s="35" t="s">
        <v>665</v>
      </c>
    </row>
    <row r="28" spans="1:8">
      <c r="B28" s="35"/>
      <c r="C28" s="35" t="s">
        <v>666</v>
      </c>
      <c r="D28" s="35" t="s">
        <v>667</v>
      </c>
      <c r="E28" s="35" t="s">
        <v>668</v>
      </c>
      <c r="F28" s="35" t="s">
        <v>669</v>
      </c>
      <c r="G28" s="35" t="s">
        <v>670</v>
      </c>
    </row>
    <row r="29" spans="1:8">
      <c r="A29" s="28" t="s">
        <v>1361</v>
      </c>
    </row>
    <row r="30" spans="1:8">
      <c r="C30" s="5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abSelected="1" workbookViewId="0">
      <selection sqref="A1:A5"/>
    </sheetView>
  </sheetViews>
  <sheetFormatPr baseColWidth="10" defaultRowHeight="20"/>
  <cols>
    <col min="1" max="2" width="29.33203125" style="28" bestFit="1" customWidth="1"/>
    <col min="3" max="3" width="12.6640625" style="28" bestFit="1" customWidth="1"/>
    <col min="4" max="16384" width="10.83203125" style="28"/>
  </cols>
  <sheetData>
    <row r="1" spans="1:8">
      <c r="A1" s="28" t="s">
        <v>2421</v>
      </c>
      <c r="B1" s="28" t="s">
        <v>2429</v>
      </c>
    </row>
    <row r="2" spans="1:8">
      <c r="A2" s="28" t="s">
        <v>2432</v>
      </c>
      <c r="B2" s="28">
        <v>2022</v>
      </c>
      <c r="C2" s="136">
        <v>44551</v>
      </c>
    </row>
    <row r="3" spans="1:8">
      <c r="A3" s="28" t="s">
        <v>2433</v>
      </c>
      <c r="B3" s="136">
        <v>45107</v>
      </c>
    </row>
    <row r="4" spans="1:8">
      <c r="A4" s="28" t="s">
        <v>2423</v>
      </c>
      <c r="B4" s="28" t="s">
        <v>2431</v>
      </c>
    </row>
    <row r="5" spans="1:8">
      <c r="A5" s="28" t="s">
        <v>2424</v>
      </c>
      <c r="B5" s="28" t="s">
        <v>77</v>
      </c>
    </row>
    <row r="6" spans="1:8">
      <c r="A6" s="28" t="s">
        <v>73</v>
      </c>
      <c r="B6" s="28" t="s">
        <v>139</v>
      </c>
      <c r="C6" s="28" t="s">
        <v>17</v>
      </c>
      <c r="D6" s="28" t="s">
        <v>18</v>
      </c>
      <c r="E6" s="28" t="s">
        <v>19</v>
      </c>
      <c r="F6" s="28" t="s">
        <v>20</v>
      </c>
      <c r="G6" s="28" t="s">
        <v>21</v>
      </c>
      <c r="H6" s="28" t="s">
        <v>1294</v>
      </c>
    </row>
    <row r="7" spans="1:8">
      <c r="A7" s="28" t="s">
        <v>63</v>
      </c>
      <c r="B7" s="28" t="s">
        <v>63</v>
      </c>
      <c r="C7" s="28">
        <v>71.5</v>
      </c>
      <c r="D7" s="28">
        <v>70.5</v>
      </c>
      <c r="E7" s="28">
        <v>71</v>
      </c>
      <c r="F7" s="28">
        <v>72</v>
      </c>
      <c r="G7" s="28">
        <v>72</v>
      </c>
      <c r="H7" s="28">
        <v>72</v>
      </c>
    </row>
    <row r="8" spans="1:8">
      <c r="A8" s="28" t="s">
        <v>64</v>
      </c>
      <c r="B8" s="28" t="s">
        <v>64</v>
      </c>
      <c r="C8" s="28">
        <v>74</v>
      </c>
      <c r="D8" s="28">
        <v>74</v>
      </c>
      <c r="E8" s="28">
        <v>73.5</v>
      </c>
      <c r="F8" s="28">
        <v>73.5</v>
      </c>
      <c r="G8" s="28">
        <v>73.5</v>
      </c>
      <c r="H8" s="28">
        <v>73.5</v>
      </c>
    </row>
    <row r="9" spans="1:8">
      <c r="A9" s="28" t="s">
        <v>65</v>
      </c>
      <c r="B9" s="28" t="s">
        <v>65</v>
      </c>
      <c r="C9" s="28">
        <v>120</v>
      </c>
      <c r="D9" s="28">
        <v>130</v>
      </c>
      <c r="E9" s="28">
        <v>140</v>
      </c>
      <c r="F9" s="28">
        <v>160</v>
      </c>
      <c r="G9" s="28">
        <v>180</v>
      </c>
      <c r="H9" s="28">
        <v>210</v>
      </c>
    </row>
    <row r="10" spans="1:8">
      <c r="A10" s="28" t="s">
        <v>61</v>
      </c>
      <c r="B10" s="28" t="s">
        <v>61</v>
      </c>
      <c r="C10" s="28">
        <v>430</v>
      </c>
      <c r="D10" s="28">
        <v>460</v>
      </c>
      <c r="E10" s="28">
        <v>480</v>
      </c>
      <c r="F10" s="28">
        <v>510</v>
      </c>
      <c r="G10" s="28">
        <v>530</v>
      </c>
      <c r="H10" s="28">
        <v>555</v>
      </c>
    </row>
    <row r="11" spans="1:8">
      <c r="A11" s="28" t="s">
        <v>74</v>
      </c>
      <c r="B11" s="28" t="s">
        <v>74</v>
      </c>
      <c r="C11" s="28">
        <v>525.5</v>
      </c>
      <c r="D11" s="28">
        <v>540</v>
      </c>
      <c r="E11" s="28">
        <v>550</v>
      </c>
      <c r="F11" s="28">
        <v>560</v>
      </c>
      <c r="G11" s="28">
        <v>580</v>
      </c>
      <c r="H11" s="28">
        <v>600</v>
      </c>
    </row>
    <row r="12" spans="1:8">
      <c r="A12" s="28" t="s">
        <v>55</v>
      </c>
      <c r="B12" s="28" t="s">
        <v>55</v>
      </c>
      <c r="C12" s="28">
        <v>547</v>
      </c>
      <c r="D12" s="28">
        <v>564</v>
      </c>
      <c r="E12" s="28">
        <v>573</v>
      </c>
      <c r="F12" s="28">
        <v>598</v>
      </c>
      <c r="G12" s="28">
        <v>617</v>
      </c>
      <c r="H12" s="28">
        <v>644</v>
      </c>
    </row>
    <row r="13" spans="1:8">
      <c r="A13" s="28" t="s">
        <v>56</v>
      </c>
      <c r="B13" s="28" t="s">
        <v>56</v>
      </c>
      <c r="C13" s="28">
        <v>366</v>
      </c>
      <c r="D13" s="28">
        <v>376</v>
      </c>
      <c r="E13" s="28">
        <v>378</v>
      </c>
      <c r="F13" s="28">
        <v>382</v>
      </c>
      <c r="G13" s="28">
        <v>396</v>
      </c>
      <c r="H13" s="28">
        <v>408</v>
      </c>
    </row>
    <row r="14" spans="1:8">
      <c r="A14" s="28" t="s">
        <v>67</v>
      </c>
      <c r="B14" s="28" t="s">
        <v>67</v>
      </c>
      <c r="C14" s="28">
        <v>430</v>
      </c>
      <c r="D14" s="28">
        <v>435</v>
      </c>
      <c r="E14" s="28">
        <v>438</v>
      </c>
      <c r="F14" s="28">
        <v>438</v>
      </c>
      <c r="G14" s="28">
        <v>438</v>
      </c>
      <c r="H14" s="28">
        <v>438</v>
      </c>
    </row>
    <row r="15" spans="1:8">
      <c r="A15" s="28" t="s">
        <v>498</v>
      </c>
      <c r="B15" s="28" t="s">
        <v>498</v>
      </c>
      <c r="C15" s="28">
        <v>398</v>
      </c>
      <c r="D15" s="28">
        <v>398</v>
      </c>
      <c r="E15" s="28">
        <v>398</v>
      </c>
      <c r="F15" s="28">
        <v>398</v>
      </c>
      <c r="G15" s="28">
        <v>398</v>
      </c>
      <c r="H15" s="28">
        <v>398</v>
      </c>
    </row>
    <row r="16" spans="1:8">
      <c r="A16" s="28" t="s">
        <v>68</v>
      </c>
      <c r="B16" s="28" t="s">
        <v>68</v>
      </c>
      <c r="C16" s="28">
        <v>49</v>
      </c>
      <c r="D16" s="28">
        <v>49</v>
      </c>
      <c r="E16" s="28">
        <v>49</v>
      </c>
      <c r="F16" s="28">
        <v>49</v>
      </c>
      <c r="G16" s="28">
        <v>49</v>
      </c>
      <c r="H16" s="28">
        <v>49</v>
      </c>
    </row>
    <row r="17" spans="1:8">
      <c r="A17" s="135" t="s">
        <v>497</v>
      </c>
      <c r="B17" s="135" t="s">
        <v>497</v>
      </c>
      <c r="C17" s="28">
        <v>69</v>
      </c>
      <c r="D17" s="28">
        <v>73</v>
      </c>
      <c r="E17" s="28">
        <v>70</v>
      </c>
      <c r="F17" s="28">
        <v>63</v>
      </c>
      <c r="G17" s="28">
        <v>63</v>
      </c>
      <c r="H17" s="28">
        <v>63</v>
      </c>
    </row>
    <row r="18" spans="1:8">
      <c r="A18" s="28" t="s">
        <v>58</v>
      </c>
      <c r="B18" s="28" t="s">
        <v>58</v>
      </c>
      <c r="C18" s="28">
        <v>750</v>
      </c>
      <c r="D18" s="28">
        <v>779</v>
      </c>
      <c r="E18" s="28">
        <v>793</v>
      </c>
      <c r="F18" s="28">
        <v>814</v>
      </c>
      <c r="G18" s="28">
        <v>35</v>
      </c>
      <c r="H18" s="28">
        <v>855</v>
      </c>
    </row>
    <row r="19" spans="1:8">
      <c r="A19" s="53" t="s">
        <v>2322</v>
      </c>
      <c r="B19" s="53" t="s">
        <v>2322</v>
      </c>
      <c r="C19" s="28">
        <v>40</v>
      </c>
      <c r="D19" s="28">
        <v>40</v>
      </c>
      <c r="E19" s="28">
        <v>40</v>
      </c>
      <c r="F19" s="28">
        <v>50</v>
      </c>
      <c r="G19" s="28">
        <v>50</v>
      </c>
      <c r="H19" s="28">
        <v>55</v>
      </c>
    </row>
    <row r="20" spans="1:8">
      <c r="A20" s="28" t="s">
        <v>66</v>
      </c>
      <c r="B20" s="28" t="s">
        <v>66</v>
      </c>
      <c r="C20" s="28">
        <v>67</v>
      </c>
      <c r="D20" s="28">
        <v>72</v>
      </c>
      <c r="E20" s="28">
        <v>72</v>
      </c>
      <c r="F20" s="28">
        <v>72</v>
      </c>
      <c r="G20" s="28">
        <v>72</v>
      </c>
      <c r="H20" s="28">
        <v>72</v>
      </c>
    </row>
    <row r="21" spans="1:8">
      <c r="A21" s="28" t="s">
        <v>57</v>
      </c>
      <c r="B21" s="28" t="s">
        <v>57</v>
      </c>
    </row>
    <row r="22" spans="1:8">
      <c r="A22" s="28" t="s">
        <v>71</v>
      </c>
      <c r="B22" s="28" t="s">
        <v>71</v>
      </c>
    </row>
    <row r="23" spans="1:8">
      <c r="A23" s="28" t="s">
        <v>72</v>
      </c>
      <c r="B23" s="28" t="s">
        <v>72</v>
      </c>
      <c r="C23" s="41"/>
      <c r="D23" s="41"/>
      <c r="E23" s="41"/>
    </row>
    <row r="24" spans="1:8">
      <c r="A24" s="28" t="s">
        <v>70</v>
      </c>
      <c r="B24" s="28" t="s">
        <v>70</v>
      </c>
    </row>
    <row r="25" spans="1:8">
      <c r="A25" s="28" t="s">
        <v>69</v>
      </c>
      <c r="B25" s="28" t="s">
        <v>69</v>
      </c>
      <c r="C25" s="28">
        <v>650</v>
      </c>
      <c r="D25" s="28">
        <v>700</v>
      </c>
      <c r="E25" s="28">
        <v>700</v>
      </c>
      <c r="F25" s="28">
        <v>700</v>
      </c>
      <c r="G25" s="28">
        <v>700</v>
      </c>
      <c r="H25" s="28">
        <v>700</v>
      </c>
    </row>
    <row r="26" spans="1:8">
      <c r="A26" s="28" t="s">
        <v>140</v>
      </c>
      <c r="B26" s="28" t="s">
        <v>140</v>
      </c>
      <c r="C26" s="28">
        <v>47</v>
      </c>
      <c r="D26" s="28">
        <v>38</v>
      </c>
      <c r="E26" s="28">
        <v>38</v>
      </c>
      <c r="F26" s="28">
        <v>38</v>
      </c>
      <c r="G26" s="28">
        <v>38</v>
      </c>
      <c r="H26" s="28">
        <v>38</v>
      </c>
    </row>
    <row r="27" spans="1:8">
      <c r="A27" s="28" t="s">
        <v>141</v>
      </c>
      <c r="B27" s="28" t="s">
        <v>141</v>
      </c>
    </row>
    <row r="28" spans="1:8">
      <c r="A28" s="28" t="s">
        <v>1758</v>
      </c>
      <c r="B28" s="28" t="s">
        <v>1758</v>
      </c>
      <c r="C28" s="43">
        <f>C31*2.54</f>
        <v>157.47999999999999</v>
      </c>
      <c r="D28" s="43">
        <f t="shared" ref="D28:G28" si="0">D31*2.54</f>
        <v>165.1</v>
      </c>
      <c r="E28" s="43">
        <f t="shared" si="0"/>
        <v>170.18</v>
      </c>
      <c r="F28" s="43">
        <f t="shared" si="0"/>
        <v>175.26</v>
      </c>
      <c r="G28" s="43">
        <f t="shared" si="0"/>
        <v>180.34</v>
      </c>
      <c r="H28" s="43">
        <f t="shared" ref="H28" si="1">H31*2.54</f>
        <v>185.42000000000002</v>
      </c>
    </row>
    <row r="29" spans="1:8">
      <c r="A29" s="28" t="s">
        <v>1759</v>
      </c>
      <c r="B29" s="28" t="s">
        <v>1759</v>
      </c>
      <c r="C29" s="43">
        <f>C32*2.54</f>
        <v>165.1</v>
      </c>
      <c r="D29" s="43">
        <f t="shared" ref="D29:G29" si="2">D32*2.54</f>
        <v>172.72</v>
      </c>
      <c r="E29" s="43">
        <f t="shared" si="2"/>
        <v>177.8</v>
      </c>
      <c r="F29" s="43">
        <f t="shared" si="2"/>
        <v>182.88</v>
      </c>
      <c r="G29" s="43">
        <f t="shared" si="2"/>
        <v>187.96</v>
      </c>
      <c r="H29" s="43">
        <f t="shared" ref="H29" si="3">H32*2.54</f>
        <v>193.04</v>
      </c>
    </row>
    <row r="31" spans="1:8">
      <c r="B31" s="28" t="s">
        <v>2430</v>
      </c>
      <c r="C31" s="28">
        <v>62</v>
      </c>
      <c r="D31" s="28">
        <v>65</v>
      </c>
      <c r="E31" s="28">
        <v>67</v>
      </c>
      <c r="F31" s="28">
        <v>69</v>
      </c>
      <c r="G31" s="28">
        <v>71</v>
      </c>
      <c r="H31" s="28">
        <v>73</v>
      </c>
    </row>
    <row r="32" spans="1:8">
      <c r="C32" s="28">
        <v>65</v>
      </c>
      <c r="D32" s="28">
        <v>68</v>
      </c>
      <c r="E32" s="28">
        <v>70</v>
      </c>
      <c r="F32" s="28">
        <v>72</v>
      </c>
      <c r="G32" s="28">
        <v>74</v>
      </c>
      <c r="H32" s="28">
        <v>76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workbookViewId="0">
      <selection activeCell="D6" sqref="D6"/>
    </sheetView>
  </sheetViews>
  <sheetFormatPr baseColWidth="10" defaultRowHeight="20"/>
  <cols>
    <col min="1" max="1" width="43.33203125" style="28" bestFit="1" customWidth="1"/>
    <col min="2" max="2" width="29.33203125" style="28" bestFit="1" customWidth="1"/>
    <col min="3" max="4" width="11.33203125" style="28" bestFit="1" customWidth="1"/>
    <col min="5" max="5" width="11.1640625" style="28" bestFit="1" customWidth="1"/>
    <col min="6" max="16384" width="10.83203125" style="28"/>
  </cols>
  <sheetData>
    <row r="1" spans="1:8">
      <c r="A1" s="28" t="s">
        <v>2421</v>
      </c>
      <c r="B1" s="28" t="s">
        <v>2434</v>
      </c>
    </row>
    <row r="2" spans="1:8">
      <c r="A2" s="28" t="s">
        <v>2432</v>
      </c>
      <c r="B2" s="28">
        <v>2023</v>
      </c>
    </row>
    <row r="3" spans="1:8">
      <c r="A3" s="28" t="s">
        <v>2433</v>
      </c>
    </row>
    <row r="4" spans="1:8">
      <c r="A4" s="28" t="s">
        <v>2423</v>
      </c>
      <c r="B4" s="28" t="s">
        <v>2435</v>
      </c>
    </row>
    <row r="5" spans="1:8">
      <c r="A5" s="28" t="s">
        <v>2424</v>
      </c>
      <c r="B5" s="28" t="s">
        <v>77</v>
      </c>
    </row>
    <row r="6" spans="1:8">
      <c r="A6" s="28" t="s">
        <v>73</v>
      </c>
      <c r="B6" s="28" t="s">
        <v>139</v>
      </c>
      <c r="C6" s="28" t="s">
        <v>18</v>
      </c>
      <c r="D6" s="28" t="s">
        <v>19</v>
      </c>
      <c r="E6" s="28" t="s">
        <v>20</v>
      </c>
      <c r="F6" s="28" t="s">
        <v>21</v>
      </c>
    </row>
    <row r="7" spans="1:8">
      <c r="A7" s="28" t="s">
        <v>63</v>
      </c>
      <c r="B7" s="28" t="s">
        <v>63</v>
      </c>
      <c r="C7" s="28">
        <v>70.5</v>
      </c>
      <c r="D7" s="28">
        <v>71</v>
      </c>
      <c r="E7" s="28">
        <v>72</v>
      </c>
      <c r="F7" s="28">
        <v>72</v>
      </c>
      <c r="G7"/>
    </row>
    <row r="8" spans="1:8">
      <c r="A8" s="28" t="s">
        <v>64</v>
      </c>
      <c r="B8" s="28" t="s">
        <v>64</v>
      </c>
      <c r="C8" s="28">
        <v>74</v>
      </c>
      <c r="D8" s="28">
        <v>73.5</v>
      </c>
      <c r="E8" s="28">
        <v>73.5</v>
      </c>
      <c r="F8" s="28">
        <v>73.5</v>
      </c>
    </row>
    <row r="9" spans="1:8">
      <c r="A9" s="28" t="s">
        <v>65</v>
      </c>
      <c r="B9" s="28" t="s">
        <v>65</v>
      </c>
      <c r="C9" s="28">
        <v>130</v>
      </c>
      <c r="D9" s="28">
        <v>140</v>
      </c>
      <c r="E9" s="28">
        <v>160</v>
      </c>
      <c r="F9" s="28">
        <v>180</v>
      </c>
    </row>
    <row r="10" spans="1:8">
      <c r="A10" s="28" t="s">
        <v>61</v>
      </c>
      <c r="B10" s="28" t="s">
        <v>61</v>
      </c>
      <c r="C10" s="28">
        <v>450</v>
      </c>
      <c r="D10" s="28">
        <v>475</v>
      </c>
      <c r="E10" s="28">
        <v>505</v>
      </c>
      <c r="F10" s="28">
        <v>525</v>
      </c>
    </row>
    <row r="11" spans="1:8">
      <c r="A11" s="28" t="s">
        <v>74</v>
      </c>
      <c r="B11" s="28" t="s">
        <v>74</v>
      </c>
      <c r="C11" s="28">
        <v>538</v>
      </c>
      <c r="D11" s="28">
        <v>549</v>
      </c>
      <c r="E11" s="28">
        <v>560</v>
      </c>
      <c r="F11" s="28">
        <v>580</v>
      </c>
      <c r="H11"/>
    </row>
    <row r="12" spans="1:8">
      <c r="A12" s="28" t="s">
        <v>55</v>
      </c>
      <c r="B12" s="28" t="s">
        <v>55</v>
      </c>
      <c r="C12" s="28">
        <v>565</v>
      </c>
      <c r="D12" s="28">
        <v>576</v>
      </c>
      <c r="E12" s="28">
        <v>599</v>
      </c>
      <c r="F12" s="28">
        <v>618</v>
      </c>
    </row>
    <row r="13" spans="1:8">
      <c r="A13" s="28" t="s">
        <v>56</v>
      </c>
      <c r="B13" s="28" t="s">
        <v>56</v>
      </c>
      <c r="C13" s="28">
        <v>376</v>
      </c>
      <c r="D13" s="28">
        <v>378</v>
      </c>
      <c r="E13" s="28">
        <v>382</v>
      </c>
      <c r="F13" s="28">
        <v>396</v>
      </c>
    </row>
    <row r="14" spans="1:8">
      <c r="A14" s="28" t="s">
        <v>67</v>
      </c>
      <c r="B14" s="28" t="s">
        <v>67</v>
      </c>
      <c r="C14" s="28">
        <v>438</v>
      </c>
      <c r="D14" s="28">
        <v>438</v>
      </c>
      <c r="E14" s="28">
        <v>438</v>
      </c>
      <c r="F14" s="28">
        <v>438</v>
      </c>
    </row>
    <row r="15" spans="1:8">
      <c r="A15" s="28" t="s">
        <v>498</v>
      </c>
      <c r="B15" s="28" t="s">
        <v>498</v>
      </c>
      <c r="C15" s="28">
        <v>398</v>
      </c>
      <c r="D15" s="28">
        <v>398</v>
      </c>
      <c r="E15" s="28">
        <v>398</v>
      </c>
      <c r="F15" s="28">
        <v>398</v>
      </c>
    </row>
    <row r="16" spans="1:8">
      <c r="A16" s="28" t="s">
        <v>68</v>
      </c>
      <c r="B16" s="28" t="s">
        <v>68</v>
      </c>
      <c r="C16" s="28">
        <v>49</v>
      </c>
      <c r="D16" s="28">
        <v>49</v>
      </c>
      <c r="E16" s="28">
        <v>49</v>
      </c>
      <c r="F16" s="28">
        <v>49</v>
      </c>
    </row>
    <row r="17" spans="1:6" ht="22">
      <c r="A17" s="109" t="s">
        <v>497</v>
      </c>
      <c r="B17" s="109" t="s">
        <v>497</v>
      </c>
      <c r="C17" s="28">
        <v>73</v>
      </c>
      <c r="D17" s="28">
        <v>70</v>
      </c>
      <c r="E17" s="28">
        <v>63</v>
      </c>
      <c r="F17" s="28">
        <v>63</v>
      </c>
    </row>
    <row r="18" spans="1:6">
      <c r="A18" s="28" t="s">
        <v>58</v>
      </c>
      <c r="B18" s="28" t="s">
        <v>58</v>
      </c>
      <c r="C18" s="28">
        <v>767</v>
      </c>
      <c r="D18" s="28">
        <v>786</v>
      </c>
      <c r="E18" s="28">
        <v>812</v>
      </c>
      <c r="F18" s="28">
        <v>831</v>
      </c>
    </row>
    <row r="19" spans="1:6" ht="22">
      <c r="A19" s="115" t="s">
        <v>2322</v>
      </c>
      <c r="B19" s="115" t="s">
        <v>2322</v>
      </c>
      <c r="C19" s="28">
        <v>46.8</v>
      </c>
      <c r="D19" s="28">
        <v>47.2</v>
      </c>
      <c r="E19" s="28">
        <v>47.1</v>
      </c>
      <c r="F19" s="28">
        <v>47.3</v>
      </c>
    </row>
    <row r="20" spans="1:6">
      <c r="A20" s="28" t="s">
        <v>66</v>
      </c>
      <c r="B20" s="28" t="s">
        <v>66</v>
      </c>
      <c r="C20" s="28">
        <v>72</v>
      </c>
      <c r="D20" s="28">
        <v>72</v>
      </c>
      <c r="E20" s="28">
        <v>72</v>
      </c>
      <c r="F20" s="28">
        <v>72</v>
      </c>
    </row>
    <row r="21" spans="1:6">
      <c r="A21" s="28" t="s">
        <v>57</v>
      </c>
      <c r="B21" s="28" t="s">
        <v>57</v>
      </c>
    </row>
    <row r="22" spans="1:6">
      <c r="A22" s="28" t="s">
        <v>71</v>
      </c>
      <c r="B22" s="28" t="s">
        <v>71</v>
      </c>
    </row>
    <row r="23" spans="1:6">
      <c r="A23" s="28" t="s">
        <v>72</v>
      </c>
      <c r="B23" s="28" t="s">
        <v>72</v>
      </c>
      <c r="C23" s="116">
        <v>90</v>
      </c>
      <c r="D23" s="116">
        <v>90</v>
      </c>
      <c r="E23" s="116">
        <v>90</v>
      </c>
      <c r="F23" s="28">
        <v>90</v>
      </c>
    </row>
    <row r="24" spans="1:6">
      <c r="A24" s="28" t="s">
        <v>70</v>
      </c>
      <c r="B24" s="28" t="s">
        <v>70</v>
      </c>
    </row>
    <row r="25" spans="1:6">
      <c r="A25" s="28" t="s">
        <v>69</v>
      </c>
      <c r="B25" s="28" t="s">
        <v>69</v>
      </c>
      <c r="C25" s="28">
        <v>700</v>
      </c>
      <c r="D25" s="28">
        <v>700</v>
      </c>
      <c r="E25" s="28">
        <v>700</v>
      </c>
      <c r="F25" s="28">
        <v>700</v>
      </c>
    </row>
    <row r="26" spans="1:6">
      <c r="A26" s="28" t="s">
        <v>140</v>
      </c>
      <c r="B26" s="28" t="s">
        <v>140</v>
      </c>
      <c r="C26" s="28">
        <v>42</v>
      </c>
      <c r="D26" s="28">
        <v>42</v>
      </c>
      <c r="E26" s="28">
        <v>42</v>
      </c>
      <c r="F26" s="28">
        <v>42</v>
      </c>
    </row>
    <row r="27" spans="1:6">
      <c r="A27" s="28" t="s">
        <v>141</v>
      </c>
      <c r="B27" s="28" t="s">
        <v>141</v>
      </c>
      <c r="C27" s="28">
        <f>2.1*2.54*10</f>
        <v>53.34</v>
      </c>
      <c r="D27" s="28">
        <f t="shared" ref="D27:F27" si="0">2.1*2.54*10</f>
        <v>53.34</v>
      </c>
      <c r="E27" s="28">
        <f t="shared" si="0"/>
        <v>53.34</v>
      </c>
      <c r="F27" s="28">
        <f t="shared" si="0"/>
        <v>53.34</v>
      </c>
    </row>
    <row r="28" spans="1:6">
      <c r="A28" s="28" t="s">
        <v>1758</v>
      </c>
      <c r="B28" s="28" t="s">
        <v>1758</v>
      </c>
      <c r="C28" s="43">
        <f>C30*2.54</f>
        <v>162.56</v>
      </c>
      <c r="D28" s="43">
        <f t="shared" ref="D28:F29" si="1">D30*2.54</f>
        <v>170.18</v>
      </c>
      <c r="E28" s="43">
        <f t="shared" si="1"/>
        <v>175.26</v>
      </c>
      <c r="F28" s="43">
        <f t="shared" si="1"/>
        <v>182.88</v>
      </c>
    </row>
    <row r="29" spans="1:6">
      <c r="A29" s="28" t="s">
        <v>1759</v>
      </c>
      <c r="B29" s="28" t="s">
        <v>1759</v>
      </c>
      <c r="C29" s="43">
        <f>C31*2.54</f>
        <v>170.18</v>
      </c>
      <c r="D29" s="43">
        <f t="shared" si="1"/>
        <v>177.8</v>
      </c>
      <c r="E29" s="43">
        <f t="shared" si="1"/>
        <v>182.88</v>
      </c>
      <c r="F29" s="43">
        <f t="shared" si="1"/>
        <v>190.5</v>
      </c>
    </row>
    <row r="30" spans="1:6">
      <c r="C30" s="28">
        <v>64</v>
      </c>
      <c r="D30" s="28">
        <v>67</v>
      </c>
      <c r="E30" s="28">
        <v>69</v>
      </c>
      <c r="F30" s="28">
        <v>72</v>
      </c>
    </row>
    <row r="31" spans="1:6">
      <c r="C31" s="28">
        <v>67</v>
      </c>
      <c r="D31" s="28">
        <v>70</v>
      </c>
      <c r="E31" s="28">
        <v>72</v>
      </c>
      <c r="F31" s="28">
        <v>75</v>
      </c>
    </row>
    <row r="32" spans="1:6">
      <c r="B32" s="111"/>
      <c r="C32" s="111"/>
      <c r="D32" s="111"/>
      <c r="E32" s="111"/>
    </row>
    <row r="33" spans="1:6" ht="22">
      <c r="B33" s="21"/>
      <c r="F33" s="21"/>
    </row>
    <row r="34" spans="1:6" ht="22">
      <c r="B34" s="112"/>
      <c r="F34" s="110"/>
    </row>
    <row r="35" spans="1:6" ht="22">
      <c r="F35" s="21"/>
    </row>
    <row r="38" spans="1:6">
      <c r="A38" s="113"/>
      <c r="B38" s="113"/>
      <c r="C38" s="113"/>
      <c r="D38" s="113"/>
      <c r="E38" s="113"/>
      <c r="F38" s="33"/>
    </row>
    <row r="39" spans="1:6" ht="22">
      <c r="A39" s="115"/>
      <c r="B39" s="116"/>
      <c r="C39" s="116"/>
      <c r="D39" s="116"/>
      <c r="E39" s="116"/>
    </row>
    <row r="40" spans="1:6" ht="22">
      <c r="A40" s="115"/>
      <c r="B40" s="116"/>
      <c r="C40" s="116"/>
      <c r="D40" s="116"/>
      <c r="E40" s="116"/>
    </row>
    <row r="41" spans="1:6" ht="22">
      <c r="A41" s="115"/>
      <c r="B41" s="116"/>
      <c r="C41" s="116"/>
      <c r="D41" s="116"/>
      <c r="E41" s="116"/>
    </row>
    <row r="42" spans="1:6" ht="22">
      <c r="A42" s="115"/>
      <c r="B42" s="116"/>
      <c r="C42" s="116"/>
      <c r="D42" s="116"/>
      <c r="E42" s="116"/>
    </row>
    <row r="43" spans="1:6" ht="22">
      <c r="A43" s="115"/>
      <c r="B43" s="116"/>
      <c r="C43" s="116"/>
      <c r="D43" s="116"/>
      <c r="E43" s="116"/>
    </row>
    <row r="44" spans="1:6" ht="22">
      <c r="A44" s="115"/>
      <c r="B44" s="116"/>
      <c r="C44" s="116"/>
      <c r="D44" s="116"/>
      <c r="E44" s="116"/>
    </row>
    <row r="45" spans="1:6" ht="22">
      <c r="A45" s="115"/>
      <c r="B45" s="116"/>
      <c r="C45" s="116"/>
      <c r="D45" s="116"/>
      <c r="E45" s="116"/>
    </row>
    <row r="46" spans="1:6" ht="22">
      <c r="A46" s="115"/>
      <c r="B46" s="116"/>
      <c r="C46" s="116"/>
      <c r="D46" s="116"/>
      <c r="E46" s="116"/>
    </row>
    <row r="47" spans="1:6" ht="22">
      <c r="A47" s="115"/>
      <c r="B47" s="116"/>
      <c r="C47" s="116"/>
      <c r="D47" s="116"/>
      <c r="E47" s="116"/>
    </row>
    <row r="48" spans="1:6" ht="22">
      <c r="A48" s="115"/>
      <c r="B48" s="116"/>
      <c r="C48" s="116"/>
      <c r="D48" s="116"/>
      <c r="E48" s="116"/>
    </row>
    <row r="49" spans="1:5" ht="22">
      <c r="A49" s="115"/>
      <c r="B49" s="116"/>
      <c r="C49" s="116"/>
      <c r="D49" s="116"/>
      <c r="E49" s="116"/>
    </row>
    <row r="50" spans="1:5" ht="22">
      <c r="A50" s="115"/>
      <c r="B50" s="116"/>
      <c r="C50" s="116"/>
      <c r="D50" s="116"/>
      <c r="E50" s="116"/>
    </row>
    <row r="51" spans="1:5" ht="22">
      <c r="A51" s="115"/>
      <c r="B51" s="116"/>
      <c r="C51" s="116"/>
      <c r="D51" s="116"/>
      <c r="E51" s="116"/>
    </row>
    <row r="52" spans="1:5" ht="22">
      <c r="A52" s="115"/>
      <c r="B52" s="116"/>
      <c r="C52" s="116"/>
      <c r="D52" s="116"/>
      <c r="E52" s="116"/>
    </row>
    <row r="53" spans="1:5" ht="22">
      <c r="A53" s="115"/>
      <c r="B53" s="116"/>
      <c r="C53" s="116"/>
      <c r="D53" s="116"/>
      <c r="E53" s="116"/>
    </row>
    <row r="54" spans="1:5" ht="22">
      <c r="A54" s="115"/>
      <c r="B54" s="116"/>
      <c r="C54" s="116"/>
      <c r="D54" s="116"/>
      <c r="E54" s="116"/>
    </row>
    <row r="55" spans="1:5" ht="22">
      <c r="A55" s="115"/>
      <c r="B55" s="116"/>
      <c r="C55" s="116"/>
      <c r="D55" s="116"/>
      <c r="E55" s="116"/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16384" width="10.83203125" style="28"/>
  </cols>
  <sheetData>
    <row r="1" spans="1:8">
      <c r="A1" s="28" t="s">
        <v>73</v>
      </c>
      <c r="B1" s="28" t="str" cm="1">
        <f t="array" ref="B1:G10">TRANSPOSE(B24:K29)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430</v>
      </c>
      <c r="B2" s="28" t="str">
        <v>C / C</v>
      </c>
      <c r="C2" s="28">
        <v>380</v>
      </c>
      <c r="D2" s="28">
        <v>410</v>
      </c>
      <c r="E2" s="28">
        <v>440</v>
      </c>
      <c r="F2" s="28">
        <v>470</v>
      </c>
      <c r="G2" s="28">
        <v>510</v>
      </c>
    </row>
    <row r="3" spans="1:8">
      <c r="A3" s="28" t="s">
        <v>74</v>
      </c>
      <c r="B3" s="28" t="str">
        <v>L</v>
      </c>
      <c r="C3" s="28">
        <v>508</v>
      </c>
      <c r="D3" s="28">
        <v>531</v>
      </c>
      <c r="E3" s="28">
        <v>554</v>
      </c>
      <c r="F3" s="28">
        <v>577</v>
      </c>
      <c r="G3" s="28">
        <v>600</v>
      </c>
    </row>
    <row r="4" spans="1:8">
      <c r="A4" s="28" t="s">
        <v>61</v>
      </c>
      <c r="B4" s="28" t="str">
        <v>H</v>
      </c>
      <c r="C4" s="28">
        <v>440</v>
      </c>
      <c r="D4" s="28">
        <v>470</v>
      </c>
      <c r="E4" s="28">
        <v>500</v>
      </c>
      <c r="F4" s="28">
        <v>530</v>
      </c>
      <c r="G4" s="28">
        <v>570</v>
      </c>
    </row>
    <row r="5" spans="1:8">
      <c r="A5" s="28" t="s">
        <v>64</v>
      </c>
      <c r="B5" s="28" t="str">
        <v>A</v>
      </c>
      <c r="C5" s="28">
        <v>75</v>
      </c>
      <c r="D5" s="28">
        <v>74.3</v>
      </c>
      <c r="E5" s="28">
        <v>73.7</v>
      </c>
      <c r="F5" s="28">
        <v>73.099999999999994</v>
      </c>
      <c r="G5" s="28">
        <v>72.599999999999994</v>
      </c>
    </row>
    <row r="6" spans="1:8">
      <c r="A6" s="28" t="s">
        <v>65</v>
      </c>
      <c r="B6" s="28" t="str">
        <v>H1</v>
      </c>
      <c r="C6" s="28">
        <v>100</v>
      </c>
      <c r="D6" s="28">
        <v>125</v>
      </c>
      <c r="E6" s="28">
        <v>150</v>
      </c>
      <c r="F6" s="28">
        <v>175</v>
      </c>
      <c r="G6" s="28">
        <v>200</v>
      </c>
    </row>
    <row r="7" spans="1:8">
      <c r="A7" s="28" t="s">
        <v>67</v>
      </c>
      <c r="B7" s="28" t="str">
        <v>L1</v>
      </c>
      <c r="C7" s="28">
        <v>423</v>
      </c>
      <c r="D7" s="28">
        <v>423</v>
      </c>
      <c r="E7" s="28">
        <v>423</v>
      </c>
      <c r="F7" s="28">
        <v>423</v>
      </c>
      <c r="G7" s="28">
        <v>423</v>
      </c>
    </row>
    <row r="8" spans="1:8">
      <c r="A8" s="28" t="s">
        <v>63</v>
      </c>
      <c r="B8" s="28" t="str">
        <v>A1</v>
      </c>
      <c r="C8" s="28">
        <v>70</v>
      </c>
      <c r="D8" s="28">
        <v>70.5</v>
      </c>
      <c r="E8" s="28">
        <v>71</v>
      </c>
      <c r="F8" s="28">
        <v>71.5</v>
      </c>
      <c r="G8" s="28">
        <v>72</v>
      </c>
    </row>
    <row r="9" spans="1:8">
      <c r="A9" s="28" t="s">
        <v>56</v>
      </c>
      <c r="B9" s="28" t="str">
        <v>REACH</v>
      </c>
      <c r="C9" s="28">
        <v>363</v>
      </c>
      <c r="D9" s="28">
        <v>372</v>
      </c>
      <c r="E9" s="28">
        <v>382</v>
      </c>
      <c r="F9" s="28">
        <v>391</v>
      </c>
      <c r="G9" s="28">
        <v>401</v>
      </c>
    </row>
    <row r="10" spans="1:8">
      <c r="A10" s="28" t="s">
        <v>55</v>
      </c>
      <c r="B10" s="28" t="str">
        <v>STACK</v>
      </c>
      <c r="C10" s="28">
        <v>531</v>
      </c>
      <c r="D10" s="28">
        <v>556</v>
      </c>
      <c r="E10" s="28">
        <v>582</v>
      </c>
      <c r="F10" s="28">
        <v>608</v>
      </c>
      <c r="G10" s="28">
        <v>633</v>
      </c>
    </row>
    <row r="11" spans="1:8">
      <c r="A11" s="28" t="s">
        <v>57</v>
      </c>
      <c r="B11" s="28" t="s">
        <v>57</v>
      </c>
      <c r="C11" s="28">
        <v>995</v>
      </c>
      <c r="D11" s="28">
        <v>1009</v>
      </c>
      <c r="E11" s="28">
        <v>1023</v>
      </c>
      <c r="F11" s="28">
        <v>1036</v>
      </c>
      <c r="G11" s="28">
        <v>1048</v>
      </c>
    </row>
    <row r="12" spans="1:8">
      <c r="A12" s="28" t="s">
        <v>66</v>
      </c>
      <c r="B12" s="28" t="s">
        <v>66</v>
      </c>
      <c r="C12" s="28">
        <v>75</v>
      </c>
      <c r="D12" s="28">
        <v>75</v>
      </c>
      <c r="E12" s="28">
        <v>75</v>
      </c>
      <c r="F12" s="28">
        <v>75</v>
      </c>
      <c r="G12" s="28">
        <v>75</v>
      </c>
      <c r="H12" s="28" t="s">
        <v>1799</v>
      </c>
    </row>
    <row r="13" spans="1:8">
      <c r="A13" s="28" t="s">
        <v>68</v>
      </c>
      <c r="B13" s="28" t="s">
        <v>68</v>
      </c>
    </row>
    <row r="14" spans="1:8">
      <c r="A14" s="28" t="s">
        <v>58</v>
      </c>
      <c r="B14" s="28" t="s">
        <v>58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11">
      <c r="A17" s="28" t="s">
        <v>72</v>
      </c>
      <c r="B17" s="28" t="s">
        <v>72</v>
      </c>
    </row>
    <row r="18" spans="1:11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11">
      <c r="A19" s="28" t="s">
        <v>140</v>
      </c>
      <c r="B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11">
      <c r="A20" s="28" t="s">
        <v>141</v>
      </c>
      <c r="B20" s="28" t="s">
        <v>141</v>
      </c>
      <c r="C20" s="28">
        <v>44</v>
      </c>
      <c r="D20" s="28">
        <v>44</v>
      </c>
      <c r="E20" s="28">
        <v>44</v>
      </c>
      <c r="F20" s="28">
        <v>44</v>
      </c>
      <c r="G20" s="28">
        <v>44</v>
      </c>
    </row>
    <row r="21" spans="1:11">
      <c r="A21" s="28" t="s">
        <v>1758</v>
      </c>
      <c r="B21" s="28" t="s">
        <v>1758</v>
      </c>
    </row>
    <row r="22" spans="1:11">
      <c r="A22" s="28" t="s">
        <v>1759</v>
      </c>
      <c r="B22" s="28" t="s">
        <v>1759</v>
      </c>
    </row>
    <row r="24" spans="1:11">
      <c r="B24" s="28" t="s">
        <v>144</v>
      </c>
      <c r="C24" s="28" t="s">
        <v>1792</v>
      </c>
      <c r="D24" s="28" t="s">
        <v>20</v>
      </c>
      <c r="E24" s="28" t="s">
        <v>1281</v>
      </c>
      <c r="F24" s="28" t="s">
        <v>1279</v>
      </c>
      <c r="G24" s="28" t="s">
        <v>1793</v>
      </c>
      <c r="H24" s="28" t="s">
        <v>1794</v>
      </c>
      <c r="I24" s="28" t="s">
        <v>1795</v>
      </c>
      <c r="J24" s="28" t="s">
        <v>41</v>
      </c>
      <c r="K24" s="28" t="s">
        <v>40</v>
      </c>
    </row>
    <row r="25" spans="1:11">
      <c r="B25" s="28" t="s">
        <v>17</v>
      </c>
      <c r="C25" s="28">
        <f>C35*10</f>
        <v>380</v>
      </c>
      <c r="D25" s="28">
        <f t="shared" ref="D25:E25" si="0">D35*10</f>
        <v>508</v>
      </c>
      <c r="E25" s="28">
        <f t="shared" si="0"/>
        <v>440</v>
      </c>
      <c r="F25" s="28">
        <f>F35</f>
        <v>75</v>
      </c>
      <c r="G25" s="28">
        <f t="shared" ref="G25:H25" si="1">G35*10</f>
        <v>100</v>
      </c>
      <c r="H25" s="28">
        <f t="shared" si="1"/>
        <v>423</v>
      </c>
      <c r="I25" s="28">
        <f>I35</f>
        <v>70</v>
      </c>
      <c r="J25" s="28">
        <f>J35</f>
        <v>363</v>
      </c>
      <c r="K25" s="28">
        <f>K35</f>
        <v>531</v>
      </c>
    </row>
    <row r="26" spans="1:11">
      <c r="B26" s="28" t="s">
        <v>18</v>
      </c>
      <c r="C26" s="28">
        <f t="shared" ref="C26:E29" si="2">C36*10</f>
        <v>410</v>
      </c>
      <c r="D26" s="28">
        <f t="shared" si="2"/>
        <v>531</v>
      </c>
      <c r="E26" s="28">
        <f t="shared" si="2"/>
        <v>470</v>
      </c>
      <c r="F26" s="28">
        <f t="shared" ref="F26" si="3">F36</f>
        <v>74.3</v>
      </c>
      <c r="G26" s="28">
        <f t="shared" ref="G26:H26" si="4">G36*10</f>
        <v>125</v>
      </c>
      <c r="H26" s="28">
        <f t="shared" si="4"/>
        <v>423</v>
      </c>
      <c r="I26" s="28">
        <f t="shared" ref="I26" si="5">I36</f>
        <v>70.5</v>
      </c>
      <c r="J26" s="28">
        <f t="shared" ref="J26:K29" si="6">J36</f>
        <v>372</v>
      </c>
      <c r="K26" s="28">
        <f t="shared" si="6"/>
        <v>556</v>
      </c>
    </row>
    <row r="27" spans="1:11">
      <c r="B27" s="28" t="s">
        <v>19</v>
      </c>
      <c r="C27" s="28">
        <f t="shared" si="2"/>
        <v>440</v>
      </c>
      <c r="D27" s="28">
        <f t="shared" si="2"/>
        <v>554</v>
      </c>
      <c r="E27" s="28">
        <f t="shared" si="2"/>
        <v>500</v>
      </c>
      <c r="F27" s="28">
        <f t="shared" ref="F27" si="7">F37</f>
        <v>73.7</v>
      </c>
      <c r="G27" s="28">
        <f t="shared" ref="G27:H27" si="8">G37*10</f>
        <v>150</v>
      </c>
      <c r="H27" s="28">
        <f t="shared" si="8"/>
        <v>423</v>
      </c>
      <c r="I27" s="28">
        <f t="shared" ref="I27" si="9">I37</f>
        <v>71</v>
      </c>
      <c r="J27" s="28">
        <f t="shared" si="6"/>
        <v>382</v>
      </c>
      <c r="K27" s="28">
        <f t="shared" si="6"/>
        <v>582</v>
      </c>
    </row>
    <row r="28" spans="1:11">
      <c r="B28" s="28" t="s">
        <v>20</v>
      </c>
      <c r="C28" s="28">
        <f t="shared" si="2"/>
        <v>470</v>
      </c>
      <c r="D28" s="28">
        <f t="shared" si="2"/>
        <v>577</v>
      </c>
      <c r="E28" s="28">
        <f t="shared" si="2"/>
        <v>530</v>
      </c>
      <c r="F28" s="28">
        <f t="shared" ref="F28" si="10">F38</f>
        <v>73.099999999999994</v>
      </c>
      <c r="G28" s="28">
        <f t="shared" ref="G28:H28" si="11">G38*10</f>
        <v>175</v>
      </c>
      <c r="H28" s="28">
        <f t="shared" si="11"/>
        <v>423</v>
      </c>
      <c r="I28" s="28">
        <f t="shared" ref="I28" si="12">I38</f>
        <v>71.5</v>
      </c>
      <c r="J28" s="28">
        <f t="shared" si="6"/>
        <v>391</v>
      </c>
      <c r="K28" s="28">
        <f t="shared" si="6"/>
        <v>608</v>
      </c>
    </row>
    <row r="29" spans="1:11">
      <c r="B29" s="28" t="s">
        <v>21</v>
      </c>
      <c r="C29" s="28">
        <f t="shared" si="2"/>
        <v>510</v>
      </c>
      <c r="D29" s="28">
        <f t="shared" si="2"/>
        <v>600</v>
      </c>
      <c r="E29" s="28">
        <f t="shared" si="2"/>
        <v>570</v>
      </c>
      <c r="F29" s="28">
        <f t="shared" ref="F29" si="13">F39</f>
        <v>72.599999999999994</v>
      </c>
      <c r="G29" s="28">
        <f t="shared" ref="G29:H29" si="14">G39*10</f>
        <v>200</v>
      </c>
      <c r="H29" s="28">
        <f t="shared" si="14"/>
        <v>423</v>
      </c>
      <c r="I29" s="28">
        <f t="shared" ref="I29" si="15">I39</f>
        <v>72</v>
      </c>
      <c r="J29" s="28">
        <f t="shared" si="6"/>
        <v>401</v>
      </c>
      <c r="K29" s="28">
        <f t="shared" si="6"/>
        <v>633</v>
      </c>
    </row>
    <row r="33" spans="2:11">
      <c r="B33" s="28" t="s">
        <v>1791</v>
      </c>
      <c r="C33" s="28" t="s">
        <v>1792</v>
      </c>
      <c r="D33" s="28" t="s">
        <v>20</v>
      </c>
      <c r="E33" s="28" t="s">
        <v>1281</v>
      </c>
      <c r="F33" s="28" t="s">
        <v>1279</v>
      </c>
      <c r="G33" s="28" t="s">
        <v>1793</v>
      </c>
      <c r="H33" s="28" t="s">
        <v>1794</v>
      </c>
      <c r="I33" s="28" t="s">
        <v>1795</v>
      </c>
      <c r="J33" s="28" t="s">
        <v>41</v>
      </c>
      <c r="K33" s="28" t="s">
        <v>40</v>
      </c>
    </row>
    <row r="34" spans="2:11">
      <c r="B34" s="28" t="s">
        <v>1157</v>
      </c>
      <c r="C34" s="28" t="s">
        <v>1796</v>
      </c>
      <c r="D34" s="28" t="s">
        <v>1796</v>
      </c>
      <c r="E34" s="28" t="s">
        <v>1796</v>
      </c>
      <c r="F34" s="28" t="s">
        <v>1797</v>
      </c>
      <c r="G34" s="28" t="s">
        <v>1796</v>
      </c>
      <c r="H34" s="28" t="s">
        <v>1796</v>
      </c>
      <c r="I34" s="28" t="s">
        <v>1797</v>
      </c>
      <c r="J34" s="28" t="s">
        <v>1798</v>
      </c>
      <c r="K34" s="28" t="s">
        <v>1798</v>
      </c>
    </row>
    <row r="35" spans="2:11">
      <c r="B35" s="28" t="s">
        <v>17</v>
      </c>
      <c r="C35" s="28">
        <v>38</v>
      </c>
      <c r="D35" s="28">
        <v>50.8</v>
      </c>
      <c r="E35" s="28">
        <v>44</v>
      </c>
      <c r="F35" s="28">
        <v>75</v>
      </c>
      <c r="G35" s="28">
        <v>10</v>
      </c>
      <c r="H35" s="28">
        <v>42.3</v>
      </c>
      <c r="I35" s="28">
        <v>70</v>
      </c>
      <c r="J35" s="28">
        <v>363</v>
      </c>
      <c r="K35" s="28">
        <v>531</v>
      </c>
    </row>
    <row r="36" spans="2:11">
      <c r="B36" s="28" t="s">
        <v>18</v>
      </c>
      <c r="C36" s="28">
        <v>41</v>
      </c>
      <c r="D36" s="28">
        <v>53.1</v>
      </c>
      <c r="E36" s="28">
        <v>47</v>
      </c>
      <c r="F36" s="28">
        <v>74.3</v>
      </c>
      <c r="G36" s="28">
        <v>12.5</v>
      </c>
      <c r="H36" s="28">
        <v>42.3</v>
      </c>
      <c r="I36" s="28">
        <v>70.5</v>
      </c>
      <c r="J36" s="28">
        <v>372</v>
      </c>
      <c r="K36" s="28">
        <v>556</v>
      </c>
    </row>
    <row r="37" spans="2:11">
      <c r="B37" s="28" t="s">
        <v>19</v>
      </c>
      <c r="C37" s="28">
        <v>44</v>
      </c>
      <c r="D37" s="28">
        <v>55.4</v>
      </c>
      <c r="E37" s="28">
        <v>50</v>
      </c>
      <c r="F37" s="28">
        <v>73.7</v>
      </c>
      <c r="G37" s="28">
        <v>15</v>
      </c>
      <c r="H37" s="28">
        <v>42.3</v>
      </c>
      <c r="I37" s="28">
        <v>71</v>
      </c>
      <c r="J37" s="28">
        <v>382</v>
      </c>
      <c r="K37" s="28">
        <v>582</v>
      </c>
    </row>
    <row r="38" spans="2:11">
      <c r="B38" s="28" t="s">
        <v>20</v>
      </c>
      <c r="C38" s="28">
        <v>47</v>
      </c>
      <c r="D38" s="28">
        <v>57.7</v>
      </c>
      <c r="E38" s="28">
        <v>53</v>
      </c>
      <c r="F38" s="28">
        <v>73.099999999999994</v>
      </c>
      <c r="G38" s="28">
        <v>17.5</v>
      </c>
      <c r="H38" s="28">
        <v>42.3</v>
      </c>
      <c r="I38" s="28">
        <v>71.5</v>
      </c>
      <c r="J38" s="28">
        <v>391</v>
      </c>
      <c r="K38" s="28">
        <v>608</v>
      </c>
    </row>
    <row r="39" spans="2:11">
      <c r="B39" s="28" t="s">
        <v>21</v>
      </c>
      <c r="C39" s="28">
        <v>51</v>
      </c>
      <c r="D39" s="28">
        <v>60</v>
      </c>
      <c r="E39" s="28">
        <v>57</v>
      </c>
      <c r="F39" s="28">
        <v>72.599999999999994</v>
      </c>
      <c r="G39" s="28">
        <v>20</v>
      </c>
      <c r="H39" s="28">
        <v>42.3</v>
      </c>
      <c r="I39" s="28">
        <v>72</v>
      </c>
      <c r="J39" s="28">
        <v>401</v>
      </c>
      <c r="K39" s="28">
        <v>633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8" bestFit="1" customWidth="1"/>
    <col min="2" max="2" width="20.1640625" style="28" customWidth="1"/>
    <col min="3" max="16384" width="10.83203125" style="28"/>
  </cols>
  <sheetData>
    <row r="1" spans="1:9">
      <c r="A1" s="28" t="s">
        <v>73</v>
      </c>
      <c r="B1" s="28" t="str" cm="1">
        <f t="array" ref="B1:H11">TRANSPOSE(B24:L30)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  <c r="H1" s="28" t="str">
        <v>XXL</v>
      </c>
    </row>
    <row r="2" spans="1:9">
      <c r="A2" s="28" t="s">
        <v>61</v>
      </c>
      <c r="B2" s="28" t="str">
        <v>H</v>
      </c>
      <c r="C2" s="28">
        <v>450</v>
      </c>
      <c r="D2" s="28">
        <v>480</v>
      </c>
      <c r="E2" s="28">
        <v>500</v>
      </c>
      <c r="F2" s="28">
        <v>520</v>
      </c>
      <c r="G2" s="28">
        <v>540</v>
      </c>
      <c r="H2" s="28">
        <v>560</v>
      </c>
      <c r="I2"/>
    </row>
    <row r="3" spans="1:9">
      <c r="A3" s="28" t="s">
        <v>199</v>
      </c>
      <c r="B3" s="28" t="str">
        <v>C/C</v>
      </c>
      <c r="C3" s="28">
        <v>432</v>
      </c>
      <c r="D3" s="28">
        <v>462</v>
      </c>
      <c r="E3" s="28">
        <v>482</v>
      </c>
      <c r="F3" s="28">
        <v>502</v>
      </c>
      <c r="G3" s="28">
        <v>522</v>
      </c>
      <c r="H3" s="28">
        <v>542</v>
      </c>
      <c r="I3"/>
    </row>
    <row r="4" spans="1:9">
      <c r="A4" s="28" t="s">
        <v>74</v>
      </c>
      <c r="B4" s="28" t="str">
        <v>L</v>
      </c>
      <c r="C4" s="28">
        <v>510</v>
      </c>
      <c r="D4" s="28">
        <v>527</v>
      </c>
      <c r="E4" s="28">
        <v>545</v>
      </c>
      <c r="F4" s="28">
        <v>561</v>
      </c>
      <c r="G4" s="28">
        <v>579</v>
      </c>
      <c r="H4" s="28">
        <v>597</v>
      </c>
      <c r="I4"/>
    </row>
    <row r="5" spans="1:9">
      <c r="A5" s="28" t="s">
        <v>64</v>
      </c>
      <c r="B5" s="28" t="str">
        <v>A</v>
      </c>
      <c r="C5" s="28">
        <v>75</v>
      </c>
      <c r="D5" s="28">
        <v>74.5</v>
      </c>
      <c r="E5" s="28">
        <v>74</v>
      </c>
      <c r="F5" s="28">
        <v>73.5</v>
      </c>
      <c r="G5" s="28">
        <v>73</v>
      </c>
      <c r="H5" s="28">
        <v>72.5</v>
      </c>
      <c r="I5"/>
    </row>
    <row r="6" spans="1:9">
      <c r="A6" s="28" t="s">
        <v>65</v>
      </c>
      <c r="B6" s="28" t="str">
        <v>H1</v>
      </c>
      <c r="C6" s="28">
        <v>98</v>
      </c>
      <c r="D6" s="28">
        <v>118</v>
      </c>
      <c r="E6" s="28">
        <v>134</v>
      </c>
      <c r="F6" s="28">
        <v>154</v>
      </c>
      <c r="G6" s="28">
        <v>172</v>
      </c>
      <c r="H6" s="28">
        <v>189</v>
      </c>
      <c r="I6"/>
    </row>
    <row r="7" spans="1:9">
      <c r="A7" s="28" t="s">
        <v>67</v>
      </c>
      <c r="B7" s="28" t="str">
        <v>L1</v>
      </c>
      <c r="C7" s="28">
        <v>421</v>
      </c>
      <c r="D7" s="28">
        <v>422</v>
      </c>
      <c r="E7" s="28">
        <v>423</v>
      </c>
      <c r="F7" s="28">
        <v>423</v>
      </c>
      <c r="G7" s="28">
        <v>425</v>
      </c>
      <c r="H7" s="28">
        <v>427</v>
      </c>
      <c r="I7"/>
    </row>
    <row r="8" spans="1:9">
      <c r="A8" s="28" t="s">
        <v>63</v>
      </c>
      <c r="B8" s="28" t="str">
        <v>A1</v>
      </c>
      <c r="C8" s="28">
        <v>70</v>
      </c>
      <c r="D8" s="28">
        <v>70</v>
      </c>
      <c r="E8" s="28">
        <v>71</v>
      </c>
      <c r="F8" s="28">
        <v>71</v>
      </c>
      <c r="G8" s="28">
        <v>71.5</v>
      </c>
      <c r="H8" s="28">
        <v>72</v>
      </c>
      <c r="I8"/>
    </row>
    <row r="9" spans="1:9">
      <c r="A9" s="28" t="s">
        <v>56</v>
      </c>
      <c r="B9" s="28" t="str">
        <v>REACH</v>
      </c>
      <c r="C9" s="28">
        <v>370</v>
      </c>
      <c r="D9" s="28">
        <v>377</v>
      </c>
      <c r="E9" s="28">
        <v>384</v>
      </c>
      <c r="F9" s="28">
        <v>391</v>
      </c>
      <c r="G9" s="28">
        <v>398</v>
      </c>
      <c r="H9" s="28">
        <v>405</v>
      </c>
      <c r="I9"/>
    </row>
    <row r="10" spans="1:9">
      <c r="A10" s="28" t="s">
        <v>55</v>
      </c>
      <c r="B10" s="28" t="str">
        <v>STACK</v>
      </c>
      <c r="C10" s="28">
        <v>513</v>
      </c>
      <c r="D10" s="28">
        <v>532</v>
      </c>
      <c r="E10" s="28">
        <v>551</v>
      </c>
      <c r="F10" s="28">
        <v>570</v>
      </c>
      <c r="G10" s="28">
        <v>589</v>
      </c>
      <c r="H10" s="28">
        <v>608</v>
      </c>
      <c r="I10"/>
    </row>
    <row r="11" spans="1:9">
      <c r="A11" s="28" t="s">
        <v>57</v>
      </c>
      <c r="B11" s="28" t="str">
        <v>WHEELBASE</v>
      </c>
      <c r="C11" s="28">
        <v>997</v>
      </c>
      <c r="D11" s="28">
        <v>1012</v>
      </c>
      <c r="E11" s="28">
        <v>1017</v>
      </c>
      <c r="F11" s="28">
        <v>1031</v>
      </c>
      <c r="G11" s="28">
        <v>1041</v>
      </c>
      <c r="H11" s="28">
        <v>1051</v>
      </c>
      <c r="I11"/>
    </row>
    <row r="12" spans="1:9">
      <c r="A12" s="28" t="s">
        <v>66</v>
      </c>
      <c r="B12" s="28" t="s">
        <v>66</v>
      </c>
      <c r="C12" s="28">
        <v>68</v>
      </c>
      <c r="D12" s="28">
        <v>68</v>
      </c>
      <c r="E12" s="28">
        <v>68</v>
      </c>
      <c r="F12" s="28">
        <v>68</v>
      </c>
      <c r="G12" s="28">
        <v>68</v>
      </c>
      <c r="H12" s="28">
        <v>68</v>
      </c>
      <c r="I12" s="28" t="s">
        <v>1802</v>
      </c>
    </row>
    <row r="13" spans="1:9">
      <c r="A13" s="28" t="s">
        <v>68</v>
      </c>
      <c r="B13" s="28" t="s">
        <v>68</v>
      </c>
    </row>
    <row r="14" spans="1:9">
      <c r="A14" s="28" t="s">
        <v>58</v>
      </c>
      <c r="B14" s="28" t="s">
        <v>58</v>
      </c>
    </row>
    <row r="15" spans="1:9">
      <c r="A15" s="28" t="s">
        <v>70</v>
      </c>
      <c r="B15" s="28" t="s">
        <v>70</v>
      </c>
    </row>
    <row r="16" spans="1:9">
      <c r="A16" s="28" t="s">
        <v>71</v>
      </c>
      <c r="B16" s="28" t="s">
        <v>71</v>
      </c>
      <c r="C16" s="28">
        <v>430</v>
      </c>
      <c r="D16" s="28">
        <v>430</v>
      </c>
      <c r="E16" s="28">
        <v>430</v>
      </c>
      <c r="F16" s="28">
        <v>450</v>
      </c>
      <c r="G16" s="28">
        <v>450</v>
      </c>
      <c r="H16" s="28">
        <v>450</v>
      </c>
    </row>
    <row r="17" spans="1:12">
      <c r="A17" s="28" t="s">
        <v>72</v>
      </c>
      <c r="B17" s="28" t="s">
        <v>72</v>
      </c>
      <c r="C17" s="28">
        <v>95</v>
      </c>
      <c r="D17" s="28">
        <v>95</v>
      </c>
      <c r="E17" s="28">
        <v>95</v>
      </c>
      <c r="F17" s="28">
        <v>115</v>
      </c>
      <c r="G17" s="28">
        <v>115</v>
      </c>
      <c r="H17" s="28">
        <v>115</v>
      </c>
    </row>
    <row r="18" spans="1:12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2">
      <c r="A19" s="28" t="s">
        <v>140</v>
      </c>
      <c r="B19" s="28" t="s">
        <v>140</v>
      </c>
      <c r="C19" s="28">
        <v>38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2">
      <c r="A20" s="28" t="s">
        <v>141</v>
      </c>
      <c r="B20" s="28" t="s">
        <v>141</v>
      </c>
      <c r="C20" s="28">
        <v>42</v>
      </c>
      <c r="D20" s="28">
        <v>42</v>
      </c>
      <c r="E20" s="28">
        <v>42</v>
      </c>
      <c r="F20" s="28">
        <v>42</v>
      </c>
      <c r="G20" s="28">
        <v>42</v>
      </c>
      <c r="H20" s="28">
        <v>42</v>
      </c>
    </row>
    <row r="21" spans="1:12">
      <c r="A21" s="28" t="s">
        <v>1758</v>
      </c>
      <c r="B21" s="28" t="s">
        <v>1758</v>
      </c>
    </row>
    <row r="22" spans="1:12">
      <c r="A22" s="28" t="s">
        <v>1759</v>
      </c>
      <c r="B22" s="28" t="s">
        <v>1759</v>
      </c>
    </row>
    <row r="24" spans="1:12">
      <c r="B24" s="28" t="str">
        <f>B32</f>
        <v>SIZE</v>
      </c>
      <c r="C24" s="28" t="str">
        <f t="shared" ref="C24:L24" si="0">C32</f>
        <v>H</v>
      </c>
      <c r="D24" s="28" t="str">
        <f t="shared" si="0"/>
        <v>C/C</v>
      </c>
      <c r="E24" s="28" t="str">
        <f t="shared" si="0"/>
        <v>L</v>
      </c>
      <c r="F24" s="28" t="str">
        <f t="shared" si="0"/>
        <v>A</v>
      </c>
      <c r="G24" s="28" t="str">
        <f t="shared" si="0"/>
        <v>H1</v>
      </c>
      <c r="H24" s="28" t="str">
        <f t="shared" si="0"/>
        <v>L1</v>
      </c>
      <c r="I24" s="28" t="str">
        <f t="shared" si="0"/>
        <v>A1</v>
      </c>
      <c r="J24" s="28" t="str">
        <f t="shared" si="0"/>
        <v>REACH</v>
      </c>
      <c r="K24" s="28" t="str">
        <f t="shared" si="0"/>
        <v>STACK</v>
      </c>
      <c r="L24" s="28" t="str">
        <f t="shared" si="0"/>
        <v>WHEELBASE</v>
      </c>
    </row>
    <row r="25" spans="1:12">
      <c r="B25" s="28" t="str">
        <f t="shared" ref="B25:L29" si="1">B34</f>
        <v>XS</v>
      </c>
      <c r="C25" s="28">
        <f>C34*10</f>
        <v>450</v>
      </c>
      <c r="D25" s="28">
        <f>D34*10</f>
        <v>432</v>
      </c>
      <c r="E25" s="28">
        <f>E34*10</f>
        <v>510</v>
      </c>
      <c r="F25" s="28">
        <f t="shared" si="1"/>
        <v>75</v>
      </c>
      <c r="G25" s="28">
        <f>G34*10</f>
        <v>98</v>
      </c>
      <c r="H25" s="28">
        <f>H34*10</f>
        <v>421</v>
      </c>
      <c r="I25" s="28">
        <f t="shared" si="1"/>
        <v>70</v>
      </c>
      <c r="J25" s="28">
        <f t="shared" si="1"/>
        <v>370</v>
      </c>
      <c r="K25" s="28">
        <f t="shared" si="1"/>
        <v>513</v>
      </c>
      <c r="L25" s="28">
        <f t="shared" si="1"/>
        <v>997</v>
      </c>
    </row>
    <row r="26" spans="1:12">
      <c r="B26" s="28" t="str">
        <f t="shared" si="1"/>
        <v>S</v>
      </c>
      <c r="C26" s="28">
        <f t="shared" ref="C26:D30" si="2">C35*10</f>
        <v>480</v>
      </c>
      <c r="D26" s="28">
        <f t="shared" si="2"/>
        <v>462</v>
      </c>
      <c r="E26" s="28">
        <f t="shared" ref="E26" si="3">E35*10</f>
        <v>527</v>
      </c>
      <c r="F26" s="28">
        <f t="shared" si="1"/>
        <v>74.5</v>
      </c>
      <c r="G26" s="28">
        <f t="shared" ref="G26:H26" si="4">G35*10</f>
        <v>118</v>
      </c>
      <c r="H26" s="28">
        <f t="shared" si="4"/>
        <v>422</v>
      </c>
      <c r="I26" s="28">
        <f t="shared" si="1"/>
        <v>70</v>
      </c>
      <c r="J26" s="28">
        <f t="shared" si="1"/>
        <v>377</v>
      </c>
      <c r="K26" s="28">
        <f t="shared" si="1"/>
        <v>532</v>
      </c>
      <c r="L26" s="28">
        <f t="shared" si="1"/>
        <v>1012</v>
      </c>
    </row>
    <row r="27" spans="1:12">
      <c r="B27" s="28" t="str">
        <f t="shared" si="1"/>
        <v>M</v>
      </c>
      <c r="C27" s="28">
        <f t="shared" si="2"/>
        <v>500</v>
      </c>
      <c r="D27" s="28">
        <f t="shared" si="2"/>
        <v>482</v>
      </c>
      <c r="E27" s="28">
        <f t="shared" ref="E27" si="5">E36*10</f>
        <v>545</v>
      </c>
      <c r="F27" s="28">
        <f t="shared" si="1"/>
        <v>74</v>
      </c>
      <c r="G27" s="28">
        <f t="shared" ref="G27:H27" si="6">G36*10</f>
        <v>134</v>
      </c>
      <c r="H27" s="28">
        <f t="shared" si="6"/>
        <v>423</v>
      </c>
      <c r="I27" s="28">
        <f t="shared" si="1"/>
        <v>71</v>
      </c>
      <c r="J27" s="28">
        <f t="shared" si="1"/>
        <v>384</v>
      </c>
      <c r="K27" s="28">
        <f t="shared" si="1"/>
        <v>551</v>
      </c>
      <c r="L27" s="28">
        <f t="shared" si="1"/>
        <v>1017</v>
      </c>
    </row>
    <row r="28" spans="1:12">
      <c r="B28" s="28" t="str">
        <f t="shared" si="1"/>
        <v>L</v>
      </c>
      <c r="C28" s="28">
        <f t="shared" si="2"/>
        <v>520</v>
      </c>
      <c r="D28" s="28">
        <f t="shared" si="2"/>
        <v>502</v>
      </c>
      <c r="E28" s="28">
        <f t="shared" ref="E28" si="7">E37*10</f>
        <v>561</v>
      </c>
      <c r="F28" s="28">
        <f t="shared" si="1"/>
        <v>73.5</v>
      </c>
      <c r="G28" s="28">
        <f t="shared" ref="G28:H28" si="8">G37*10</f>
        <v>154</v>
      </c>
      <c r="H28" s="28">
        <f t="shared" si="8"/>
        <v>423</v>
      </c>
      <c r="I28" s="28">
        <f t="shared" si="1"/>
        <v>71</v>
      </c>
      <c r="J28" s="28">
        <f t="shared" si="1"/>
        <v>391</v>
      </c>
      <c r="K28" s="28">
        <f t="shared" si="1"/>
        <v>570</v>
      </c>
      <c r="L28" s="28">
        <f t="shared" si="1"/>
        <v>1031</v>
      </c>
    </row>
    <row r="29" spans="1:12">
      <c r="B29" s="28" t="str">
        <f t="shared" si="1"/>
        <v>XL</v>
      </c>
      <c r="C29" s="28">
        <f t="shared" si="2"/>
        <v>540</v>
      </c>
      <c r="D29" s="28">
        <f t="shared" si="2"/>
        <v>522</v>
      </c>
      <c r="E29" s="28">
        <f t="shared" ref="E29" si="9">E38*10</f>
        <v>579</v>
      </c>
      <c r="F29" s="28">
        <f t="shared" si="1"/>
        <v>73</v>
      </c>
      <c r="G29" s="28">
        <f t="shared" ref="G29:H29" si="10">G38*10</f>
        <v>172</v>
      </c>
      <c r="H29" s="28">
        <f t="shared" si="10"/>
        <v>425</v>
      </c>
      <c r="I29" s="28">
        <f t="shared" si="1"/>
        <v>71.5</v>
      </c>
      <c r="J29" s="28">
        <f t="shared" si="1"/>
        <v>398</v>
      </c>
      <c r="K29" s="28">
        <f t="shared" si="1"/>
        <v>589</v>
      </c>
      <c r="L29" s="28">
        <f t="shared" si="1"/>
        <v>1041</v>
      </c>
    </row>
    <row r="30" spans="1:12">
      <c r="B30" s="28" t="str">
        <f>B39</f>
        <v>XXL</v>
      </c>
      <c r="C30" s="28">
        <f t="shared" si="2"/>
        <v>560</v>
      </c>
      <c r="D30" s="28">
        <f t="shared" si="2"/>
        <v>542</v>
      </c>
      <c r="E30" s="28">
        <f t="shared" ref="E30" si="11">E39*10</f>
        <v>597</v>
      </c>
      <c r="F30" s="28">
        <f t="shared" ref="F30:L30" si="12">F39</f>
        <v>72.5</v>
      </c>
      <c r="G30" s="28">
        <f t="shared" ref="G30:H30" si="13">G39*10</f>
        <v>189</v>
      </c>
      <c r="H30" s="28">
        <f t="shared" si="13"/>
        <v>427</v>
      </c>
      <c r="I30" s="28">
        <f t="shared" si="12"/>
        <v>72</v>
      </c>
      <c r="J30" s="28">
        <f t="shared" si="12"/>
        <v>405</v>
      </c>
      <c r="K30" s="28">
        <f t="shared" si="12"/>
        <v>608</v>
      </c>
      <c r="L30" s="28">
        <f t="shared" si="12"/>
        <v>1051</v>
      </c>
    </row>
    <row r="32" spans="1:12">
      <c r="B32" s="78" t="s">
        <v>170</v>
      </c>
      <c r="C32" s="78" t="s">
        <v>1281</v>
      </c>
      <c r="D32" s="78" t="s">
        <v>1800</v>
      </c>
      <c r="E32" s="78" t="s">
        <v>20</v>
      </c>
      <c r="F32" s="78" t="s">
        <v>1279</v>
      </c>
      <c r="G32" s="78" t="s">
        <v>1793</v>
      </c>
      <c r="H32" s="78" t="s">
        <v>1794</v>
      </c>
      <c r="I32" s="78" t="s">
        <v>1795</v>
      </c>
      <c r="J32" s="78" t="s">
        <v>41</v>
      </c>
      <c r="K32" s="78" t="s">
        <v>40</v>
      </c>
      <c r="L32" s="78" t="s">
        <v>37</v>
      </c>
    </row>
    <row r="33" spans="2:12">
      <c r="B33" s="78"/>
      <c r="C33" s="79" t="s">
        <v>1796</v>
      </c>
      <c r="D33" s="79" t="s">
        <v>1796</v>
      </c>
      <c r="E33" s="79" t="s">
        <v>1796</v>
      </c>
      <c r="F33" s="79" t="s">
        <v>1797</v>
      </c>
      <c r="G33" s="79" t="s">
        <v>1796</v>
      </c>
      <c r="H33" s="79" t="s">
        <v>1796</v>
      </c>
      <c r="I33" s="79" t="s">
        <v>1797</v>
      </c>
      <c r="J33" s="79" t="s">
        <v>1798</v>
      </c>
      <c r="K33" s="79" t="s">
        <v>1798</v>
      </c>
      <c r="L33" s="79" t="s">
        <v>1798</v>
      </c>
    </row>
    <row r="34" spans="2:12">
      <c r="B34" s="78" t="s">
        <v>17</v>
      </c>
      <c r="C34" s="79">
        <v>45</v>
      </c>
      <c r="D34" s="79">
        <v>43.2</v>
      </c>
      <c r="E34" s="79">
        <v>51</v>
      </c>
      <c r="F34" s="79">
        <v>75</v>
      </c>
      <c r="G34" s="79">
        <v>9.8000000000000007</v>
      </c>
      <c r="H34" s="79">
        <v>42.1</v>
      </c>
      <c r="I34" s="79">
        <v>70</v>
      </c>
      <c r="J34" s="79">
        <v>370</v>
      </c>
      <c r="K34" s="79">
        <v>513</v>
      </c>
      <c r="L34" s="79">
        <v>997</v>
      </c>
    </row>
    <row r="35" spans="2:12">
      <c r="B35" s="78" t="s">
        <v>18</v>
      </c>
      <c r="C35" s="79">
        <v>48</v>
      </c>
      <c r="D35" s="79">
        <v>46.2</v>
      </c>
      <c r="E35" s="79">
        <v>52.7</v>
      </c>
      <c r="F35" s="79">
        <v>74.5</v>
      </c>
      <c r="G35" s="79">
        <v>11.8</v>
      </c>
      <c r="H35" s="79">
        <v>42.2</v>
      </c>
      <c r="I35" s="79">
        <v>70</v>
      </c>
      <c r="J35" s="79">
        <v>377</v>
      </c>
      <c r="K35" s="79">
        <v>532</v>
      </c>
      <c r="L35" s="79">
        <v>1012</v>
      </c>
    </row>
    <row r="36" spans="2:12">
      <c r="B36" s="78" t="s">
        <v>19</v>
      </c>
      <c r="C36" s="79">
        <v>50</v>
      </c>
      <c r="D36" s="79">
        <v>48.2</v>
      </c>
      <c r="E36" s="79">
        <v>54.5</v>
      </c>
      <c r="F36" s="79">
        <v>74</v>
      </c>
      <c r="G36" s="79">
        <v>13.4</v>
      </c>
      <c r="H36" s="79">
        <v>42.3</v>
      </c>
      <c r="I36" s="79">
        <v>71</v>
      </c>
      <c r="J36" s="79">
        <v>384</v>
      </c>
      <c r="K36" s="79">
        <v>551</v>
      </c>
      <c r="L36" s="79">
        <v>1017</v>
      </c>
    </row>
    <row r="37" spans="2:12">
      <c r="B37" s="78" t="s">
        <v>20</v>
      </c>
      <c r="C37" s="79">
        <v>52</v>
      </c>
      <c r="D37" s="79">
        <v>50.2</v>
      </c>
      <c r="E37" s="79">
        <v>56.1</v>
      </c>
      <c r="F37" s="79">
        <v>73.5</v>
      </c>
      <c r="G37" s="79">
        <v>15.4</v>
      </c>
      <c r="H37" s="79">
        <v>42.3</v>
      </c>
      <c r="I37" s="79">
        <v>71</v>
      </c>
      <c r="J37" s="79">
        <v>391</v>
      </c>
      <c r="K37" s="79">
        <v>570</v>
      </c>
      <c r="L37" s="79">
        <v>1031</v>
      </c>
    </row>
    <row r="38" spans="2:12">
      <c r="B38" s="78" t="s">
        <v>21</v>
      </c>
      <c r="C38" s="79">
        <v>54</v>
      </c>
      <c r="D38" s="79">
        <v>52.2</v>
      </c>
      <c r="E38" s="79">
        <v>57.9</v>
      </c>
      <c r="F38" s="79">
        <v>73</v>
      </c>
      <c r="G38" s="79">
        <v>17.2</v>
      </c>
      <c r="H38" s="79">
        <v>42.5</v>
      </c>
      <c r="I38" s="79">
        <v>71.5</v>
      </c>
      <c r="J38" s="79">
        <v>398</v>
      </c>
      <c r="K38" s="79">
        <v>589</v>
      </c>
      <c r="L38" s="79">
        <v>1041</v>
      </c>
    </row>
    <row r="39" spans="2:12">
      <c r="B39" s="78" t="s">
        <v>1294</v>
      </c>
      <c r="C39" s="79">
        <v>56</v>
      </c>
      <c r="D39" s="79">
        <v>54.2</v>
      </c>
      <c r="E39" s="79">
        <v>59.7</v>
      </c>
      <c r="F39" s="79">
        <v>72.5</v>
      </c>
      <c r="G39" s="79">
        <v>18.899999999999999</v>
      </c>
      <c r="H39" s="79">
        <v>42.7</v>
      </c>
      <c r="I39" s="79">
        <v>72</v>
      </c>
      <c r="J39" s="79">
        <v>405</v>
      </c>
      <c r="K39" s="79">
        <v>608</v>
      </c>
      <c r="L39" s="79">
        <v>1051</v>
      </c>
    </row>
    <row r="40" spans="2:12">
      <c r="B40" s="80" t="s">
        <v>1801</v>
      </c>
    </row>
    <row r="43" spans="2:12">
      <c r="B43" s="28" t="s">
        <v>2329</v>
      </c>
      <c r="C43" s="28" t="s">
        <v>17</v>
      </c>
      <c r="D43" s="28" t="s">
        <v>18</v>
      </c>
      <c r="E43" s="28" t="s">
        <v>19</v>
      </c>
      <c r="F43" s="28" t="s">
        <v>20</v>
      </c>
      <c r="G43" s="28" t="s">
        <v>21</v>
      </c>
      <c r="H43" s="28" t="s">
        <v>1294</v>
      </c>
    </row>
    <row r="44" spans="2:12">
      <c r="B44" s="28" t="s">
        <v>2220</v>
      </c>
      <c r="C44" s="28">
        <v>430</v>
      </c>
      <c r="D44" s="28">
        <v>430</v>
      </c>
      <c r="E44" s="28">
        <v>430</v>
      </c>
      <c r="F44" s="28">
        <v>450</v>
      </c>
      <c r="G44" s="28">
        <v>450</v>
      </c>
      <c r="H44" s="28">
        <v>450</v>
      </c>
    </row>
    <row r="45" spans="2:12">
      <c r="B45" s="28" t="s">
        <v>1646</v>
      </c>
      <c r="C45" s="28">
        <v>95</v>
      </c>
      <c r="D45" s="28">
        <v>95</v>
      </c>
      <c r="E45" s="28">
        <v>95</v>
      </c>
      <c r="F45" s="28">
        <v>115</v>
      </c>
      <c r="G45" s="28">
        <v>115</v>
      </c>
      <c r="H45" s="28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8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8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8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8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8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8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8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8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8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8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8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8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2057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8" t="s">
        <v>68</v>
      </c>
      <c r="B15" s="28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8" t="s">
        <v>498</v>
      </c>
      <c r="B16" s="28" t="s">
        <v>498</v>
      </c>
    </row>
    <row r="17" spans="1:14" ht="20">
      <c r="A17" s="28" t="s">
        <v>70</v>
      </c>
      <c r="B17" s="28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2328</v>
      </c>
    </row>
    <row r="18" spans="1:14" ht="20">
      <c r="A18" s="28" t="s">
        <v>71</v>
      </c>
      <c r="B18" s="28" t="s">
        <v>71</v>
      </c>
    </row>
    <row r="19" spans="1:14" ht="20">
      <c r="A19" s="28" t="s">
        <v>72</v>
      </c>
      <c r="B19" s="28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8" t="s">
        <v>69</v>
      </c>
      <c r="B20" s="28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8" t="s">
        <v>140</v>
      </c>
      <c r="B21" s="28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8" t="s">
        <v>141</v>
      </c>
      <c r="B22" s="28" t="s">
        <v>141</v>
      </c>
    </row>
    <row r="23" spans="1:14" ht="20">
      <c r="A23" s="28" t="s">
        <v>1758</v>
      </c>
      <c r="B23" s="28" t="s">
        <v>1758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8" t="s">
        <v>1759</v>
      </c>
      <c r="B24" s="28" t="s">
        <v>1759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2056</v>
      </c>
      <c r="B29" s="3" t="s">
        <v>2006</v>
      </c>
      <c r="C29" s="3" t="s">
        <v>1</v>
      </c>
      <c r="D29" s="3" t="s">
        <v>0</v>
      </c>
      <c r="E29" s="3" t="s">
        <v>2022</v>
      </c>
      <c r="F29" s="3" t="s">
        <v>1354</v>
      </c>
      <c r="G29" s="3" t="s">
        <v>2029</v>
      </c>
      <c r="H29" s="3" t="s">
        <v>2030</v>
      </c>
      <c r="I29" s="3" t="s">
        <v>2031</v>
      </c>
      <c r="J29" s="3" t="s">
        <v>10</v>
      </c>
      <c r="K29" s="3" t="s">
        <v>1353</v>
      </c>
      <c r="L29" s="3" t="s">
        <v>2044</v>
      </c>
      <c r="M29" s="3" t="s">
        <v>179</v>
      </c>
      <c r="N29" s="3" t="s">
        <v>2051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1294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2006</v>
      </c>
      <c r="C36" s="3" t="s">
        <v>1</v>
      </c>
      <c r="D36" s="3" t="s">
        <v>0</v>
      </c>
      <c r="E36" s="3" t="s">
        <v>2022</v>
      </c>
      <c r="F36" s="3" t="s">
        <v>1354</v>
      </c>
      <c r="G36" s="3" t="s">
        <v>2029</v>
      </c>
      <c r="H36" s="3" t="s">
        <v>2030</v>
      </c>
      <c r="I36" s="3" t="s">
        <v>2031</v>
      </c>
      <c r="J36" s="3" t="s">
        <v>10</v>
      </c>
      <c r="K36" s="3" t="s">
        <v>1353</v>
      </c>
      <c r="L36" s="3" t="s">
        <v>2044</v>
      </c>
      <c r="M36" s="3" t="s">
        <v>179</v>
      </c>
      <c r="N36" s="3" t="s">
        <v>2051</v>
      </c>
    </row>
    <row r="37" spans="1:14">
      <c r="A37" s="3" t="s">
        <v>2002</v>
      </c>
      <c r="B37" s="3" t="s">
        <v>2007</v>
      </c>
      <c r="C37" s="3" t="s">
        <v>2012</v>
      </c>
      <c r="D37" s="3" t="s">
        <v>2017</v>
      </c>
      <c r="E37" s="3" t="s">
        <v>2023</v>
      </c>
      <c r="F37" s="3" t="s">
        <v>2028</v>
      </c>
      <c r="G37" s="3">
        <v>69.3</v>
      </c>
      <c r="H37" s="3">
        <v>74.3</v>
      </c>
      <c r="I37" s="3" t="s">
        <v>2032</v>
      </c>
      <c r="J37" s="3" t="s">
        <v>2034</v>
      </c>
      <c r="K37" s="3" t="s">
        <v>2039</v>
      </c>
      <c r="L37" s="3" t="s">
        <v>2045</v>
      </c>
      <c r="M37" s="3" t="s">
        <v>2046</v>
      </c>
      <c r="N37" s="3" t="s">
        <v>2043</v>
      </c>
    </row>
    <row r="38" spans="1:14">
      <c r="A38" s="3" t="s">
        <v>2003</v>
      </c>
      <c r="B38" s="3" t="s">
        <v>2008</v>
      </c>
      <c r="C38" s="3" t="s">
        <v>2013</v>
      </c>
      <c r="D38" s="3" t="s">
        <v>2018</v>
      </c>
      <c r="E38" s="3" t="s">
        <v>2024</v>
      </c>
      <c r="F38" s="3" t="s">
        <v>2028</v>
      </c>
      <c r="G38" s="3">
        <v>69.400000000000006</v>
      </c>
      <c r="H38" s="3">
        <v>74.400000000000006</v>
      </c>
      <c r="I38" s="3" t="s">
        <v>2032</v>
      </c>
      <c r="J38" s="3" t="s">
        <v>2035</v>
      </c>
      <c r="K38" s="3" t="s">
        <v>2040</v>
      </c>
      <c r="L38" s="3" t="s">
        <v>2045</v>
      </c>
      <c r="M38" s="3" t="s">
        <v>2047</v>
      </c>
      <c r="N38" s="3" t="s">
        <v>2052</v>
      </c>
    </row>
    <row r="39" spans="1:14">
      <c r="A39" s="3" t="s">
        <v>2004</v>
      </c>
      <c r="B39" s="3" t="s">
        <v>2009</v>
      </c>
      <c r="C39" s="3" t="s">
        <v>2014</v>
      </c>
      <c r="D39" s="3" t="s">
        <v>2019</v>
      </c>
      <c r="E39" s="3" t="s">
        <v>2025</v>
      </c>
      <c r="F39" s="3" t="s">
        <v>2028</v>
      </c>
      <c r="G39" s="3">
        <v>69.400000000000006</v>
      </c>
      <c r="H39" s="3">
        <v>74.400000000000006</v>
      </c>
      <c r="I39" s="3" t="s">
        <v>2033</v>
      </c>
      <c r="J39" s="3" t="s">
        <v>2036</v>
      </c>
      <c r="K39" s="3" t="s">
        <v>2041</v>
      </c>
      <c r="L39" s="3" t="s">
        <v>2045</v>
      </c>
      <c r="M39" s="3" t="s">
        <v>2048</v>
      </c>
      <c r="N39" s="3" t="s">
        <v>2053</v>
      </c>
    </row>
    <row r="40" spans="1:14">
      <c r="A40" s="3" t="s">
        <v>2005</v>
      </c>
      <c r="B40" s="3" t="s">
        <v>2010</v>
      </c>
      <c r="C40" s="3" t="s">
        <v>2015</v>
      </c>
      <c r="D40" s="3" t="s">
        <v>2020</v>
      </c>
      <c r="E40" s="3" t="s">
        <v>2026</v>
      </c>
      <c r="F40" s="3" t="s">
        <v>2028</v>
      </c>
      <c r="G40" s="3">
        <v>69.400000000000006</v>
      </c>
      <c r="H40" s="3">
        <v>74.400000000000006</v>
      </c>
      <c r="I40" s="3" t="s">
        <v>2033</v>
      </c>
      <c r="J40" s="3" t="s">
        <v>2037</v>
      </c>
      <c r="K40" s="3" t="s">
        <v>2042</v>
      </c>
      <c r="L40" s="3" t="s">
        <v>2045</v>
      </c>
      <c r="M40" s="3" t="s">
        <v>2049</v>
      </c>
      <c r="N40" s="3" t="s">
        <v>2054</v>
      </c>
    </row>
    <row r="41" spans="1:14">
      <c r="A41" s="3" t="s">
        <v>2055</v>
      </c>
      <c r="B41" s="3" t="s">
        <v>2011</v>
      </c>
      <c r="C41" s="3" t="s">
        <v>2016</v>
      </c>
      <c r="D41" s="3" t="s">
        <v>2021</v>
      </c>
      <c r="E41" s="3" t="s">
        <v>2027</v>
      </c>
      <c r="F41" s="3" t="s">
        <v>2028</v>
      </c>
      <c r="G41" s="3">
        <v>69.400000000000006</v>
      </c>
      <c r="H41" s="3">
        <v>74.400000000000006</v>
      </c>
      <c r="I41" s="3" t="s">
        <v>2033</v>
      </c>
      <c r="J41" s="3" t="s">
        <v>2038</v>
      </c>
      <c r="K41" s="3" t="s">
        <v>2043</v>
      </c>
      <c r="L41" s="3" t="s">
        <v>2045</v>
      </c>
      <c r="M41" s="3" t="s">
        <v>2050</v>
      </c>
      <c r="N41" s="3" t="s">
        <v>2054</v>
      </c>
    </row>
    <row r="46" spans="1:14">
      <c r="C46" s="117" t="s">
        <v>2323</v>
      </c>
    </row>
    <row r="47" spans="1:14">
      <c r="C47" s="117" t="s">
        <v>2324</v>
      </c>
    </row>
    <row r="48" spans="1:14">
      <c r="C48" s="117" t="s">
        <v>2325</v>
      </c>
    </row>
    <row r="49" spans="3:3">
      <c r="C49" s="117" t="s">
        <v>2326</v>
      </c>
    </row>
    <row r="50" spans="3:3">
      <c r="C50" s="117" t="s">
        <v>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2022</vt:lpstr>
      <vt:lpstr>Chumba Terlingua steel fdo 2022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Flat-bar 2022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2023-07-02T01:07:32Z</dcterms:modified>
</cp:coreProperties>
</file>