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CurrentGroupMembersRottierLab\711671\ActiveManuscripts\Evelien Eenjes\Sox21 paper\eLife\Revision\EE 17052021 and Excel files\"/>
    </mc:Choice>
  </mc:AlternateContent>
  <bookViews>
    <workbookView xWindow="0" yWindow="0" windowWidth="28800" windowHeight="12300" firstSheet="10" activeTab="12"/>
  </bookViews>
  <sheets>
    <sheet name="Fig 4C Exp1_P63" sheetId="1" r:id="rId1"/>
    <sheet name="Fig 4C Exp1_Foxj1" sheetId="2" r:id="rId2"/>
    <sheet name="Fig 4C Exp2_P63" sheetId="3" r:id="rId3"/>
    <sheet name="Fig 4C Exp2_Foxj1" sheetId="5" r:id="rId4"/>
    <sheet name="Fig 4C Exp3_P63" sheetId="7" r:id="rId5"/>
    <sheet name="Fig 4C Exp3_Foxj1" sheetId="8" r:id="rId6"/>
    <sheet name="Fig 4C Total Trp63" sheetId="4" r:id="rId7"/>
    <sheet name="Fig 4C Total Foxj1" sheetId="6" r:id="rId8"/>
    <sheet name="Fig 4C Foxj1 Scatter" sheetId="9" r:id="rId9"/>
    <sheet name="Fig 4C Trp63 Scatter" sheetId="10" r:id="rId10"/>
    <sheet name="Sup Fig 4B Scatter total" sheetId="11" r:id="rId11"/>
    <sheet name="Fig 4D MTEC FOXJ1 SCGB3A1" sheetId="15" r:id="rId12"/>
    <sheet name="Fig 4E Adult CC10rTta" sheetId="14" r:id="rId13"/>
    <sheet name="Sup Fig 4C P63 P73 MTEC culture" sheetId="13" r:id="rId14"/>
    <sheet name="Sup Fig 4C Calculations" sheetId="12" r:id="rId15"/>
  </sheets>
  <definedNames>
    <definedName name="_xlnm._FilterDatabase" localSheetId="0" hidden="1">'Fig 4C Exp1_P63'!$E$3:$E$87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5" l="1"/>
  <c r="L19" i="15"/>
  <c r="K19" i="15"/>
  <c r="I19" i="15"/>
  <c r="H19" i="15"/>
  <c r="G19" i="15"/>
  <c r="E19" i="15"/>
  <c r="D19" i="15"/>
  <c r="C19" i="15"/>
  <c r="M9" i="15"/>
  <c r="L9" i="15"/>
  <c r="K9" i="15"/>
  <c r="I9" i="15"/>
  <c r="H9" i="15"/>
  <c r="G9" i="15"/>
  <c r="E9" i="15"/>
  <c r="D9" i="15"/>
  <c r="C9" i="15"/>
  <c r="H34" i="14"/>
  <c r="G34" i="14"/>
  <c r="G35" i="14" s="1"/>
  <c r="F34" i="14"/>
  <c r="F35" i="14" s="1"/>
  <c r="E34" i="14"/>
  <c r="D34" i="14"/>
  <c r="D35" i="14" s="1"/>
  <c r="H29" i="14"/>
  <c r="G29" i="14"/>
  <c r="G30" i="14" s="1"/>
  <c r="F29" i="14"/>
  <c r="F30" i="14" s="1"/>
  <c r="E29" i="14"/>
  <c r="D29" i="14"/>
  <c r="D30" i="14" s="1"/>
  <c r="H24" i="14"/>
  <c r="G24" i="14"/>
  <c r="G25" i="14" s="1"/>
  <c r="F24" i="14"/>
  <c r="F25" i="14" s="1"/>
  <c r="E24" i="14"/>
  <c r="D24" i="14"/>
  <c r="D25" i="14" s="1"/>
  <c r="Q17" i="14"/>
  <c r="P17" i="14"/>
  <c r="P18" i="14" s="1"/>
  <c r="O17" i="14"/>
  <c r="O18" i="14" s="1"/>
  <c r="N17" i="14"/>
  <c r="M17" i="14"/>
  <c r="M18" i="14" s="1"/>
  <c r="H17" i="14"/>
  <c r="G18" i="14" s="1"/>
  <c r="G17" i="14"/>
  <c r="F17" i="14"/>
  <c r="F18" i="14" s="1"/>
  <c r="E17" i="14"/>
  <c r="D17" i="14"/>
  <c r="D18" i="14" s="1"/>
  <c r="Q12" i="14"/>
  <c r="P12" i="14"/>
  <c r="P13" i="14" s="1"/>
  <c r="O12" i="14"/>
  <c r="O13" i="14" s="1"/>
  <c r="N12" i="14"/>
  <c r="M12" i="14"/>
  <c r="M13" i="14" s="1"/>
  <c r="H12" i="14"/>
  <c r="G13" i="14" s="1"/>
  <c r="G12" i="14"/>
  <c r="F12" i="14"/>
  <c r="F13" i="14" s="1"/>
  <c r="E12" i="14"/>
  <c r="D12" i="14"/>
  <c r="D13" i="14" s="1"/>
  <c r="Q7" i="14"/>
  <c r="P7" i="14"/>
  <c r="P8" i="14" s="1"/>
  <c r="O7" i="14"/>
  <c r="O8" i="14" s="1"/>
  <c r="N7" i="14"/>
  <c r="M7" i="14"/>
  <c r="M8" i="14" s="1"/>
  <c r="H7" i="14"/>
  <c r="G8" i="14" s="1"/>
  <c r="G7" i="14"/>
  <c r="F7" i="14"/>
  <c r="F8" i="14" s="1"/>
  <c r="E7" i="14"/>
  <c r="D7" i="14"/>
  <c r="D8" i="14" s="1"/>
  <c r="L63" i="13"/>
  <c r="K63" i="13"/>
  <c r="J63" i="13"/>
  <c r="I63" i="13"/>
  <c r="H63" i="13"/>
  <c r="G63" i="13"/>
  <c r="F63" i="13"/>
  <c r="E63" i="13"/>
  <c r="D63" i="13"/>
  <c r="H62" i="13"/>
  <c r="M61" i="13"/>
  <c r="H61" i="13"/>
  <c r="M60" i="13"/>
  <c r="M63" i="13" s="1"/>
  <c r="H60" i="13"/>
  <c r="M58" i="13"/>
  <c r="L58" i="13"/>
  <c r="K58" i="13"/>
  <c r="J58" i="13"/>
  <c r="I58" i="13"/>
  <c r="H58" i="13"/>
  <c r="G58" i="13"/>
  <c r="F58" i="13"/>
  <c r="E58" i="13"/>
  <c r="D58" i="13"/>
  <c r="L53" i="13"/>
  <c r="K53" i="13"/>
  <c r="J53" i="13"/>
  <c r="I53" i="13"/>
  <c r="G53" i="13"/>
  <c r="F53" i="13"/>
  <c r="E53" i="13"/>
  <c r="D53" i="13"/>
  <c r="M52" i="13"/>
  <c r="H52" i="13"/>
  <c r="M51" i="13"/>
  <c r="H51" i="13"/>
  <c r="M50" i="13"/>
  <c r="M53" i="13" s="1"/>
  <c r="H50" i="13"/>
  <c r="H53" i="13" s="1"/>
  <c r="L43" i="13"/>
  <c r="K43" i="13"/>
  <c r="J43" i="13"/>
  <c r="I43" i="13"/>
  <c r="G43" i="13"/>
  <c r="F43" i="13"/>
  <c r="E43" i="13"/>
  <c r="D43" i="13"/>
  <c r="M40" i="13"/>
  <c r="M43" i="13" s="1"/>
  <c r="H40" i="13"/>
  <c r="H43" i="13" s="1"/>
  <c r="L38" i="13"/>
  <c r="K38" i="13"/>
  <c r="J38" i="13"/>
  <c r="I38" i="13"/>
  <c r="G38" i="13"/>
  <c r="F38" i="13"/>
  <c r="E38" i="13"/>
  <c r="D38" i="13"/>
  <c r="M37" i="13"/>
  <c r="H37" i="13"/>
  <c r="M36" i="13"/>
  <c r="H36" i="13"/>
  <c r="M35" i="13"/>
  <c r="M38" i="13" s="1"/>
  <c r="H35" i="13"/>
  <c r="H38" i="13" s="1"/>
  <c r="L32" i="13"/>
  <c r="K32" i="13"/>
  <c r="J32" i="13"/>
  <c r="I32" i="13"/>
  <c r="G32" i="13"/>
  <c r="F32" i="13"/>
  <c r="E32" i="13"/>
  <c r="D32" i="13"/>
  <c r="M31" i="13"/>
  <c r="H31" i="13"/>
  <c r="M30" i="13"/>
  <c r="H30" i="13"/>
  <c r="M29" i="13"/>
  <c r="M32" i="13" s="1"/>
  <c r="H29" i="13"/>
  <c r="H32" i="13" s="1"/>
  <c r="L21" i="13"/>
  <c r="K21" i="13"/>
  <c r="J21" i="13"/>
  <c r="I21" i="13"/>
  <c r="G21" i="13"/>
  <c r="F21" i="13"/>
  <c r="E21" i="13"/>
  <c r="D21" i="13"/>
  <c r="N20" i="13"/>
  <c r="M20" i="13"/>
  <c r="H20" i="13"/>
  <c r="M19" i="13"/>
  <c r="N19" i="13" s="1"/>
  <c r="H19" i="13"/>
  <c r="N18" i="13"/>
  <c r="M18" i="13"/>
  <c r="H18" i="13"/>
  <c r="H21" i="13" s="1"/>
  <c r="L16" i="13"/>
  <c r="K16" i="13"/>
  <c r="J16" i="13"/>
  <c r="I16" i="13"/>
  <c r="G16" i="13"/>
  <c r="F16" i="13"/>
  <c r="E16" i="13"/>
  <c r="D16" i="13"/>
  <c r="M15" i="13"/>
  <c r="N15" i="13" s="1"/>
  <c r="H15" i="13"/>
  <c r="N14" i="13"/>
  <c r="M14" i="13"/>
  <c r="H14" i="13"/>
  <c r="H16" i="13" s="1"/>
  <c r="M13" i="13"/>
  <c r="M16" i="13" s="1"/>
  <c r="N16" i="13" s="1"/>
  <c r="H13" i="13"/>
  <c r="L10" i="13"/>
  <c r="K10" i="13"/>
  <c r="J10" i="13"/>
  <c r="I10" i="13"/>
  <c r="G10" i="13"/>
  <c r="N10" i="13" s="1"/>
  <c r="F10" i="13"/>
  <c r="E10" i="13"/>
  <c r="D10" i="13"/>
  <c r="N9" i="13"/>
  <c r="M9" i="13"/>
  <c r="H9" i="13"/>
  <c r="M8" i="13"/>
  <c r="M10" i="13" s="1"/>
  <c r="H8" i="13"/>
  <c r="N7" i="13"/>
  <c r="M7" i="13"/>
  <c r="H7" i="13"/>
  <c r="H10" i="13" s="1"/>
  <c r="F98" i="12"/>
  <c r="G97" i="12"/>
  <c r="C97" i="12"/>
  <c r="H96" i="12"/>
  <c r="D96" i="12"/>
  <c r="H92" i="12"/>
  <c r="C92" i="12"/>
  <c r="C91" i="12"/>
  <c r="H90" i="12"/>
  <c r="C90" i="12"/>
  <c r="H89" i="12"/>
  <c r="C89" i="12"/>
  <c r="H88" i="12"/>
  <c r="C88" i="12"/>
  <c r="H87" i="12"/>
  <c r="C87" i="12"/>
  <c r="H86" i="12"/>
  <c r="H91" i="12" s="1"/>
  <c r="C86" i="12"/>
  <c r="P85" i="12"/>
  <c r="M89" i="12" s="1"/>
  <c r="O85" i="12"/>
  <c r="M90" i="12" s="1"/>
  <c r="N85" i="12"/>
  <c r="M87" i="12" s="1"/>
  <c r="M92" i="12" s="1"/>
  <c r="M85" i="12"/>
  <c r="M88" i="12" s="1"/>
  <c r="P76" i="12"/>
  <c r="O76" i="12"/>
  <c r="N76" i="12"/>
  <c r="M76" i="12"/>
  <c r="H74" i="12"/>
  <c r="F100" i="12" s="1"/>
  <c r="H73" i="12"/>
  <c r="F99" i="12" s="1"/>
  <c r="C73" i="12"/>
  <c r="C99" i="12" s="1"/>
  <c r="H72" i="12"/>
  <c r="C72" i="12"/>
  <c r="C98" i="12" s="1"/>
  <c r="H71" i="12"/>
  <c r="F97" i="12" s="1"/>
  <c r="C71" i="12"/>
  <c r="H70" i="12"/>
  <c r="F96" i="12" s="1"/>
  <c r="C70" i="12"/>
  <c r="C96" i="12" s="1"/>
  <c r="H69" i="12"/>
  <c r="C69" i="12"/>
  <c r="C74" i="12" s="1"/>
  <c r="C100" i="12" s="1"/>
  <c r="H68" i="12"/>
  <c r="C68" i="12"/>
  <c r="P67" i="12"/>
  <c r="M71" i="12" s="1"/>
  <c r="I97" i="12" s="1"/>
  <c r="O67" i="12"/>
  <c r="M72" i="12" s="1"/>
  <c r="N67" i="12"/>
  <c r="M69" i="12" s="1"/>
  <c r="M74" i="12" s="1"/>
  <c r="I100" i="12" s="1"/>
  <c r="M67" i="12"/>
  <c r="M68" i="12" s="1"/>
  <c r="M73" i="12" s="1"/>
  <c r="H62" i="12"/>
  <c r="H61" i="12"/>
  <c r="C61" i="12"/>
  <c r="H60" i="12"/>
  <c r="C60" i="12"/>
  <c r="H59" i="12"/>
  <c r="C59" i="12"/>
  <c r="H58" i="12"/>
  <c r="H63" i="12" s="1"/>
  <c r="C58" i="12"/>
  <c r="C63" i="12" s="1"/>
  <c r="H57" i="12"/>
  <c r="C57" i="12"/>
  <c r="C62" i="12" s="1"/>
  <c r="P56" i="12"/>
  <c r="O56" i="12"/>
  <c r="M61" i="12" s="1"/>
  <c r="N56" i="12"/>
  <c r="M60" i="12" s="1"/>
  <c r="M56" i="12"/>
  <c r="M57" i="12" s="1"/>
  <c r="M62" i="12" s="1"/>
  <c r="C54" i="12"/>
  <c r="H52" i="12"/>
  <c r="C52" i="12"/>
  <c r="H51" i="12"/>
  <c r="C51" i="12"/>
  <c r="H50" i="12"/>
  <c r="C50" i="12"/>
  <c r="H49" i="12"/>
  <c r="H54" i="12" s="1"/>
  <c r="C49" i="12"/>
  <c r="H48" i="12"/>
  <c r="H53" i="12" s="1"/>
  <c r="C48" i="12"/>
  <c r="C53" i="12" s="1"/>
  <c r="P47" i="12"/>
  <c r="O47" i="12"/>
  <c r="M52" i="12" s="1"/>
  <c r="N47" i="12"/>
  <c r="M51" i="12" s="1"/>
  <c r="M47" i="12"/>
  <c r="M50" i="12" s="1"/>
  <c r="H45" i="12"/>
  <c r="C45" i="12"/>
  <c r="C44" i="12"/>
  <c r="H43" i="12"/>
  <c r="H98" i="12" s="1"/>
  <c r="C43" i="12"/>
  <c r="E98" i="12" s="1"/>
  <c r="H42" i="12"/>
  <c r="H97" i="12" s="1"/>
  <c r="C42" i="12"/>
  <c r="E97" i="12" s="1"/>
  <c r="H41" i="12"/>
  <c r="C41" i="12"/>
  <c r="E96" i="12" s="1"/>
  <c r="H40" i="12"/>
  <c r="C40" i="12"/>
  <c r="H39" i="12"/>
  <c r="H44" i="12" s="1"/>
  <c r="C39" i="12"/>
  <c r="P38" i="12"/>
  <c r="M42" i="12" s="1"/>
  <c r="O38" i="12"/>
  <c r="M43" i="12" s="1"/>
  <c r="K98" i="12" s="1"/>
  <c r="N38" i="12"/>
  <c r="M40" i="12" s="1"/>
  <c r="M45" i="12" s="1"/>
  <c r="M38" i="12"/>
  <c r="M41" i="12" s="1"/>
  <c r="H30" i="12"/>
  <c r="H29" i="12"/>
  <c r="C29" i="12"/>
  <c r="H28" i="12"/>
  <c r="C28" i="12"/>
  <c r="H27" i="12"/>
  <c r="C27" i="12"/>
  <c r="H26" i="12"/>
  <c r="C26" i="12"/>
  <c r="H25" i="12"/>
  <c r="C25" i="12"/>
  <c r="C30" i="12" s="1"/>
  <c r="H24" i="12"/>
  <c r="C24" i="12"/>
  <c r="P23" i="12"/>
  <c r="M27" i="12" s="1"/>
  <c r="O23" i="12"/>
  <c r="M28" i="12" s="1"/>
  <c r="N23" i="12"/>
  <c r="M25" i="12" s="1"/>
  <c r="M30" i="12" s="1"/>
  <c r="M23" i="12"/>
  <c r="M24" i="12" s="1"/>
  <c r="M29" i="12" s="1"/>
  <c r="H20" i="12"/>
  <c r="H19" i="12"/>
  <c r="C19" i="12"/>
  <c r="H18" i="12"/>
  <c r="C18" i="12"/>
  <c r="H17" i="12"/>
  <c r="C17" i="12"/>
  <c r="H16" i="12"/>
  <c r="H21" i="12" s="1"/>
  <c r="C16" i="12"/>
  <c r="C21" i="12" s="1"/>
  <c r="D100" i="12" s="1"/>
  <c r="H15" i="12"/>
  <c r="C15" i="12"/>
  <c r="C20" i="12" s="1"/>
  <c r="P14" i="12"/>
  <c r="O14" i="12"/>
  <c r="M19" i="12" s="1"/>
  <c r="N14" i="12"/>
  <c r="M18" i="12" s="1"/>
  <c r="M14" i="12"/>
  <c r="M15" i="12" s="1"/>
  <c r="M20" i="12" s="1"/>
  <c r="C12" i="12"/>
  <c r="H10" i="12"/>
  <c r="G98" i="12" s="1"/>
  <c r="C10" i="12"/>
  <c r="D98" i="12" s="1"/>
  <c r="H9" i="12"/>
  <c r="C9" i="12"/>
  <c r="D97" i="12" s="1"/>
  <c r="H8" i="12"/>
  <c r="G96" i="12" s="1"/>
  <c r="C8" i="12"/>
  <c r="H7" i="12"/>
  <c r="H12" i="12" s="1"/>
  <c r="C7" i="12"/>
  <c r="H6" i="12"/>
  <c r="H11" i="12" s="1"/>
  <c r="G99" i="12" s="1"/>
  <c r="C6" i="12"/>
  <c r="C11" i="12" s="1"/>
  <c r="P5" i="12"/>
  <c r="O5" i="12"/>
  <c r="M10" i="12" s="1"/>
  <c r="N5" i="12"/>
  <c r="M9" i="12" s="1"/>
  <c r="J97" i="12" s="1"/>
  <c r="M5" i="12"/>
  <c r="M8" i="12" s="1"/>
  <c r="N22" i="13" l="1"/>
  <c r="N11" i="13"/>
  <c r="M21" i="13"/>
  <c r="N21" i="13" s="1"/>
  <c r="N8" i="13"/>
  <c r="N13" i="13"/>
  <c r="N17" i="13" s="1"/>
  <c r="J98" i="12"/>
  <c r="K97" i="12"/>
  <c r="E100" i="12"/>
  <c r="I99" i="12"/>
  <c r="G100" i="12"/>
  <c r="H100" i="12"/>
  <c r="J96" i="12"/>
  <c r="D99" i="12"/>
  <c r="H99" i="12"/>
  <c r="E99" i="12"/>
  <c r="I98" i="12"/>
  <c r="M7" i="12"/>
  <c r="M12" i="12" s="1"/>
  <c r="J100" i="12" s="1"/>
  <c r="M17" i="12"/>
  <c r="M39" i="12"/>
  <c r="M44" i="12" s="1"/>
  <c r="K99" i="12" s="1"/>
  <c r="M49" i="12"/>
  <c r="M54" i="12" s="1"/>
  <c r="M59" i="12"/>
  <c r="K96" i="12" s="1"/>
  <c r="M86" i="12"/>
  <c r="M91" i="12" s="1"/>
  <c r="M6" i="12"/>
  <c r="M11" i="12" s="1"/>
  <c r="J99" i="12" s="1"/>
  <c r="M16" i="12"/>
  <c r="M21" i="12" s="1"/>
  <c r="M26" i="12"/>
  <c r="M48" i="12"/>
  <c r="M53" i="12" s="1"/>
  <c r="M58" i="12"/>
  <c r="M63" i="12" s="1"/>
  <c r="K100" i="12" s="1"/>
  <c r="M70" i="12"/>
  <c r="I96" i="12" s="1"/>
  <c r="G4" i="1"/>
  <c r="AK69" i="7"/>
  <c r="AM4" i="7"/>
  <c r="AL69" i="7"/>
  <c r="AN4" i="7"/>
  <c r="AM5" i="7"/>
  <c r="AN5" i="7"/>
  <c r="AM6" i="7"/>
  <c r="AN6" i="7"/>
  <c r="AM7" i="7"/>
  <c r="AN7" i="7"/>
  <c r="AM8" i="7"/>
  <c r="AN8" i="7"/>
  <c r="AM9" i="7"/>
  <c r="AN9" i="7"/>
  <c r="AM10" i="7"/>
  <c r="AN10" i="7"/>
  <c r="AM11" i="7"/>
  <c r="AN11" i="7"/>
  <c r="AM12" i="7"/>
  <c r="AN12" i="7"/>
  <c r="AM13" i="7"/>
  <c r="AN13" i="7"/>
  <c r="AM14" i="7"/>
  <c r="AN14" i="7"/>
  <c r="AM15" i="7"/>
  <c r="AN15" i="7"/>
  <c r="AM16" i="7"/>
  <c r="AN16" i="7"/>
  <c r="AM17" i="7"/>
  <c r="AN17" i="7"/>
  <c r="AM18" i="7"/>
  <c r="AN18" i="7"/>
  <c r="AM19" i="7"/>
  <c r="AN19" i="7"/>
  <c r="AM20" i="7"/>
  <c r="AN20" i="7"/>
  <c r="AM21" i="7"/>
  <c r="AN21" i="7"/>
  <c r="AM22" i="7"/>
  <c r="AN22" i="7"/>
  <c r="AM23" i="7"/>
  <c r="AN23" i="7"/>
  <c r="AM24" i="7"/>
  <c r="AN24" i="7"/>
  <c r="AM25" i="7"/>
  <c r="AN25" i="7"/>
  <c r="AM26" i="7"/>
  <c r="AN26" i="7"/>
  <c r="AM27" i="7"/>
  <c r="AN27" i="7"/>
  <c r="AM28" i="7"/>
  <c r="AN28" i="7"/>
  <c r="AM29" i="7"/>
  <c r="AN29" i="7"/>
  <c r="AM30" i="7"/>
  <c r="AN30" i="7"/>
  <c r="AM31" i="7"/>
  <c r="AN31" i="7"/>
  <c r="AM32" i="7"/>
  <c r="AN32" i="7"/>
  <c r="AM33" i="7"/>
  <c r="AN33" i="7"/>
  <c r="AM34" i="7"/>
  <c r="AN34" i="7"/>
  <c r="AM35" i="7"/>
  <c r="AN35" i="7"/>
  <c r="AM36" i="7"/>
  <c r="AN36" i="7"/>
  <c r="AM37" i="7"/>
  <c r="AN37" i="7"/>
  <c r="AM38" i="7"/>
  <c r="AN38" i="7"/>
  <c r="AM39" i="7"/>
  <c r="AN39" i="7"/>
  <c r="AM40" i="7"/>
  <c r="AN40" i="7"/>
  <c r="AM41" i="7"/>
  <c r="AN41" i="7"/>
  <c r="AM42" i="7"/>
  <c r="AN42" i="7"/>
  <c r="AM43" i="7"/>
  <c r="AN43" i="7"/>
  <c r="AM44" i="7"/>
  <c r="AN44" i="7"/>
  <c r="AM45" i="7"/>
  <c r="AN45" i="7"/>
  <c r="AM46" i="7"/>
  <c r="AN46" i="7"/>
  <c r="AM47" i="7"/>
  <c r="AN47" i="7"/>
  <c r="AM48" i="7"/>
  <c r="AN48" i="7"/>
  <c r="AM49" i="7"/>
  <c r="AN49" i="7"/>
  <c r="AM50" i="7"/>
  <c r="AN50" i="7"/>
  <c r="AM51" i="7"/>
  <c r="AN51" i="7"/>
  <c r="AM52" i="7"/>
  <c r="AN52" i="7"/>
  <c r="AM53" i="7"/>
  <c r="AN53" i="7"/>
  <c r="AM54" i="7"/>
  <c r="AN54" i="7"/>
  <c r="AM55" i="7"/>
  <c r="AN55" i="7"/>
  <c r="AM56" i="7"/>
  <c r="AN56" i="7"/>
  <c r="AM57" i="7"/>
  <c r="AN57" i="7"/>
  <c r="AM58" i="7"/>
  <c r="AN58" i="7"/>
  <c r="AM59" i="7"/>
  <c r="AN59" i="7"/>
  <c r="AM60" i="7"/>
  <c r="AN60" i="7"/>
  <c r="AM61" i="7"/>
  <c r="AN61" i="7"/>
  <c r="AM62" i="7"/>
  <c r="AN62" i="7"/>
  <c r="AM63" i="7"/>
  <c r="AN63" i="7"/>
  <c r="AM64" i="7"/>
  <c r="AN64" i="7"/>
  <c r="AM65" i="7"/>
  <c r="AN65" i="7"/>
  <c r="AM66" i="7"/>
  <c r="AN66" i="7"/>
  <c r="AM67" i="7"/>
  <c r="AN67" i="7"/>
  <c r="AM68" i="7"/>
  <c r="AN68" i="7"/>
  <c r="AN3" i="7"/>
  <c r="AM3" i="7"/>
  <c r="AD75" i="7"/>
  <c r="AF4" i="7"/>
  <c r="AE75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2" i="7"/>
  <c r="AG12" i="7"/>
  <c r="AF13" i="7"/>
  <c r="AG13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4" i="7"/>
  <c r="AG24" i="7"/>
  <c r="AF25" i="7"/>
  <c r="AG25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6" i="7"/>
  <c r="AG36" i="7"/>
  <c r="AF37" i="7"/>
  <c r="AG37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F48" i="7"/>
  <c r="AG48" i="7"/>
  <c r="AF49" i="7"/>
  <c r="AG49" i="7"/>
  <c r="AF50" i="7"/>
  <c r="AG50" i="7"/>
  <c r="AF51" i="7"/>
  <c r="AG51" i="7"/>
  <c r="AF52" i="7"/>
  <c r="AG52" i="7"/>
  <c r="AF53" i="7"/>
  <c r="AG53" i="7"/>
  <c r="AF54" i="7"/>
  <c r="AG54" i="7"/>
  <c r="AF55" i="7"/>
  <c r="AG55" i="7"/>
  <c r="AF56" i="7"/>
  <c r="AG56" i="7"/>
  <c r="AF57" i="7"/>
  <c r="AG57" i="7"/>
  <c r="AF58" i="7"/>
  <c r="AG58" i="7"/>
  <c r="AF59" i="7"/>
  <c r="AG59" i="7"/>
  <c r="AF60" i="7"/>
  <c r="AG60" i="7"/>
  <c r="AF61" i="7"/>
  <c r="AG61" i="7"/>
  <c r="AF62" i="7"/>
  <c r="AG62" i="7"/>
  <c r="AF63" i="7"/>
  <c r="AG63" i="7"/>
  <c r="AF64" i="7"/>
  <c r="AG64" i="7"/>
  <c r="AF65" i="7"/>
  <c r="AG65" i="7"/>
  <c r="AF66" i="7"/>
  <c r="AG66" i="7"/>
  <c r="AF67" i="7"/>
  <c r="AG67" i="7"/>
  <c r="AF68" i="7"/>
  <c r="AG68" i="7"/>
  <c r="AF69" i="7"/>
  <c r="AG69" i="7"/>
  <c r="AF70" i="7"/>
  <c r="AG70" i="7"/>
  <c r="AF71" i="7"/>
  <c r="AG71" i="7"/>
  <c r="AF72" i="7"/>
  <c r="AG72" i="7"/>
  <c r="AF73" i="7"/>
  <c r="AG73" i="7"/>
  <c r="AF74" i="7"/>
  <c r="AG74" i="7"/>
  <c r="AG3" i="7"/>
  <c r="AF3" i="7"/>
  <c r="W80" i="7"/>
  <c r="Y4" i="7"/>
  <c r="X80" i="7"/>
  <c r="Z4" i="7"/>
  <c r="Y5" i="7"/>
  <c r="Z5" i="7"/>
  <c r="Y6" i="7"/>
  <c r="Z6" i="7"/>
  <c r="Y7" i="7"/>
  <c r="Z7" i="7"/>
  <c r="Y8" i="7"/>
  <c r="Z8" i="7"/>
  <c r="Y9" i="7"/>
  <c r="Z9" i="7"/>
  <c r="Y10" i="7"/>
  <c r="Z10" i="7"/>
  <c r="Y11" i="7"/>
  <c r="Z11" i="7"/>
  <c r="Y12" i="7"/>
  <c r="Z12" i="7"/>
  <c r="Y13" i="7"/>
  <c r="Z13" i="7"/>
  <c r="Y14" i="7"/>
  <c r="Z14" i="7"/>
  <c r="Y15" i="7"/>
  <c r="Z15" i="7"/>
  <c r="Y16" i="7"/>
  <c r="Z16" i="7"/>
  <c r="Y17" i="7"/>
  <c r="Z17" i="7"/>
  <c r="Y18" i="7"/>
  <c r="Z18" i="7"/>
  <c r="Y19" i="7"/>
  <c r="Z19" i="7"/>
  <c r="Y20" i="7"/>
  <c r="Z20" i="7"/>
  <c r="Y21" i="7"/>
  <c r="Z21" i="7"/>
  <c r="Y22" i="7"/>
  <c r="Z22" i="7"/>
  <c r="Y23" i="7"/>
  <c r="Z23" i="7"/>
  <c r="Y24" i="7"/>
  <c r="Z24" i="7"/>
  <c r="Y25" i="7"/>
  <c r="Z25" i="7"/>
  <c r="Y26" i="7"/>
  <c r="Z26" i="7"/>
  <c r="Y27" i="7"/>
  <c r="Z27" i="7"/>
  <c r="Y28" i="7"/>
  <c r="Z28" i="7"/>
  <c r="Y29" i="7"/>
  <c r="Z29" i="7"/>
  <c r="Y30" i="7"/>
  <c r="Z30" i="7"/>
  <c r="Y31" i="7"/>
  <c r="Z31" i="7"/>
  <c r="Y32" i="7"/>
  <c r="Z32" i="7"/>
  <c r="Y33" i="7"/>
  <c r="Z33" i="7"/>
  <c r="Y34" i="7"/>
  <c r="Z34" i="7"/>
  <c r="Y35" i="7"/>
  <c r="Z35" i="7"/>
  <c r="Y36" i="7"/>
  <c r="Z36" i="7"/>
  <c r="Y37" i="7"/>
  <c r="Z37" i="7"/>
  <c r="Y38" i="7"/>
  <c r="Z38" i="7"/>
  <c r="Y39" i="7"/>
  <c r="Z39" i="7"/>
  <c r="Y40" i="7"/>
  <c r="Z40" i="7"/>
  <c r="Y41" i="7"/>
  <c r="Z41" i="7"/>
  <c r="Y42" i="7"/>
  <c r="Z42" i="7"/>
  <c r="Y43" i="7"/>
  <c r="Z43" i="7"/>
  <c r="Y44" i="7"/>
  <c r="Z44" i="7"/>
  <c r="Y45" i="7"/>
  <c r="Z45" i="7"/>
  <c r="Y46" i="7"/>
  <c r="Z46" i="7"/>
  <c r="Y47" i="7"/>
  <c r="Z47" i="7"/>
  <c r="Y48" i="7"/>
  <c r="Z48" i="7"/>
  <c r="Y49" i="7"/>
  <c r="Z49" i="7"/>
  <c r="Y50" i="7"/>
  <c r="Z50" i="7"/>
  <c r="Y51" i="7"/>
  <c r="Z51" i="7"/>
  <c r="Y52" i="7"/>
  <c r="Z52" i="7"/>
  <c r="Y53" i="7"/>
  <c r="Z53" i="7"/>
  <c r="Y54" i="7"/>
  <c r="Z54" i="7"/>
  <c r="Y55" i="7"/>
  <c r="Z55" i="7"/>
  <c r="Y56" i="7"/>
  <c r="Z56" i="7"/>
  <c r="Y57" i="7"/>
  <c r="Z57" i="7"/>
  <c r="Y58" i="7"/>
  <c r="Z58" i="7"/>
  <c r="Y59" i="7"/>
  <c r="Z59" i="7"/>
  <c r="Y60" i="7"/>
  <c r="Z60" i="7"/>
  <c r="Y61" i="7"/>
  <c r="Z61" i="7"/>
  <c r="Y62" i="7"/>
  <c r="Z62" i="7"/>
  <c r="Y63" i="7"/>
  <c r="Z63" i="7"/>
  <c r="Y64" i="7"/>
  <c r="Z64" i="7"/>
  <c r="Y65" i="7"/>
  <c r="Z65" i="7"/>
  <c r="Y66" i="7"/>
  <c r="Z66" i="7"/>
  <c r="Y67" i="7"/>
  <c r="Z67" i="7"/>
  <c r="Y68" i="7"/>
  <c r="Z68" i="7"/>
  <c r="Y69" i="7"/>
  <c r="Z69" i="7"/>
  <c r="Y70" i="7"/>
  <c r="Z70" i="7"/>
  <c r="Y71" i="7"/>
  <c r="Z71" i="7"/>
  <c r="Y72" i="7"/>
  <c r="Z72" i="7"/>
  <c r="Y73" i="7"/>
  <c r="Z73" i="7"/>
  <c r="Y74" i="7"/>
  <c r="Z74" i="7"/>
  <c r="Y75" i="7"/>
  <c r="Z75" i="7"/>
  <c r="Y76" i="7"/>
  <c r="Z76" i="7"/>
  <c r="Y77" i="7"/>
  <c r="Z77" i="7"/>
  <c r="Y78" i="7"/>
  <c r="Z78" i="7"/>
  <c r="Y79" i="7"/>
  <c r="Z79" i="7"/>
  <c r="Z3" i="7"/>
  <c r="Y3" i="7"/>
  <c r="P76" i="7"/>
  <c r="R4" i="7"/>
  <c r="Q76" i="7"/>
  <c r="S4" i="7"/>
  <c r="R5" i="7"/>
  <c r="S5" i="7"/>
  <c r="R6" i="7"/>
  <c r="S6" i="7"/>
  <c r="R7" i="7"/>
  <c r="S7" i="7"/>
  <c r="R8" i="7"/>
  <c r="S8" i="7"/>
  <c r="R9" i="7"/>
  <c r="S9" i="7"/>
  <c r="R10" i="7"/>
  <c r="S10" i="7"/>
  <c r="R11" i="7"/>
  <c r="S11" i="7"/>
  <c r="R12" i="7"/>
  <c r="S12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S3" i="7"/>
  <c r="R3" i="7"/>
  <c r="AF79" i="3"/>
  <c r="AI4" i="3"/>
  <c r="AG79" i="3"/>
  <c r="AJ4" i="3"/>
  <c r="AI5" i="3"/>
  <c r="AJ5" i="3"/>
  <c r="AI6" i="3"/>
  <c r="AJ6" i="3"/>
  <c r="AI7" i="3"/>
  <c r="AJ7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I27" i="3"/>
  <c r="AJ27" i="3"/>
  <c r="AI28" i="3"/>
  <c r="AJ28" i="3"/>
  <c r="AI29" i="3"/>
  <c r="AJ29" i="3"/>
  <c r="AI30" i="3"/>
  <c r="AJ30" i="3"/>
  <c r="AI31" i="3"/>
  <c r="AJ31" i="3"/>
  <c r="AI32" i="3"/>
  <c r="AJ32" i="3"/>
  <c r="AI33" i="3"/>
  <c r="AJ33" i="3"/>
  <c r="AI34" i="3"/>
  <c r="AJ34" i="3"/>
  <c r="AI35" i="3"/>
  <c r="AJ35" i="3"/>
  <c r="AI36" i="3"/>
  <c r="AJ36" i="3"/>
  <c r="AI37" i="3"/>
  <c r="AJ37" i="3"/>
  <c r="AI38" i="3"/>
  <c r="AJ38" i="3"/>
  <c r="AI39" i="3"/>
  <c r="AJ39" i="3"/>
  <c r="AI40" i="3"/>
  <c r="AJ40" i="3"/>
  <c r="AI41" i="3"/>
  <c r="AJ41" i="3"/>
  <c r="AI42" i="3"/>
  <c r="AJ42" i="3"/>
  <c r="AI43" i="3"/>
  <c r="AJ43" i="3"/>
  <c r="AI44" i="3"/>
  <c r="AJ44" i="3"/>
  <c r="AI45" i="3"/>
  <c r="AJ45" i="3"/>
  <c r="AI46" i="3"/>
  <c r="AJ46" i="3"/>
  <c r="AI47" i="3"/>
  <c r="AJ47" i="3"/>
  <c r="AI48" i="3"/>
  <c r="AJ48" i="3"/>
  <c r="AI49" i="3"/>
  <c r="AJ49" i="3"/>
  <c r="AI50" i="3"/>
  <c r="AJ50" i="3"/>
  <c r="AI51" i="3"/>
  <c r="AJ51" i="3"/>
  <c r="AI52" i="3"/>
  <c r="AJ52" i="3"/>
  <c r="AI53" i="3"/>
  <c r="AJ53" i="3"/>
  <c r="AI54" i="3"/>
  <c r="AJ54" i="3"/>
  <c r="AI55" i="3"/>
  <c r="AJ55" i="3"/>
  <c r="AI56" i="3"/>
  <c r="AJ56" i="3"/>
  <c r="AI57" i="3"/>
  <c r="AJ57" i="3"/>
  <c r="AI58" i="3"/>
  <c r="AJ58" i="3"/>
  <c r="AI59" i="3"/>
  <c r="AJ59" i="3"/>
  <c r="AI60" i="3"/>
  <c r="AJ60" i="3"/>
  <c r="AI61" i="3"/>
  <c r="AJ61" i="3"/>
  <c r="AI62" i="3"/>
  <c r="AJ62" i="3"/>
  <c r="AI63" i="3"/>
  <c r="AJ63" i="3"/>
  <c r="AI64" i="3"/>
  <c r="AJ64" i="3"/>
  <c r="AI65" i="3"/>
  <c r="AJ65" i="3"/>
  <c r="AI66" i="3"/>
  <c r="AJ66" i="3"/>
  <c r="AI67" i="3"/>
  <c r="AJ67" i="3"/>
  <c r="AI68" i="3"/>
  <c r="AJ68" i="3"/>
  <c r="AI69" i="3"/>
  <c r="AJ69" i="3"/>
  <c r="AI70" i="3"/>
  <c r="AJ70" i="3"/>
  <c r="AI71" i="3"/>
  <c r="AJ71" i="3"/>
  <c r="AI72" i="3"/>
  <c r="AJ72" i="3"/>
  <c r="AI73" i="3"/>
  <c r="AJ73" i="3"/>
  <c r="AI74" i="3"/>
  <c r="AJ74" i="3"/>
  <c r="AI75" i="3"/>
  <c r="AJ75" i="3"/>
  <c r="AI76" i="3"/>
  <c r="AJ76" i="3"/>
  <c r="AI77" i="3"/>
  <c r="AJ77" i="3"/>
  <c r="AI78" i="3"/>
  <c r="AJ78" i="3"/>
  <c r="AJ3" i="3"/>
  <c r="AI3" i="3"/>
  <c r="Q68" i="3"/>
  <c r="T4" i="3"/>
  <c r="R68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3" i="3"/>
  <c r="U3" i="3"/>
  <c r="J69" i="3"/>
  <c r="M4" i="3"/>
  <c r="K69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N3" i="3"/>
  <c r="M3" i="3"/>
  <c r="C78" i="3"/>
  <c r="F4" i="3"/>
  <c r="D78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G3" i="3"/>
  <c r="F3" i="3"/>
  <c r="AK76" i="1"/>
  <c r="AM4" i="1"/>
  <c r="AL76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N3" i="1"/>
  <c r="AM3" i="1"/>
  <c r="AC73" i="1"/>
  <c r="AE4" i="1"/>
  <c r="AD73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F3" i="1"/>
  <c r="AE3" i="1"/>
  <c r="M65" i="1"/>
  <c r="O4" i="1"/>
  <c r="N65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P3" i="1"/>
  <c r="O3" i="1"/>
  <c r="E88" i="1"/>
  <c r="F88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H3" i="1"/>
  <c r="G3" i="1"/>
  <c r="Z36" i="4"/>
  <c r="AA36" i="4"/>
  <c r="Z37" i="4"/>
  <c r="AA37" i="4"/>
  <c r="AA35" i="4"/>
  <c r="AB35" i="4"/>
  <c r="AC35" i="4"/>
  <c r="AB36" i="4"/>
  <c r="AC36" i="4"/>
  <c r="Z35" i="4"/>
  <c r="AH106" i="3"/>
  <c r="Z105" i="3"/>
  <c r="S97" i="3"/>
  <c r="L97" i="3"/>
  <c r="E108" i="3"/>
  <c r="AP32" i="3"/>
  <c r="AI106" i="3"/>
  <c r="AA105" i="3"/>
  <c r="T97" i="3"/>
  <c r="M97" i="3"/>
  <c r="F108" i="3"/>
  <c r="AQ32" i="3"/>
  <c r="AH107" i="3"/>
  <c r="Z106" i="3"/>
  <c r="S98" i="3"/>
  <c r="L98" i="3"/>
  <c r="E109" i="3"/>
  <c r="AP33" i="3"/>
  <c r="AI107" i="3"/>
  <c r="AA106" i="3"/>
  <c r="T98" i="3"/>
  <c r="M98" i="3"/>
  <c r="F109" i="3"/>
  <c r="AQ33" i="3"/>
  <c r="AO32" i="3"/>
  <c r="AO33" i="3"/>
  <c r="AO34" i="3"/>
  <c r="AN33" i="3"/>
  <c r="AN34" i="3"/>
  <c r="AN32" i="3"/>
  <c r="AA14" i="4"/>
  <c r="Z27" i="4"/>
  <c r="AA27" i="4"/>
  <c r="AC27" i="4"/>
  <c r="Z28" i="4"/>
  <c r="AA28" i="4"/>
  <c r="AB28" i="4"/>
  <c r="Z29" i="4"/>
  <c r="AA29" i="4"/>
  <c r="AC29" i="4"/>
  <c r="Z30" i="4"/>
  <c r="AA30" i="4"/>
  <c r="Z31" i="4"/>
  <c r="AA31" i="4"/>
  <c r="Z32" i="4"/>
  <c r="AA32" i="4"/>
  <c r="AB32" i="4"/>
  <c r="AC32" i="4"/>
  <c r="AA26" i="4"/>
  <c r="AB26" i="4"/>
  <c r="Z26" i="4"/>
  <c r="AA22" i="4"/>
  <c r="E22" i="4"/>
  <c r="M22" i="4"/>
  <c r="AB22" i="4"/>
  <c r="E21" i="4"/>
  <c r="M21" i="4"/>
  <c r="AB21" i="4"/>
  <c r="AA21" i="4"/>
  <c r="D18" i="4"/>
  <c r="L18" i="4"/>
  <c r="AA18" i="4"/>
  <c r="D19" i="4"/>
  <c r="L19" i="4"/>
  <c r="AA19" i="4"/>
  <c r="Z19" i="4"/>
  <c r="Z18" i="4"/>
  <c r="Z13" i="4"/>
  <c r="AA15" i="4"/>
  <c r="AA13" i="4"/>
  <c r="Z14" i="4"/>
  <c r="Z15" i="4"/>
  <c r="Z16" i="4"/>
  <c r="AA16" i="4"/>
  <c r="AA12" i="4"/>
  <c r="Z12" i="4"/>
  <c r="Z9" i="4"/>
  <c r="Z10" i="4"/>
  <c r="AA6" i="4"/>
  <c r="M6" i="4"/>
  <c r="F6" i="4"/>
  <c r="AB6" i="4"/>
  <c r="N6" i="4"/>
  <c r="G6" i="4"/>
  <c r="AC6" i="4"/>
  <c r="AA7" i="4"/>
  <c r="M7" i="4"/>
  <c r="F7" i="4"/>
  <c r="AB7" i="4"/>
  <c r="N7" i="4"/>
  <c r="G7" i="4"/>
  <c r="AC7" i="4"/>
  <c r="AA8" i="4"/>
  <c r="M8" i="4"/>
  <c r="F8" i="4"/>
  <c r="AB8" i="4"/>
  <c r="N8" i="4"/>
  <c r="G8" i="4"/>
  <c r="AC8" i="4"/>
  <c r="Z7" i="4"/>
  <c r="Z8" i="4"/>
  <c r="Z6" i="4"/>
  <c r="Z36" i="6"/>
  <c r="AA36" i="6"/>
  <c r="Z35" i="6"/>
  <c r="AA35" i="6"/>
  <c r="AB35" i="6"/>
  <c r="AC35" i="6"/>
  <c r="AA34" i="6"/>
  <c r="AB34" i="6"/>
  <c r="AC34" i="6"/>
  <c r="Z34" i="6"/>
  <c r="AA25" i="6"/>
  <c r="AB25" i="6"/>
  <c r="AA26" i="6"/>
  <c r="AC26" i="6"/>
  <c r="AA27" i="6"/>
  <c r="AB27" i="6"/>
  <c r="AA28" i="6"/>
  <c r="AC28" i="6"/>
  <c r="AA29" i="6"/>
  <c r="AA30" i="6"/>
  <c r="AA31" i="6"/>
  <c r="AB31" i="6"/>
  <c r="AC31" i="6"/>
  <c r="Z26" i="6"/>
  <c r="Z27" i="6"/>
  <c r="Z28" i="6"/>
  <c r="Z29" i="6"/>
  <c r="Z30" i="6"/>
  <c r="Z31" i="6"/>
  <c r="Z25" i="6"/>
  <c r="AA21" i="6"/>
  <c r="E23" i="6"/>
  <c r="L23" i="6"/>
  <c r="AB21" i="6"/>
  <c r="E22" i="6"/>
  <c r="L22" i="6"/>
  <c r="AB20" i="6"/>
  <c r="AA20" i="6"/>
  <c r="Z18" i="6"/>
  <c r="D20" i="6"/>
  <c r="K20" i="6"/>
  <c r="AA18" i="6"/>
  <c r="D19" i="6"/>
  <c r="K19" i="6"/>
  <c r="AA17" i="6"/>
  <c r="Z17" i="6"/>
  <c r="Z12" i="6"/>
  <c r="AA12" i="6"/>
  <c r="Z13" i="6"/>
  <c r="AA13" i="6"/>
  <c r="Z14" i="6"/>
  <c r="AA14" i="6"/>
  <c r="Z15" i="6"/>
  <c r="AA15" i="6"/>
  <c r="AA11" i="6"/>
  <c r="Z11" i="6"/>
  <c r="Z6" i="6"/>
  <c r="AA6" i="6"/>
  <c r="L6" i="6"/>
  <c r="E6" i="6"/>
  <c r="AB6" i="6"/>
  <c r="M6" i="6"/>
  <c r="F6" i="6"/>
  <c r="AC6" i="6"/>
  <c r="Z7" i="6"/>
  <c r="AA7" i="6"/>
  <c r="L7" i="6"/>
  <c r="E7" i="6"/>
  <c r="AB7" i="6"/>
  <c r="M7" i="6"/>
  <c r="F7" i="6"/>
  <c r="AC7" i="6"/>
  <c r="Z8" i="6"/>
  <c r="Z9" i="6"/>
  <c r="AA5" i="6"/>
  <c r="L5" i="6"/>
  <c r="E5" i="6"/>
  <c r="AB5" i="6"/>
  <c r="M5" i="6"/>
  <c r="F5" i="6"/>
  <c r="AC5" i="6"/>
  <c r="Z5" i="6"/>
  <c r="H61" i="7"/>
  <c r="J4" i="7"/>
  <c r="I61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K3" i="7"/>
  <c r="J3" i="7"/>
  <c r="X77" i="3"/>
  <c r="AA4" i="3"/>
  <c r="Y77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B3" i="3"/>
  <c r="AA3" i="3"/>
  <c r="U72" i="1"/>
  <c r="W4" i="1"/>
  <c r="V72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X3" i="1"/>
  <c r="W3" i="1"/>
  <c r="K73" i="8"/>
  <c r="M4" i="8"/>
  <c r="L73" i="8"/>
  <c r="N4" i="8"/>
  <c r="M5" i="8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N3" i="8"/>
  <c r="M3" i="8"/>
  <c r="O76" i="2"/>
  <c r="R4" i="2"/>
  <c r="P76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S3" i="2"/>
  <c r="R3" i="2"/>
  <c r="J7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3" i="5"/>
  <c r="I7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3" i="5"/>
  <c r="X77" i="5"/>
  <c r="X78" i="5"/>
  <c r="X79" i="5"/>
  <c r="W80" i="5"/>
  <c r="X83" i="5"/>
  <c r="X84" i="5"/>
  <c r="X85" i="5"/>
  <c r="X86" i="5"/>
  <c r="X87" i="5"/>
  <c r="X92" i="5"/>
  <c r="X93" i="5"/>
  <c r="W95" i="5"/>
  <c r="X95" i="5"/>
  <c r="W96" i="5"/>
  <c r="X96" i="5"/>
  <c r="W97" i="5"/>
  <c r="X97" i="5"/>
  <c r="W98" i="5"/>
  <c r="X98" i="5"/>
  <c r="W99" i="5"/>
  <c r="X99" i="5"/>
  <c r="W100" i="5"/>
  <c r="X100" i="5"/>
  <c r="W101" i="5"/>
  <c r="X101" i="5"/>
  <c r="X106" i="5"/>
  <c r="Z105" i="5"/>
  <c r="Z104" i="5"/>
  <c r="W77" i="5"/>
  <c r="W78" i="5"/>
  <c r="W79" i="5"/>
  <c r="W81" i="5"/>
  <c r="W83" i="5"/>
  <c r="W84" i="5"/>
  <c r="W85" i="5"/>
  <c r="W86" i="5"/>
  <c r="W87" i="5"/>
  <c r="W89" i="5"/>
  <c r="W90" i="5"/>
  <c r="W106" i="5"/>
  <c r="Y104" i="5"/>
  <c r="I73" i="5"/>
  <c r="I74" i="5"/>
  <c r="I75" i="5"/>
  <c r="I76" i="5"/>
  <c r="I78" i="5"/>
  <c r="I79" i="5"/>
  <c r="I80" i="5"/>
  <c r="I81" i="5"/>
  <c r="I82" i="5"/>
  <c r="I84" i="5"/>
  <c r="I85" i="5"/>
  <c r="I91" i="5"/>
  <c r="I92" i="5"/>
  <c r="I93" i="5"/>
  <c r="I94" i="5"/>
  <c r="I95" i="5"/>
  <c r="I96" i="5"/>
  <c r="I97" i="5"/>
  <c r="I102" i="5"/>
  <c r="AJ35" i="5"/>
  <c r="J73" i="5"/>
  <c r="J74" i="5"/>
  <c r="J78" i="5"/>
  <c r="J79" i="5"/>
  <c r="J80" i="5"/>
  <c r="J81" i="5"/>
  <c r="J82" i="5"/>
  <c r="J87" i="5"/>
  <c r="J88" i="5"/>
  <c r="J91" i="5"/>
  <c r="J92" i="5"/>
  <c r="J93" i="5"/>
  <c r="J94" i="5"/>
  <c r="J95" i="5"/>
  <c r="J96" i="5"/>
  <c r="J97" i="5"/>
  <c r="J102" i="5"/>
  <c r="AK35" i="5"/>
  <c r="AJ34" i="5"/>
  <c r="AK34" i="5"/>
  <c r="Y105" i="5"/>
  <c r="AE92" i="5"/>
  <c r="S115" i="5"/>
  <c r="K101" i="5"/>
  <c r="E91" i="5"/>
  <c r="AL34" i="5"/>
  <c r="AF92" i="5"/>
  <c r="T115" i="5"/>
  <c r="L101" i="5"/>
  <c r="F91" i="5"/>
  <c r="AM34" i="5"/>
  <c r="AK33" i="5"/>
  <c r="AE91" i="5"/>
  <c r="S114" i="5"/>
  <c r="K100" i="5"/>
  <c r="E90" i="5"/>
  <c r="AL33" i="5"/>
  <c r="AF91" i="5"/>
  <c r="T114" i="5"/>
  <c r="L100" i="5"/>
  <c r="F90" i="5"/>
  <c r="AM33" i="5"/>
  <c r="AJ33" i="5"/>
  <c r="AE117" i="2"/>
  <c r="AE116" i="2"/>
  <c r="Y116" i="2"/>
  <c r="Q104" i="2"/>
  <c r="K111" i="2"/>
  <c r="E106" i="2"/>
  <c r="AL32" i="2"/>
  <c r="AF116" i="2"/>
  <c r="Z116" i="2"/>
  <c r="R104" i="2"/>
  <c r="L111" i="2"/>
  <c r="F106" i="2"/>
  <c r="AM32" i="2"/>
  <c r="Y117" i="2"/>
  <c r="Q105" i="2"/>
  <c r="K112" i="2"/>
  <c r="E107" i="2"/>
  <c r="AL33" i="2"/>
  <c r="AF117" i="2"/>
  <c r="Z117" i="2"/>
  <c r="R105" i="2"/>
  <c r="L112" i="2"/>
  <c r="F107" i="2"/>
  <c r="AM33" i="2"/>
  <c r="AK32" i="2"/>
  <c r="AK33" i="2"/>
  <c r="AK34" i="2"/>
  <c r="AJ33" i="2"/>
  <c r="AJ34" i="2"/>
  <c r="AJ32" i="2"/>
  <c r="AR50" i="1"/>
  <c r="O82" i="2"/>
  <c r="O83" i="2"/>
  <c r="AL39" i="8"/>
  <c r="AM39" i="8"/>
  <c r="AG101" i="8"/>
  <c r="AA95" i="8"/>
  <c r="T105" i="8"/>
  <c r="L104" i="8"/>
  <c r="F113" i="8"/>
  <c r="AN39" i="8"/>
  <c r="AH101" i="8"/>
  <c r="AB95" i="8"/>
  <c r="U105" i="8"/>
  <c r="M104" i="8"/>
  <c r="G113" i="8"/>
  <c r="AO39" i="8"/>
  <c r="AL40" i="8"/>
  <c r="AM40" i="8"/>
  <c r="AM38" i="8"/>
  <c r="AG100" i="8"/>
  <c r="AA94" i="8"/>
  <c r="T104" i="8"/>
  <c r="L103" i="8"/>
  <c r="F112" i="8"/>
  <c r="AN38" i="8"/>
  <c r="AH100" i="8"/>
  <c r="AB94" i="8"/>
  <c r="U104" i="8"/>
  <c r="M103" i="8"/>
  <c r="G112" i="8"/>
  <c r="AO38" i="8"/>
  <c r="AL38" i="8"/>
  <c r="D103" i="8"/>
  <c r="E103" i="8"/>
  <c r="J93" i="8"/>
  <c r="K93" i="8"/>
  <c r="R94" i="8"/>
  <c r="S94" i="8"/>
  <c r="Y83" i="8"/>
  <c r="Z83" i="8"/>
  <c r="AE91" i="8"/>
  <c r="AF91" i="8"/>
  <c r="AM29" i="8"/>
  <c r="F103" i="8"/>
  <c r="L93" i="8"/>
  <c r="T94" i="8"/>
  <c r="AA83" i="8"/>
  <c r="AG91" i="8"/>
  <c r="AN29" i="8"/>
  <c r="D104" i="8"/>
  <c r="E104" i="8"/>
  <c r="J94" i="8"/>
  <c r="K94" i="8"/>
  <c r="R95" i="8"/>
  <c r="S95" i="8"/>
  <c r="Y84" i="8"/>
  <c r="Z84" i="8"/>
  <c r="AE92" i="8"/>
  <c r="AF92" i="8"/>
  <c r="AM30" i="8"/>
  <c r="D105" i="8"/>
  <c r="E105" i="8"/>
  <c r="J95" i="8"/>
  <c r="K95" i="8"/>
  <c r="R96" i="8"/>
  <c r="S96" i="8"/>
  <c r="Y85" i="8"/>
  <c r="Z85" i="8"/>
  <c r="AE93" i="8"/>
  <c r="AF93" i="8"/>
  <c r="AM31" i="8"/>
  <c r="F105" i="8"/>
  <c r="L95" i="8"/>
  <c r="T96" i="8"/>
  <c r="AA85" i="8"/>
  <c r="AG93" i="8"/>
  <c r="AN31" i="8"/>
  <c r="D106" i="8"/>
  <c r="E106" i="8"/>
  <c r="J96" i="8"/>
  <c r="K96" i="8"/>
  <c r="R97" i="8"/>
  <c r="S97" i="8"/>
  <c r="Y86" i="8"/>
  <c r="Z86" i="8"/>
  <c r="AE94" i="8"/>
  <c r="AF94" i="8"/>
  <c r="AM32" i="8"/>
  <c r="D107" i="8"/>
  <c r="E107" i="8"/>
  <c r="J97" i="8"/>
  <c r="K97" i="8"/>
  <c r="R98" i="8"/>
  <c r="S98" i="8"/>
  <c r="Y87" i="8"/>
  <c r="Z87" i="8"/>
  <c r="AE95" i="8"/>
  <c r="AF95" i="8"/>
  <c r="AM33" i="8"/>
  <c r="D108" i="8"/>
  <c r="E108" i="8"/>
  <c r="J98" i="8"/>
  <c r="K98" i="8"/>
  <c r="R99" i="8"/>
  <c r="S99" i="8"/>
  <c r="Y88" i="8"/>
  <c r="Z88" i="8"/>
  <c r="AE96" i="8"/>
  <c r="AF96" i="8"/>
  <c r="AM34" i="8"/>
  <c r="D109" i="8"/>
  <c r="E109" i="8"/>
  <c r="J99" i="8"/>
  <c r="K99" i="8"/>
  <c r="R100" i="8"/>
  <c r="S100" i="8"/>
  <c r="Y89" i="8"/>
  <c r="Z89" i="8"/>
  <c r="AE97" i="8"/>
  <c r="AF97" i="8"/>
  <c r="AM35" i="8"/>
  <c r="F109" i="8"/>
  <c r="L99" i="8"/>
  <c r="T100" i="8"/>
  <c r="AA89" i="8"/>
  <c r="AG97" i="8"/>
  <c r="AN35" i="8"/>
  <c r="AL30" i="8"/>
  <c r="AL31" i="8"/>
  <c r="AL32" i="8"/>
  <c r="AL33" i="8"/>
  <c r="AL34" i="8"/>
  <c r="AL35" i="8"/>
  <c r="AL29" i="8"/>
  <c r="E98" i="8"/>
  <c r="F83" i="8"/>
  <c r="F98" i="8"/>
  <c r="K88" i="8"/>
  <c r="L88" i="8"/>
  <c r="S89" i="8"/>
  <c r="T74" i="8"/>
  <c r="T89" i="8"/>
  <c r="Z78" i="8"/>
  <c r="AA63" i="8"/>
  <c r="AA78" i="8"/>
  <c r="AF86" i="8"/>
  <c r="AG71" i="8"/>
  <c r="AG86" i="8"/>
  <c r="AN24" i="8"/>
  <c r="E99" i="8"/>
  <c r="F99" i="8"/>
  <c r="K89" i="8"/>
  <c r="L89" i="8"/>
  <c r="S90" i="8"/>
  <c r="T90" i="8"/>
  <c r="Z79" i="8"/>
  <c r="AA79" i="8"/>
  <c r="AF87" i="8"/>
  <c r="AG87" i="8"/>
  <c r="AN25" i="8"/>
  <c r="AM25" i="8"/>
  <c r="AM24" i="8"/>
  <c r="D96" i="8"/>
  <c r="J86" i="8"/>
  <c r="R87" i="8"/>
  <c r="Y76" i="8"/>
  <c r="AE84" i="8"/>
  <c r="AL22" i="8"/>
  <c r="E83" i="8"/>
  <c r="E96" i="8"/>
  <c r="K86" i="8"/>
  <c r="S74" i="8"/>
  <c r="S87" i="8"/>
  <c r="Z63" i="8"/>
  <c r="Z76" i="8"/>
  <c r="AF71" i="8"/>
  <c r="AF84" i="8"/>
  <c r="AM22" i="8"/>
  <c r="D95" i="8"/>
  <c r="E95" i="8"/>
  <c r="J85" i="8"/>
  <c r="K85" i="8"/>
  <c r="R86" i="8"/>
  <c r="S86" i="8"/>
  <c r="Y75" i="8"/>
  <c r="Z75" i="8"/>
  <c r="AE83" i="8"/>
  <c r="AF83" i="8"/>
  <c r="AM21" i="8"/>
  <c r="AL21" i="8"/>
  <c r="D90" i="8"/>
  <c r="J80" i="8"/>
  <c r="R81" i="8"/>
  <c r="Y70" i="8"/>
  <c r="AE78" i="8"/>
  <c r="AL16" i="8"/>
  <c r="D86" i="8"/>
  <c r="E90" i="8"/>
  <c r="J76" i="8"/>
  <c r="K80" i="8"/>
  <c r="R77" i="8"/>
  <c r="S81" i="8"/>
  <c r="Y66" i="8"/>
  <c r="Z70" i="8"/>
  <c r="AE74" i="8"/>
  <c r="AF78" i="8"/>
  <c r="AM16" i="8"/>
  <c r="D91" i="8"/>
  <c r="J81" i="8"/>
  <c r="R82" i="8"/>
  <c r="Y71" i="8"/>
  <c r="AE79" i="8"/>
  <c r="AL17" i="8"/>
  <c r="E91" i="8"/>
  <c r="K81" i="8"/>
  <c r="S82" i="8"/>
  <c r="Z71" i="8"/>
  <c r="AF79" i="8"/>
  <c r="AM17" i="8"/>
  <c r="D92" i="8"/>
  <c r="J82" i="8"/>
  <c r="R83" i="8"/>
  <c r="Y72" i="8"/>
  <c r="AE80" i="8"/>
  <c r="AL18" i="8"/>
  <c r="E92" i="8"/>
  <c r="K82" i="8"/>
  <c r="S83" i="8"/>
  <c r="Z72" i="8"/>
  <c r="AF80" i="8"/>
  <c r="AM18" i="8"/>
  <c r="D89" i="8"/>
  <c r="D93" i="8"/>
  <c r="J79" i="8"/>
  <c r="J83" i="8"/>
  <c r="R80" i="8"/>
  <c r="R84" i="8"/>
  <c r="Y69" i="8"/>
  <c r="Y73" i="8"/>
  <c r="AE77" i="8"/>
  <c r="AE81" i="8"/>
  <c r="AL19" i="8"/>
  <c r="E89" i="8"/>
  <c r="E93" i="8"/>
  <c r="K79" i="8"/>
  <c r="K83" i="8"/>
  <c r="S80" i="8"/>
  <c r="S84" i="8"/>
  <c r="Z69" i="8"/>
  <c r="Z73" i="8"/>
  <c r="AF77" i="8"/>
  <c r="AF81" i="8"/>
  <c r="AM19" i="8"/>
  <c r="AM15" i="8"/>
  <c r="AL15" i="8"/>
  <c r="E84" i="8"/>
  <c r="K74" i="8"/>
  <c r="S75" i="8"/>
  <c r="Z64" i="8"/>
  <c r="AF72" i="8"/>
  <c r="AM10" i="8"/>
  <c r="AM9" i="8"/>
  <c r="AO10" i="8"/>
  <c r="F84" i="8"/>
  <c r="L74" i="8"/>
  <c r="T75" i="8"/>
  <c r="AA64" i="8"/>
  <c r="AG72" i="8"/>
  <c r="AN10" i="8"/>
  <c r="AN9" i="8"/>
  <c r="AP10" i="8"/>
  <c r="E85" i="8"/>
  <c r="K75" i="8"/>
  <c r="S76" i="8"/>
  <c r="Z65" i="8"/>
  <c r="AF73" i="8"/>
  <c r="AM11" i="8"/>
  <c r="AO11" i="8"/>
  <c r="F85" i="8"/>
  <c r="L75" i="8"/>
  <c r="T76" i="8"/>
  <c r="AA65" i="8"/>
  <c r="AG73" i="8"/>
  <c r="AN11" i="8"/>
  <c r="AP11" i="8"/>
  <c r="AP9" i="8"/>
  <c r="AO9" i="8"/>
  <c r="D87" i="8"/>
  <c r="J77" i="8"/>
  <c r="R78" i="8"/>
  <c r="Y67" i="8"/>
  <c r="AE75" i="8"/>
  <c r="AL13" i="8"/>
  <c r="AL12" i="8"/>
  <c r="AH97" i="8"/>
  <c r="AH94" i="8"/>
  <c r="AH92" i="8"/>
  <c r="AB89" i="8"/>
  <c r="AB86" i="8"/>
  <c r="AB84" i="8"/>
  <c r="U100" i="8"/>
  <c r="U97" i="8"/>
  <c r="U95" i="8"/>
  <c r="G109" i="8"/>
  <c r="G106" i="8"/>
  <c r="G104" i="8"/>
  <c r="J76" i="3"/>
  <c r="J82" i="3"/>
  <c r="AR51" i="1"/>
  <c r="AS51" i="1"/>
  <c r="AL106" i="1"/>
  <c r="AD103" i="1"/>
  <c r="V102" i="1"/>
  <c r="N96" i="1"/>
  <c r="F119" i="1"/>
  <c r="AT51" i="1"/>
  <c r="AM106" i="1"/>
  <c r="AE103" i="1"/>
  <c r="W102" i="1"/>
  <c r="O96" i="1"/>
  <c r="G119" i="1"/>
  <c r="AU51" i="1"/>
  <c r="AR52" i="1"/>
  <c r="AS52" i="1"/>
  <c r="AS50" i="1"/>
  <c r="AL105" i="1"/>
  <c r="AD102" i="1"/>
  <c r="V101" i="1"/>
  <c r="N95" i="1"/>
  <c r="F118" i="1"/>
  <c r="AT50" i="1"/>
  <c r="AM105" i="1"/>
  <c r="AE102" i="1"/>
  <c r="W101" i="1"/>
  <c r="O95" i="1"/>
  <c r="G118" i="1"/>
  <c r="AU50" i="1"/>
  <c r="AL98" i="7"/>
  <c r="AE106" i="7"/>
  <c r="X110" i="7"/>
  <c r="Q106" i="7"/>
  <c r="G91" i="7"/>
  <c r="I91" i="7"/>
  <c r="AT49" i="7"/>
  <c r="AM98" i="7"/>
  <c r="AF106" i="7"/>
  <c r="Y110" i="7"/>
  <c r="R106" i="7"/>
  <c r="H91" i="7"/>
  <c r="J91" i="7"/>
  <c r="AU49" i="7"/>
  <c r="AL99" i="7"/>
  <c r="AE107" i="7"/>
  <c r="X111" i="7"/>
  <c r="Q107" i="7"/>
  <c r="G92" i="7"/>
  <c r="I92" i="7"/>
  <c r="AT50" i="7"/>
  <c r="AM99" i="7"/>
  <c r="AF107" i="7"/>
  <c r="Y111" i="7"/>
  <c r="R107" i="7"/>
  <c r="H92" i="7"/>
  <c r="J92" i="7"/>
  <c r="AU50" i="7"/>
  <c r="AS49" i="7"/>
  <c r="AS50" i="7"/>
  <c r="AS51" i="7"/>
  <c r="AR50" i="7"/>
  <c r="AR51" i="7"/>
  <c r="AR49" i="7"/>
  <c r="G82" i="7"/>
  <c r="J82" i="7"/>
  <c r="O97" i="7"/>
  <c r="R97" i="7"/>
  <c r="V101" i="7"/>
  <c r="Y101" i="7"/>
  <c r="AC96" i="7"/>
  <c r="AF96" i="7"/>
  <c r="AJ90" i="7"/>
  <c r="AM90" i="7"/>
  <c r="AU41" i="7"/>
  <c r="G81" i="7"/>
  <c r="H81" i="7"/>
  <c r="O96" i="7"/>
  <c r="P96" i="7"/>
  <c r="V100" i="7"/>
  <c r="W100" i="7"/>
  <c r="AC95" i="7"/>
  <c r="AD95" i="7"/>
  <c r="AJ89" i="7"/>
  <c r="AK89" i="7"/>
  <c r="AS40" i="7"/>
  <c r="I81" i="7"/>
  <c r="Q96" i="7"/>
  <c r="X100" i="7"/>
  <c r="AE95" i="7"/>
  <c r="AL89" i="7"/>
  <c r="AT40" i="7"/>
  <c r="H82" i="7"/>
  <c r="P97" i="7"/>
  <c r="W101" i="7"/>
  <c r="AD96" i="7"/>
  <c r="AK90" i="7"/>
  <c r="AS41" i="7"/>
  <c r="G83" i="7"/>
  <c r="H83" i="7"/>
  <c r="O98" i="7"/>
  <c r="P98" i="7"/>
  <c r="V102" i="7"/>
  <c r="W102" i="7"/>
  <c r="AC97" i="7"/>
  <c r="AD97" i="7"/>
  <c r="AJ91" i="7"/>
  <c r="AK91" i="7"/>
  <c r="AS42" i="7"/>
  <c r="I83" i="7"/>
  <c r="Q98" i="7"/>
  <c r="X102" i="7"/>
  <c r="AE97" i="7"/>
  <c r="AL91" i="7"/>
  <c r="AT42" i="7"/>
  <c r="G84" i="7"/>
  <c r="H84" i="7"/>
  <c r="O99" i="7"/>
  <c r="P99" i="7"/>
  <c r="V103" i="7"/>
  <c r="W103" i="7"/>
  <c r="AC98" i="7"/>
  <c r="AD98" i="7"/>
  <c r="AJ92" i="7"/>
  <c r="AK92" i="7"/>
  <c r="AS43" i="7"/>
  <c r="J84" i="7"/>
  <c r="R99" i="7"/>
  <c r="Y103" i="7"/>
  <c r="AF98" i="7"/>
  <c r="AM92" i="7"/>
  <c r="AU43" i="7"/>
  <c r="G85" i="7"/>
  <c r="H85" i="7"/>
  <c r="O100" i="7"/>
  <c r="P100" i="7"/>
  <c r="V104" i="7"/>
  <c r="W104" i="7"/>
  <c r="AC99" i="7"/>
  <c r="AD99" i="7"/>
  <c r="AJ93" i="7"/>
  <c r="AK93" i="7"/>
  <c r="AS44" i="7"/>
  <c r="G86" i="7"/>
  <c r="H86" i="7"/>
  <c r="O101" i="7"/>
  <c r="P101" i="7"/>
  <c r="V105" i="7"/>
  <c r="W105" i="7"/>
  <c r="AC100" i="7"/>
  <c r="AD100" i="7"/>
  <c r="AJ94" i="7"/>
  <c r="AK94" i="7"/>
  <c r="AS45" i="7"/>
  <c r="G87" i="7"/>
  <c r="H87" i="7"/>
  <c r="O102" i="7"/>
  <c r="P102" i="7"/>
  <c r="V106" i="7"/>
  <c r="W106" i="7"/>
  <c r="AC101" i="7"/>
  <c r="AD101" i="7"/>
  <c r="AJ95" i="7"/>
  <c r="AK95" i="7"/>
  <c r="AS46" i="7"/>
  <c r="I87" i="7"/>
  <c r="Q102" i="7"/>
  <c r="X106" i="7"/>
  <c r="AE101" i="7"/>
  <c r="AL95" i="7"/>
  <c r="AT46" i="7"/>
  <c r="J87" i="7"/>
  <c r="R102" i="7"/>
  <c r="Y106" i="7"/>
  <c r="AF101" i="7"/>
  <c r="AM95" i="7"/>
  <c r="AU46" i="7"/>
  <c r="AR41" i="7"/>
  <c r="AR42" i="7"/>
  <c r="AR43" i="7"/>
  <c r="AR44" i="7"/>
  <c r="AR45" i="7"/>
  <c r="AR46" i="7"/>
  <c r="AR40" i="7"/>
  <c r="H77" i="7"/>
  <c r="P92" i="7"/>
  <c r="W96" i="7"/>
  <c r="AD91" i="7"/>
  <c r="AK85" i="7"/>
  <c r="AS36" i="7"/>
  <c r="AT20" i="7"/>
  <c r="AT36" i="7"/>
  <c r="H76" i="7"/>
  <c r="P91" i="7"/>
  <c r="W95" i="7"/>
  <c r="AD90" i="7"/>
  <c r="AK84" i="7"/>
  <c r="AS35" i="7"/>
  <c r="AT35" i="7"/>
  <c r="G74" i="7"/>
  <c r="O89" i="7"/>
  <c r="V93" i="7"/>
  <c r="AC88" i="7"/>
  <c r="AJ82" i="7"/>
  <c r="AR33" i="7"/>
  <c r="AS20" i="7"/>
  <c r="AS33" i="7"/>
  <c r="G73" i="7"/>
  <c r="O88" i="7"/>
  <c r="V92" i="7"/>
  <c r="AC87" i="7"/>
  <c r="AJ81" i="7"/>
  <c r="AR32" i="7"/>
  <c r="AS32" i="7"/>
  <c r="G64" i="7"/>
  <c r="H67" i="7"/>
  <c r="O79" i="7"/>
  <c r="P82" i="7"/>
  <c r="V83" i="7"/>
  <c r="W86" i="7"/>
  <c r="AC78" i="7"/>
  <c r="AD81" i="7"/>
  <c r="AJ72" i="7"/>
  <c r="AK75" i="7"/>
  <c r="AS26" i="7"/>
  <c r="H68" i="7"/>
  <c r="P83" i="7"/>
  <c r="W87" i="7"/>
  <c r="AD82" i="7"/>
  <c r="AK76" i="7"/>
  <c r="AS27" i="7"/>
  <c r="H69" i="7"/>
  <c r="P84" i="7"/>
  <c r="W88" i="7"/>
  <c r="AD83" i="7"/>
  <c r="AK77" i="7"/>
  <c r="AS28" i="7"/>
  <c r="H70" i="7"/>
  <c r="P85" i="7"/>
  <c r="W89" i="7"/>
  <c r="AD84" i="7"/>
  <c r="AK78" i="7"/>
  <c r="AS29" i="7"/>
  <c r="H71" i="7"/>
  <c r="P86" i="7"/>
  <c r="W90" i="7"/>
  <c r="AD85" i="7"/>
  <c r="AK79" i="7"/>
  <c r="AS30" i="7"/>
  <c r="G68" i="7"/>
  <c r="O83" i="7"/>
  <c r="V87" i="7"/>
  <c r="AC82" i="7"/>
  <c r="AJ76" i="7"/>
  <c r="AR27" i="7"/>
  <c r="G69" i="7"/>
  <c r="O84" i="7"/>
  <c r="V88" i="7"/>
  <c r="AC83" i="7"/>
  <c r="AJ77" i="7"/>
  <c r="AR28" i="7"/>
  <c r="G70" i="7"/>
  <c r="O85" i="7"/>
  <c r="V89" i="7"/>
  <c r="AC84" i="7"/>
  <c r="AJ78" i="7"/>
  <c r="AR29" i="7"/>
  <c r="G67" i="7"/>
  <c r="G71" i="7"/>
  <c r="O82" i="7"/>
  <c r="O86" i="7"/>
  <c r="V86" i="7"/>
  <c r="V90" i="7"/>
  <c r="AC81" i="7"/>
  <c r="AC85" i="7"/>
  <c r="AJ75" i="7"/>
  <c r="AJ79" i="7"/>
  <c r="AR30" i="7"/>
  <c r="AR26" i="7"/>
  <c r="I62" i="7"/>
  <c r="Q77" i="7"/>
  <c r="X81" i="7"/>
  <c r="AE76" i="7"/>
  <c r="AL70" i="7"/>
  <c r="AT21" i="7"/>
  <c r="AV21" i="7"/>
  <c r="I63" i="7"/>
  <c r="Q78" i="7"/>
  <c r="X82" i="7"/>
  <c r="AE77" i="7"/>
  <c r="AL71" i="7"/>
  <c r="AT22" i="7"/>
  <c r="AV22" i="7"/>
  <c r="AV20" i="7"/>
  <c r="H62" i="7"/>
  <c r="P77" i="7"/>
  <c r="W81" i="7"/>
  <c r="AD76" i="7"/>
  <c r="AK70" i="7"/>
  <c r="AS21" i="7"/>
  <c r="AU21" i="7"/>
  <c r="H63" i="7"/>
  <c r="P78" i="7"/>
  <c r="W82" i="7"/>
  <c r="AD77" i="7"/>
  <c r="AK71" i="7"/>
  <c r="AS22" i="7"/>
  <c r="AU22" i="7"/>
  <c r="AU20" i="7"/>
  <c r="G65" i="7"/>
  <c r="O80" i="7"/>
  <c r="V84" i="7"/>
  <c r="AC79" i="7"/>
  <c r="AJ73" i="7"/>
  <c r="AR24" i="7"/>
  <c r="AR23" i="7"/>
  <c r="I77" i="7"/>
  <c r="I76" i="7"/>
  <c r="H74" i="7"/>
  <c r="H73" i="7"/>
  <c r="Q92" i="7"/>
  <c r="Q91" i="7"/>
  <c r="P89" i="7"/>
  <c r="P88" i="7"/>
  <c r="X96" i="7"/>
  <c r="W93" i="7"/>
  <c r="X95" i="7"/>
  <c r="W92" i="7"/>
  <c r="AE91" i="7"/>
  <c r="AE90" i="7"/>
  <c r="AD88" i="7"/>
  <c r="AD87" i="7"/>
  <c r="AL85" i="7"/>
  <c r="AL84" i="7"/>
  <c r="AK82" i="7"/>
  <c r="AK81" i="7"/>
  <c r="X98" i="3"/>
  <c r="X96" i="3"/>
  <c r="X95" i="3"/>
  <c r="Y93" i="3"/>
  <c r="Y92" i="3"/>
  <c r="X90" i="3"/>
  <c r="X89" i="3"/>
  <c r="X86" i="3"/>
  <c r="X85" i="3"/>
  <c r="X84" i="3"/>
  <c r="X83" i="3"/>
  <c r="X78" i="3"/>
  <c r="Q89" i="3"/>
  <c r="Q90" i="3"/>
  <c r="Q88" i="3"/>
  <c r="Q87" i="3"/>
  <c r="R84" i="3"/>
  <c r="R83" i="3"/>
  <c r="Q80" i="3"/>
  <c r="Q71" i="3"/>
  <c r="R75" i="3"/>
  <c r="R74" i="3"/>
  <c r="R76" i="3"/>
  <c r="Q77" i="3"/>
  <c r="Q76" i="3"/>
  <c r="Q75" i="3"/>
  <c r="Q74" i="3"/>
  <c r="Q70" i="3"/>
  <c r="Q69" i="3"/>
  <c r="AS20" i="1"/>
  <c r="AJ99" i="1"/>
  <c r="AJ98" i="1"/>
  <c r="AJ97" i="1"/>
  <c r="AJ96" i="1"/>
  <c r="AK92" i="1"/>
  <c r="AK91" i="1"/>
  <c r="AJ89" i="1"/>
  <c r="AJ88" i="1"/>
  <c r="AJ79" i="1"/>
  <c r="AK85" i="1"/>
  <c r="AK84" i="1"/>
  <c r="AK83" i="1"/>
  <c r="AK82" i="1"/>
  <c r="AJ85" i="1"/>
  <c r="AJ84" i="1"/>
  <c r="AJ83" i="1"/>
  <c r="AJ82" i="1"/>
  <c r="AK78" i="1"/>
  <c r="AK77" i="1"/>
  <c r="AJ80" i="1"/>
  <c r="AC89" i="1"/>
  <c r="AC88" i="1"/>
  <c r="AB86" i="1"/>
  <c r="AB85" i="1"/>
  <c r="AB82" i="1"/>
  <c r="AB79" i="1"/>
  <c r="AB80" i="1"/>
  <c r="AB81" i="1"/>
  <c r="AB96" i="1"/>
  <c r="AB95" i="1"/>
  <c r="AB94" i="1"/>
  <c r="AB93" i="1"/>
  <c r="AB76" i="1"/>
  <c r="T94" i="1"/>
  <c r="T93" i="1"/>
  <c r="T92" i="1"/>
  <c r="U88" i="1"/>
  <c r="U87" i="1"/>
  <c r="T84" i="1"/>
  <c r="T81" i="1"/>
  <c r="T80" i="1"/>
  <c r="T79" i="1"/>
  <c r="T78" i="1"/>
  <c r="T75" i="1"/>
  <c r="T76" i="1"/>
  <c r="U74" i="1"/>
  <c r="U73" i="1"/>
  <c r="M81" i="1"/>
  <c r="M80" i="1"/>
  <c r="L77" i="1"/>
  <c r="L78" i="1"/>
  <c r="L73" i="1"/>
  <c r="L72" i="1"/>
  <c r="L71" i="1"/>
  <c r="L74" i="1"/>
  <c r="L68" i="1"/>
  <c r="L69" i="1"/>
  <c r="N66" i="1"/>
  <c r="N67" i="1"/>
  <c r="M67" i="1"/>
  <c r="M66" i="1"/>
  <c r="E104" i="1"/>
  <c r="D101" i="1"/>
  <c r="D100" i="1"/>
  <c r="D91" i="1"/>
  <c r="E94" i="1"/>
  <c r="D95" i="1"/>
  <c r="D94" i="1"/>
  <c r="D96" i="1"/>
  <c r="D92" i="1"/>
  <c r="F89" i="1"/>
  <c r="F90" i="1"/>
  <c r="E90" i="1"/>
  <c r="E89" i="1"/>
  <c r="P92" i="2"/>
  <c r="P91" i="2"/>
  <c r="P77" i="2"/>
  <c r="P78" i="2"/>
  <c r="O78" i="2"/>
  <c r="O77" i="2"/>
  <c r="C79" i="5"/>
  <c r="Q105" i="5"/>
  <c r="AC82" i="5"/>
  <c r="AJ22" i="5"/>
  <c r="C72" i="5"/>
  <c r="Q99" i="5"/>
  <c r="AC77" i="5"/>
  <c r="AJ17" i="5"/>
  <c r="C71" i="5"/>
  <c r="Q98" i="5"/>
  <c r="AC76" i="5"/>
  <c r="AJ16" i="5"/>
  <c r="C62" i="5"/>
  <c r="D65" i="5"/>
  <c r="Q89" i="5"/>
  <c r="R92" i="5"/>
  <c r="AC67" i="5"/>
  <c r="AD70" i="5"/>
  <c r="AK10" i="5"/>
  <c r="D66" i="5"/>
  <c r="R93" i="5"/>
  <c r="AD71" i="5"/>
  <c r="AK11" i="5"/>
  <c r="D67" i="5"/>
  <c r="R94" i="5"/>
  <c r="AD72" i="5"/>
  <c r="AK12" i="5"/>
  <c r="D68" i="5"/>
  <c r="R95" i="5"/>
  <c r="AD73" i="5"/>
  <c r="AK13" i="5"/>
  <c r="C66" i="5"/>
  <c r="Q93" i="5"/>
  <c r="AC71" i="5"/>
  <c r="AJ11" i="5"/>
  <c r="C67" i="5"/>
  <c r="Q94" i="5"/>
  <c r="AC72" i="5"/>
  <c r="AJ12" i="5"/>
  <c r="C68" i="5"/>
  <c r="Q95" i="5"/>
  <c r="AC73" i="5"/>
  <c r="AJ13" i="5"/>
  <c r="AC70" i="5"/>
  <c r="C65" i="5"/>
  <c r="Q92" i="5"/>
  <c r="AJ10" i="5"/>
  <c r="D60" i="5"/>
  <c r="R87" i="5"/>
  <c r="AD65" i="5"/>
  <c r="AK5" i="5"/>
  <c r="D61" i="5"/>
  <c r="R88" i="5"/>
  <c r="AD66" i="5"/>
  <c r="AK6" i="5"/>
  <c r="D59" i="5"/>
  <c r="R86" i="5"/>
  <c r="AD64" i="5"/>
  <c r="AK4" i="5"/>
  <c r="C60" i="5"/>
  <c r="Q87" i="5"/>
  <c r="AC65" i="5"/>
  <c r="AJ5" i="5"/>
  <c r="C61" i="5"/>
  <c r="Q88" i="5"/>
  <c r="AC66" i="5"/>
  <c r="AJ6" i="5"/>
  <c r="AJ7" i="5"/>
  <c r="C63" i="5"/>
  <c r="Q90" i="5"/>
  <c r="AC68" i="5"/>
  <c r="AJ8" i="5"/>
  <c r="C59" i="5"/>
  <c r="Q86" i="5"/>
  <c r="AC64" i="5"/>
  <c r="AJ4" i="5"/>
  <c r="AC83" i="5"/>
  <c r="AD83" i="5"/>
  <c r="AC84" i="5"/>
  <c r="AD84" i="5"/>
  <c r="AC85" i="5"/>
  <c r="AD85" i="5"/>
  <c r="AC86" i="5"/>
  <c r="AD86" i="5"/>
  <c r="AC87" i="5"/>
  <c r="AD87" i="5"/>
  <c r="AC88" i="5"/>
  <c r="AD88" i="5"/>
  <c r="AD82" i="5"/>
  <c r="AD80" i="5"/>
  <c r="AD79" i="5"/>
  <c r="Q106" i="5"/>
  <c r="R106" i="5"/>
  <c r="Q107" i="5"/>
  <c r="R107" i="5"/>
  <c r="Q108" i="5"/>
  <c r="R108" i="5"/>
  <c r="Q109" i="5"/>
  <c r="R109" i="5"/>
  <c r="Q110" i="5"/>
  <c r="R110" i="5"/>
  <c r="Q111" i="5"/>
  <c r="R111" i="5"/>
  <c r="R105" i="5"/>
  <c r="R102" i="5"/>
  <c r="R101" i="5"/>
  <c r="C80" i="5"/>
  <c r="D80" i="5"/>
  <c r="C81" i="5"/>
  <c r="D81" i="5"/>
  <c r="C82" i="5"/>
  <c r="D82" i="5"/>
  <c r="C83" i="5"/>
  <c r="D83" i="5"/>
  <c r="C84" i="5"/>
  <c r="D84" i="5"/>
  <c r="C85" i="5"/>
  <c r="D85" i="5"/>
  <c r="D79" i="5"/>
  <c r="D75" i="5"/>
  <c r="D74" i="5"/>
  <c r="Z101" i="5"/>
  <c r="Y101" i="5"/>
  <c r="AF88" i="5"/>
  <c r="AE88" i="5"/>
  <c r="Z98" i="5"/>
  <c r="AF85" i="5"/>
  <c r="Y97" i="5"/>
  <c r="AE84" i="5"/>
  <c r="Z96" i="5"/>
  <c r="L97" i="5"/>
  <c r="K97" i="5"/>
  <c r="AF83" i="5"/>
  <c r="Y95" i="5"/>
  <c r="AE82" i="5"/>
  <c r="L94" i="5"/>
  <c r="K93" i="5"/>
  <c r="T111" i="5"/>
  <c r="S111" i="5"/>
  <c r="L92" i="5"/>
  <c r="F85" i="5"/>
  <c r="E85" i="5"/>
  <c r="K91" i="5"/>
  <c r="T108" i="5"/>
  <c r="F82" i="5"/>
  <c r="S107" i="5"/>
  <c r="E81" i="5"/>
  <c r="AD74" i="5"/>
  <c r="AC74" i="5"/>
  <c r="T106" i="5"/>
  <c r="F80" i="5"/>
  <c r="S105" i="5"/>
  <c r="E79" i="5"/>
  <c r="R96" i="5"/>
  <c r="Q96" i="5"/>
  <c r="D69" i="5"/>
  <c r="C69" i="5"/>
  <c r="AM28" i="5"/>
  <c r="AL28" i="5"/>
  <c r="AK28" i="5"/>
  <c r="AJ28" i="5"/>
  <c r="AK27" i="5"/>
  <c r="AJ27" i="5"/>
  <c r="AK26" i="5"/>
  <c r="AJ26" i="5"/>
  <c r="AM25" i="5"/>
  <c r="AK25" i="5"/>
  <c r="AJ25" i="5"/>
  <c r="AL24" i="5"/>
  <c r="AK24" i="5"/>
  <c r="AJ24" i="5"/>
  <c r="AM23" i="5"/>
  <c r="AK23" i="5"/>
  <c r="AJ23" i="5"/>
  <c r="AL22" i="5"/>
  <c r="AK22" i="5"/>
  <c r="AK20" i="5"/>
  <c r="AK19" i="5"/>
  <c r="AK14" i="5"/>
  <c r="AJ14" i="5"/>
  <c r="T88" i="3"/>
  <c r="AA96" i="3"/>
  <c r="J89" i="3"/>
  <c r="M89" i="3"/>
  <c r="C99" i="3"/>
  <c r="F99" i="3"/>
  <c r="AF98" i="3"/>
  <c r="AI98" i="3"/>
  <c r="AQ23" i="3"/>
  <c r="T90" i="3"/>
  <c r="AA98" i="3"/>
  <c r="J91" i="3"/>
  <c r="M91" i="3"/>
  <c r="C101" i="3"/>
  <c r="F101" i="3"/>
  <c r="AF100" i="3"/>
  <c r="AI100" i="3"/>
  <c r="AQ25" i="3"/>
  <c r="Q93" i="3"/>
  <c r="T93" i="3"/>
  <c r="X97" i="3"/>
  <c r="X101" i="3"/>
  <c r="AA101" i="3"/>
  <c r="J88" i="3"/>
  <c r="J90" i="3"/>
  <c r="J94" i="3"/>
  <c r="M94" i="3"/>
  <c r="C98" i="3"/>
  <c r="C100" i="3"/>
  <c r="C104" i="3"/>
  <c r="F104" i="3"/>
  <c r="AF97" i="3"/>
  <c r="AF99" i="3"/>
  <c r="AF103" i="3"/>
  <c r="AI103" i="3"/>
  <c r="AQ28" i="3"/>
  <c r="S89" i="3"/>
  <c r="Z97" i="3"/>
  <c r="L90" i="3"/>
  <c r="E100" i="3"/>
  <c r="AH99" i="3"/>
  <c r="AP24" i="3"/>
  <c r="S93" i="3"/>
  <c r="Z101" i="3"/>
  <c r="L94" i="3"/>
  <c r="E104" i="3"/>
  <c r="AH103" i="3"/>
  <c r="AP28" i="3"/>
  <c r="AN23" i="3"/>
  <c r="R88" i="3"/>
  <c r="Y96" i="3"/>
  <c r="K89" i="3"/>
  <c r="D99" i="3"/>
  <c r="AG98" i="3"/>
  <c r="AO23" i="3"/>
  <c r="AN24" i="3"/>
  <c r="R89" i="3"/>
  <c r="Y97" i="3"/>
  <c r="K90" i="3"/>
  <c r="D100" i="3"/>
  <c r="AG99" i="3"/>
  <c r="AO24" i="3"/>
  <c r="AN25" i="3"/>
  <c r="R90" i="3"/>
  <c r="Y98" i="3"/>
  <c r="K91" i="3"/>
  <c r="D101" i="3"/>
  <c r="AG100" i="3"/>
  <c r="AO25" i="3"/>
  <c r="Q91" i="3"/>
  <c r="X99" i="3"/>
  <c r="J92" i="3"/>
  <c r="C102" i="3"/>
  <c r="AF101" i="3"/>
  <c r="AN26" i="3"/>
  <c r="R91" i="3"/>
  <c r="Y99" i="3"/>
  <c r="K92" i="3"/>
  <c r="D102" i="3"/>
  <c r="AG101" i="3"/>
  <c r="AO26" i="3"/>
  <c r="Q92" i="3"/>
  <c r="X100" i="3"/>
  <c r="J93" i="3"/>
  <c r="C103" i="3"/>
  <c r="AF102" i="3"/>
  <c r="AN27" i="3"/>
  <c r="R92" i="3"/>
  <c r="Y100" i="3"/>
  <c r="K93" i="3"/>
  <c r="D103" i="3"/>
  <c r="AG102" i="3"/>
  <c r="AO27" i="3"/>
  <c r="AN28" i="3"/>
  <c r="R93" i="3"/>
  <c r="Y101" i="3"/>
  <c r="K94" i="3"/>
  <c r="D104" i="3"/>
  <c r="AG103" i="3"/>
  <c r="AO28" i="3"/>
  <c r="R87" i="3"/>
  <c r="Y95" i="3"/>
  <c r="K88" i="3"/>
  <c r="D98" i="3"/>
  <c r="AG97" i="3"/>
  <c r="AO22" i="3"/>
  <c r="S87" i="3"/>
  <c r="Z95" i="3"/>
  <c r="L88" i="3"/>
  <c r="E98" i="3"/>
  <c r="AH97" i="3"/>
  <c r="AP22" i="3"/>
  <c r="AN22" i="3"/>
  <c r="K84" i="3"/>
  <c r="AG94" i="3"/>
  <c r="D93" i="3"/>
  <c r="AO19" i="3"/>
  <c r="Q81" i="3"/>
  <c r="C91" i="3"/>
  <c r="AF92" i="3"/>
  <c r="AN17" i="3"/>
  <c r="J81" i="3"/>
  <c r="C90" i="3"/>
  <c r="AF91" i="3"/>
  <c r="AN16" i="3"/>
  <c r="X80" i="3"/>
  <c r="Y83" i="3"/>
  <c r="J72" i="3"/>
  <c r="K75" i="3"/>
  <c r="C81" i="3"/>
  <c r="D84" i="3"/>
  <c r="AF82" i="3"/>
  <c r="AG85" i="3"/>
  <c r="AO10" i="3"/>
  <c r="Y84" i="3"/>
  <c r="K76" i="3"/>
  <c r="D85" i="3"/>
  <c r="AG86" i="3"/>
  <c r="AO11" i="3"/>
  <c r="Y85" i="3"/>
  <c r="K77" i="3"/>
  <c r="D86" i="3"/>
  <c r="AG87" i="3"/>
  <c r="AO12" i="3"/>
  <c r="R77" i="3"/>
  <c r="Y86" i="3"/>
  <c r="K78" i="3"/>
  <c r="D87" i="3"/>
  <c r="AG88" i="3"/>
  <c r="AO13" i="3"/>
  <c r="R78" i="3"/>
  <c r="Y87" i="3"/>
  <c r="K79" i="3"/>
  <c r="D88" i="3"/>
  <c r="AG89" i="3"/>
  <c r="AO14" i="3"/>
  <c r="C85" i="3"/>
  <c r="AF86" i="3"/>
  <c r="AN11" i="3"/>
  <c r="J77" i="3"/>
  <c r="C86" i="3"/>
  <c r="AF87" i="3"/>
  <c r="AN12" i="3"/>
  <c r="J78" i="3"/>
  <c r="C87" i="3"/>
  <c r="AF88" i="3"/>
  <c r="AN13" i="3"/>
  <c r="Q78" i="3"/>
  <c r="X87" i="3"/>
  <c r="J75" i="3"/>
  <c r="J79" i="3"/>
  <c r="C84" i="3"/>
  <c r="C88" i="3"/>
  <c r="AF85" i="3"/>
  <c r="AF89" i="3"/>
  <c r="AN14" i="3"/>
  <c r="AN10" i="3"/>
  <c r="AO4" i="3"/>
  <c r="R69" i="3"/>
  <c r="Y78" i="3"/>
  <c r="K70" i="3"/>
  <c r="D79" i="3"/>
  <c r="AG80" i="3"/>
  <c r="AO5" i="3"/>
  <c r="R70" i="3"/>
  <c r="Y79" i="3"/>
  <c r="D80" i="3"/>
  <c r="K71" i="3"/>
  <c r="AG81" i="3"/>
  <c r="AO6" i="3"/>
  <c r="J70" i="3"/>
  <c r="C79" i="3"/>
  <c r="AF80" i="3"/>
  <c r="AN5" i="3"/>
  <c r="X79" i="3"/>
  <c r="C80" i="3"/>
  <c r="J71" i="3"/>
  <c r="AF81" i="3"/>
  <c r="AN6" i="3"/>
  <c r="AN7" i="3"/>
  <c r="Q72" i="3"/>
  <c r="X81" i="3"/>
  <c r="J73" i="3"/>
  <c r="C82" i="3"/>
  <c r="AF83" i="3"/>
  <c r="AN8" i="3"/>
  <c r="AN4" i="3"/>
  <c r="AG95" i="3"/>
  <c r="D108" i="1"/>
  <c r="E108" i="1"/>
  <c r="L85" i="1"/>
  <c r="M85" i="1"/>
  <c r="U92" i="1"/>
  <c r="AC93" i="1"/>
  <c r="AK96" i="1"/>
  <c r="AS40" i="1"/>
  <c r="F108" i="1"/>
  <c r="N85" i="1"/>
  <c r="V92" i="1"/>
  <c r="AD93" i="1"/>
  <c r="AL96" i="1"/>
  <c r="AT40" i="1"/>
  <c r="D109" i="1"/>
  <c r="E109" i="1"/>
  <c r="L86" i="1"/>
  <c r="M86" i="1"/>
  <c r="U93" i="1"/>
  <c r="AC94" i="1"/>
  <c r="AK97" i="1"/>
  <c r="AS41" i="1"/>
  <c r="G109" i="1"/>
  <c r="O86" i="1"/>
  <c r="W93" i="1"/>
  <c r="AE94" i="1"/>
  <c r="AM97" i="1"/>
  <c r="AU41" i="1"/>
  <c r="D110" i="1"/>
  <c r="E110" i="1"/>
  <c r="L87" i="1"/>
  <c r="M87" i="1"/>
  <c r="U94" i="1"/>
  <c r="AC95" i="1"/>
  <c r="AK98" i="1"/>
  <c r="AS42" i="1"/>
  <c r="F110" i="1"/>
  <c r="N87" i="1"/>
  <c r="V94" i="1"/>
  <c r="AD95" i="1"/>
  <c r="AL98" i="1"/>
  <c r="AT42" i="1"/>
  <c r="D111" i="1"/>
  <c r="E111" i="1"/>
  <c r="L88" i="1"/>
  <c r="M88" i="1"/>
  <c r="T95" i="1"/>
  <c r="U95" i="1"/>
  <c r="AC96" i="1"/>
  <c r="AK99" i="1"/>
  <c r="AS43" i="1"/>
  <c r="G111" i="1"/>
  <c r="O88" i="1"/>
  <c r="W95" i="1"/>
  <c r="AE96" i="1"/>
  <c r="AM99" i="1"/>
  <c r="AU43" i="1"/>
  <c r="D112" i="1"/>
  <c r="E112" i="1"/>
  <c r="L89" i="1"/>
  <c r="M89" i="1"/>
  <c r="T96" i="1"/>
  <c r="U96" i="1"/>
  <c r="AB97" i="1"/>
  <c r="AC97" i="1"/>
  <c r="AJ100" i="1"/>
  <c r="AK100" i="1"/>
  <c r="AS44" i="1"/>
  <c r="D113" i="1"/>
  <c r="E113" i="1"/>
  <c r="L90" i="1"/>
  <c r="M90" i="1"/>
  <c r="T97" i="1"/>
  <c r="U97" i="1"/>
  <c r="AB98" i="1"/>
  <c r="AC98" i="1"/>
  <c r="AJ101" i="1"/>
  <c r="AK101" i="1"/>
  <c r="AS45" i="1"/>
  <c r="D114" i="1"/>
  <c r="E114" i="1"/>
  <c r="L91" i="1"/>
  <c r="M91" i="1"/>
  <c r="T98" i="1"/>
  <c r="U98" i="1"/>
  <c r="AB99" i="1"/>
  <c r="AC99" i="1"/>
  <c r="AJ102" i="1"/>
  <c r="AK102" i="1"/>
  <c r="AS46" i="1"/>
  <c r="F114" i="1"/>
  <c r="N91" i="1"/>
  <c r="V98" i="1"/>
  <c r="AD99" i="1"/>
  <c r="AL102" i="1"/>
  <c r="AT46" i="1"/>
  <c r="G114" i="1"/>
  <c r="O91" i="1"/>
  <c r="W98" i="1"/>
  <c r="AE99" i="1"/>
  <c r="AM102" i="1"/>
  <c r="AU46" i="1"/>
  <c r="AR41" i="1"/>
  <c r="AR42" i="1"/>
  <c r="AR43" i="1"/>
  <c r="AR44" i="1"/>
  <c r="AR45" i="1"/>
  <c r="AR46" i="1"/>
  <c r="AR40" i="1"/>
  <c r="AS36" i="1"/>
  <c r="E103" i="1"/>
  <c r="AS35" i="1"/>
  <c r="T85" i="1"/>
  <c r="AR33" i="1"/>
  <c r="AR32" i="1"/>
  <c r="AK86" i="1"/>
  <c r="E95" i="1"/>
  <c r="E96" i="1"/>
  <c r="E97" i="1"/>
  <c r="E98" i="1"/>
  <c r="M71" i="1"/>
  <c r="M72" i="1"/>
  <c r="M73" i="1"/>
  <c r="M74" i="1"/>
  <c r="M75" i="1"/>
  <c r="U78" i="1"/>
  <c r="U79" i="1"/>
  <c r="U80" i="1"/>
  <c r="U81" i="1"/>
  <c r="U82" i="1"/>
  <c r="AC79" i="1"/>
  <c r="AC80" i="1"/>
  <c r="AC81" i="1"/>
  <c r="AC82" i="1"/>
  <c r="AC83" i="1"/>
  <c r="AS30" i="1"/>
  <c r="AS26" i="1"/>
  <c r="AS27" i="1"/>
  <c r="AS28" i="1"/>
  <c r="AS29" i="1"/>
  <c r="AR27" i="1"/>
  <c r="AR28" i="1"/>
  <c r="D97" i="1"/>
  <c r="AR29" i="1"/>
  <c r="AR26" i="1"/>
  <c r="AB77" i="1"/>
  <c r="AR24" i="1"/>
  <c r="AR23" i="1"/>
  <c r="AC74" i="1"/>
  <c r="AS21" i="1"/>
  <c r="V73" i="1"/>
  <c r="AD74" i="1"/>
  <c r="AL77" i="1"/>
  <c r="AT21" i="1"/>
  <c r="AC75" i="1"/>
  <c r="AS22" i="1"/>
  <c r="V74" i="1"/>
  <c r="AD75" i="1"/>
  <c r="AL78" i="1"/>
  <c r="AT22" i="1"/>
  <c r="AT20" i="1"/>
  <c r="AR30" i="1"/>
  <c r="D98" i="1"/>
  <c r="AJ86" i="1"/>
  <c r="AB83" i="1"/>
  <c r="T82" i="1"/>
  <c r="L75" i="1"/>
  <c r="K85" i="3"/>
  <c r="D94" i="3"/>
  <c r="AO20" i="3"/>
  <c r="O96" i="2"/>
  <c r="R96" i="2"/>
  <c r="C98" i="2"/>
  <c r="F98" i="2"/>
  <c r="I103" i="2"/>
  <c r="L103" i="2"/>
  <c r="W108" i="2"/>
  <c r="Z108" i="2"/>
  <c r="AC107" i="2"/>
  <c r="AF107" i="2"/>
  <c r="AM24" i="2"/>
  <c r="O95" i="2"/>
  <c r="P95" i="2"/>
  <c r="C97" i="2"/>
  <c r="D97" i="2"/>
  <c r="I102" i="2"/>
  <c r="J102" i="2"/>
  <c r="W107" i="2"/>
  <c r="X107" i="2"/>
  <c r="AC106" i="2"/>
  <c r="AD106" i="2"/>
  <c r="AK23" i="2"/>
  <c r="Q95" i="2"/>
  <c r="E97" i="2"/>
  <c r="K102" i="2"/>
  <c r="Y107" i="2"/>
  <c r="AE106" i="2"/>
  <c r="AL23" i="2"/>
  <c r="P96" i="2"/>
  <c r="D98" i="2"/>
  <c r="J103" i="2"/>
  <c r="X108" i="2"/>
  <c r="AD107" i="2"/>
  <c r="AK24" i="2"/>
  <c r="O97" i="2"/>
  <c r="P97" i="2"/>
  <c r="C99" i="2"/>
  <c r="D99" i="2"/>
  <c r="I104" i="2"/>
  <c r="J104" i="2"/>
  <c r="W109" i="2"/>
  <c r="X109" i="2"/>
  <c r="AC108" i="2"/>
  <c r="AD108" i="2"/>
  <c r="AK25" i="2"/>
  <c r="Q97" i="2"/>
  <c r="E99" i="2"/>
  <c r="K104" i="2"/>
  <c r="Y109" i="2"/>
  <c r="AE108" i="2"/>
  <c r="AL25" i="2"/>
  <c r="O98" i="2"/>
  <c r="P98" i="2"/>
  <c r="C100" i="2"/>
  <c r="D100" i="2"/>
  <c r="I105" i="2"/>
  <c r="J105" i="2"/>
  <c r="W110" i="2"/>
  <c r="X110" i="2"/>
  <c r="AC109" i="2"/>
  <c r="AD109" i="2"/>
  <c r="AK26" i="2"/>
  <c r="R98" i="2"/>
  <c r="F100" i="2"/>
  <c r="L105" i="2"/>
  <c r="Z110" i="2"/>
  <c r="AF109" i="2"/>
  <c r="AM26" i="2"/>
  <c r="O99" i="2"/>
  <c r="P99" i="2"/>
  <c r="C101" i="2"/>
  <c r="D101" i="2"/>
  <c r="I106" i="2"/>
  <c r="J106" i="2"/>
  <c r="W111" i="2"/>
  <c r="X111" i="2"/>
  <c r="AC110" i="2"/>
  <c r="AD110" i="2"/>
  <c r="AK27" i="2"/>
  <c r="O100" i="2"/>
  <c r="P100" i="2"/>
  <c r="C102" i="2"/>
  <c r="D102" i="2"/>
  <c r="I107" i="2"/>
  <c r="J107" i="2"/>
  <c r="W112" i="2"/>
  <c r="X112" i="2"/>
  <c r="AC111" i="2"/>
  <c r="AD111" i="2"/>
  <c r="AK28" i="2"/>
  <c r="O101" i="2"/>
  <c r="P101" i="2"/>
  <c r="C103" i="2"/>
  <c r="D103" i="2"/>
  <c r="I108" i="2"/>
  <c r="J108" i="2"/>
  <c r="W113" i="2"/>
  <c r="X113" i="2"/>
  <c r="AC112" i="2"/>
  <c r="AD112" i="2"/>
  <c r="AK29" i="2"/>
  <c r="Q101" i="2"/>
  <c r="E103" i="2"/>
  <c r="K108" i="2"/>
  <c r="Y113" i="2"/>
  <c r="AE112" i="2"/>
  <c r="AL29" i="2"/>
  <c r="R101" i="2"/>
  <c r="F103" i="2"/>
  <c r="L108" i="2"/>
  <c r="Z113" i="2"/>
  <c r="AF112" i="2"/>
  <c r="AM29" i="2"/>
  <c r="AJ24" i="2"/>
  <c r="AJ25" i="2"/>
  <c r="AJ26" i="2"/>
  <c r="AJ27" i="2"/>
  <c r="AJ28" i="2"/>
  <c r="AJ29" i="2"/>
  <c r="AJ23" i="2"/>
  <c r="AD104" i="2"/>
  <c r="X105" i="2"/>
  <c r="J99" i="2"/>
  <c r="D93" i="2"/>
  <c r="AK21" i="2"/>
  <c r="AD103" i="2"/>
  <c r="X104" i="2"/>
  <c r="J98" i="2"/>
  <c r="D92" i="2"/>
  <c r="AK20" i="2"/>
  <c r="O89" i="2"/>
  <c r="C90" i="2"/>
  <c r="I96" i="2"/>
  <c r="W102" i="2"/>
  <c r="AC101" i="2"/>
  <c r="AJ18" i="2"/>
  <c r="C89" i="2"/>
  <c r="I95" i="2"/>
  <c r="O88" i="2"/>
  <c r="W101" i="2"/>
  <c r="AC100" i="2"/>
  <c r="AJ17" i="2"/>
  <c r="AC91" i="2"/>
  <c r="AD94" i="2"/>
  <c r="AD95" i="2"/>
  <c r="O79" i="2"/>
  <c r="P82" i="2"/>
  <c r="C80" i="2"/>
  <c r="D83" i="2"/>
  <c r="I86" i="2"/>
  <c r="J89" i="2"/>
  <c r="W92" i="2"/>
  <c r="X95" i="2"/>
  <c r="AK11" i="2"/>
  <c r="C84" i="2"/>
  <c r="I90" i="2"/>
  <c r="W96" i="2"/>
  <c r="AC95" i="2"/>
  <c r="AJ12" i="2"/>
  <c r="P83" i="2"/>
  <c r="D84" i="2"/>
  <c r="J90" i="2"/>
  <c r="X96" i="2"/>
  <c r="AK12" i="2"/>
  <c r="O84" i="2"/>
  <c r="C85" i="2"/>
  <c r="I91" i="2"/>
  <c r="W97" i="2"/>
  <c r="AC96" i="2"/>
  <c r="AJ13" i="2"/>
  <c r="P84" i="2"/>
  <c r="D85" i="2"/>
  <c r="J91" i="2"/>
  <c r="X97" i="2"/>
  <c r="AD96" i="2"/>
  <c r="AK13" i="2"/>
  <c r="O85" i="2"/>
  <c r="C86" i="2"/>
  <c r="I92" i="2"/>
  <c r="W98" i="2"/>
  <c r="AC97" i="2"/>
  <c r="AJ14" i="2"/>
  <c r="P85" i="2"/>
  <c r="D86" i="2"/>
  <c r="J92" i="2"/>
  <c r="X98" i="2"/>
  <c r="AD97" i="2"/>
  <c r="AK14" i="2"/>
  <c r="O86" i="2"/>
  <c r="C83" i="2"/>
  <c r="C87" i="2"/>
  <c r="I89" i="2"/>
  <c r="I93" i="2"/>
  <c r="W95" i="2"/>
  <c r="W99" i="2"/>
  <c r="AC94" i="2"/>
  <c r="AC98" i="2"/>
  <c r="AJ15" i="2"/>
  <c r="AD98" i="2"/>
  <c r="P86" i="2"/>
  <c r="D87" i="2"/>
  <c r="J93" i="2"/>
  <c r="X99" i="2"/>
  <c r="AK15" i="2"/>
  <c r="AJ11" i="2"/>
  <c r="C78" i="2"/>
  <c r="I84" i="2"/>
  <c r="W90" i="2"/>
  <c r="AC89" i="2"/>
  <c r="AJ6" i="2"/>
  <c r="D78" i="2"/>
  <c r="J84" i="2"/>
  <c r="X90" i="2"/>
  <c r="AD89" i="2"/>
  <c r="AK6" i="2"/>
  <c r="C79" i="2"/>
  <c r="I85" i="2"/>
  <c r="W91" i="2"/>
  <c r="AC90" i="2"/>
  <c r="AJ7" i="2"/>
  <c r="D79" i="2"/>
  <c r="J85" i="2"/>
  <c r="X91" i="2"/>
  <c r="AD90" i="2"/>
  <c r="AK7" i="2"/>
  <c r="AJ8" i="2"/>
  <c r="O80" i="2"/>
  <c r="C81" i="2"/>
  <c r="I87" i="2"/>
  <c r="W93" i="2"/>
  <c r="AC92" i="2"/>
  <c r="AJ9" i="2"/>
  <c r="D77" i="2"/>
  <c r="J83" i="2"/>
  <c r="X89" i="2"/>
  <c r="AD88" i="2"/>
  <c r="AK5" i="2"/>
  <c r="C77" i="2"/>
  <c r="I83" i="2"/>
  <c r="W89" i="2"/>
  <c r="AC88" i="2"/>
  <c r="AJ5" i="2"/>
  <c r="AO30" i="8" l="1"/>
  <c r="M99" i="8"/>
  <c r="AO35" i="8"/>
  <c r="M94" i="8"/>
  <c r="M96" i="8"/>
  <c r="AO32" i="8"/>
</calcChain>
</file>

<file path=xl/sharedStrings.xml><?xml version="1.0" encoding="utf-8"?>
<sst xmlns="http://schemas.openxmlformats.org/spreadsheetml/2006/main" count="2148" uniqueCount="115">
  <si>
    <t>Trp63</t>
  </si>
  <si>
    <t>Sox2</t>
  </si>
  <si>
    <t>Sox21</t>
  </si>
  <si>
    <t>Intensity measurements</t>
  </si>
  <si>
    <t>Average</t>
  </si>
  <si>
    <t>Average total</t>
  </si>
  <si>
    <t>Foxj1</t>
  </si>
  <si>
    <t>Average Foxj1+</t>
  </si>
  <si>
    <t>Avergae rest</t>
  </si>
  <si>
    <t>% of Foxj1</t>
  </si>
  <si>
    <t>% Sox2highSox21high</t>
  </si>
  <si>
    <t>Total</t>
  </si>
  <si>
    <t>% Sox2highSox21low</t>
  </si>
  <si>
    <t>% Sox2lowSox21high</t>
  </si>
  <si>
    <t># of Foxj1</t>
  </si>
  <si>
    <t>% Sox2lowSox21low</t>
  </si>
  <si>
    <t>Int S2 in S21_high</t>
  </si>
  <si>
    <t>Int S21 in S2_high</t>
  </si>
  <si>
    <t>Int S21 in S2_low</t>
  </si>
  <si>
    <t>Int S2 in S21_low</t>
  </si>
  <si>
    <t># of S2 high</t>
  </si>
  <si>
    <t># of S21high</t>
  </si>
  <si>
    <t># of S2 high only</t>
  </si>
  <si>
    <t># of S21 high only</t>
  </si>
  <si>
    <t># of S2 low</t>
  </si>
  <si>
    <t># of S21 low</t>
  </si>
  <si>
    <t># of S2highS21high</t>
  </si>
  <si>
    <t>% of total</t>
  </si>
  <si>
    <t>% of S2high</t>
  </si>
  <si>
    <t>%ofS21high</t>
  </si>
  <si>
    <t>Average Trp63+</t>
  </si>
  <si>
    <t># of Trp63</t>
  </si>
  <si>
    <t>% of Trp63</t>
  </si>
  <si>
    <t>ALL exp1</t>
  </si>
  <si>
    <t>Exp 2</t>
  </si>
  <si>
    <t>Exp1</t>
  </si>
  <si>
    <t>Exp 1</t>
  </si>
  <si>
    <t>Lowest value</t>
  </si>
  <si>
    <t>Highst value</t>
  </si>
  <si>
    <t>Sox2-n</t>
  </si>
  <si>
    <t>Sox21-n</t>
  </si>
  <si>
    <t>Int</t>
  </si>
  <si>
    <t>Int Norm</t>
  </si>
  <si>
    <t>Int Sox2</t>
  </si>
  <si>
    <t>Int Sox21</t>
  </si>
  <si>
    <t>Exp 3</t>
  </si>
  <si>
    <t>AVERAGE</t>
  </si>
  <si>
    <t>MIN MAX overall</t>
  </si>
  <si>
    <t>Foxj1-</t>
  </si>
  <si>
    <t>Foxj+</t>
  </si>
  <si>
    <t>Trp63-</t>
  </si>
  <si>
    <t>Trp63+</t>
  </si>
  <si>
    <t>Calculations</t>
  </si>
  <si>
    <t>Apical</t>
  </si>
  <si>
    <t>Basal</t>
  </si>
  <si>
    <t>S2+/-</t>
  </si>
  <si>
    <t>TRP63 all</t>
  </si>
  <si>
    <t>Trp73 ALL</t>
  </si>
  <si>
    <t>p63+p73+</t>
  </si>
  <si>
    <t>DAPI(area)</t>
  </si>
  <si>
    <t>DAPI (/size nuclei)</t>
  </si>
  <si>
    <t>DAPI</t>
  </si>
  <si>
    <t># nuclei</t>
  </si>
  <si>
    <t>A</t>
  </si>
  <si>
    <t>P63 Alone</t>
  </si>
  <si>
    <t>P73 Alone</t>
  </si>
  <si>
    <t>% of P63</t>
  </si>
  <si>
    <t>%of P73</t>
  </si>
  <si>
    <t>%of P63P73</t>
  </si>
  <si>
    <t>% of P63 alone</t>
  </si>
  <si>
    <t>%of P73 alone</t>
  </si>
  <si>
    <t>B</t>
  </si>
  <si>
    <t>D</t>
  </si>
  <si>
    <t>WT</t>
  </si>
  <si>
    <t>G</t>
  </si>
  <si>
    <t>H</t>
  </si>
  <si>
    <t>F</t>
  </si>
  <si>
    <t>S21+/-</t>
  </si>
  <si>
    <t>J</t>
  </si>
  <si>
    <t>I</t>
  </si>
  <si>
    <t>K</t>
  </si>
  <si>
    <t>Counting</t>
  </si>
  <si>
    <t>size nuclei</t>
  </si>
  <si>
    <t>Sox2+/-</t>
  </si>
  <si>
    <t># image</t>
  </si>
  <si>
    <t>Dapi total</t>
  </si>
  <si>
    <t>Sum</t>
  </si>
  <si>
    <t xml:space="preserve">Average </t>
  </si>
  <si>
    <t>size nucle</t>
  </si>
  <si>
    <t>Sox21+/-</t>
  </si>
  <si>
    <t>Ctrl</t>
  </si>
  <si>
    <t>Mouse #</t>
  </si>
  <si>
    <t>Tr. Ring</t>
  </si>
  <si>
    <t>P63</t>
  </si>
  <si>
    <t>FOXJ1</t>
  </si>
  <si>
    <t>CC10</t>
  </si>
  <si>
    <t>MycSox2</t>
  </si>
  <si>
    <t xml:space="preserve">17673-1 </t>
  </si>
  <si>
    <t>17592-4</t>
  </si>
  <si>
    <t>%</t>
  </si>
  <si>
    <t>17673-6</t>
  </si>
  <si>
    <t>17675-8</t>
  </si>
  <si>
    <t>17673-9</t>
  </si>
  <si>
    <t>17675-6</t>
  </si>
  <si>
    <t>MycSox21</t>
  </si>
  <si>
    <t>17589-5</t>
  </si>
  <si>
    <t>17991-5</t>
  </si>
  <si>
    <t>17589-1</t>
  </si>
  <si>
    <t># of Foxj1+ cells or % of area SCGB3A2+ in a 500 um2 field</t>
  </si>
  <si>
    <t>SOX2+/-</t>
  </si>
  <si>
    <t># of FOXJ1+</t>
  </si>
  <si>
    <t>Image #</t>
  </si>
  <si>
    <t>x</t>
  </si>
  <si>
    <t>% SCGB3A2+ area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</si>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</sst>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000"/>
    <numFmt numFmtId="166" formatCode="#,##0.00000"/>
    <numFmt numFmtId="167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/>
      <right/>
      <top style="thin">
        <color theme="5" tint="-0.249977111117893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0" fontId="0" fillId="2" borderId="0" xfId="0" applyFill="1"/>
    <xf numFmtId="3" fontId="0" fillId="0" borderId="0" xfId="0" applyNumberFormat="1" applyFill="1"/>
    <xf numFmtId="0" fontId="0" fillId="0" borderId="0" xfId="0" applyFill="1"/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3" fontId="0" fillId="6" borderId="0" xfId="0" applyNumberFormat="1" applyFill="1"/>
    <xf numFmtId="3" fontId="0" fillId="3" borderId="2" xfId="0" applyNumberFormat="1" applyFill="1" applyBorder="1"/>
    <xf numFmtId="3" fontId="0" fillId="3" borderId="3" xfId="0" applyNumberFormat="1" applyFill="1" applyBorder="1"/>
    <xf numFmtId="3" fontId="0" fillId="3" borderId="4" xfId="0" applyNumberFormat="1" applyFill="1" applyBorder="1"/>
    <xf numFmtId="3" fontId="0" fillId="3" borderId="5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3" fontId="0" fillId="3" borderId="9" xfId="0" applyNumberFormat="1" applyFill="1" applyBorder="1"/>
    <xf numFmtId="0" fontId="0" fillId="5" borderId="0" xfId="0" applyFill="1"/>
    <xf numFmtId="3" fontId="0" fillId="0" borderId="4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1" xfId="0" applyBorder="1"/>
    <xf numFmtId="3" fontId="0" fillId="0" borderId="0" xfId="0" applyNumberFormat="1" applyBorder="1"/>
    <xf numFmtId="0" fontId="0" fillId="0" borderId="2" xfId="0" applyBorder="1"/>
    <xf numFmtId="3" fontId="0" fillId="0" borderId="10" xfId="0" applyNumberFormat="1" applyBorder="1"/>
    <xf numFmtId="3" fontId="0" fillId="0" borderId="10" xfId="0" applyNumberFormat="1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Fill="1" applyBorder="1"/>
    <xf numFmtId="3" fontId="0" fillId="0" borderId="3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3" fontId="0" fillId="0" borderId="2" xfId="0" applyNumberFormat="1" applyFill="1" applyBorder="1"/>
    <xf numFmtId="3" fontId="0" fillId="0" borderId="4" xfId="0" applyNumberFormat="1" applyFill="1" applyBorder="1"/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3" fontId="0" fillId="0" borderId="8" xfId="0" applyNumberFormat="1" applyFill="1" applyBorder="1"/>
    <xf numFmtId="3" fontId="0" fillId="0" borderId="9" xfId="0" applyNumberFormat="1" applyFill="1" applyBorder="1"/>
    <xf numFmtId="0" fontId="0" fillId="4" borderId="0" xfId="0" applyFill="1" applyBorder="1"/>
    <xf numFmtId="0" fontId="0" fillId="0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3" fontId="0" fillId="2" borderId="0" xfId="0" applyNumberFormat="1" applyFill="1" applyBorder="1"/>
    <xf numFmtId="3" fontId="0" fillId="0" borderId="1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3" fontId="0" fillId="0" borderId="11" xfId="0" applyNumberFormat="1" applyFill="1" applyBorder="1"/>
    <xf numFmtId="0" fontId="0" fillId="0" borderId="11" xfId="0" applyFill="1" applyBorder="1"/>
    <xf numFmtId="0" fontId="0" fillId="0" borderId="18" xfId="0" applyFill="1" applyBorder="1"/>
    <xf numFmtId="3" fontId="0" fillId="0" borderId="0" xfId="0" applyNumberFormat="1" applyFont="1"/>
    <xf numFmtId="0" fontId="1" fillId="0" borderId="0" xfId="0" applyFont="1" applyFill="1" applyAlignment="1"/>
    <xf numFmtId="166" fontId="0" fillId="0" borderId="0" xfId="0" applyNumberFormat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166" fontId="0" fillId="0" borderId="23" xfId="0" applyNumberFormat="1" applyFill="1" applyBorder="1"/>
    <xf numFmtId="0" fontId="0" fillId="0" borderId="24" xfId="0" applyFill="1" applyBorder="1"/>
    <xf numFmtId="3" fontId="0" fillId="0" borderId="25" xfId="0" applyNumberFormat="1" applyFill="1" applyBorder="1"/>
    <xf numFmtId="0" fontId="0" fillId="0" borderId="25" xfId="0" applyFill="1" applyBorder="1"/>
    <xf numFmtId="0" fontId="0" fillId="0" borderId="26" xfId="0" applyFill="1" applyBorder="1"/>
    <xf numFmtId="0" fontId="1" fillId="0" borderId="19" xfId="0" applyFont="1" applyFill="1" applyBorder="1"/>
    <xf numFmtId="3" fontId="0" fillId="0" borderId="26" xfId="0" applyNumberForma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164" fontId="0" fillId="0" borderId="23" xfId="0" applyNumberFormat="1" applyFill="1" applyBorder="1"/>
    <xf numFmtId="0" fontId="1" fillId="0" borderId="19" xfId="0" applyFont="1" applyBorder="1"/>
    <xf numFmtId="0" fontId="0" fillId="0" borderId="23" xfId="0" applyFill="1" applyBorder="1"/>
    <xf numFmtId="165" fontId="0" fillId="0" borderId="23" xfId="0" applyNumberFormat="1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5" borderId="0" xfId="0" applyFill="1" applyBorder="1"/>
    <xf numFmtId="3" fontId="0" fillId="0" borderId="31" xfId="0" applyNumberFormat="1" applyBorder="1"/>
    <xf numFmtId="3" fontId="0" fillId="0" borderId="32" xfId="0" applyNumberFormat="1" applyBorder="1"/>
    <xf numFmtId="3" fontId="0" fillId="0" borderId="35" xfId="0" applyNumberFormat="1" applyBorder="1"/>
    <xf numFmtId="3" fontId="0" fillId="0" borderId="36" xfId="0" applyNumberFormat="1" applyBorder="1"/>
    <xf numFmtId="3" fontId="0" fillId="0" borderId="33" xfId="0" applyNumberFormat="1" applyBorder="1"/>
    <xf numFmtId="3" fontId="0" fillId="0" borderId="34" xfId="0" applyNumberFormat="1" applyBorder="1"/>
    <xf numFmtId="3" fontId="0" fillId="0" borderId="28" xfId="0" applyNumberFormat="1" applyBorder="1"/>
    <xf numFmtId="3" fontId="0" fillId="0" borderId="30" xfId="0" applyNumberFormat="1" applyBorder="1"/>
    <xf numFmtId="3" fontId="0" fillId="0" borderId="29" xfId="0" applyNumberFormat="1" applyFill="1" applyBorder="1"/>
    <xf numFmtId="3" fontId="0" fillId="0" borderId="27" xfId="0" applyNumberFormat="1" applyBorder="1"/>
    <xf numFmtId="3" fontId="0" fillId="0" borderId="30" xfId="0" applyNumberFormat="1" applyFill="1" applyBorder="1"/>
    <xf numFmtId="3" fontId="0" fillId="0" borderId="29" xfId="0" applyNumberFormat="1" applyBorder="1"/>
    <xf numFmtId="3" fontId="0" fillId="0" borderId="25" xfId="0" applyNumberFormat="1" applyBorder="1"/>
    <xf numFmtId="0" fontId="2" fillId="0" borderId="0" xfId="0" applyFont="1"/>
    <xf numFmtId="0" fontId="2" fillId="0" borderId="0" xfId="0" applyFont="1" applyAlignment="1"/>
    <xf numFmtId="164" fontId="0" fillId="0" borderId="0" xfId="0" applyNumberFormat="1" applyFill="1"/>
    <xf numFmtId="0" fontId="0" fillId="5" borderId="37" xfId="0" applyFill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1" fillId="7" borderId="0" xfId="0" applyFont="1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/>
    <xf numFmtId="0" fontId="0" fillId="8" borderId="0" xfId="0" applyFill="1"/>
    <xf numFmtId="0" fontId="0" fillId="9" borderId="0" xfId="0" applyFill="1"/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82"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4C Foxj1 Scatter'!$B$3</c:f>
              <c:strCache>
                <c:ptCount val="1"/>
                <c:pt idx="0">
                  <c:v>Foxj1-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xVal>
            <c:numRef>
              <c:f>('Fig 4C Foxj1 Scatter'!$B$5:$B$64,'Fig 4C Foxj1 Scatter'!$F$5:$F$55,'Fig 4C Foxj1 Scatter'!$J$5:$J$58)</c:f>
              <c:numCache>
                <c:formatCode>General</c:formatCode>
                <c:ptCount val="165"/>
                <c:pt idx="0">
                  <c:v>0.53579339450450525</c:v>
                </c:pt>
                <c:pt idx="1">
                  <c:v>0.60483147644964941</c:v>
                </c:pt>
                <c:pt idx="2">
                  <c:v>1.0512499896763323</c:v>
                </c:pt>
                <c:pt idx="3">
                  <c:v>0.51868749019251581</c:v>
                </c:pt>
                <c:pt idx="4">
                  <c:v>1.4438334668527681</c:v>
                </c:pt>
                <c:pt idx="5">
                  <c:v>0.41424831311270971</c:v>
                </c:pt>
                <c:pt idx="6">
                  <c:v>1.5627422964792164</c:v>
                </c:pt>
                <c:pt idx="7">
                  <c:v>0.77733748482420861</c:v>
                </c:pt>
                <c:pt idx="8">
                  <c:v>0.57099627522072005</c:v>
                </c:pt>
                <c:pt idx="9">
                  <c:v>1.0718642891948367</c:v>
                </c:pt>
                <c:pt idx="10">
                  <c:v>0.57745806526209731</c:v>
                </c:pt>
                <c:pt idx="11">
                  <c:v>1.7369727702942659</c:v>
                </c:pt>
                <c:pt idx="12">
                  <c:v>0.45668602010224563</c:v>
                </c:pt>
                <c:pt idx="13">
                  <c:v>1.3812571749490012</c:v>
                </c:pt>
                <c:pt idx="14">
                  <c:v>1.1731518570213328</c:v>
                </c:pt>
                <c:pt idx="15">
                  <c:v>0.68467224420016359</c:v>
                </c:pt>
                <c:pt idx="16">
                  <c:v>0.60701183505256817</c:v>
                </c:pt>
                <c:pt idx="17">
                  <c:v>0.55048108291143949</c:v>
                </c:pt>
                <c:pt idx="18">
                  <c:v>1.4965188592760219</c:v>
                </c:pt>
                <c:pt idx="19">
                  <c:v>1.0495849885613764</c:v>
                </c:pt>
                <c:pt idx="20">
                  <c:v>0.63850810614382114</c:v>
                </c:pt>
                <c:pt idx="21">
                  <c:v>0.67642652439276185</c:v>
                </c:pt>
                <c:pt idx="22">
                  <c:v>0.74229317564275155</c:v>
                </c:pt>
                <c:pt idx="23">
                  <c:v>0.94813884920012226</c:v>
                </c:pt>
                <c:pt idx="24">
                  <c:v>0.889348452688696</c:v>
                </c:pt>
                <c:pt idx="25">
                  <c:v>0.97612672508486065</c:v>
                </c:pt>
                <c:pt idx="26">
                  <c:v>1.3232596361113635</c:v>
                </c:pt>
                <c:pt idx="27">
                  <c:v>1.2330918971597526</c:v>
                </c:pt>
                <c:pt idx="28">
                  <c:v>0.80546411080185998</c:v>
                </c:pt>
                <c:pt idx="29">
                  <c:v>1.0166813950991485</c:v>
                </c:pt>
                <c:pt idx="30">
                  <c:v>1.0719237535203707</c:v>
                </c:pt>
                <c:pt idx="31">
                  <c:v>1.0405662325220308</c:v>
                </c:pt>
                <c:pt idx="32">
                  <c:v>1.1107539580941683</c:v>
                </c:pt>
                <c:pt idx="33">
                  <c:v>0.59389004055136652</c:v>
                </c:pt>
                <c:pt idx="34">
                  <c:v>0.91279721839099448</c:v>
                </c:pt>
                <c:pt idx="35">
                  <c:v>1.0217755056532405</c:v>
                </c:pt>
                <c:pt idx="36">
                  <c:v>0.83281770054756732</c:v>
                </c:pt>
                <c:pt idx="37">
                  <c:v>0.6169423774167706</c:v>
                </c:pt>
                <c:pt idx="38">
                  <c:v>1.0269290805328666</c:v>
                </c:pt>
                <c:pt idx="39">
                  <c:v>0.54772590249502406</c:v>
                </c:pt>
                <c:pt idx="40">
                  <c:v>1.2446081548715324</c:v>
                </c:pt>
                <c:pt idx="41">
                  <c:v>1.0912298378771237</c:v>
                </c:pt>
                <c:pt idx="42">
                  <c:v>0.67811134694956277</c:v>
                </c:pt>
                <c:pt idx="43">
                  <c:v>1.1911695476581794</c:v>
                </c:pt>
                <c:pt idx="44">
                  <c:v>1.2707129937810226</c:v>
                </c:pt>
                <c:pt idx="45">
                  <c:v>1.4718609856211957</c:v>
                </c:pt>
                <c:pt idx="46">
                  <c:v>0.78334338170315743</c:v>
                </c:pt>
                <c:pt idx="47">
                  <c:v>1.1678595320487939</c:v>
                </c:pt>
                <c:pt idx="48">
                  <c:v>0.76213443892931187</c:v>
                </c:pt>
                <c:pt idx="49">
                  <c:v>1.4876983176551235</c:v>
                </c:pt>
                <c:pt idx="50">
                  <c:v>1.045838736052725</c:v>
                </c:pt>
                <c:pt idx="51">
                  <c:v>1.0469090939123398</c:v>
                </c:pt>
                <c:pt idx="52">
                  <c:v>0.70972654669188395</c:v>
                </c:pt>
                <c:pt idx="53">
                  <c:v>0.73926049504051006</c:v>
                </c:pt>
                <c:pt idx="54">
                  <c:v>0.71787315929006201</c:v>
                </c:pt>
                <c:pt idx="55">
                  <c:v>0.66294794393835532</c:v>
                </c:pt>
                <c:pt idx="56">
                  <c:v>0.84453217267779424</c:v>
                </c:pt>
                <c:pt idx="57">
                  <c:v>0.46849959944169606</c:v>
                </c:pt>
                <c:pt idx="58">
                  <c:v>0.70435493595196608</c:v>
                </c:pt>
                <c:pt idx="59">
                  <c:v>1.2158075998711606</c:v>
                </c:pt>
                <c:pt idx="60">
                  <c:v>1.178031505603228</c:v>
                </c:pt>
                <c:pt idx="61">
                  <c:v>0.48356717227087531</c:v>
                </c:pt>
                <c:pt idx="62">
                  <c:v>0.70637742800081416</c:v>
                </c:pt>
                <c:pt idx="63">
                  <c:v>0.74624501213883387</c:v>
                </c:pt>
                <c:pt idx="64">
                  <c:v>0.9477903096345458</c:v>
                </c:pt>
                <c:pt idx="65">
                  <c:v>0.79357723692484294</c:v>
                </c:pt>
                <c:pt idx="66">
                  <c:v>0.56291478584058585</c:v>
                </c:pt>
                <c:pt idx="67">
                  <c:v>0.55204640385875037</c:v>
                </c:pt>
                <c:pt idx="68">
                  <c:v>0.49516011305149982</c:v>
                </c:pt>
                <c:pt idx="69">
                  <c:v>1.2319353101922073</c:v>
                </c:pt>
                <c:pt idx="70">
                  <c:v>0.44772678703775276</c:v>
                </c:pt>
                <c:pt idx="71">
                  <c:v>1.3777738312042787</c:v>
                </c:pt>
                <c:pt idx="72">
                  <c:v>1.2525262602415141</c:v>
                </c:pt>
                <c:pt idx="73">
                  <c:v>0.72659767354841509</c:v>
                </c:pt>
                <c:pt idx="74">
                  <c:v>0.60628721254018969</c:v>
                </c:pt>
                <c:pt idx="75">
                  <c:v>0.88332142674694492</c:v>
                </c:pt>
                <c:pt idx="76">
                  <c:v>1.5831272749447889</c:v>
                </c:pt>
                <c:pt idx="77">
                  <c:v>0.82370540279076832</c:v>
                </c:pt>
                <c:pt idx="78">
                  <c:v>0.89659938798986949</c:v>
                </c:pt>
                <c:pt idx="79">
                  <c:v>0.77585082166144625</c:v>
                </c:pt>
                <c:pt idx="80">
                  <c:v>0.76205050407520858</c:v>
                </c:pt>
                <c:pt idx="81">
                  <c:v>1.6645980142969974</c:v>
                </c:pt>
                <c:pt idx="82">
                  <c:v>1.2621140266720017</c:v>
                </c:pt>
                <c:pt idx="83">
                  <c:v>1.0142980672815298</c:v>
                </c:pt>
                <c:pt idx="84">
                  <c:v>0.88492219618612999</c:v>
                </c:pt>
                <c:pt idx="85">
                  <c:v>1.1721339339851777</c:v>
                </c:pt>
                <c:pt idx="86">
                  <c:v>0.68057976472299997</c:v>
                </c:pt>
                <c:pt idx="87">
                  <c:v>0.87021196755025043</c:v>
                </c:pt>
                <c:pt idx="88">
                  <c:v>0.82847401069907756</c:v>
                </c:pt>
                <c:pt idx="89">
                  <c:v>0.93137821033174306</c:v>
                </c:pt>
                <c:pt idx="90">
                  <c:v>1.0199260356256119</c:v>
                </c:pt>
                <c:pt idx="91">
                  <c:v>0.75861306233211645</c:v>
                </c:pt>
                <c:pt idx="92">
                  <c:v>1.3150405193928469</c:v>
                </c:pt>
                <c:pt idx="93">
                  <c:v>0.93343393529574914</c:v>
                </c:pt>
                <c:pt idx="94">
                  <c:v>0.85580504259758472</c:v>
                </c:pt>
                <c:pt idx="95">
                  <c:v>1.3857608281955811</c:v>
                </c:pt>
                <c:pt idx="96">
                  <c:v>0.75539467324912335</c:v>
                </c:pt>
                <c:pt idx="97">
                  <c:v>1.0962574625678054</c:v>
                </c:pt>
                <c:pt idx="98">
                  <c:v>1.293421706861537</c:v>
                </c:pt>
                <c:pt idx="99">
                  <c:v>0.92510993421198684</c:v>
                </c:pt>
                <c:pt idx="100">
                  <c:v>0.8327202622640737</c:v>
                </c:pt>
                <c:pt idx="101">
                  <c:v>1.1262845272059927</c:v>
                </c:pt>
                <c:pt idx="102">
                  <c:v>0.57445717600734136</c:v>
                </c:pt>
                <c:pt idx="103">
                  <c:v>0.54945147234680825</c:v>
                </c:pt>
                <c:pt idx="104">
                  <c:v>0.67412613635239071</c:v>
                </c:pt>
                <c:pt idx="105">
                  <c:v>0.61681859042956522</c:v>
                </c:pt>
                <c:pt idx="106">
                  <c:v>0.7143307245828705</c:v>
                </c:pt>
                <c:pt idx="107">
                  <c:v>0.37409139283523951</c:v>
                </c:pt>
                <c:pt idx="108">
                  <c:v>0.80629914141520853</c:v>
                </c:pt>
                <c:pt idx="109">
                  <c:v>0.34261521059947408</c:v>
                </c:pt>
                <c:pt idx="110">
                  <c:v>0.33708834348312988</c:v>
                </c:pt>
                <c:pt idx="111">
                  <c:v>0.98109569263244523</c:v>
                </c:pt>
                <c:pt idx="112">
                  <c:v>0.7097545446909318</c:v>
                </c:pt>
                <c:pt idx="113">
                  <c:v>1.0072225678158093</c:v>
                </c:pt>
                <c:pt idx="114">
                  <c:v>1.1761865864510812</c:v>
                </c:pt>
                <c:pt idx="115">
                  <c:v>0.47773153181009748</c:v>
                </c:pt>
                <c:pt idx="116">
                  <c:v>1.0563744973845126</c:v>
                </c:pt>
                <c:pt idx="117">
                  <c:v>0.67352118745685996</c:v>
                </c:pt>
                <c:pt idx="118">
                  <c:v>1.277643395300766</c:v>
                </c:pt>
                <c:pt idx="119">
                  <c:v>0.85291550459977628</c:v>
                </c:pt>
                <c:pt idx="120">
                  <c:v>1.285414990267246</c:v>
                </c:pt>
                <c:pt idx="121">
                  <c:v>1.3251932855562036</c:v>
                </c:pt>
                <c:pt idx="122">
                  <c:v>0.76819489368229232</c:v>
                </c:pt>
                <c:pt idx="123">
                  <c:v>0.91825825701531316</c:v>
                </c:pt>
                <c:pt idx="124">
                  <c:v>0.94211841700012056</c:v>
                </c:pt>
                <c:pt idx="125">
                  <c:v>0.81438134622431235</c:v>
                </c:pt>
                <c:pt idx="126">
                  <c:v>0.64591157376015429</c:v>
                </c:pt>
                <c:pt idx="127">
                  <c:v>0.64478673764658478</c:v>
                </c:pt>
                <c:pt idx="128">
                  <c:v>1.2805918293560314</c:v>
                </c:pt>
                <c:pt idx="129">
                  <c:v>1.4725127304909715</c:v>
                </c:pt>
                <c:pt idx="130">
                  <c:v>1.0724971483456753</c:v>
                </c:pt>
                <c:pt idx="131">
                  <c:v>0.79474784315109936</c:v>
                </c:pt>
                <c:pt idx="132">
                  <c:v>0.89303465931708814</c:v>
                </c:pt>
                <c:pt idx="133">
                  <c:v>1.0391781392240336</c:v>
                </c:pt>
                <c:pt idx="134">
                  <c:v>0.7489533789516869</c:v>
                </c:pt>
                <c:pt idx="135">
                  <c:v>1.2293947432172019</c:v>
                </c:pt>
                <c:pt idx="136">
                  <c:v>0.90890166570698516</c:v>
                </c:pt>
                <c:pt idx="137">
                  <c:v>0.59168083870897059</c:v>
                </c:pt>
                <c:pt idx="138">
                  <c:v>0.56657654181066963</c:v>
                </c:pt>
                <c:pt idx="139">
                  <c:v>0.51263553727358724</c:v>
                </c:pt>
                <c:pt idx="140">
                  <c:v>1.5881663345316166</c:v>
                </c:pt>
                <c:pt idx="141">
                  <c:v>0.76338877574249531</c:v>
                </c:pt>
                <c:pt idx="142">
                  <c:v>0.53704107234376164</c:v>
                </c:pt>
                <c:pt idx="143">
                  <c:v>0.67921353991037836</c:v>
                </c:pt>
                <c:pt idx="144">
                  <c:v>0.55906059141545528</c:v>
                </c:pt>
                <c:pt idx="145">
                  <c:v>1.161427373203336</c:v>
                </c:pt>
                <c:pt idx="146">
                  <c:v>0.65177435592784982</c:v>
                </c:pt>
                <c:pt idx="147">
                  <c:v>1.1052026104962791</c:v>
                </c:pt>
                <c:pt idx="148">
                  <c:v>1.3404467449750626</c:v>
                </c:pt>
                <c:pt idx="149">
                  <c:v>0.93226757952067862</c:v>
                </c:pt>
                <c:pt idx="150">
                  <c:v>1.1213082184860241</c:v>
                </c:pt>
                <c:pt idx="151">
                  <c:v>0.5641053109551003</c:v>
                </c:pt>
                <c:pt idx="152">
                  <c:v>1.3224493671579507</c:v>
                </c:pt>
                <c:pt idx="153">
                  <c:v>0.93213123574933687</c:v>
                </c:pt>
                <c:pt idx="154">
                  <c:v>0.53750123257204008</c:v>
                </c:pt>
                <c:pt idx="155">
                  <c:v>1.4811705599711731</c:v>
                </c:pt>
                <c:pt idx="156">
                  <c:v>0.54346627256824187</c:v>
                </c:pt>
                <c:pt idx="157">
                  <c:v>0.75815658351725546</c:v>
                </c:pt>
                <c:pt idx="158">
                  <c:v>0.68016794630977062</c:v>
                </c:pt>
                <c:pt idx="159">
                  <c:v>0.43892468589194999</c:v>
                </c:pt>
                <c:pt idx="160">
                  <c:v>0.79394682349446655</c:v>
                </c:pt>
                <c:pt idx="161">
                  <c:v>0.90032905108387218</c:v>
                </c:pt>
                <c:pt idx="162">
                  <c:v>0.78511856430008786</c:v>
                </c:pt>
                <c:pt idx="163">
                  <c:v>1.1094463103792913</c:v>
                </c:pt>
                <c:pt idx="164">
                  <c:v>0.90479430959531471</c:v>
                </c:pt>
              </c:numCache>
            </c:numRef>
          </c:xVal>
          <c:yVal>
            <c:numRef>
              <c:f>('Fig 4C Foxj1 Scatter'!$C$5:$C$64,'Fig 4C Foxj1 Scatter'!$G$5:$G$55,'Fig 4C Foxj1 Scatter'!$K$5:$K$58)</c:f>
              <c:numCache>
                <c:formatCode>General</c:formatCode>
                <c:ptCount val="165"/>
                <c:pt idx="0">
                  <c:v>0.79920764445961368</c:v>
                </c:pt>
                <c:pt idx="1">
                  <c:v>0.62073323130063607</c:v>
                </c:pt>
                <c:pt idx="2">
                  <c:v>1.4969298382994167</c:v>
                </c:pt>
                <c:pt idx="3">
                  <c:v>0.72050781608624315</c:v>
                </c:pt>
                <c:pt idx="4">
                  <c:v>1.6443753665562453</c:v>
                </c:pt>
                <c:pt idx="5">
                  <c:v>0.57321782108706942</c:v>
                </c:pt>
                <c:pt idx="6">
                  <c:v>1.4734443163935294</c:v>
                </c:pt>
                <c:pt idx="7">
                  <c:v>0.71677501790252596</c:v>
                </c:pt>
                <c:pt idx="8">
                  <c:v>0.86764227782776204</c:v>
                </c:pt>
                <c:pt idx="9">
                  <c:v>1.6805368489610053</c:v>
                </c:pt>
                <c:pt idx="10">
                  <c:v>0.65067338339920089</c:v>
                </c:pt>
                <c:pt idx="11">
                  <c:v>2.020765850081061</c:v>
                </c:pt>
                <c:pt idx="12">
                  <c:v>0.47639836819690512</c:v>
                </c:pt>
                <c:pt idx="13">
                  <c:v>1.6772706505502528</c:v>
                </c:pt>
                <c:pt idx="14">
                  <c:v>1.2180587073242124</c:v>
                </c:pt>
                <c:pt idx="15">
                  <c:v>0.71529745195480465</c:v>
                </c:pt>
                <c:pt idx="16">
                  <c:v>0.43090489033285195</c:v>
                </c:pt>
                <c:pt idx="17">
                  <c:v>0.62151089758891043</c:v>
                </c:pt>
                <c:pt idx="18">
                  <c:v>1.7376953211491748</c:v>
                </c:pt>
                <c:pt idx="19">
                  <c:v>0.78419868509591761</c:v>
                </c:pt>
                <c:pt idx="20">
                  <c:v>0.64017488850749638</c:v>
                </c:pt>
                <c:pt idx="21">
                  <c:v>0.95730720086580179</c:v>
                </c:pt>
                <c:pt idx="22">
                  <c:v>0.83498029372023674</c:v>
                </c:pt>
                <c:pt idx="23">
                  <c:v>1.1871075890508906</c:v>
                </c:pt>
                <c:pt idx="24">
                  <c:v>1.5427343826787796</c:v>
                </c:pt>
                <c:pt idx="25">
                  <c:v>1.2805053102726476</c:v>
                </c:pt>
                <c:pt idx="26">
                  <c:v>1.5043954346668509</c:v>
                </c:pt>
                <c:pt idx="27">
                  <c:v>1.19807268371556</c:v>
                </c:pt>
                <c:pt idx="28">
                  <c:v>0.75355863333790574</c:v>
                </c:pt>
                <c:pt idx="29">
                  <c:v>0.80939507283600853</c:v>
                </c:pt>
                <c:pt idx="30">
                  <c:v>0.8929941988255079</c:v>
                </c:pt>
                <c:pt idx="31">
                  <c:v>1.0620588498963652</c:v>
                </c:pt>
                <c:pt idx="32">
                  <c:v>0.8447011223236669</c:v>
                </c:pt>
                <c:pt idx="33">
                  <c:v>0.67268133935736685</c:v>
                </c:pt>
                <c:pt idx="34">
                  <c:v>0.77167825785469957</c:v>
                </c:pt>
                <c:pt idx="35">
                  <c:v>0.99930118043262006</c:v>
                </c:pt>
                <c:pt idx="36">
                  <c:v>0.95155247033257118</c:v>
                </c:pt>
                <c:pt idx="37">
                  <c:v>0.56303039271067468</c:v>
                </c:pt>
                <c:pt idx="38">
                  <c:v>0.88902810075530836</c:v>
                </c:pt>
                <c:pt idx="39">
                  <c:v>0.55284296433427982</c:v>
                </c:pt>
                <c:pt idx="40">
                  <c:v>0.99028025148863685</c:v>
                </c:pt>
                <c:pt idx="41">
                  <c:v>0.86538704559176627</c:v>
                </c:pt>
                <c:pt idx="42">
                  <c:v>0.70503225694958238</c:v>
                </c:pt>
                <c:pt idx="43">
                  <c:v>1.0461944576155671</c:v>
                </c:pt>
                <c:pt idx="44">
                  <c:v>1.0936321012003063</c:v>
                </c:pt>
                <c:pt idx="45">
                  <c:v>1.2133927095945658</c:v>
                </c:pt>
                <c:pt idx="46">
                  <c:v>0.98312572163651224</c:v>
                </c:pt>
                <c:pt idx="47">
                  <c:v>1.0573928521667186</c:v>
                </c:pt>
                <c:pt idx="48">
                  <c:v>0.74834826920646713</c:v>
                </c:pt>
                <c:pt idx="49">
                  <c:v>1.2089600117514017</c:v>
                </c:pt>
                <c:pt idx="50">
                  <c:v>1.0193649706701</c:v>
                </c:pt>
                <c:pt idx="51">
                  <c:v>0.70658758952613121</c:v>
                </c:pt>
                <c:pt idx="52">
                  <c:v>0.48518599725440598</c:v>
                </c:pt>
                <c:pt idx="53">
                  <c:v>0.46278920815210289</c:v>
                </c:pt>
                <c:pt idx="54">
                  <c:v>0.7699673920204958</c:v>
                </c:pt>
                <c:pt idx="55">
                  <c:v>0.4999616567316198</c:v>
                </c:pt>
                <c:pt idx="56">
                  <c:v>0.66832640814303013</c:v>
                </c:pt>
                <c:pt idx="57">
                  <c:v>0.42445026014017434</c:v>
                </c:pt>
                <c:pt idx="58">
                  <c:v>0.60378010621625389</c:v>
                </c:pt>
                <c:pt idx="59">
                  <c:v>1.2254465370628191</c:v>
                </c:pt>
                <c:pt idx="60">
                  <c:v>1.199449726893649</c:v>
                </c:pt>
                <c:pt idx="61">
                  <c:v>0.62983761911991609</c:v>
                </c:pt>
                <c:pt idx="62">
                  <c:v>1.1471764298803415</c:v>
                </c:pt>
                <c:pt idx="63">
                  <c:v>0.99018970916909987</c:v>
                </c:pt>
                <c:pt idx="64">
                  <c:v>1.1103070725188278</c:v>
                </c:pt>
                <c:pt idx="65">
                  <c:v>0.94297691218580404</c:v>
                </c:pt>
                <c:pt idx="66">
                  <c:v>0.58596141556300152</c:v>
                </c:pt>
                <c:pt idx="67">
                  <c:v>0.63373031145069425</c:v>
                </c:pt>
                <c:pt idx="68">
                  <c:v>0.7058563393509707</c:v>
                </c:pt>
                <c:pt idx="69">
                  <c:v>1.5500700861158874</c:v>
                </c:pt>
                <c:pt idx="70">
                  <c:v>0.56043647585118439</c:v>
                </c:pt>
                <c:pt idx="71">
                  <c:v>1.3003260681512447</c:v>
                </c:pt>
                <c:pt idx="72">
                  <c:v>1.4479703272686186</c:v>
                </c:pt>
                <c:pt idx="73">
                  <c:v>0.74317057583600199</c:v>
                </c:pt>
                <c:pt idx="74">
                  <c:v>0.59697217387005996</c:v>
                </c:pt>
                <c:pt idx="75">
                  <c:v>0.86528989524155875</c:v>
                </c:pt>
                <c:pt idx="76">
                  <c:v>1.8773899012438959</c:v>
                </c:pt>
                <c:pt idx="77">
                  <c:v>1.0612035392605825</c:v>
                </c:pt>
                <c:pt idx="78">
                  <c:v>0.9666667255131115</c:v>
                </c:pt>
                <c:pt idx="79">
                  <c:v>0.80484194433361689</c:v>
                </c:pt>
                <c:pt idx="80">
                  <c:v>0.76852868587650014</c:v>
                </c:pt>
                <c:pt idx="81">
                  <c:v>2.0938792047256047</c:v>
                </c:pt>
                <c:pt idx="82">
                  <c:v>1.3642218322664472</c:v>
                </c:pt>
                <c:pt idx="83">
                  <c:v>1.1829891993235011</c:v>
                </c:pt>
                <c:pt idx="84">
                  <c:v>0.79516582339711106</c:v>
                </c:pt>
                <c:pt idx="85">
                  <c:v>1.0687664843603804</c:v>
                </c:pt>
                <c:pt idx="86">
                  <c:v>0.7676945375199048</c:v>
                </c:pt>
                <c:pt idx="87">
                  <c:v>0.99046775862129832</c:v>
                </c:pt>
                <c:pt idx="88">
                  <c:v>0.8519991314264731</c:v>
                </c:pt>
                <c:pt idx="89">
                  <c:v>0.89960119764284674</c:v>
                </c:pt>
                <c:pt idx="90">
                  <c:v>1.0551976710930961</c:v>
                </c:pt>
                <c:pt idx="91">
                  <c:v>0.63178396528530523</c:v>
                </c:pt>
                <c:pt idx="92">
                  <c:v>0.94887156057241107</c:v>
                </c:pt>
                <c:pt idx="93">
                  <c:v>0.67465919081430525</c:v>
                </c:pt>
                <c:pt idx="94">
                  <c:v>0.93157688464566779</c:v>
                </c:pt>
                <c:pt idx="95">
                  <c:v>1.7345280927043354</c:v>
                </c:pt>
                <c:pt idx="96">
                  <c:v>0.76430233420308369</c:v>
                </c:pt>
                <c:pt idx="97">
                  <c:v>1.1943892268636374</c:v>
                </c:pt>
                <c:pt idx="98">
                  <c:v>1.5381139596713542</c:v>
                </c:pt>
                <c:pt idx="99">
                  <c:v>0.7978907080286558</c:v>
                </c:pt>
                <c:pt idx="100">
                  <c:v>0.88119432390730967</c:v>
                </c:pt>
                <c:pt idx="101">
                  <c:v>0.96700038485574968</c:v>
                </c:pt>
                <c:pt idx="102">
                  <c:v>0.71836856469990074</c:v>
                </c:pt>
                <c:pt idx="103">
                  <c:v>0.60659268491612617</c:v>
                </c:pt>
                <c:pt idx="104">
                  <c:v>0.9773994343679715</c:v>
                </c:pt>
                <c:pt idx="105">
                  <c:v>0.84198935114732909</c:v>
                </c:pt>
                <c:pt idx="106">
                  <c:v>0.52929493720495857</c:v>
                </c:pt>
                <c:pt idx="107">
                  <c:v>0.4134595354190867</c:v>
                </c:pt>
                <c:pt idx="108">
                  <c:v>0.85933963696451199</c:v>
                </c:pt>
                <c:pt idx="109">
                  <c:v>0.46745673903602458</c:v>
                </c:pt>
                <c:pt idx="110">
                  <c:v>0.46061672251194286</c:v>
                </c:pt>
                <c:pt idx="111">
                  <c:v>1.0687152763010457</c:v>
                </c:pt>
                <c:pt idx="112">
                  <c:v>0.64141143672030354</c:v>
                </c:pt>
                <c:pt idx="113">
                  <c:v>0.69232578586983595</c:v>
                </c:pt>
                <c:pt idx="114">
                  <c:v>0.79263555967159982</c:v>
                </c:pt>
                <c:pt idx="115">
                  <c:v>0.45063451985928682</c:v>
                </c:pt>
                <c:pt idx="116">
                  <c:v>1.1071744445727092</c:v>
                </c:pt>
                <c:pt idx="117">
                  <c:v>0.75399412046026015</c:v>
                </c:pt>
                <c:pt idx="118">
                  <c:v>1.1707870025196787</c:v>
                </c:pt>
                <c:pt idx="119">
                  <c:v>0.66462060303906412</c:v>
                </c:pt>
                <c:pt idx="120">
                  <c:v>0.86390349708496694</c:v>
                </c:pt>
                <c:pt idx="121">
                  <c:v>1.1207232510886349</c:v>
                </c:pt>
                <c:pt idx="122">
                  <c:v>0.8640857680246431</c:v>
                </c:pt>
                <c:pt idx="123">
                  <c:v>0.83771723875149617</c:v>
                </c:pt>
                <c:pt idx="124">
                  <c:v>0.84075508774609831</c:v>
                </c:pt>
                <c:pt idx="125">
                  <c:v>0.79470129698792935</c:v>
                </c:pt>
                <c:pt idx="126">
                  <c:v>0.76207479878590201</c:v>
                </c:pt>
                <c:pt idx="127">
                  <c:v>0.53690943130598867</c:v>
                </c:pt>
                <c:pt idx="128">
                  <c:v>1.3432760684331904</c:v>
                </c:pt>
                <c:pt idx="129">
                  <c:v>1.6557492160179701</c:v>
                </c:pt>
                <c:pt idx="130">
                  <c:v>0.80989054196094024</c:v>
                </c:pt>
                <c:pt idx="131">
                  <c:v>0.64724410678993971</c:v>
                </c:pt>
                <c:pt idx="132">
                  <c:v>0.72555985387078381</c:v>
                </c:pt>
                <c:pt idx="133">
                  <c:v>1.0430150738067112</c:v>
                </c:pt>
                <c:pt idx="134">
                  <c:v>0.87380688480737001</c:v>
                </c:pt>
                <c:pt idx="135">
                  <c:v>1.006378614931809</c:v>
                </c:pt>
                <c:pt idx="136">
                  <c:v>1.0839652782539486</c:v>
                </c:pt>
                <c:pt idx="137">
                  <c:v>0.75441941931950451</c:v>
                </c:pt>
                <c:pt idx="138">
                  <c:v>0.82416843223557046</c:v>
                </c:pt>
                <c:pt idx="139">
                  <c:v>0.62008573677819623</c:v>
                </c:pt>
                <c:pt idx="140">
                  <c:v>1.5147930226684292</c:v>
                </c:pt>
                <c:pt idx="141">
                  <c:v>0.62670824758642896</c:v>
                </c:pt>
                <c:pt idx="142">
                  <c:v>0.73467340085459032</c:v>
                </c:pt>
                <c:pt idx="143">
                  <c:v>1.1524991515721736</c:v>
                </c:pt>
                <c:pt idx="144">
                  <c:v>0.85369632446310362</c:v>
                </c:pt>
                <c:pt idx="145">
                  <c:v>1.4237183098102559</c:v>
                </c:pt>
                <c:pt idx="146">
                  <c:v>0.77926902409535026</c:v>
                </c:pt>
                <c:pt idx="147">
                  <c:v>1.5318049770382014</c:v>
                </c:pt>
                <c:pt idx="148">
                  <c:v>1.5869723147801769</c:v>
                </c:pt>
                <c:pt idx="149">
                  <c:v>1.0077152684894339</c:v>
                </c:pt>
                <c:pt idx="150">
                  <c:v>1.0181047120509734</c:v>
                </c:pt>
                <c:pt idx="151">
                  <c:v>1.0492730427355916</c:v>
                </c:pt>
                <c:pt idx="152">
                  <c:v>1.1162272345766238</c:v>
                </c:pt>
                <c:pt idx="153">
                  <c:v>0.79615946450533837</c:v>
                </c:pt>
                <c:pt idx="154">
                  <c:v>0.92453896301722638</c:v>
                </c:pt>
                <c:pt idx="155">
                  <c:v>1.2219443795887794</c:v>
                </c:pt>
                <c:pt idx="156">
                  <c:v>0.72853694588549389</c:v>
                </c:pt>
                <c:pt idx="157">
                  <c:v>0.97344833183032142</c:v>
                </c:pt>
                <c:pt idx="158">
                  <c:v>0.65939550276834835</c:v>
                </c:pt>
                <c:pt idx="159">
                  <c:v>0.56582975373460132</c:v>
                </c:pt>
                <c:pt idx="160">
                  <c:v>0.99015650130063337</c:v>
                </c:pt>
                <c:pt idx="161">
                  <c:v>1.2797850244460049</c:v>
                </c:pt>
                <c:pt idx="162">
                  <c:v>0.93796625557336799</c:v>
                </c:pt>
                <c:pt idx="163">
                  <c:v>1.3190340334562649</c:v>
                </c:pt>
                <c:pt idx="164">
                  <c:v>0.55288851701759612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6-144C-8510-E1F83FC66049}"/>
            </c:ext>
          </c:extLst>
        </c:ser>
        <c:ser>
          <c:idx val="1"/>
          <c:order val="1"/>
          <c:tx>
            <c:strRef>
              <c:f>'Fig 4C Foxj1 Scatter'!$D$3</c:f>
              <c:strCache>
                <c:ptCount val="1"/>
                <c:pt idx="0">
                  <c:v>Foxj+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('Fig 4C Foxj1 Scatter'!$D$5:$D$17,'Fig 4C Foxj1 Scatter'!$H$5:$H$22,'Fig 4C Foxj1 Scatter'!$L$5:$L$20)</c:f>
              <c:numCache>
                <c:formatCode>General</c:formatCode>
                <c:ptCount val="47"/>
                <c:pt idx="0">
                  <c:v>1.3498401896251271</c:v>
                </c:pt>
                <c:pt idx="1">
                  <c:v>1.4919004633262032</c:v>
                </c:pt>
                <c:pt idx="2">
                  <c:v>1.2501581585880528</c:v>
                </c:pt>
                <c:pt idx="3">
                  <c:v>1.3099990915172488</c:v>
                </c:pt>
                <c:pt idx="4">
                  <c:v>1.4097405868798574</c:v>
                </c:pt>
                <c:pt idx="5">
                  <c:v>1.3828627117384231</c:v>
                </c:pt>
                <c:pt idx="6">
                  <c:v>1.7897374484848987</c:v>
                </c:pt>
                <c:pt idx="7">
                  <c:v>1.740659558477383</c:v>
                </c:pt>
                <c:pt idx="8">
                  <c:v>1.4312468512813736</c:v>
                </c:pt>
                <c:pt idx="9">
                  <c:v>1.3592355530595222</c:v>
                </c:pt>
                <c:pt idx="10">
                  <c:v>0.91961579438557661</c:v>
                </c:pt>
                <c:pt idx="11">
                  <c:v>1.2629033456942047</c:v>
                </c:pt>
                <c:pt idx="12">
                  <c:v>1.0566216004162503</c:v>
                </c:pt>
                <c:pt idx="13">
                  <c:v>1.744939789939465</c:v>
                </c:pt>
                <c:pt idx="14">
                  <c:v>0.77246393053222306</c:v>
                </c:pt>
                <c:pt idx="15">
                  <c:v>1.6659460306668374</c:v>
                </c:pt>
                <c:pt idx="16">
                  <c:v>2.0287477864046664</c:v>
                </c:pt>
                <c:pt idx="17">
                  <c:v>1.9544889346311023</c:v>
                </c:pt>
                <c:pt idx="18">
                  <c:v>1.6568300699657941</c:v>
                </c:pt>
                <c:pt idx="19">
                  <c:v>2.2987386150790075</c:v>
                </c:pt>
                <c:pt idx="20">
                  <c:v>1.8925138820277054</c:v>
                </c:pt>
                <c:pt idx="21">
                  <c:v>1.5851661497041718</c:v>
                </c:pt>
                <c:pt idx="22">
                  <c:v>1.8643403398980483</c:v>
                </c:pt>
                <c:pt idx="23">
                  <c:v>1.2653324157549948</c:v>
                </c:pt>
                <c:pt idx="24">
                  <c:v>1.4925911255054058</c:v>
                </c:pt>
                <c:pt idx="25">
                  <c:v>1.748040227590097</c:v>
                </c:pt>
                <c:pt idx="26">
                  <c:v>1.4819923467975384</c:v>
                </c:pt>
                <c:pt idx="27">
                  <c:v>1.8291065620313536</c:v>
                </c:pt>
                <c:pt idx="28">
                  <c:v>1.0855238822229538</c:v>
                </c:pt>
                <c:pt idx="29">
                  <c:v>1.043971277622634</c:v>
                </c:pt>
                <c:pt idx="30">
                  <c:v>0.98371494589078334</c:v>
                </c:pt>
                <c:pt idx="31">
                  <c:v>1.0748661213727384</c:v>
                </c:pt>
                <c:pt idx="32">
                  <c:v>1.8549570091045988</c:v>
                </c:pt>
                <c:pt idx="33">
                  <c:v>2.0257275827101489</c:v>
                </c:pt>
                <c:pt idx="34">
                  <c:v>1.5002075590447659</c:v>
                </c:pt>
                <c:pt idx="35">
                  <c:v>1.3427986750307079</c:v>
                </c:pt>
                <c:pt idx="36">
                  <c:v>1.0635155024085372</c:v>
                </c:pt>
                <c:pt idx="37">
                  <c:v>1.3319252592662028</c:v>
                </c:pt>
                <c:pt idx="38">
                  <c:v>1.1618364045173615</c:v>
                </c:pt>
                <c:pt idx="39">
                  <c:v>1.4125555570434341</c:v>
                </c:pt>
                <c:pt idx="40">
                  <c:v>1.1082192164372155</c:v>
                </c:pt>
                <c:pt idx="41">
                  <c:v>1.1104859316357722</c:v>
                </c:pt>
                <c:pt idx="42">
                  <c:v>1.2020407740917618</c:v>
                </c:pt>
                <c:pt idx="43">
                  <c:v>1.7452854880315734</c:v>
                </c:pt>
                <c:pt idx="44">
                  <c:v>0.92490501586822382</c:v>
                </c:pt>
                <c:pt idx="45">
                  <c:v>1.3945240932834868</c:v>
                </c:pt>
                <c:pt idx="46">
                  <c:v>0.88773429520617742</c:v>
                </c:pt>
              </c:numCache>
            </c:numRef>
          </c:xVal>
          <c:yVal>
            <c:numRef>
              <c:f>('Fig 4C Foxj1 Scatter'!$E$5:$E$17,'Fig 4C Foxj1 Scatter'!$I$5:$I$22,'Fig 4C Foxj1 Scatter'!$M$5:$M$20)</c:f>
              <c:numCache>
                <c:formatCode>General</c:formatCode>
                <c:ptCount val="47"/>
                <c:pt idx="0">
                  <c:v>1.0335962637455216</c:v>
                </c:pt>
                <c:pt idx="1">
                  <c:v>1.3317535186699314</c:v>
                </c:pt>
                <c:pt idx="2">
                  <c:v>1.5636536058333612</c:v>
                </c:pt>
                <c:pt idx="3">
                  <c:v>1.6876136121843026</c:v>
                </c:pt>
                <c:pt idx="4">
                  <c:v>1.5514442451074528</c:v>
                </c:pt>
                <c:pt idx="5">
                  <c:v>1.2840048085698825</c:v>
                </c:pt>
                <c:pt idx="6">
                  <c:v>1.5847283622455979</c:v>
                </c:pt>
                <c:pt idx="7">
                  <c:v>1.6142796812000255</c:v>
                </c:pt>
                <c:pt idx="8">
                  <c:v>0.98258135523472023</c:v>
                </c:pt>
                <c:pt idx="9">
                  <c:v>1.0836002060815664</c:v>
                </c:pt>
                <c:pt idx="10">
                  <c:v>0.89493836454619391</c:v>
                </c:pt>
                <c:pt idx="11">
                  <c:v>0.9535744026820846</c:v>
                </c:pt>
                <c:pt idx="12">
                  <c:v>0.85597728350364588</c:v>
                </c:pt>
                <c:pt idx="13">
                  <c:v>1.199449726893649</c:v>
                </c:pt>
                <c:pt idx="14">
                  <c:v>0.78320969695257792</c:v>
                </c:pt>
                <c:pt idx="15">
                  <c:v>1.4538649756552255</c:v>
                </c:pt>
                <c:pt idx="16">
                  <c:v>1.9296631982572034</c:v>
                </c:pt>
                <c:pt idx="17">
                  <c:v>1.6037892402806269</c:v>
                </c:pt>
                <c:pt idx="18">
                  <c:v>1.2181346500813846</c:v>
                </c:pt>
                <c:pt idx="19">
                  <c:v>1.8206122031049736</c:v>
                </c:pt>
                <c:pt idx="20">
                  <c:v>0.68394604251773328</c:v>
                </c:pt>
                <c:pt idx="21">
                  <c:v>1.4914572615924553</c:v>
                </c:pt>
                <c:pt idx="22">
                  <c:v>1.8018160601363589</c:v>
                </c:pt>
                <c:pt idx="23">
                  <c:v>1.0926787372494464</c:v>
                </c:pt>
                <c:pt idx="24">
                  <c:v>1.1150339132062015</c:v>
                </c:pt>
                <c:pt idx="25">
                  <c:v>1.4061516896579727</c:v>
                </c:pt>
                <c:pt idx="26">
                  <c:v>1.3765116180536183</c:v>
                </c:pt>
                <c:pt idx="27">
                  <c:v>1.2709084361086493</c:v>
                </c:pt>
                <c:pt idx="28">
                  <c:v>0.4305317717840712</c:v>
                </c:pt>
                <c:pt idx="29">
                  <c:v>0.96783453321234503</c:v>
                </c:pt>
                <c:pt idx="30">
                  <c:v>1.0453547204852713</c:v>
                </c:pt>
                <c:pt idx="31">
                  <c:v>0.38203988956116969</c:v>
                </c:pt>
                <c:pt idx="32">
                  <c:v>1.5361187226105364</c:v>
                </c:pt>
                <c:pt idx="33">
                  <c:v>1.7917840939962557</c:v>
                </c:pt>
                <c:pt idx="34">
                  <c:v>1.130626638811038</c:v>
                </c:pt>
                <c:pt idx="35">
                  <c:v>1.1526814225118498</c:v>
                </c:pt>
                <c:pt idx="36">
                  <c:v>0.90716246676810186</c:v>
                </c:pt>
                <c:pt idx="37">
                  <c:v>1.1854901916535534</c:v>
                </c:pt>
                <c:pt idx="38">
                  <c:v>0.62239450201409385</c:v>
                </c:pt>
                <c:pt idx="39">
                  <c:v>1.3478935989049856</c:v>
                </c:pt>
                <c:pt idx="40">
                  <c:v>1.2526266544342615</c:v>
                </c:pt>
                <c:pt idx="41">
                  <c:v>1.3558527632708433</c:v>
                </c:pt>
                <c:pt idx="42">
                  <c:v>1.4330141277337387</c:v>
                </c:pt>
                <c:pt idx="43">
                  <c:v>1.7953079988299943</c:v>
                </c:pt>
                <c:pt idx="44">
                  <c:v>0.90685868186864171</c:v>
                </c:pt>
                <c:pt idx="45">
                  <c:v>1.5830838680670862</c:v>
                </c:pt>
                <c:pt idx="46">
                  <c:v>0.92119732912316399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6-144C-8510-E1F83FC6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78112"/>
        <c:axId val="281576576"/>
      </c:scatterChart>
      <c:valAx>
        <c:axId val="2815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576576"/>
        <c:crosses val="autoZero"/>
        <c:crossBetween val="midCat"/>
      </c:valAx>
      <c:valAx>
        <c:axId val="281576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81578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4C Trp63 Scatter'!$B$3:$C$3</c:f>
              <c:strCache>
                <c:ptCount val="1"/>
                <c:pt idx="0">
                  <c:v>Trp63-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5.8821522309711285E-2"/>
                  <c:y val="-0.19435367454068242"/>
                </c:manualLayout>
              </c:layout>
              <c:numFmt formatCode="General" sourceLinked="0"/>
            </c:trendlineLbl>
          </c:trendline>
          <c:xVal>
            <c:numRef>
              <c:f>('Fig 4C Trp63 Scatter'!$B$5:$B$38,'Fig 4C Trp63 Scatter'!$F$5:$F$40,'Fig 4C Trp63 Scatter'!$J$5:$J$33)</c:f>
              <c:numCache>
                <c:formatCode>General</c:formatCode>
                <c:ptCount val="99"/>
                <c:pt idx="0">
                  <c:v>0.19529853338171774</c:v>
                </c:pt>
                <c:pt idx="1">
                  <c:v>0.5649744110008047</c:v>
                </c:pt>
                <c:pt idx="2">
                  <c:v>0.67310984828968667</c:v>
                </c:pt>
                <c:pt idx="3">
                  <c:v>1.0796152031310986</c:v>
                </c:pt>
                <c:pt idx="4">
                  <c:v>0.74666649863094126</c:v>
                </c:pt>
                <c:pt idx="5">
                  <c:v>0.8145452712337542</c:v>
                </c:pt>
                <c:pt idx="6">
                  <c:v>1.4232035343843721</c:v>
                </c:pt>
                <c:pt idx="7">
                  <c:v>1.0413790444870876</c:v>
                </c:pt>
                <c:pt idx="8">
                  <c:v>1.2499771113102005</c:v>
                </c:pt>
                <c:pt idx="9">
                  <c:v>1.1349872990938303</c:v>
                </c:pt>
                <c:pt idx="10">
                  <c:v>1.1119944518557261</c:v>
                </c:pt>
                <c:pt idx="11">
                  <c:v>1.5193182395243008</c:v>
                </c:pt>
                <c:pt idx="12">
                  <c:v>1.8387628023762723</c:v>
                </c:pt>
                <c:pt idx="13">
                  <c:v>1.0054191521436231</c:v>
                </c:pt>
                <c:pt idx="14">
                  <c:v>0.79940426393124275</c:v>
                </c:pt>
                <c:pt idx="15">
                  <c:v>2.1169532355340701</c:v>
                </c:pt>
                <c:pt idx="16">
                  <c:v>1.2051423379971897</c:v>
                </c:pt>
                <c:pt idx="17">
                  <c:v>1.1899757546688294</c:v>
                </c:pt>
                <c:pt idx="18">
                  <c:v>1.3881643789714657</c:v>
                </c:pt>
                <c:pt idx="19">
                  <c:v>1.4850719409127084</c:v>
                </c:pt>
                <c:pt idx="20">
                  <c:v>1.8457706334588535</c:v>
                </c:pt>
                <c:pt idx="21">
                  <c:v>1.464764576388732</c:v>
                </c:pt>
                <c:pt idx="22">
                  <c:v>1.4147890218801049</c:v>
                </c:pt>
                <c:pt idx="23">
                  <c:v>1.1085672643919819</c:v>
                </c:pt>
                <c:pt idx="24">
                  <c:v>1.9953136565970024</c:v>
                </c:pt>
                <c:pt idx="25">
                  <c:v>1.3074208653666879</c:v>
                </c:pt>
                <c:pt idx="26">
                  <c:v>1.4742788580044992</c:v>
                </c:pt>
                <c:pt idx="27">
                  <c:v>1.4061699011690467</c:v>
                </c:pt>
                <c:pt idx="28">
                  <c:v>1.8597095675464697</c:v>
                </c:pt>
                <c:pt idx="29">
                  <c:v>1.356296650763815</c:v>
                </c:pt>
                <c:pt idx="30">
                  <c:v>1.1140916859753307</c:v>
                </c:pt>
                <c:pt idx="31">
                  <c:v>0.98674865327397232</c:v>
                </c:pt>
                <c:pt idx="32">
                  <c:v>0.71285499245877904</c:v>
                </c:pt>
                <c:pt idx="33">
                  <c:v>0.9390749410917405</c:v>
                </c:pt>
                <c:pt idx="34">
                  <c:v>1.2735608298823109</c:v>
                </c:pt>
                <c:pt idx="35">
                  <c:v>1.8315453949170788</c:v>
                </c:pt>
                <c:pt idx="36">
                  <c:v>1.0704958900341142</c:v>
                </c:pt>
                <c:pt idx="37">
                  <c:v>1.4592596718620514</c:v>
                </c:pt>
                <c:pt idx="38">
                  <c:v>1.6055746847472576</c:v>
                </c:pt>
                <c:pt idx="39">
                  <c:v>1.1209590640349849</c:v>
                </c:pt>
                <c:pt idx="40">
                  <c:v>1.5538146917497166</c:v>
                </c:pt>
                <c:pt idx="41">
                  <c:v>1.5872641643486178</c:v>
                </c:pt>
                <c:pt idx="42">
                  <c:v>0.9961120438881379</c:v>
                </c:pt>
                <c:pt idx="43">
                  <c:v>0.94149059158272619</c:v>
                </c:pt>
                <c:pt idx="44">
                  <c:v>0.86964399999545283</c:v>
                </c:pt>
                <c:pt idx="45">
                  <c:v>1.2067323639778058</c:v>
                </c:pt>
                <c:pt idx="46">
                  <c:v>1.3362169216236155</c:v>
                </c:pt>
                <c:pt idx="47">
                  <c:v>1.0948112462216846</c:v>
                </c:pt>
                <c:pt idx="48">
                  <c:v>0.98280555331360664</c:v>
                </c:pt>
                <c:pt idx="49">
                  <c:v>1.2604657771876715</c:v>
                </c:pt>
                <c:pt idx="50">
                  <c:v>1.2982144866777083</c:v>
                </c:pt>
                <c:pt idx="51">
                  <c:v>0.92484338250590259</c:v>
                </c:pt>
                <c:pt idx="52">
                  <c:v>1.2308785698614626</c:v>
                </c:pt>
                <c:pt idx="53">
                  <c:v>1.609648387899842</c:v>
                </c:pt>
                <c:pt idx="54">
                  <c:v>1.3558101651602663</c:v>
                </c:pt>
                <c:pt idx="55">
                  <c:v>1.0960093942077387</c:v>
                </c:pt>
                <c:pt idx="56">
                  <c:v>0.97644832105818968</c:v>
                </c:pt>
                <c:pt idx="57">
                  <c:v>1.3669458935012406</c:v>
                </c:pt>
                <c:pt idx="58">
                  <c:v>1.4520566880870669</c:v>
                </c:pt>
                <c:pt idx="59">
                  <c:v>1.477711150847286</c:v>
                </c:pt>
                <c:pt idx="60">
                  <c:v>1.5523346265904732</c:v>
                </c:pt>
                <c:pt idx="61">
                  <c:v>0.93284983022447643</c:v>
                </c:pt>
                <c:pt idx="62">
                  <c:v>0.77706240032011231</c:v>
                </c:pt>
                <c:pt idx="63">
                  <c:v>1.4509994986876071</c:v>
                </c:pt>
                <c:pt idx="64">
                  <c:v>1.0832385462622671</c:v>
                </c:pt>
                <c:pt idx="65">
                  <c:v>1.2930835941256644</c:v>
                </c:pt>
                <c:pt idx="66">
                  <c:v>0.89449499881208283</c:v>
                </c:pt>
                <c:pt idx="67">
                  <c:v>0.68827258662416679</c:v>
                </c:pt>
                <c:pt idx="68">
                  <c:v>0.62195157163140236</c:v>
                </c:pt>
                <c:pt idx="69">
                  <c:v>0.81591058678558714</c:v>
                </c:pt>
                <c:pt idx="70">
                  <c:v>0.503108361195717</c:v>
                </c:pt>
                <c:pt idx="71">
                  <c:v>0.41466668792889905</c:v>
                </c:pt>
                <c:pt idx="72">
                  <c:v>1.7337486556067621</c:v>
                </c:pt>
                <c:pt idx="73">
                  <c:v>2.1184689066428528</c:v>
                </c:pt>
                <c:pt idx="74">
                  <c:v>1.8085839176017617</c:v>
                </c:pt>
                <c:pt idx="75">
                  <c:v>1.6877293884804767</c:v>
                </c:pt>
                <c:pt idx="76">
                  <c:v>1.6646683711889663</c:v>
                </c:pt>
                <c:pt idx="77">
                  <c:v>1.3754807479344626</c:v>
                </c:pt>
                <c:pt idx="78">
                  <c:v>1.806528568467046</c:v>
                </c:pt>
                <c:pt idx="79">
                  <c:v>1.6474034384573542</c:v>
                </c:pt>
                <c:pt idx="80">
                  <c:v>1.0887184366589235</c:v>
                </c:pt>
                <c:pt idx="81">
                  <c:v>1.6915934448537424</c:v>
                </c:pt>
                <c:pt idx="82">
                  <c:v>0.84503624324702631</c:v>
                </c:pt>
                <c:pt idx="83">
                  <c:v>1.5633191053561335</c:v>
                </c:pt>
                <c:pt idx="84">
                  <c:v>1.9560141110349214</c:v>
                </c:pt>
                <c:pt idx="85">
                  <c:v>1.2508238229139534</c:v>
                </c:pt>
                <c:pt idx="86">
                  <c:v>1.6329337805489552</c:v>
                </c:pt>
                <c:pt idx="87">
                  <c:v>1.270884030468779</c:v>
                </c:pt>
                <c:pt idx="88">
                  <c:v>1.2594151822970652</c:v>
                </c:pt>
                <c:pt idx="89">
                  <c:v>0.89600890178797654</c:v>
                </c:pt>
                <c:pt idx="90">
                  <c:v>0.82976499917608848</c:v>
                </c:pt>
                <c:pt idx="91">
                  <c:v>1.1750842072996788</c:v>
                </c:pt>
                <c:pt idx="92">
                  <c:v>1.1361558946881627</c:v>
                </c:pt>
                <c:pt idx="93">
                  <c:v>0.89048001261559118</c:v>
                </c:pt>
                <c:pt idx="94">
                  <c:v>0.88248470448154703</c:v>
                </c:pt>
                <c:pt idx="95">
                  <c:v>0.95530572432452543</c:v>
                </c:pt>
                <c:pt idx="96">
                  <c:v>0.89960576277372906</c:v>
                </c:pt>
                <c:pt idx="97">
                  <c:v>0.60770507866140067</c:v>
                </c:pt>
                <c:pt idx="98">
                  <c:v>0.50337555658323008</c:v>
                </c:pt>
              </c:numCache>
            </c:numRef>
          </c:xVal>
          <c:yVal>
            <c:numRef>
              <c:f>('Fig 4C Trp63 Scatter'!$C$5:$C$38,'Fig 4C Trp63 Scatter'!$G$5:$G$40,'Fig 4C Trp63 Scatter'!$K$5:$K$33)</c:f>
              <c:numCache>
                <c:formatCode>General</c:formatCode>
                <c:ptCount val="99"/>
                <c:pt idx="0">
                  <c:v>0.31177939229002904</c:v>
                </c:pt>
                <c:pt idx="1">
                  <c:v>0.60616396748836698</c:v>
                </c:pt>
                <c:pt idx="2">
                  <c:v>0.76327619093902244</c:v>
                </c:pt>
                <c:pt idx="3">
                  <c:v>1.1216513382497661</c:v>
                </c:pt>
                <c:pt idx="4">
                  <c:v>0.76194887557861235</c:v>
                </c:pt>
                <c:pt idx="5">
                  <c:v>0.95273299396177813</c:v>
                </c:pt>
                <c:pt idx="6">
                  <c:v>1.1520398741328408</c:v>
                </c:pt>
                <c:pt idx="7">
                  <c:v>0.96251321240690568</c:v>
                </c:pt>
                <c:pt idx="8">
                  <c:v>1.1257031430341762</c:v>
                </c:pt>
                <c:pt idx="9">
                  <c:v>0.91298339185265276</c:v>
                </c:pt>
                <c:pt idx="10">
                  <c:v>1.3111081412725218</c:v>
                </c:pt>
                <c:pt idx="11">
                  <c:v>1.5402446877012235</c:v>
                </c:pt>
                <c:pt idx="12">
                  <c:v>1.6564895697918818</c:v>
                </c:pt>
                <c:pt idx="13">
                  <c:v>1.07526515933859</c:v>
                </c:pt>
                <c:pt idx="14">
                  <c:v>1.1591654618571481</c:v>
                </c:pt>
                <c:pt idx="15">
                  <c:v>1.5012635313270724</c:v>
                </c:pt>
                <c:pt idx="16">
                  <c:v>1.4158263373385656</c:v>
                </c:pt>
                <c:pt idx="17">
                  <c:v>1.0563334507769502</c:v>
                </c:pt>
                <c:pt idx="18">
                  <c:v>1.9648458856261162</c:v>
                </c:pt>
                <c:pt idx="19">
                  <c:v>1.4381811223559999</c:v>
                </c:pt>
                <c:pt idx="20">
                  <c:v>1.4128224131018479</c:v>
                </c:pt>
                <c:pt idx="21">
                  <c:v>1.320259631389034</c:v>
                </c:pt>
                <c:pt idx="22">
                  <c:v>0.94204461237531745</c:v>
                </c:pt>
                <c:pt idx="23">
                  <c:v>1.5099958692245077</c:v>
                </c:pt>
                <c:pt idx="24">
                  <c:v>2.1079863684408751</c:v>
                </c:pt>
                <c:pt idx="25">
                  <c:v>1.6191850222940383</c:v>
                </c:pt>
                <c:pt idx="26">
                  <c:v>1.7148914456499289</c:v>
                </c:pt>
                <c:pt idx="27">
                  <c:v>1.3222156750780596</c:v>
                </c:pt>
                <c:pt idx="28">
                  <c:v>1.3164174027141624</c:v>
                </c:pt>
                <c:pt idx="29">
                  <c:v>1.0226615558444399</c:v>
                </c:pt>
                <c:pt idx="30">
                  <c:v>1.0285296869115164</c:v>
                </c:pt>
                <c:pt idx="31">
                  <c:v>0.88783425870803923</c:v>
                </c:pt>
                <c:pt idx="32">
                  <c:v>0.87099831124178395</c:v>
                </c:pt>
                <c:pt idx="33">
                  <c:v>1.0089692500212613</c:v>
                </c:pt>
                <c:pt idx="34">
                  <c:v>1.1290647412778312</c:v>
                </c:pt>
                <c:pt idx="35">
                  <c:v>1.8327064161501689</c:v>
                </c:pt>
                <c:pt idx="36">
                  <c:v>0.84207789891004425</c:v>
                </c:pt>
                <c:pt idx="37">
                  <c:v>1.5123202429895792</c:v>
                </c:pt>
                <c:pt idx="38">
                  <c:v>1.6699301569268579</c:v>
                </c:pt>
                <c:pt idx="39">
                  <c:v>0.93383510180704721</c:v>
                </c:pt>
                <c:pt idx="40">
                  <c:v>1.6923055255952386</c:v>
                </c:pt>
                <c:pt idx="41">
                  <c:v>1.1883321812140792</c:v>
                </c:pt>
                <c:pt idx="42">
                  <c:v>1.0015797139379827</c:v>
                </c:pt>
                <c:pt idx="43">
                  <c:v>0.96155872932787045</c:v>
                </c:pt>
                <c:pt idx="44">
                  <c:v>1.1446365425624931</c:v>
                </c:pt>
                <c:pt idx="45">
                  <c:v>1.4109943864994312</c:v>
                </c:pt>
                <c:pt idx="46">
                  <c:v>1.8553728465248054</c:v>
                </c:pt>
                <c:pt idx="47">
                  <c:v>1.214527734777062</c:v>
                </c:pt>
                <c:pt idx="48">
                  <c:v>1.34048468815907</c:v>
                </c:pt>
                <c:pt idx="49">
                  <c:v>1.3381198117957451</c:v>
                </c:pt>
                <c:pt idx="50">
                  <c:v>0.63964448220944004</c:v>
                </c:pt>
                <c:pt idx="51">
                  <c:v>1.0689968816493809</c:v>
                </c:pt>
                <c:pt idx="52">
                  <c:v>1.4205994228058583</c:v>
                </c:pt>
                <c:pt idx="53">
                  <c:v>1.9931177990101554</c:v>
                </c:pt>
                <c:pt idx="54">
                  <c:v>0.51950876295253934</c:v>
                </c:pt>
                <c:pt idx="55">
                  <c:v>0.66500323336693845</c:v>
                </c:pt>
                <c:pt idx="56">
                  <c:v>0.64957696293540423</c:v>
                </c:pt>
                <c:pt idx="57">
                  <c:v>1.5105011073254833</c:v>
                </c:pt>
                <c:pt idx="58">
                  <c:v>1.4031721031438185</c:v>
                </c:pt>
                <c:pt idx="59">
                  <c:v>1.4575278767870072</c:v>
                </c:pt>
                <c:pt idx="60">
                  <c:v>1.3194554798821199</c:v>
                </c:pt>
                <c:pt idx="61">
                  <c:v>1.1603902574135645</c:v>
                </c:pt>
                <c:pt idx="62">
                  <c:v>0.88668310539367856</c:v>
                </c:pt>
                <c:pt idx="63">
                  <c:v>1.5781365713165729</c:v>
                </c:pt>
                <c:pt idx="64">
                  <c:v>1.3423038238231659</c:v>
                </c:pt>
                <c:pt idx="65">
                  <c:v>1.0464032167013084</c:v>
                </c:pt>
                <c:pt idx="66">
                  <c:v>0.81300811099779002</c:v>
                </c:pt>
                <c:pt idx="67">
                  <c:v>1.0736902516627487</c:v>
                </c:pt>
                <c:pt idx="68">
                  <c:v>0.64084511174774339</c:v>
                </c:pt>
                <c:pt idx="69">
                  <c:v>0.88853862377105641</c:v>
                </c:pt>
                <c:pt idx="70">
                  <c:v>0.58058343578853244</c:v>
                </c:pt>
                <c:pt idx="71">
                  <c:v>0.41203531910137475</c:v>
                </c:pt>
                <c:pt idx="72">
                  <c:v>0.76866584702507357</c:v>
                </c:pt>
                <c:pt idx="73">
                  <c:v>2.0534346708393874</c:v>
                </c:pt>
                <c:pt idx="74">
                  <c:v>1.7602473827353675</c:v>
                </c:pt>
                <c:pt idx="75">
                  <c:v>1.3391363958123765</c:v>
                </c:pt>
                <c:pt idx="76">
                  <c:v>1.3139838307067546</c:v>
                </c:pt>
                <c:pt idx="77">
                  <c:v>1.7584322491710442</c:v>
                </c:pt>
                <c:pt idx="78">
                  <c:v>1.6779613278193808</c:v>
                </c:pt>
                <c:pt idx="79">
                  <c:v>1.4838284713684289</c:v>
                </c:pt>
                <c:pt idx="80">
                  <c:v>1.3406922245817965</c:v>
                </c:pt>
                <c:pt idx="81">
                  <c:v>1.3072419060392684</c:v>
                </c:pt>
                <c:pt idx="82">
                  <c:v>0.71896576133527068</c:v>
                </c:pt>
                <c:pt idx="83">
                  <c:v>1.4331776014306472</c:v>
                </c:pt>
                <c:pt idx="84">
                  <c:v>0.92200141574456984</c:v>
                </c:pt>
                <c:pt idx="85">
                  <c:v>1.1990253716329495</c:v>
                </c:pt>
                <c:pt idx="86">
                  <c:v>1.4288558548489252</c:v>
                </c:pt>
                <c:pt idx="87">
                  <c:v>1.2353280429194144</c:v>
                </c:pt>
                <c:pt idx="88">
                  <c:v>0.59484519950821502</c:v>
                </c:pt>
                <c:pt idx="89">
                  <c:v>1.1255556797436757</c:v>
                </c:pt>
                <c:pt idx="90">
                  <c:v>1.1321247345478931</c:v>
                </c:pt>
                <c:pt idx="91">
                  <c:v>1.1981610223166053</c:v>
                </c:pt>
                <c:pt idx="92">
                  <c:v>1.1762065496814575</c:v>
                </c:pt>
                <c:pt idx="93">
                  <c:v>0.9692813233486085</c:v>
                </c:pt>
                <c:pt idx="94">
                  <c:v>0.86227487798517199</c:v>
                </c:pt>
                <c:pt idx="95">
                  <c:v>0.98967996721433626</c:v>
                </c:pt>
                <c:pt idx="96">
                  <c:v>0.90272642599008979</c:v>
                </c:pt>
                <c:pt idx="97">
                  <c:v>0.82554003204053505</c:v>
                </c:pt>
                <c:pt idx="98">
                  <c:v>0.68508326813457021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6-9D4E-B78F-4082E6683CC4}"/>
            </c:ext>
          </c:extLst>
        </c:ser>
        <c:ser>
          <c:idx val="1"/>
          <c:order val="1"/>
          <c:tx>
            <c:strRef>
              <c:f>'Fig 4C Trp63 Scatter'!$D$3:$E$3</c:f>
              <c:strCache>
                <c:ptCount val="1"/>
                <c:pt idx="0">
                  <c:v>Trp63+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92D050"/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xVal>
            <c:numRef>
              <c:f>('Fig 4C Trp63 Scatter'!$D$5:$D$39,'Fig 4C Trp63 Scatter'!$H$5:$H$42,'Fig 4C Trp63 Scatter'!$L$5:$L$33)</c:f>
              <c:numCache>
                <c:formatCode>General</c:formatCode>
                <c:ptCount val="102"/>
                <c:pt idx="0">
                  <c:v>0.48788826909241062</c:v>
                </c:pt>
                <c:pt idx="1">
                  <c:v>0.47356569461706205</c:v>
                </c:pt>
                <c:pt idx="2">
                  <c:v>0.4929267461846315</c:v>
                </c:pt>
                <c:pt idx="3">
                  <c:v>0.65932437035716362</c:v>
                </c:pt>
                <c:pt idx="4">
                  <c:v>0.71060430218408144</c:v>
                </c:pt>
                <c:pt idx="5">
                  <c:v>0.71781674147345342</c:v>
                </c:pt>
                <c:pt idx="6">
                  <c:v>1.4956604156141267</c:v>
                </c:pt>
                <c:pt idx="7">
                  <c:v>0.66413266321674502</c:v>
                </c:pt>
                <c:pt idx="8">
                  <c:v>0.6895552329104887</c:v>
                </c:pt>
                <c:pt idx="9">
                  <c:v>0.58546080770572306</c:v>
                </c:pt>
                <c:pt idx="10">
                  <c:v>0.60351748195500177</c:v>
                </c:pt>
                <c:pt idx="11">
                  <c:v>0.72525936499546495</c:v>
                </c:pt>
                <c:pt idx="12">
                  <c:v>0.69423564564082585</c:v>
                </c:pt>
                <c:pt idx="13">
                  <c:v>0.80866278528852165</c:v>
                </c:pt>
                <c:pt idx="14">
                  <c:v>0.84687336790668388</c:v>
                </c:pt>
                <c:pt idx="15">
                  <c:v>1.0093322840984951</c:v>
                </c:pt>
                <c:pt idx="16">
                  <c:v>0.74988907788789472</c:v>
                </c:pt>
                <c:pt idx="17">
                  <c:v>1.254146003523561</c:v>
                </c:pt>
                <c:pt idx="18">
                  <c:v>0.95713161534101932</c:v>
                </c:pt>
                <c:pt idx="19">
                  <c:v>0.82339457617745171</c:v>
                </c:pt>
                <c:pt idx="20">
                  <c:v>0.94741272551846134</c:v>
                </c:pt>
                <c:pt idx="21">
                  <c:v>0.9425277045813335</c:v>
                </c:pt>
                <c:pt idx="22">
                  <c:v>1.0599983913050408</c:v>
                </c:pt>
                <c:pt idx="23">
                  <c:v>0.757050365125569</c:v>
                </c:pt>
                <c:pt idx="24">
                  <c:v>1.2743766399699907</c:v>
                </c:pt>
                <c:pt idx="25">
                  <c:v>0.82441761721140516</c:v>
                </c:pt>
                <c:pt idx="26">
                  <c:v>0.77132178754921998</c:v>
                </c:pt>
                <c:pt idx="27">
                  <c:v>0.90968808739142704</c:v>
                </c:pt>
                <c:pt idx="28">
                  <c:v>0.40655650689310963</c:v>
                </c:pt>
                <c:pt idx="29">
                  <c:v>0.90301274464488057</c:v>
                </c:pt>
                <c:pt idx="30">
                  <c:v>0.93751480351496141</c:v>
                </c:pt>
                <c:pt idx="31">
                  <c:v>0.63392737668926868</c:v>
                </c:pt>
                <c:pt idx="32">
                  <c:v>0.60914420764174593</c:v>
                </c:pt>
                <c:pt idx="33">
                  <c:v>0.46903873804181795</c:v>
                </c:pt>
                <c:pt idx="34">
                  <c:v>0.53482027652502617</c:v>
                </c:pt>
                <c:pt idx="35">
                  <c:v>0.8400145050932657</c:v>
                </c:pt>
                <c:pt idx="36">
                  <c:v>0.95946281137353906</c:v>
                </c:pt>
                <c:pt idx="37">
                  <c:v>0.74982920139003351</c:v>
                </c:pt>
                <c:pt idx="38">
                  <c:v>0.64437808275860498</c:v>
                </c:pt>
                <c:pt idx="39">
                  <c:v>0.75325449504428255</c:v>
                </c:pt>
                <c:pt idx="40">
                  <c:v>0.60013118242655661</c:v>
                </c:pt>
                <c:pt idx="41">
                  <c:v>0.50288385353493437</c:v>
                </c:pt>
                <c:pt idx="42">
                  <c:v>0.81655899628392237</c:v>
                </c:pt>
                <c:pt idx="43">
                  <c:v>0.72127099174596532</c:v>
                </c:pt>
                <c:pt idx="44">
                  <c:v>0.66140588001923395</c:v>
                </c:pt>
                <c:pt idx="45">
                  <c:v>0.66481707781482358</c:v>
                </c:pt>
                <c:pt idx="46">
                  <c:v>0.79187714777120599</c:v>
                </c:pt>
                <c:pt idx="47">
                  <c:v>0.6028093955718542</c:v>
                </c:pt>
                <c:pt idx="48">
                  <c:v>0.6984497965762978</c:v>
                </c:pt>
                <c:pt idx="49">
                  <c:v>0.7676604625942518</c:v>
                </c:pt>
                <c:pt idx="50">
                  <c:v>0.68216907982462016</c:v>
                </c:pt>
                <c:pt idx="51">
                  <c:v>0.69464391473824327</c:v>
                </c:pt>
                <c:pt idx="52">
                  <c:v>0.63176228925838729</c:v>
                </c:pt>
                <c:pt idx="53">
                  <c:v>0.65086217774195709</c:v>
                </c:pt>
                <c:pt idx="54">
                  <c:v>0.72208855154821405</c:v>
                </c:pt>
                <c:pt idx="55">
                  <c:v>0.86120058065843563</c:v>
                </c:pt>
                <c:pt idx="56">
                  <c:v>0.88579785401919531</c:v>
                </c:pt>
                <c:pt idx="57">
                  <c:v>0.85131938373815341</c:v>
                </c:pt>
                <c:pt idx="58">
                  <c:v>0.8341083403149514</c:v>
                </c:pt>
                <c:pt idx="59">
                  <c:v>0.9310032727400871</c:v>
                </c:pt>
                <c:pt idx="60">
                  <c:v>1.3400791868963078</c:v>
                </c:pt>
                <c:pt idx="61">
                  <c:v>0.92468832806064849</c:v>
                </c:pt>
                <c:pt idx="62">
                  <c:v>0.78743695229347577</c:v>
                </c:pt>
                <c:pt idx="63">
                  <c:v>0.66796045429588335</c:v>
                </c:pt>
                <c:pt idx="64">
                  <c:v>0.80597300643066705</c:v>
                </c:pt>
                <c:pt idx="65">
                  <c:v>0.63207239814889538</c:v>
                </c:pt>
                <c:pt idx="66">
                  <c:v>0.56007075211636814</c:v>
                </c:pt>
                <c:pt idx="67">
                  <c:v>0.74865924512129822</c:v>
                </c:pt>
                <c:pt idx="68">
                  <c:v>0.50019154453097736</c:v>
                </c:pt>
                <c:pt idx="69">
                  <c:v>0.68016746789497673</c:v>
                </c:pt>
                <c:pt idx="70">
                  <c:v>0.51421692389714113</c:v>
                </c:pt>
                <c:pt idx="71">
                  <c:v>0.44184878553946783</c:v>
                </c:pt>
                <c:pt idx="72">
                  <c:v>0.493242286211863</c:v>
                </c:pt>
                <c:pt idx="73">
                  <c:v>0.732896394456936</c:v>
                </c:pt>
                <c:pt idx="74">
                  <c:v>0.99443957184951293</c:v>
                </c:pt>
                <c:pt idx="75">
                  <c:v>0.69600287748878853</c:v>
                </c:pt>
                <c:pt idx="76">
                  <c:v>0.98105924898251351</c:v>
                </c:pt>
                <c:pt idx="77">
                  <c:v>1.0024759869662514</c:v>
                </c:pt>
                <c:pt idx="78">
                  <c:v>0.88316296969600316</c:v>
                </c:pt>
                <c:pt idx="79">
                  <c:v>0.61600868916565221</c:v>
                </c:pt>
                <c:pt idx="80">
                  <c:v>1.0033186801114848</c:v>
                </c:pt>
                <c:pt idx="81">
                  <c:v>1.0665206660039936</c:v>
                </c:pt>
                <c:pt idx="82">
                  <c:v>1.2141563943506248</c:v>
                </c:pt>
                <c:pt idx="83">
                  <c:v>0.82398946810753726</c:v>
                </c:pt>
                <c:pt idx="84">
                  <c:v>1.0801270772758118</c:v>
                </c:pt>
                <c:pt idx="85">
                  <c:v>1.052462077922538</c:v>
                </c:pt>
                <c:pt idx="86">
                  <c:v>0.84579672242687121</c:v>
                </c:pt>
                <c:pt idx="87">
                  <c:v>0.77663422404368676</c:v>
                </c:pt>
                <c:pt idx="88">
                  <c:v>0.96030022272188464</c:v>
                </c:pt>
                <c:pt idx="89">
                  <c:v>0.77322234448005867</c:v>
                </c:pt>
                <c:pt idx="90">
                  <c:v>0.8085332426144749</c:v>
                </c:pt>
                <c:pt idx="91">
                  <c:v>0.5430026879005494</c:v>
                </c:pt>
                <c:pt idx="92">
                  <c:v>0.57895074426672755</c:v>
                </c:pt>
                <c:pt idx="93">
                  <c:v>0.53952914786287987</c:v>
                </c:pt>
                <c:pt idx="94">
                  <c:v>0.53591173338578013</c:v>
                </c:pt>
                <c:pt idx="95">
                  <c:v>0.67386676730790007</c:v>
                </c:pt>
                <c:pt idx="96">
                  <c:v>0.44241390124756147</c:v>
                </c:pt>
                <c:pt idx="97">
                  <c:v>0.49375652263276049</c:v>
                </c:pt>
                <c:pt idx="98">
                  <c:v>0.40586979363231573</c:v>
                </c:pt>
                <c:pt idx="99">
                  <c:v>0.54754500948827123</c:v>
                </c:pt>
                <c:pt idx="100">
                  <c:v>0.37499844962888546</c:v>
                </c:pt>
                <c:pt idx="101">
                  <c:v>0.45795234070601243</c:v>
                </c:pt>
              </c:numCache>
            </c:numRef>
          </c:xVal>
          <c:yVal>
            <c:numRef>
              <c:f>('Fig 4C Trp63 Scatter'!$E$5:$E$39,'Fig 4C Trp63 Scatter'!$I$5:$I$42,'Fig 4C Trp63 Scatter'!$M$5:$M$33)</c:f>
              <c:numCache>
                <c:formatCode>General</c:formatCode>
                <c:ptCount val="102"/>
                <c:pt idx="0">
                  <c:v>0.66917651775625997</c:v>
                </c:pt>
                <c:pt idx="1">
                  <c:v>0.63843868835728779</c:v>
                </c:pt>
                <c:pt idx="2">
                  <c:v>0.76264746261040717</c:v>
                </c:pt>
                <c:pt idx="3">
                  <c:v>0.7071796522858983</c:v>
                </c:pt>
                <c:pt idx="4">
                  <c:v>0.70054307548384742</c:v>
                </c:pt>
                <c:pt idx="5">
                  <c:v>0.8485038088179907</c:v>
                </c:pt>
                <c:pt idx="6">
                  <c:v>0.74825656975543375</c:v>
                </c:pt>
                <c:pt idx="7">
                  <c:v>0.77298655068097044</c:v>
                </c:pt>
                <c:pt idx="8">
                  <c:v>1.1748836700725316</c:v>
                </c:pt>
                <c:pt idx="9">
                  <c:v>0.75195908102394637</c:v>
                </c:pt>
                <c:pt idx="10">
                  <c:v>0.6239080780959555</c:v>
                </c:pt>
                <c:pt idx="11">
                  <c:v>0.95741352707480343</c:v>
                </c:pt>
                <c:pt idx="12">
                  <c:v>0.93170552430475406</c:v>
                </c:pt>
                <c:pt idx="13">
                  <c:v>0.77857524693532909</c:v>
                </c:pt>
                <c:pt idx="14">
                  <c:v>0.78821574797409766</c:v>
                </c:pt>
                <c:pt idx="15">
                  <c:v>0.90236486896937151</c:v>
                </c:pt>
                <c:pt idx="16">
                  <c:v>0.62299991495462226</c:v>
                </c:pt>
                <c:pt idx="17">
                  <c:v>1.2886136388487286</c:v>
                </c:pt>
                <c:pt idx="18">
                  <c:v>0.74022281888979335</c:v>
                </c:pt>
                <c:pt idx="19">
                  <c:v>0.6327801333997497</c:v>
                </c:pt>
                <c:pt idx="20">
                  <c:v>0.79338529200937924</c:v>
                </c:pt>
                <c:pt idx="21">
                  <c:v>0.96768275644218738</c:v>
                </c:pt>
                <c:pt idx="22">
                  <c:v>0.90383190173614059</c:v>
                </c:pt>
                <c:pt idx="23">
                  <c:v>0.83166786135173554</c:v>
                </c:pt>
                <c:pt idx="24">
                  <c:v>1.0901450631158196</c:v>
                </c:pt>
                <c:pt idx="25">
                  <c:v>1.1345751983379704</c:v>
                </c:pt>
                <c:pt idx="26">
                  <c:v>0.8621961146411693</c:v>
                </c:pt>
                <c:pt idx="27">
                  <c:v>0.83488136169799176</c:v>
                </c:pt>
                <c:pt idx="28">
                  <c:v>0.43431155766684082</c:v>
                </c:pt>
                <c:pt idx="29">
                  <c:v>0.82300538215747976</c:v>
                </c:pt>
                <c:pt idx="30">
                  <c:v>0.97459876805695611</c:v>
                </c:pt>
                <c:pt idx="31">
                  <c:v>0.68894653075605339</c:v>
                </c:pt>
                <c:pt idx="32">
                  <c:v>0.59044575927298348</c:v>
                </c:pt>
                <c:pt idx="33">
                  <c:v>0.48782332430232417</c:v>
                </c:pt>
                <c:pt idx="34">
                  <c:v>0.66680132184815755</c:v>
                </c:pt>
                <c:pt idx="35">
                  <c:v>0.68195757775631327</c:v>
                </c:pt>
                <c:pt idx="36">
                  <c:v>0.94067505190404821</c:v>
                </c:pt>
                <c:pt idx="37">
                  <c:v>0.79234272985365928</c:v>
                </c:pt>
                <c:pt idx="38">
                  <c:v>0.64426508679624384</c:v>
                </c:pt>
                <c:pt idx="39">
                  <c:v>1.1128380511540947</c:v>
                </c:pt>
                <c:pt idx="40">
                  <c:v>0.49615106102554651</c:v>
                </c:pt>
                <c:pt idx="41">
                  <c:v>0.68974347839864414</c:v>
                </c:pt>
                <c:pt idx="42">
                  <c:v>0.78673979200824362</c:v>
                </c:pt>
                <c:pt idx="43">
                  <c:v>0.5493789705569958</c:v>
                </c:pt>
                <c:pt idx="44">
                  <c:v>0.80016501320927214</c:v>
                </c:pt>
                <c:pt idx="45">
                  <c:v>0.58688954795065562</c:v>
                </c:pt>
                <c:pt idx="46">
                  <c:v>0.61992505161063927</c:v>
                </c:pt>
                <c:pt idx="47">
                  <c:v>0.7766253977158698</c:v>
                </c:pt>
                <c:pt idx="48">
                  <c:v>0.69854809501286885</c:v>
                </c:pt>
                <c:pt idx="49">
                  <c:v>0.68923412041269727</c:v>
                </c:pt>
                <c:pt idx="50">
                  <c:v>0.51143180060395299</c:v>
                </c:pt>
                <c:pt idx="51">
                  <c:v>0.87696892094740586</c:v>
                </c:pt>
                <c:pt idx="52">
                  <c:v>0.59787712736179555</c:v>
                </c:pt>
                <c:pt idx="53">
                  <c:v>0.69687449020190051</c:v>
                </c:pt>
                <c:pt idx="54">
                  <c:v>1.0357794644229876</c:v>
                </c:pt>
                <c:pt idx="55">
                  <c:v>0.76385506535391579</c:v>
                </c:pt>
                <c:pt idx="56">
                  <c:v>0.77484264476505571</c:v>
                </c:pt>
                <c:pt idx="57">
                  <c:v>0.73121977154003326</c:v>
                </c:pt>
                <c:pt idx="58">
                  <c:v>0.70818951403257779</c:v>
                </c:pt>
                <c:pt idx="59">
                  <c:v>0.89064882114140786</c:v>
                </c:pt>
                <c:pt idx="60">
                  <c:v>0.95897555668485401</c:v>
                </c:pt>
                <c:pt idx="61">
                  <c:v>0.97552969122812783</c:v>
                </c:pt>
                <c:pt idx="62">
                  <c:v>0.84600723194449168</c:v>
                </c:pt>
                <c:pt idx="63">
                  <c:v>0.72336110547113852</c:v>
                </c:pt>
                <c:pt idx="64">
                  <c:v>0.79994671692958064</c:v>
                </c:pt>
                <c:pt idx="65">
                  <c:v>0.64026298833523265</c:v>
                </c:pt>
                <c:pt idx="66">
                  <c:v>0.72874574703686268</c:v>
                </c:pt>
                <c:pt idx="67">
                  <c:v>0.85797714461424346</c:v>
                </c:pt>
                <c:pt idx="68">
                  <c:v>0.47035571730866504</c:v>
                </c:pt>
                <c:pt idx="69">
                  <c:v>0.69574662609016102</c:v>
                </c:pt>
                <c:pt idx="70">
                  <c:v>0.50299101112254752</c:v>
                </c:pt>
                <c:pt idx="71">
                  <c:v>0.45300116307318911</c:v>
                </c:pt>
                <c:pt idx="72">
                  <c:v>0.45005416329735354</c:v>
                </c:pt>
                <c:pt idx="73">
                  <c:v>0.80056033679818195</c:v>
                </c:pt>
                <c:pt idx="74">
                  <c:v>0.90186207667374541</c:v>
                </c:pt>
                <c:pt idx="75">
                  <c:v>0.73927797026936404</c:v>
                </c:pt>
                <c:pt idx="76">
                  <c:v>1.0557162549830483</c:v>
                </c:pt>
                <c:pt idx="77">
                  <c:v>1.2506270258187102</c:v>
                </c:pt>
                <c:pt idx="78">
                  <c:v>1.0280570768600277</c:v>
                </c:pt>
                <c:pt idx="79">
                  <c:v>0.59916694608993704</c:v>
                </c:pt>
                <c:pt idx="80">
                  <c:v>0.93038560411311055</c:v>
                </c:pt>
                <c:pt idx="81">
                  <c:v>0.94361014865317983</c:v>
                </c:pt>
                <c:pt idx="82">
                  <c:v>1.3366297827949778</c:v>
                </c:pt>
                <c:pt idx="83">
                  <c:v>0.98259230282031218</c:v>
                </c:pt>
                <c:pt idx="84">
                  <c:v>0.81179687791065913</c:v>
                </c:pt>
                <c:pt idx="85">
                  <c:v>1.040330837152118</c:v>
                </c:pt>
                <c:pt idx="86">
                  <c:v>0.64532319958272788</c:v>
                </c:pt>
                <c:pt idx="87">
                  <c:v>0.82173689504861969</c:v>
                </c:pt>
                <c:pt idx="88">
                  <c:v>0.74774859356953916</c:v>
                </c:pt>
                <c:pt idx="89">
                  <c:v>0.72622629559256369</c:v>
                </c:pt>
                <c:pt idx="90">
                  <c:v>0.88958831638165492</c:v>
                </c:pt>
                <c:pt idx="91">
                  <c:v>0.59925338102157144</c:v>
                </c:pt>
                <c:pt idx="92">
                  <c:v>0.75786148057076863</c:v>
                </c:pt>
                <c:pt idx="93">
                  <c:v>0.9474997205767296</c:v>
                </c:pt>
                <c:pt idx="94">
                  <c:v>1.0539011214187251</c:v>
                </c:pt>
                <c:pt idx="95">
                  <c:v>0.87930255951715663</c:v>
                </c:pt>
                <c:pt idx="96">
                  <c:v>0.88915614172348278</c:v>
                </c:pt>
                <c:pt idx="97">
                  <c:v>0.98907492269289521</c:v>
                </c:pt>
                <c:pt idx="98">
                  <c:v>0.59493163443984953</c:v>
                </c:pt>
                <c:pt idx="99">
                  <c:v>0.72812786408852126</c:v>
                </c:pt>
                <c:pt idx="100">
                  <c:v>0.55534443575127601</c:v>
                </c:pt>
                <c:pt idx="101">
                  <c:v>0.55923400767482578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6-9D4E-B78F-4082E668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36896"/>
        <c:axId val="227935360"/>
      </c:scatterChart>
      <c:valAx>
        <c:axId val="2279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935360"/>
        <c:crosses val="autoZero"/>
        <c:crossBetween val="midCat"/>
      </c:valAx>
      <c:valAx>
        <c:axId val="22793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793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ln>
                <a:noFill/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2.014851268591426E-2"/>
                  <c:y val="-0.13536636045494313"/>
                </c:manualLayout>
              </c:layout>
              <c:numFmt formatCode="General" sourceLinked="0"/>
            </c:trendlineLbl>
          </c:trendline>
          <c:xVal>
            <c:numRef>
              <c:f>('Sup Fig 4B Scatter total'!$B$3:$B$361,'Sup Fig 4B Scatter total'!$D$3:$D$358,'Sup Fig 4B Scatter total'!$F$3:$F$348)</c:f>
              <c:numCache>
                <c:formatCode>General</c:formatCode>
                <c:ptCount val="1061"/>
                <c:pt idx="0">
                  <c:v>0.88892165766690689</c:v>
                </c:pt>
                <c:pt idx="1">
                  <c:v>0.72548069329410947</c:v>
                </c:pt>
                <c:pt idx="2">
                  <c:v>0.56749387950522712</c:v>
                </c:pt>
                <c:pt idx="3">
                  <c:v>0.92248566126022957</c:v>
                </c:pt>
                <c:pt idx="4">
                  <c:v>1.1614718555958103</c:v>
                </c:pt>
                <c:pt idx="5">
                  <c:v>0.6421213437447556</c:v>
                </c:pt>
                <c:pt idx="6">
                  <c:v>1.0971495893345442</c:v>
                </c:pt>
                <c:pt idx="7">
                  <c:v>0.48951001490636631</c:v>
                </c:pt>
                <c:pt idx="8">
                  <c:v>0.50605601980276216</c:v>
                </c:pt>
                <c:pt idx="9">
                  <c:v>0.78560745910621033</c:v>
                </c:pt>
                <c:pt idx="10">
                  <c:v>0.56062374751971888</c:v>
                </c:pt>
                <c:pt idx="11">
                  <c:v>0.97002592572483437</c:v>
                </c:pt>
                <c:pt idx="12">
                  <c:v>1.1160031194779809</c:v>
                </c:pt>
                <c:pt idx="13">
                  <c:v>1.1961109561792318</c:v>
                </c:pt>
                <c:pt idx="14">
                  <c:v>1.7518049906711815</c:v>
                </c:pt>
                <c:pt idx="15">
                  <c:v>1.01051250505928</c:v>
                </c:pt>
                <c:pt idx="16">
                  <c:v>0.85674741359737017</c:v>
                </c:pt>
                <c:pt idx="17">
                  <c:v>1.0708752677716462</c:v>
                </c:pt>
                <c:pt idx="18">
                  <c:v>1.0273731724893631</c:v>
                </c:pt>
                <c:pt idx="19">
                  <c:v>0.72485136822673468</c:v>
                </c:pt>
                <c:pt idx="20">
                  <c:v>1.5562160041066546</c:v>
                </c:pt>
                <c:pt idx="21">
                  <c:v>0.78350970888162763</c:v>
                </c:pt>
                <c:pt idx="22">
                  <c:v>0.96609264405374184</c:v>
                </c:pt>
                <c:pt idx="23">
                  <c:v>1.043919177385759</c:v>
                </c:pt>
                <c:pt idx="24">
                  <c:v>0.57208270812150175</c:v>
                </c:pt>
                <c:pt idx="25">
                  <c:v>0.79195315353557294</c:v>
                </c:pt>
                <c:pt idx="26">
                  <c:v>1.35249823542187</c:v>
                </c:pt>
                <c:pt idx="27">
                  <c:v>1.705602041974748</c:v>
                </c:pt>
                <c:pt idx="28">
                  <c:v>0.55317673422245039</c:v>
                </c:pt>
                <c:pt idx="29">
                  <c:v>1.1886639428819632</c:v>
                </c:pt>
                <c:pt idx="30">
                  <c:v>0.66624547132745637</c:v>
                </c:pt>
                <c:pt idx="31">
                  <c:v>1.1557554862338226</c:v>
                </c:pt>
                <c:pt idx="32">
                  <c:v>1.5855845072508119</c:v>
                </c:pt>
                <c:pt idx="33">
                  <c:v>1.8506876918824471</c:v>
                </c:pt>
                <c:pt idx="34">
                  <c:v>0.92117456736986547</c:v>
                </c:pt>
                <c:pt idx="35">
                  <c:v>0.71021956041027057</c:v>
                </c:pt>
                <c:pt idx="36">
                  <c:v>0.94160141018173926</c:v>
                </c:pt>
                <c:pt idx="37">
                  <c:v>0.8886069951332195</c:v>
                </c:pt>
                <c:pt idx="38">
                  <c:v>1.0331419856069655</c:v>
                </c:pt>
                <c:pt idx="39">
                  <c:v>1.2225163871311662</c:v>
                </c:pt>
                <c:pt idx="40">
                  <c:v>0.75015548031076318</c:v>
                </c:pt>
                <c:pt idx="41">
                  <c:v>1.5335603016811616</c:v>
                </c:pt>
                <c:pt idx="42">
                  <c:v>0.79732863848606605</c:v>
                </c:pt>
                <c:pt idx="43">
                  <c:v>0.66042421445423938</c:v>
                </c:pt>
                <c:pt idx="44">
                  <c:v>1.513684118303241</c:v>
                </c:pt>
                <c:pt idx="45">
                  <c:v>0.78364081827066412</c:v>
                </c:pt>
                <c:pt idx="46">
                  <c:v>0.84237782455897892</c:v>
                </c:pt>
                <c:pt idx="47">
                  <c:v>1.0463053682662218</c:v>
                </c:pt>
                <c:pt idx="48">
                  <c:v>0.56106951944244265</c:v>
                </c:pt>
                <c:pt idx="49">
                  <c:v>0.77608891746216646</c:v>
                </c:pt>
                <c:pt idx="50">
                  <c:v>1.4330256221680373</c:v>
                </c:pt>
                <c:pt idx="51">
                  <c:v>1.3263550232480084</c:v>
                </c:pt>
                <c:pt idx="52">
                  <c:v>1.6184929638989527</c:v>
                </c:pt>
                <c:pt idx="53">
                  <c:v>1.0466462526777165</c:v>
                </c:pt>
                <c:pt idx="54">
                  <c:v>1.1455289538889821</c:v>
                </c:pt>
                <c:pt idx="55">
                  <c:v>0.61183507487734334</c:v>
                </c:pt>
                <c:pt idx="56">
                  <c:v>0.96312957186151882</c:v>
                </c:pt>
                <c:pt idx="57">
                  <c:v>0.98185199261591927</c:v>
                </c:pt>
                <c:pt idx="58">
                  <c:v>0.87352941539403151</c:v>
                </c:pt>
                <c:pt idx="59">
                  <c:v>0.6812181635554152</c:v>
                </c:pt>
                <c:pt idx="60">
                  <c:v>1.1614718555958103</c:v>
                </c:pt>
                <c:pt idx="61">
                  <c:v>0.9687672755900848</c:v>
                </c:pt>
                <c:pt idx="62">
                  <c:v>0.91419954787312807</c:v>
                </c:pt>
                <c:pt idx="63">
                  <c:v>1.275799242835566</c:v>
                </c:pt>
                <c:pt idx="64">
                  <c:v>0.55962731616304207</c:v>
                </c:pt>
                <c:pt idx="65">
                  <c:v>1.1277242988578366</c:v>
                </c:pt>
                <c:pt idx="66">
                  <c:v>0.96588286903128362</c:v>
                </c:pt>
                <c:pt idx="67">
                  <c:v>1.5562422259844619</c:v>
                </c:pt>
                <c:pt idx="68">
                  <c:v>1.4570448622395087</c:v>
                </c:pt>
                <c:pt idx="69">
                  <c:v>1.1340175495315847</c:v>
                </c:pt>
                <c:pt idx="70">
                  <c:v>1.1683682094591259</c:v>
                </c:pt>
                <c:pt idx="71">
                  <c:v>1.122663476441031</c:v>
                </c:pt>
                <c:pt idx="72">
                  <c:v>0.53962002339608484</c:v>
                </c:pt>
                <c:pt idx="73">
                  <c:v>1.3221070790432286</c:v>
                </c:pt>
                <c:pt idx="74">
                  <c:v>0.73554989437210638</c:v>
                </c:pt>
                <c:pt idx="75">
                  <c:v>0.82134787855753755</c:v>
                </c:pt>
                <c:pt idx="76">
                  <c:v>1.3025980019546097</c:v>
                </c:pt>
                <c:pt idx="77">
                  <c:v>0.92762514931045714</c:v>
                </c:pt>
                <c:pt idx="78">
                  <c:v>0.93244997482699732</c:v>
                </c:pt>
                <c:pt idx="79">
                  <c:v>0.83270195164809124</c:v>
                </c:pt>
                <c:pt idx="80">
                  <c:v>0.69734461840689443</c:v>
                </c:pt>
                <c:pt idx="81">
                  <c:v>1.3827320605336677</c:v>
                </c:pt>
                <c:pt idx="82">
                  <c:v>0.81917146269953311</c:v>
                </c:pt>
                <c:pt idx="83">
                  <c:v>0.67985462590943646</c:v>
                </c:pt>
                <c:pt idx="84">
                  <c:v>1.0883652602691043</c:v>
                </c:pt>
                <c:pt idx="85">
                  <c:v>0.43770655999552077</c:v>
                </c:pt>
                <c:pt idx="86">
                  <c:v>1.0175948290208141</c:v>
                </c:pt>
                <c:pt idx="87">
                  <c:v>0.54030495837305759</c:v>
                </c:pt>
                <c:pt idx="88">
                  <c:v>0.55315386493678576</c:v>
                </c:pt>
                <c:pt idx="89">
                  <c:v>0.70444793171719489</c:v>
                </c:pt>
                <c:pt idx="90">
                  <c:v>0.62352151645558984</c:v>
                </c:pt>
                <c:pt idx="91">
                  <c:v>0.87478634406110356</c:v>
                </c:pt>
                <c:pt idx="92">
                  <c:v>0.8981940143676328</c:v>
                </c:pt>
                <c:pt idx="93">
                  <c:v>0.6775929937960069</c:v>
                </c:pt>
                <c:pt idx="94">
                  <c:v>0.81931667426159416</c:v>
                </c:pt>
                <c:pt idx="95">
                  <c:v>0.82211305917977884</c:v>
                </c:pt>
                <c:pt idx="96">
                  <c:v>0.88739418295947103</c:v>
                </c:pt>
                <c:pt idx="97">
                  <c:v>1.1923688864073607</c:v>
                </c:pt>
                <c:pt idx="98">
                  <c:v>0.89002182051190326</c:v>
                </c:pt>
                <c:pt idx="99">
                  <c:v>0.81018020974442151</c:v>
                </c:pt>
                <c:pt idx="100">
                  <c:v>0.72966360951392972</c:v>
                </c:pt>
                <c:pt idx="101">
                  <c:v>0.66187538201448581</c:v>
                </c:pt>
                <c:pt idx="102">
                  <c:v>0.95091551278202968</c:v>
                </c:pt>
                <c:pt idx="103">
                  <c:v>0.6924668687487654</c:v>
                </c:pt>
                <c:pt idx="104">
                  <c:v>0.67002346910367927</c:v>
                </c:pt>
                <c:pt idx="105">
                  <c:v>0.76789694124014529</c:v>
                </c:pt>
                <c:pt idx="106">
                  <c:v>1.0443051263427856</c:v>
                </c:pt>
                <c:pt idx="107">
                  <c:v>0.45687143939170072</c:v>
                </c:pt>
                <c:pt idx="108">
                  <c:v>1.0018772172392929</c:v>
                </c:pt>
                <c:pt idx="109">
                  <c:v>0.36864067386966481</c:v>
                </c:pt>
                <c:pt idx="110">
                  <c:v>0.53977460950926393</c:v>
                </c:pt>
                <c:pt idx="111">
                  <c:v>0.80899897818415389</c:v>
                </c:pt>
                <c:pt idx="112">
                  <c:v>0.55549222129078513</c:v>
                </c:pt>
                <c:pt idx="113">
                  <c:v>0.83105666956466284</c:v>
                </c:pt>
                <c:pt idx="114">
                  <c:v>0.50691708672059321</c:v>
                </c:pt>
                <c:pt idx="115">
                  <c:v>0.51373930165030257</c:v>
                </c:pt>
                <c:pt idx="116">
                  <c:v>0.44247969976966367</c:v>
                </c:pt>
                <c:pt idx="117">
                  <c:v>0.70828090759643092</c:v>
                </c:pt>
                <c:pt idx="118">
                  <c:v>0.54944142289023024</c:v>
                </c:pt>
                <c:pt idx="119">
                  <c:v>1.4556147769813039</c:v>
                </c:pt>
                <c:pt idx="120">
                  <c:v>1.5948795672602114</c:v>
                </c:pt>
                <c:pt idx="121">
                  <c:v>1.535914416312971</c:v>
                </c:pt>
                <c:pt idx="122">
                  <c:v>1.5949759943263557</c:v>
                </c:pt>
                <c:pt idx="123">
                  <c:v>1.3273667790093828</c:v>
                </c:pt>
                <c:pt idx="124">
                  <c:v>1.5517284551606365</c:v>
                </c:pt>
                <c:pt idx="125">
                  <c:v>1.469379740673403</c:v>
                </c:pt>
                <c:pt idx="126">
                  <c:v>1.309166170274646</c:v>
                </c:pt>
                <c:pt idx="127">
                  <c:v>1.3027055568429777</c:v>
                </c:pt>
                <c:pt idx="128">
                  <c:v>1.4913168982212315</c:v>
                </c:pt>
                <c:pt idx="129">
                  <c:v>1.2676543182995241</c:v>
                </c:pt>
                <c:pt idx="130">
                  <c:v>1.3845480292329537</c:v>
                </c:pt>
                <c:pt idx="131">
                  <c:v>1.4645824941327239</c:v>
                </c:pt>
                <c:pt idx="132">
                  <c:v>0.90347339623903333</c:v>
                </c:pt>
                <c:pt idx="133">
                  <c:v>1.102908675791985</c:v>
                </c:pt>
                <c:pt idx="134">
                  <c:v>1.4462372447987706</c:v>
                </c:pt>
                <c:pt idx="135">
                  <c:v>1.3684447091868552</c:v>
                </c:pt>
                <c:pt idx="136">
                  <c:v>1.3601037679653731</c:v>
                </c:pt>
                <c:pt idx="137">
                  <c:v>0.97155090493691021</c:v>
                </c:pt>
                <c:pt idx="138">
                  <c:v>1.6211559427845337</c:v>
                </c:pt>
                <c:pt idx="139">
                  <c:v>1.6506385182581538</c:v>
                </c:pt>
                <c:pt idx="140">
                  <c:v>1.1773744776219217</c:v>
                </c:pt>
                <c:pt idx="141">
                  <c:v>1.4823973946028837</c:v>
                </c:pt>
                <c:pt idx="142">
                  <c:v>1.3167356949669735</c:v>
                </c:pt>
                <c:pt idx="143">
                  <c:v>1.1217360604566597</c:v>
                </c:pt>
                <c:pt idx="144">
                  <c:v>1.0551772780505557</c:v>
                </c:pt>
                <c:pt idx="145">
                  <c:v>0.93963354604314642</c:v>
                </c:pt>
                <c:pt idx="146">
                  <c:v>1.183184208357116</c:v>
                </c:pt>
                <c:pt idx="147">
                  <c:v>0.48788826909241062</c:v>
                </c:pt>
                <c:pt idx="148">
                  <c:v>0.47356569461706205</c:v>
                </c:pt>
                <c:pt idx="149">
                  <c:v>0.4929267461846315</c:v>
                </c:pt>
                <c:pt idx="150">
                  <c:v>0.65932437035716362</c:v>
                </c:pt>
                <c:pt idx="151">
                  <c:v>0.71060430218408144</c:v>
                </c:pt>
                <c:pt idx="152">
                  <c:v>0.71781674147345342</c:v>
                </c:pt>
                <c:pt idx="153">
                  <c:v>1.4956604156141267</c:v>
                </c:pt>
                <c:pt idx="154">
                  <c:v>0.66413266321674502</c:v>
                </c:pt>
                <c:pt idx="155">
                  <c:v>0.6895552329104887</c:v>
                </c:pt>
                <c:pt idx="156">
                  <c:v>0.58546080770572306</c:v>
                </c:pt>
                <c:pt idx="157">
                  <c:v>0.60351748195500177</c:v>
                </c:pt>
                <c:pt idx="158">
                  <c:v>0.72525936499546495</c:v>
                </c:pt>
                <c:pt idx="159">
                  <c:v>0.69423564564082585</c:v>
                </c:pt>
                <c:pt idx="160">
                  <c:v>0.80866278528852165</c:v>
                </c:pt>
                <c:pt idx="161">
                  <c:v>0.84687336790668388</c:v>
                </c:pt>
                <c:pt idx="162">
                  <c:v>1.0093322840984951</c:v>
                </c:pt>
                <c:pt idx="163">
                  <c:v>0.74988907788789472</c:v>
                </c:pt>
                <c:pt idx="164">
                  <c:v>1.254146003523561</c:v>
                </c:pt>
                <c:pt idx="165">
                  <c:v>0.95713161534101932</c:v>
                </c:pt>
                <c:pt idx="166">
                  <c:v>0.82339457617745171</c:v>
                </c:pt>
                <c:pt idx="167">
                  <c:v>0.94741272551846134</c:v>
                </c:pt>
                <c:pt idx="168">
                  <c:v>0.9425277045813335</c:v>
                </c:pt>
                <c:pt idx="169">
                  <c:v>1.0599983913050408</c:v>
                </c:pt>
                <c:pt idx="170">
                  <c:v>0.757050365125569</c:v>
                </c:pt>
                <c:pt idx="171">
                  <c:v>1.2743766399699907</c:v>
                </c:pt>
                <c:pt idx="172">
                  <c:v>0.82441761721140516</c:v>
                </c:pt>
                <c:pt idx="173">
                  <c:v>0.77132178754921998</c:v>
                </c:pt>
                <c:pt idx="174">
                  <c:v>0.90968808739142704</c:v>
                </c:pt>
                <c:pt idx="175">
                  <c:v>0.40655650689310963</c:v>
                </c:pt>
                <c:pt idx="176">
                  <c:v>0.90301274464488057</c:v>
                </c:pt>
                <c:pt idx="177">
                  <c:v>0.93751480351496141</c:v>
                </c:pt>
                <c:pt idx="178">
                  <c:v>0.63392737668926868</c:v>
                </c:pt>
                <c:pt idx="179">
                  <c:v>0.60914420764174593</c:v>
                </c:pt>
                <c:pt idx="180">
                  <c:v>0.46903873804181795</c:v>
                </c:pt>
                <c:pt idx="181">
                  <c:v>0.53482027652502617</c:v>
                </c:pt>
                <c:pt idx="182">
                  <c:v>0.19529853338171774</c:v>
                </c:pt>
                <c:pt idx="183">
                  <c:v>0.5649744110008047</c:v>
                </c:pt>
                <c:pt idx="184">
                  <c:v>0.67310984828968667</c:v>
                </c:pt>
                <c:pt idx="185">
                  <c:v>1.0796152031310986</c:v>
                </c:pt>
                <c:pt idx="186">
                  <c:v>0.74666649863094126</c:v>
                </c:pt>
                <c:pt idx="187">
                  <c:v>0.8145452712337542</c:v>
                </c:pt>
                <c:pt idx="188">
                  <c:v>1.4232035343843721</c:v>
                </c:pt>
                <c:pt idx="189">
                  <c:v>1.0413790444870876</c:v>
                </c:pt>
                <c:pt idx="190">
                  <c:v>1.2499771113102005</c:v>
                </c:pt>
                <c:pt idx="191">
                  <c:v>1.1349872990938303</c:v>
                </c:pt>
                <c:pt idx="192">
                  <c:v>1.1119944518557261</c:v>
                </c:pt>
                <c:pt idx="193">
                  <c:v>1.5193182395243008</c:v>
                </c:pt>
                <c:pt idx="194">
                  <c:v>1.8387628023762723</c:v>
                </c:pt>
                <c:pt idx="195">
                  <c:v>1.0054191521436231</c:v>
                </c:pt>
                <c:pt idx="196">
                  <c:v>0.79940426393124275</c:v>
                </c:pt>
                <c:pt idx="197">
                  <c:v>2.1169532355340701</c:v>
                </c:pt>
                <c:pt idx="198">
                  <c:v>1.2051423379971897</c:v>
                </c:pt>
                <c:pt idx="199">
                  <c:v>1.1899757546688294</c:v>
                </c:pt>
                <c:pt idx="200">
                  <c:v>1.3881643789714657</c:v>
                </c:pt>
                <c:pt idx="201">
                  <c:v>1.4850719409127084</c:v>
                </c:pt>
                <c:pt idx="202">
                  <c:v>1.8457706334588535</c:v>
                </c:pt>
                <c:pt idx="203">
                  <c:v>1.464764576388732</c:v>
                </c:pt>
                <c:pt idx="204">
                  <c:v>1.4147890218801049</c:v>
                </c:pt>
                <c:pt idx="205">
                  <c:v>1.1085672643919819</c:v>
                </c:pt>
                <c:pt idx="206">
                  <c:v>1.9953136565970024</c:v>
                </c:pt>
                <c:pt idx="207">
                  <c:v>1.3074208653666879</c:v>
                </c:pt>
                <c:pt idx="208">
                  <c:v>1.4742788580044992</c:v>
                </c:pt>
                <c:pt idx="209">
                  <c:v>1.4061699011690467</c:v>
                </c:pt>
                <c:pt idx="210">
                  <c:v>1.8597095675464697</c:v>
                </c:pt>
                <c:pt idx="211">
                  <c:v>1.356296650763815</c:v>
                </c:pt>
                <c:pt idx="212">
                  <c:v>1.1140916859753307</c:v>
                </c:pt>
                <c:pt idx="213">
                  <c:v>0.98674865327397232</c:v>
                </c:pt>
                <c:pt idx="214">
                  <c:v>0.71285499245877904</c:v>
                </c:pt>
                <c:pt idx="215">
                  <c:v>0.9390749410917405</c:v>
                </c:pt>
                <c:pt idx="216">
                  <c:v>0.44648536868835176</c:v>
                </c:pt>
                <c:pt idx="217">
                  <c:v>0.57576790618499052</c:v>
                </c:pt>
                <c:pt idx="218">
                  <c:v>0.64532584469399068</c:v>
                </c:pt>
                <c:pt idx="219">
                  <c:v>0.51873453696109306</c:v>
                </c:pt>
                <c:pt idx="220">
                  <c:v>0.99394360793552738</c:v>
                </c:pt>
                <c:pt idx="221">
                  <c:v>0.78045663148491295</c:v>
                </c:pt>
                <c:pt idx="222">
                  <c:v>0.81352770492780813</c:v>
                </c:pt>
                <c:pt idx="223">
                  <c:v>0.46317616866539979</c:v>
                </c:pt>
                <c:pt idx="224">
                  <c:v>1.3388609302519201</c:v>
                </c:pt>
                <c:pt idx="225">
                  <c:v>0.98830237631537787</c:v>
                </c:pt>
                <c:pt idx="226">
                  <c:v>0.6402539116777094</c:v>
                </c:pt>
                <c:pt idx="227">
                  <c:v>0.56220824852921814</c:v>
                </c:pt>
                <c:pt idx="228">
                  <c:v>0.6915942948629239</c:v>
                </c:pt>
                <c:pt idx="229">
                  <c:v>0.37307172599860711</c:v>
                </c:pt>
                <c:pt idx="230">
                  <c:v>0.67500700372294276</c:v>
                </c:pt>
                <c:pt idx="231">
                  <c:v>0.88254222204220678</c:v>
                </c:pt>
                <c:pt idx="232">
                  <c:v>1.2000038253265872</c:v>
                </c:pt>
                <c:pt idx="233">
                  <c:v>1.2767297508024746</c:v>
                </c:pt>
                <c:pt idx="234">
                  <c:v>0.88174002855493783</c:v>
                </c:pt>
                <c:pt idx="235">
                  <c:v>1.3330644353761703</c:v>
                </c:pt>
                <c:pt idx="236">
                  <c:v>1.1757310030343839</c:v>
                </c:pt>
                <c:pt idx="237">
                  <c:v>1.0154475688361893</c:v>
                </c:pt>
                <c:pt idx="238">
                  <c:v>0.79572418495229025</c:v>
                </c:pt>
                <c:pt idx="239">
                  <c:v>0.75882328453791736</c:v>
                </c:pt>
                <c:pt idx="240">
                  <c:v>1.1683042439748292</c:v>
                </c:pt>
                <c:pt idx="241">
                  <c:v>0.7243807190038849</c:v>
                </c:pt>
                <c:pt idx="242">
                  <c:v>0.8252759579349086</c:v>
                </c:pt>
                <c:pt idx="243">
                  <c:v>0.7784899635806406</c:v>
                </c:pt>
                <c:pt idx="244">
                  <c:v>0.44959063380036068</c:v>
                </c:pt>
                <c:pt idx="245">
                  <c:v>0.76487855150633477</c:v>
                </c:pt>
                <c:pt idx="246">
                  <c:v>0.62498635821033222</c:v>
                </c:pt>
                <c:pt idx="247">
                  <c:v>0.57742404757806198</c:v>
                </c:pt>
                <c:pt idx="248">
                  <c:v>0.82825183700058391</c:v>
                </c:pt>
                <c:pt idx="249">
                  <c:v>0.38515638272617525</c:v>
                </c:pt>
                <c:pt idx="250">
                  <c:v>0.38158532784736493</c:v>
                </c:pt>
                <c:pt idx="251">
                  <c:v>0.54965780203484871</c:v>
                </c:pt>
                <c:pt idx="252">
                  <c:v>0.9496159484615998</c:v>
                </c:pt>
                <c:pt idx="253">
                  <c:v>1.1222686886892967</c:v>
                </c:pt>
                <c:pt idx="254">
                  <c:v>0.95670630380068689</c:v>
                </c:pt>
                <c:pt idx="255">
                  <c:v>1.3739504260176212</c:v>
                </c:pt>
                <c:pt idx="256">
                  <c:v>1.2611257936146298</c:v>
                </c:pt>
                <c:pt idx="257">
                  <c:v>1.1582121323608003</c:v>
                </c:pt>
                <c:pt idx="258">
                  <c:v>1.2616174605906978</c:v>
                </c:pt>
                <c:pt idx="259">
                  <c:v>1.5795966080604131</c:v>
                </c:pt>
                <c:pt idx="260">
                  <c:v>1.2883486177632415</c:v>
                </c:pt>
                <c:pt idx="261">
                  <c:v>1.1847621490684765</c:v>
                </c:pt>
                <c:pt idx="262">
                  <c:v>1.4962978714307733</c:v>
                </c:pt>
                <c:pt idx="263">
                  <c:v>1.7131488850860641</c:v>
                </c:pt>
                <c:pt idx="264">
                  <c:v>1.3544648874397651</c:v>
                </c:pt>
                <c:pt idx="265">
                  <c:v>1.8245761481886515</c:v>
                </c:pt>
                <c:pt idx="266">
                  <c:v>1.3984302659839583</c:v>
                </c:pt>
                <c:pt idx="267">
                  <c:v>1.5971154787339967</c:v>
                </c:pt>
                <c:pt idx="268">
                  <c:v>1.9275156866517478</c:v>
                </c:pt>
                <c:pt idx="269">
                  <c:v>1.6867023772154546</c:v>
                </c:pt>
                <c:pt idx="270">
                  <c:v>1.2385091127154979</c:v>
                </c:pt>
                <c:pt idx="271">
                  <c:v>1.3602355051062485</c:v>
                </c:pt>
                <c:pt idx="272">
                  <c:v>1.513739110476557</c:v>
                </c:pt>
                <c:pt idx="273">
                  <c:v>1.3115087200569748</c:v>
                </c:pt>
                <c:pt idx="274">
                  <c:v>1.2141586587954947</c:v>
                </c:pt>
                <c:pt idx="275">
                  <c:v>0.51327444580581061</c:v>
                </c:pt>
                <c:pt idx="276">
                  <c:v>1.2156595369329657</c:v>
                </c:pt>
                <c:pt idx="277">
                  <c:v>1.1727810011779756</c:v>
                </c:pt>
                <c:pt idx="278">
                  <c:v>1.040160303685927</c:v>
                </c:pt>
                <c:pt idx="279">
                  <c:v>0.59188940755817021</c:v>
                </c:pt>
                <c:pt idx="280">
                  <c:v>0.69413026137106448</c:v>
                </c:pt>
                <c:pt idx="281">
                  <c:v>0.80889568446906146</c:v>
                </c:pt>
                <c:pt idx="282">
                  <c:v>0.76700048266620757</c:v>
                </c:pt>
                <c:pt idx="283">
                  <c:v>1.2362319183000248</c:v>
                </c:pt>
                <c:pt idx="284">
                  <c:v>0.96107955216676622</c:v>
                </c:pt>
                <c:pt idx="285">
                  <c:v>0.78827154868346883</c:v>
                </c:pt>
                <c:pt idx="286">
                  <c:v>0.75679490890031853</c:v>
                </c:pt>
                <c:pt idx="287">
                  <c:v>0.88452940630770016</c:v>
                </c:pt>
                <c:pt idx="288">
                  <c:v>0.75551537936362112</c:v>
                </c:pt>
                <c:pt idx="289">
                  <c:v>0.91005758096668821</c:v>
                </c:pt>
                <c:pt idx="290">
                  <c:v>0.60646579235710885</c:v>
                </c:pt>
                <c:pt idx="291">
                  <c:v>1.1049517750319455</c:v>
                </c:pt>
                <c:pt idx="292">
                  <c:v>0.83181903100326149</c:v>
                </c:pt>
                <c:pt idx="293">
                  <c:v>0.69506541076403694</c:v>
                </c:pt>
                <c:pt idx="294">
                  <c:v>0.71325969661512501</c:v>
                </c:pt>
                <c:pt idx="295">
                  <c:v>0.45217325505388517</c:v>
                </c:pt>
                <c:pt idx="296">
                  <c:v>0.46740277734433283</c:v>
                </c:pt>
                <c:pt idx="297">
                  <c:v>0.94073508180994647</c:v>
                </c:pt>
                <c:pt idx="298">
                  <c:v>0.83472137848894101</c:v>
                </c:pt>
                <c:pt idx="299">
                  <c:v>1.0793611842979967</c:v>
                </c:pt>
                <c:pt idx="300">
                  <c:v>0.36457229384633077</c:v>
                </c:pt>
                <c:pt idx="301">
                  <c:v>0.42205749888527455</c:v>
                </c:pt>
                <c:pt idx="302">
                  <c:v>0.85166734284081214</c:v>
                </c:pt>
                <c:pt idx="303">
                  <c:v>0.756389204413073</c:v>
                </c:pt>
                <c:pt idx="304">
                  <c:v>1.4563854850990172</c:v>
                </c:pt>
                <c:pt idx="305">
                  <c:v>0.70062044143555269</c:v>
                </c:pt>
                <c:pt idx="306">
                  <c:v>0.44518265465826984</c:v>
                </c:pt>
                <c:pt idx="307">
                  <c:v>0.58970707623012042</c:v>
                </c:pt>
                <c:pt idx="308">
                  <c:v>0.53256515960346129</c:v>
                </c:pt>
                <c:pt idx="309">
                  <c:v>0.54476750225830761</c:v>
                </c:pt>
                <c:pt idx="310">
                  <c:v>0.75713819731260323</c:v>
                </c:pt>
                <c:pt idx="311">
                  <c:v>0.51153094234165453</c:v>
                </c:pt>
                <c:pt idx="312">
                  <c:v>0.97659311687495542</c:v>
                </c:pt>
                <c:pt idx="313">
                  <c:v>1.0025582040586694</c:v>
                </c:pt>
                <c:pt idx="314">
                  <c:v>1.2557490121373616</c:v>
                </c:pt>
                <c:pt idx="315">
                  <c:v>0.88777504220566439</c:v>
                </c:pt>
                <c:pt idx="316">
                  <c:v>0.84776633815575886</c:v>
                </c:pt>
                <c:pt idx="317">
                  <c:v>0.74952343616737938</c:v>
                </c:pt>
                <c:pt idx="318">
                  <c:v>0.82407943770811598</c:v>
                </c:pt>
                <c:pt idx="319">
                  <c:v>0.53631012410111234</c:v>
                </c:pt>
                <c:pt idx="320">
                  <c:v>0.50457154998351961</c:v>
                </c:pt>
                <c:pt idx="321">
                  <c:v>0.87710189338735889</c:v>
                </c:pt>
                <c:pt idx="322">
                  <c:v>0.61841847071211187</c:v>
                </c:pt>
                <c:pt idx="323">
                  <c:v>1.43678683756131</c:v>
                </c:pt>
                <c:pt idx="324">
                  <c:v>0.79911300772377558</c:v>
                </c:pt>
                <c:pt idx="325">
                  <c:v>1.0937480895764728</c:v>
                </c:pt>
                <c:pt idx="326">
                  <c:v>1.6733125536254549</c:v>
                </c:pt>
                <c:pt idx="327">
                  <c:v>1.2102164854534208</c:v>
                </c:pt>
                <c:pt idx="328">
                  <c:v>1.7083591797159727</c:v>
                </c:pt>
                <c:pt idx="329">
                  <c:v>0.99728404572447749</c:v>
                </c:pt>
                <c:pt idx="330">
                  <c:v>1.2431721730327501</c:v>
                </c:pt>
                <c:pt idx="331">
                  <c:v>1.6365494854735136</c:v>
                </c:pt>
                <c:pt idx="332">
                  <c:v>1.6526216247759327</c:v>
                </c:pt>
                <c:pt idx="333">
                  <c:v>1.7864416894919972</c:v>
                </c:pt>
                <c:pt idx="334">
                  <c:v>1.241486939008807</c:v>
                </c:pt>
                <c:pt idx="335">
                  <c:v>1.2088745398417624</c:v>
                </c:pt>
                <c:pt idx="336">
                  <c:v>1.0437216054953506</c:v>
                </c:pt>
                <c:pt idx="337">
                  <c:v>1.3705009659528862</c:v>
                </c:pt>
                <c:pt idx="338">
                  <c:v>0.95371762540180349</c:v>
                </c:pt>
                <c:pt idx="339">
                  <c:v>1.6441954546562179</c:v>
                </c:pt>
                <c:pt idx="340">
                  <c:v>0.76163215470978451</c:v>
                </c:pt>
                <c:pt idx="341">
                  <c:v>1.4556052841620064</c:v>
                </c:pt>
                <c:pt idx="342">
                  <c:v>1.1609077862343484</c:v>
                </c:pt>
                <c:pt idx="343">
                  <c:v>1.1606581219345051</c:v>
                </c:pt>
                <c:pt idx="344">
                  <c:v>1.0117957831528754</c:v>
                </c:pt>
                <c:pt idx="345">
                  <c:v>1.4927428487637129</c:v>
                </c:pt>
                <c:pt idx="346">
                  <c:v>1.7807306186330794</c:v>
                </c:pt>
                <c:pt idx="347">
                  <c:v>1.5369022217985149</c:v>
                </c:pt>
                <c:pt idx="348">
                  <c:v>1.6948460994869485</c:v>
                </c:pt>
                <c:pt idx="349">
                  <c:v>1.0816081629965872</c:v>
                </c:pt>
                <c:pt idx="350">
                  <c:v>0.99628538852510384</c:v>
                </c:pt>
                <c:pt idx="351">
                  <c:v>0.72549324730745179</c:v>
                </c:pt>
                <c:pt idx="352">
                  <c:v>1.2187050716480965</c:v>
                </c:pt>
                <c:pt idx="353">
                  <c:v>0.90091362598492353</c:v>
                </c:pt>
                <c:pt idx="354">
                  <c:v>1.2765959811742857</c:v>
                </c:pt>
                <c:pt idx="355">
                  <c:v>1.3830778050574977</c:v>
                </c:pt>
                <c:pt idx="356">
                  <c:v>0.87310726458986443</c:v>
                </c:pt>
                <c:pt idx="357">
                  <c:v>1.058264550961229</c:v>
                </c:pt>
                <c:pt idx="358">
                  <c:v>0.68414259764588792</c:v>
                </c:pt>
                <c:pt idx="359">
                  <c:v>0.5434755361432978</c:v>
                </c:pt>
                <c:pt idx="360">
                  <c:v>0.40562945449149107</c:v>
                </c:pt>
                <c:pt idx="361">
                  <c:v>0.63112398576969198</c:v>
                </c:pt>
                <c:pt idx="362">
                  <c:v>0.67608251412803266</c:v>
                </c:pt>
                <c:pt idx="363">
                  <c:v>0.82527163123127456</c:v>
                </c:pt>
                <c:pt idx="364">
                  <c:v>0.91424865738568228</c:v>
                </c:pt>
                <c:pt idx="365">
                  <c:v>0.9488668495590129</c:v>
                </c:pt>
                <c:pt idx="366">
                  <c:v>0.96741678598787939</c:v>
                </c:pt>
                <c:pt idx="367">
                  <c:v>0.96474709919102219</c:v>
                </c:pt>
                <c:pt idx="368">
                  <c:v>0.77425930605189175</c:v>
                </c:pt>
                <c:pt idx="369">
                  <c:v>0.82252674198943554</c:v>
                </c:pt>
                <c:pt idx="370">
                  <c:v>0.94735026691854474</c:v>
                </c:pt>
                <c:pt idx="371">
                  <c:v>1.2621351678719113</c:v>
                </c:pt>
                <c:pt idx="372">
                  <c:v>1.1349302321850421</c:v>
                </c:pt>
                <c:pt idx="373">
                  <c:v>0.94861617474240656</c:v>
                </c:pt>
                <c:pt idx="374">
                  <c:v>1.1511238253378093</c:v>
                </c:pt>
                <c:pt idx="375">
                  <c:v>0.91715648525831539</c:v>
                </c:pt>
                <c:pt idx="376">
                  <c:v>1.2790807854744974</c:v>
                </c:pt>
                <c:pt idx="377">
                  <c:v>1.0602166030955331</c:v>
                </c:pt>
                <c:pt idx="378">
                  <c:v>0.88553385714343014</c:v>
                </c:pt>
                <c:pt idx="379">
                  <c:v>0.9291136740104361</c:v>
                </c:pt>
                <c:pt idx="380">
                  <c:v>0.89487149406201494</c:v>
                </c:pt>
                <c:pt idx="381">
                  <c:v>0.58923622391477859</c:v>
                </c:pt>
                <c:pt idx="382">
                  <c:v>1.1917206118872004</c:v>
                </c:pt>
                <c:pt idx="383">
                  <c:v>0.78491298575765966</c:v>
                </c:pt>
                <c:pt idx="384">
                  <c:v>0.77432197475604325</c:v>
                </c:pt>
                <c:pt idx="385">
                  <c:v>0.93180842828895383</c:v>
                </c:pt>
                <c:pt idx="386">
                  <c:v>0.50831839311426363</c:v>
                </c:pt>
                <c:pt idx="387">
                  <c:v>0.67066793808933645</c:v>
                </c:pt>
                <c:pt idx="388">
                  <c:v>0.47809954397237364</c:v>
                </c:pt>
                <c:pt idx="389">
                  <c:v>0.62519552635695297</c:v>
                </c:pt>
                <c:pt idx="390">
                  <c:v>0.51309374837061372</c:v>
                </c:pt>
                <c:pt idx="391">
                  <c:v>0.4792150469062717</c:v>
                </c:pt>
                <c:pt idx="392">
                  <c:v>0.69547221119253033</c:v>
                </c:pt>
                <c:pt idx="393">
                  <c:v>0.5537782711058169</c:v>
                </c:pt>
                <c:pt idx="394">
                  <c:v>0.65904916033963434</c:v>
                </c:pt>
                <c:pt idx="395">
                  <c:v>0.91284487841268691</c:v>
                </c:pt>
                <c:pt idx="396">
                  <c:v>0.84380903391931084</c:v>
                </c:pt>
                <c:pt idx="397">
                  <c:v>1.2950989062556402</c:v>
                </c:pt>
                <c:pt idx="398">
                  <c:v>0.8591628664364469</c:v>
                </c:pt>
                <c:pt idx="399">
                  <c:v>0.91595324613860518</c:v>
                </c:pt>
                <c:pt idx="400">
                  <c:v>1.0176520192357827</c:v>
                </c:pt>
                <c:pt idx="401">
                  <c:v>0.86915225787820816</c:v>
                </c:pt>
                <c:pt idx="402">
                  <c:v>1.3680076766655838</c:v>
                </c:pt>
                <c:pt idx="403">
                  <c:v>1.2802965583350379</c:v>
                </c:pt>
                <c:pt idx="404">
                  <c:v>1.2875786617574512</c:v>
                </c:pt>
                <c:pt idx="405">
                  <c:v>1.3051008314382317</c:v>
                </c:pt>
                <c:pt idx="406">
                  <c:v>1.172782129492594</c:v>
                </c:pt>
                <c:pt idx="407">
                  <c:v>1.3399696984281686</c:v>
                </c:pt>
                <c:pt idx="408">
                  <c:v>1.7415006196681466</c:v>
                </c:pt>
                <c:pt idx="409">
                  <c:v>1.405872107713966</c:v>
                </c:pt>
                <c:pt idx="410">
                  <c:v>1.6023384952291568</c:v>
                </c:pt>
                <c:pt idx="411">
                  <c:v>1.4134550209163068</c:v>
                </c:pt>
                <c:pt idx="412">
                  <c:v>1.6580008382565867</c:v>
                </c:pt>
                <c:pt idx="413">
                  <c:v>1.2795570676260493</c:v>
                </c:pt>
                <c:pt idx="414">
                  <c:v>1.3833615091827198</c:v>
                </c:pt>
                <c:pt idx="415">
                  <c:v>1.2778524788731265</c:v>
                </c:pt>
                <c:pt idx="416">
                  <c:v>2.0050350543663544</c:v>
                </c:pt>
                <c:pt idx="417">
                  <c:v>1.874596413545264</c:v>
                </c:pt>
                <c:pt idx="418">
                  <c:v>1.1999928808352085</c:v>
                </c:pt>
                <c:pt idx="419">
                  <c:v>0.98317169821158557</c:v>
                </c:pt>
                <c:pt idx="420">
                  <c:v>1.0766984722873978</c:v>
                </c:pt>
                <c:pt idx="421">
                  <c:v>0.95977120408138705</c:v>
                </c:pt>
                <c:pt idx="422">
                  <c:v>1.4102213157820853</c:v>
                </c:pt>
                <c:pt idx="423">
                  <c:v>0.82653753905513638</c:v>
                </c:pt>
                <c:pt idx="424">
                  <c:v>0.91491294564968895</c:v>
                </c:pt>
                <c:pt idx="425">
                  <c:v>0.83008458771011562</c:v>
                </c:pt>
                <c:pt idx="426">
                  <c:v>1.6518217040272414</c:v>
                </c:pt>
                <c:pt idx="427">
                  <c:v>0.84106414467747181</c:v>
                </c:pt>
                <c:pt idx="428">
                  <c:v>0.86584335029900494</c:v>
                </c:pt>
                <c:pt idx="429">
                  <c:v>0.846917401645229</c:v>
                </c:pt>
                <c:pt idx="430">
                  <c:v>0.77580095617402045</c:v>
                </c:pt>
                <c:pt idx="431">
                  <c:v>0.98530243415273921</c:v>
                </c:pt>
                <c:pt idx="432">
                  <c:v>0.79697044443642284</c:v>
                </c:pt>
                <c:pt idx="433">
                  <c:v>0.58724335912275849</c:v>
                </c:pt>
                <c:pt idx="434">
                  <c:v>0.81274723280531569</c:v>
                </c:pt>
                <c:pt idx="435">
                  <c:v>0.71985198571762821</c:v>
                </c:pt>
                <c:pt idx="436">
                  <c:v>0.69179916637956773</c:v>
                </c:pt>
                <c:pt idx="437">
                  <c:v>0.94069661727772358</c:v>
                </c:pt>
                <c:pt idx="438">
                  <c:v>1.0424950684688887</c:v>
                </c:pt>
                <c:pt idx="439">
                  <c:v>0.87206230420231634</c:v>
                </c:pt>
                <c:pt idx="440">
                  <c:v>0.76869479701427668</c:v>
                </c:pt>
                <c:pt idx="441">
                  <c:v>0.98766131609326457</c:v>
                </c:pt>
                <c:pt idx="442">
                  <c:v>0.746763673421598</c:v>
                </c:pt>
                <c:pt idx="443">
                  <c:v>0.96391151395875407</c:v>
                </c:pt>
                <c:pt idx="444">
                  <c:v>1.1018101398658893</c:v>
                </c:pt>
                <c:pt idx="445">
                  <c:v>1.0254850750482258</c:v>
                </c:pt>
                <c:pt idx="446">
                  <c:v>0.96091604341926629</c:v>
                </c:pt>
                <c:pt idx="447">
                  <c:v>0.72808952970121965</c:v>
                </c:pt>
                <c:pt idx="448">
                  <c:v>1.198925196642141</c:v>
                </c:pt>
                <c:pt idx="449">
                  <c:v>1.1190697558315097</c:v>
                </c:pt>
                <c:pt idx="450">
                  <c:v>0.85685910253563025</c:v>
                </c:pt>
                <c:pt idx="451">
                  <c:v>0.68439369754583401</c:v>
                </c:pt>
                <c:pt idx="452">
                  <c:v>0.81327025147094045</c:v>
                </c:pt>
                <c:pt idx="453">
                  <c:v>0.70808406574106897</c:v>
                </c:pt>
                <c:pt idx="454">
                  <c:v>0.88772909059535177</c:v>
                </c:pt>
                <c:pt idx="455">
                  <c:v>0.81985553194267169</c:v>
                </c:pt>
                <c:pt idx="456">
                  <c:v>0.68823313002303466</c:v>
                </c:pt>
                <c:pt idx="457">
                  <c:v>0.99768187825512256</c:v>
                </c:pt>
                <c:pt idx="458">
                  <c:v>0.75239801086492031</c:v>
                </c:pt>
                <c:pt idx="459">
                  <c:v>0.90807927140330069</c:v>
                </c:pt>
                <c:pt idx="460">
                  <c:v>0.65901540547517334</c:v>
                </c:pt>
                <c:pt idx="461">
                  <c:v>0.90651021540642618</c:v>
                </c:pt>
                <c:pt idx="462">
                  <c:v>0.9845469776752257</c:v>
                </c:pt>
                <c:pt idx="463">
                  <c:v>0.73214292435981232</c:v>
                </c:pt>
                <c:pt idx="464">
                  <c:v>0.67531219162452971</c:v>
                </c:pt>
                <c:pt idx="465">
                  <c:v>0.49567905355810193</c:v>
                </c:pt>
                <c:pt idx="466">
                  <c:v>0.56464619669345228</c:v>
                </c:pt>
                <c:pt idx="467">
                  <c:v>0.64994578634172417</c:v>
                </c:pt>
                <c:pt idx="468">
                  <c:v>0.5545067666530431</c:v>
                </c:pt>
                <c:pt idx="469">
                  <c:v>1.2574557400407045</c:v>
                </c:pt>
                <c:pt idx="470">
                  <c:v>0.75142329426080134</c:v>
                </c:pt>
                <c:pt idx="471">
                  <c:v>1.4022487029038038</c:v>
                </c:pt>
                <c:pt idx="472">
                  <c:v>0.65641219893490421</c:v>
                </c:pt>
                <c:pt idx="473">
                  <c:v>1.2860078044686796</c:v>
                </c:pt>
                <c:pt idx="474">
                  <c:v>1.2922127077290471</c:v>
                </c:pt>
                <c:pt idx="475">
                  <c:v>1.8309813672619242</c:v>
                </c:pt>
                <c:pt idx="476">
                  <c:v>1.536070160576636</c:v>
                </c:pt>
                <c:pt idx="477">
                  <c:v>1.3721038089032438</c:v>
                </c:pt>
                <c:pt idx="478">
                  <c:v>1.3121587377499222</c:v>
                </c:pt>
                <c:pt idx="479">
                  <c:v>1.1719897353624609</c:v>
                </c:pt>
                <c:pt idx="480">
                  <c:v>1.7882245913470922</c:v>
                </c:pt>
                <c:pt idx="481">
                  <c:v>0.97437188727125124</c:v>
                </c:pt>
                <c:pt idx="482">
                  <c:v>1.4256775617662261</c:v>
                </c:pt>
                <c:pt idx="483">
                  <c:v>1.1176433412888964</c:v>
                </c:pt>
                <c:pt idx="484">
                  <c:v>1.6970767020741058</c:v>
                </c:pt>
                <c:pt idx="485">
                  <c:v>1.13958635166943</c:v>
                </c:pt>
                <c:pt idx="486">
                  <c:v>0.7149189687577574</c:v>
                </c:pt>
                <c:pt idx="487">
                  <c:v>0.98193188434710144</c:v>
                </c:pt>
                <c:pt idx="488">
                  <c:v>1.1241216406699315</c:v>
                </c:pt>
                <c:pt idx="489">
                  <c:v>1.2218666972025041</c:v>
                </c:pt>
                <c:pt idx="490">
                  <c:v>1.1459814435354794</c:v>
                </c:pt>
                <c:pt idx="491">
                  <c:v>1.4180937911146658</c:v>
                </c:pt>
                <c:pt idx="492">
                  <c:v>1.0615495894006306</c:v>
                </c:pt>
                <c:pt idx="493">
                  <c:v>0.89490871045983844</c:v>
                </c:pt>
                <c:pt idx="494">
                  <c:v>0.74628820190739364</c:v>
                </c:pt>
                <c:pt idx="495">
                  <c:v>0.66429313928284239</c:v>
                </c:pt>
                <c:pt idx="496">
                  <c:v>1.0136339475566807</c:v>
                </c:pt>
                <c:pt idx="497">
                  <c:v>0.71261293191386599</c:v>
                </c:pt>
                <c:pt idx="498">
                  <c:v>0.85897495077383978</c:v>
                </c:pt>
                <c:pt idx="499">
                  <c:v>1.4889628203068337</c:v>
                </c:pt>
                <c:pt idx="500">
                  <c:v>0.5403128326204516</c:v>
                </c:pt>
                <c:pt idx="501">
                  <c:v>0.87580603533105927</c:v>
                </c:pt>
                <c:pt idx="502">
                  <c:v>0.37590580018563752</c:v>
                </c:pt>
                <c:pt idx="503">
                  <c:v>0.64741874612262018</c:v>
                </c:pt>
                <c:pt idx="504">
                  <c:v>0.86374436226423312</c:v>
                </c:pt>
                <c:pt idx="505">
                  <c:v>1.0178439486997541</c:v>
                </c:pt>
                <c:pt idx="506">
                  <c:v>1.1469267317374134</c:v>
                </c:pt>
                <c:pt idx="507">
                  <c:v>0.89970056923851149</c:v>
                </c:pt>
                <c:pt idx="508">
                  <c:v>0.65232186525547631</c:v>
                </c:pt>
                <c:pt idx="509">
                  <c:v>1.1094560057420972</c:v>
                </c:pt>
                <c:pt idx="510">
                  <c:v>1.0461512898267769</c:v>
                </c:pt>
                <c:pt idx="511">
                  <c:v>0.91150074261825198</c:v>
                </c:pt>
                <c:pt idx="512">
                  <c:v>0.91255763718688987</c:v>
                </c:pt>
                <c:pt idx="513">
                  <c:v>0.98022068122030459</c:v>
                </c:pt>
                <c:pt idx="514">
                  <c:v>0.94011316671354139</c:v>
                </c:pt>
                <c:pt idx="515">
                  <c:v>0.91397409382527051</c:v>
                </c:pt>
                <c:pt idx="516">
                  <c:v>0.77858263083666956</c:v>
                </c:pt>
                <c:pt idx="517">
                  <c:v>0.88919699847390421</c:v>
                </c:pt>
                <c:pt idx="518">
                  <c:v>1.0441900421736345</c:v>
                </c:pt>
                <c:pt idx="519">
                  <c:v>1.0031999662229572</c:v>
                </c:pt>
                <c:pt idx="520">
                  <c:v>0.71409027050916851</c:v>
                </c:pt>
                <c:pt idx="521">
                  <c:v>1.0249807109931335</c:v>
                </c:pt>
                <c:pt idx="522">
                  <c:v>0.92435781056663036</c:v>
                </c:pt>
                <c:pt idx="523">
                  <c:v>0.99570364185983484</c:v>
                </c:pt>
                <c:pt idx="524">
                  <c:v>0.77766738193186979</c:v>
                </c:pt>
                <c:pt idx="525">
                  <c:v>0.6572794634898087</c:v>
                </c:pt>
                <c:pt idx="526">
                  <c:v>0.60095896838373442</c:v>
                </c:pt>
                <c:pt idx="527">
                  <c:v>0.697114582489191</c:v>
                </c:pt>
                <c:pt idx="528">
                  <c:v>1.2280896971166255</c:v>
                </c:pt>
                <c:pt idx="529">
                  <c:v>0.83506656324717232</c:v>
                </c:pt>
                <c:pt idx="530">
                  <c:v>0.8535349786475972</c:v>
                </c:pt>
                <c:pt idx="531">
                  <c:v>0.8849149410978765</c:v>
                </c:pt>
                <c:pt idx="532">
                  <c:v>0.71016777520288354</c:v>
                </c:pt>
                <c:pt idx="533">
                  <c:v>0.72804781630736559</c:v>
                </c:pt>
                <c:pt idx="534">
                  <c:v>0.75312999462699859</c:v>
                </c:pt>
                <c:pt idx="535">
                  <c:v>0.86395138284984263</c:v>
                </c:pt>
                <c:pt idx="536">
                  <c:v>0.61521070132990296</c:v>
                </c:pt>
                <c:pt idx="537">
                  <c:v>0.72175003217671929</c:v>
                </c:pt>
                <c:pt idx="538">
                  <c:v>0.99022304425133112</c:v>
                </c:pt>
                <c:pt idx="539">
                  <c:v>1.2496634213011926</c:v>
                </c:pt>
                <c:pt idx="540">
                  <c:v>0.94258651792055992</c:v>
                </c:pt>
                <c:pt idx="541">
                  <c:v>0.99587797498455854</c:v>
                </c:pt>
                <c:pt idx="542">
                  <c:v>1.1156775191306769</c:v>
                </c:pt>
                <c:pt idx="543">
                  <c:v>1.4597457324136354</c:v>
                </c:pt>
                <c:pt idx="544">
                  <c:v>1.1583673430474111</c:v>
                </c:pt>
                <c:pt idx="545">
                  <c:v>1.0111430192181841</c:v>
                </c:pt>
                <c:pt idx="546">
                  <c:v>1.2789186987939007</c:v>
                </c:pt>
                <c:pt idx="547">
                  <c:v>1.0744913184146854</c:v>
                </c:pt>
                <c:pt idx="548">
                  <c:v>1.3160298627194742</c:v>
                </c:pt>
                <c:pt idx="549">
                  <c:v>1.3832679697613748</c:v>
                </c:pt>
                <c:pt idx="550">
                  <c:v>1.1199813681472952</c:v>
                </c:pt>
                <c:pt idx="551">
                  <c:v>1.5342404557721629</c:v>
                </c:pt>
                <c:pt idx="552">
                  <c:v>1.3134911365906843</c:v>
                </c:pt>
                <c:pt idx="553">
                  <c:v>1.6050850793317866</c:v>
                </c:pt>
                <c:pt idx="554">
                  <c:v>1.0911728192866914</c:v>
                </c:pt>
                <c:pt idx="555">
                  <c:v>1.0273777914580855</c:v>
                </c:pt>
                <c:pt idx="556">
                  <c:v>1.3853054881565838</c:v>
                </c:pt>
                <c:pt idx="557">
                  <c:v>1.1693067466238278</c:v>
                </c:pt>
                <c:pt idx="558">
                  <c:v>1.4658147043180816</c:v>
                </c:pt>
                <c:pt idx="559">
                  <c:v>1.1242743213436182</c:v>
                </c:pt>
                <c:pt idx="560">
                  <c:v>1.3712171925148438</c:v>
                </c:pt>
                <c:pt idx="561">
                  <c:v>1.014607890072069</c:v>
                </c:pt>
                <c:pt idx="562">
                  <c:v>1.1905971794807189</c:v>
                </c:pt>
                <c:pt idx="563">
                  <c:v>0.96017237187707061</c:v>
                </c:pt>
                <c:pt idx="564">
                  <c:v>1.0565350065681367</c:v>
                </c:pt>
                <c:pt idx="565">
                  <c:v>0.8400145050932657</c:v>
                </c:pt>
                <c:pt idx="566">
                  <c:v>0.95946281137353906</c:v>
                </c:pt>
                <c:pt idx="567">
                  <c:v>0.74982920139003351</c:v>
                </c:pt>
                <c:pt idx="568">
                  <c:v>0.64437808275860498</c:v>
                </c:pt>
                <c:pt idx="569">
                  <c:v>0.75325449504428255</c:v>
                </c:pt>
                <c:pt idx="570">
                  <c:v>0.60013118242655661</c:v>
                </c:pt>
                <c:pt idx="571">
                  <c:v>0.50288385353493437</c:v>
                </c:pt>
                <c:pt idx="572">
                  <c:v>0.81655899628392237</c:v>
                </c:pt>
                <c:pt idx="573">
                  <c:v>0.72127099174596532</c:v>
                </c:pt>
                <c:pt idx="574">
                  <c:v>0.66140588001923395</c:v>
                </c:pt>
                <c:pt idx="575">
                  <c:v>0.66481707781482358</c:v>
                </c:pt>
                <c:pt idx="576">
                  <c:v>0.79187714777120599</c:v>
                </c:pt>
                <c:pt idx="577">
                  <c:v>0.6028093955718542</c:v>
                </c:pt>
                <c:pt idx="578">
                  <c:v>0.6984497965762978</c:v>
                </c:pt>
                <c:pt idx="579">
                  <c:v>0.7676604625942518</c:v>
                </c:pt>
                <c:pt idx="580">
                  <c:v>0.68216907982462016</c:v>
                </c:pt>
                <c:pt idx="581">
                  <c:v>0.69464391473824327</c:v>
                </c:pt>
                <c:pt idx="582">
                  <c:v>0.63176228925838729</c:v>
                </c:pt>
                <c:pt idx="583">
                  <c:v>0.65086217774195709</c:v>
                </c:pt>
                <c:pt idx="584">
                  <c:v>0.72208855154821405</c:v>
                </c:pt>
                <c:pt idx="585">
                  <c:v>0.86120058065843563</c:v>
                </c:pt>
                <c:pt idx="586">
                  <c:v>0.88579785401919531</c:v>
                </c:pt>
                <c:pt idx="587">
                  <c:v>0.85131938373815341</c:v>
                </c:pt>
                <c:pt idx="588">
                  <c:v>0.8341083403149514</c:v>
                </c:pt>
                <c:pt idx="589">
                  <c:v>0.9310032727400871</c:v>
                </c:pt>
                <c:pt idx="590">
                  <c:v>1.3400791868963078</c:v>
                </c:pt>
                <c:pt idx="591">
                  <c:v>0.92468832806064849</c:v>
                </c:pt>
                <c:pt idx="592">
                  <c:v>0.78743695229347577</c:v>
                </c:pt>
                <c:pt idx="593">
                  <c:v>0.66796045429588335</c:v>
                </c:pt>
                <c:pt idx="594">
                  <c:v>0.80597300643066705</c:v>
                </c:pt>
                <c:pt idx="595">
                  <c:v>0.63207239814889538</c:v>
                </c:pt>
                <c:pt idx="596">
                  <c:v>0.56007075211636814</c:v>
                </c:pt>
                <c:pt idx="597">
                  <c:v>0.74865924512129822</c:v>
                </c:pt>
                <c:pt idx="598">
                  <c:v>0.50019154453097736</c:v>
                </c:pt>
                <c:pt idx="599">
                  <c:v>0.68016746789497673</c:v>
                </c:pt>
                <c:pt idx="600">
                  <c:v>0.51421692389714113</c:v>
                </c:pt>
                <c:pt idx="601">
                  <c:v>0.44184878553946783</c:v>
                </c:pt>
                <c:pt idx="602">
                  <c:v>0.493242286211863</c:v>
                </c:pt>
                <c:pt idx="603">
                  <c:v>1.2735608298823109</c:v>
                </c:pt>
                <c:pt idx="604">
                  <c:v>1.8315453949170788</c:v>
                </c:pt>
                <c:pt idx="605">
                  <c:v>1.0704958900341142</c:v>
                </c:pt>
                <c:pt idx="606">
                  <c:v>1.4592596718620514</c:v>
                </c:pt>
                <c:pt idx="607">
                  <c:v>1.6055746847472576</c:v>
                </c:pt>
                <c:pt idx="608">
                  <c:v>1.1209590640349849</c:v>
                </c:pt>
                <c:pt idx="609">
                  <c:v>1.5538146917497166</c:v>
                </c:pt>
                <c:pt idx="610">
                  <c:v>1.5872641643486178</c:v>
                </c:pt>
                <c:pt idx="611">
                  <c:v>0.9961120438881379</c:v>
                </c:pt>
                <c:pt idx="612">
                  <c:v>0.94149059158272619</c:v>
                </c:pt>
                <c:pt idx="613">
                  <c:v>0.86964399999545283</c:v>
                </c:pt>
                <c:pt idx="614">
                  <c:v>1.2067323639778058</c:v>
                </c:pt>
                <c:pt idx="615">
                  <c:v>1.3362169216236155</c:v>
                </c:pt>
                <c:pt idx="616">
                  <c:v>1.0948112462216846</c:v>
                </c:pt>
                <c:pt idx="617">
                  <c:v>0.98280555331360664</c:v>
                </c:pt>
                <c:pt idx="618">
                  <c:v>1.2604657771876715</c:v>
                </c:pt>
                <c:pt idx="619">
                  <c:v>1.2982144866777083</c:v>
                </c:pt>
                <c:pt idx="620">
                  <c:v>0.92484338250590259</c:v>
                </c:pt>
                <c:pt idx="621">
                  <c:v>1.2308785698614626</c:v>
                </c:pt>
                <c:pt idx="622">
                  <c:v>1.609648387899842</c:v>
                </c:pt>
                <c:pt idx="623">
                  <c:v>1.3558101651602663</c:v>
                </c:pt>
                <c:pt idx="624">
                  <c:v>1.0960093942077387</c:v>
                </c:pt>
                <c:pt idx="625">
                  <c:v>0.97644832105818968</c:v>
                </c:pt>
                <c:pt idx="626">
                  <c:v>1.3669458935012406</c:v>
                </c:pt>
                <c:pt idx="627">
                  <c:v>1.4520566880870669</c:v>
                </c:pt>
                <c:pt idx="628">
                  <c:v>1.477711150847286</c:v>
                </c:pt>
                <c:pt idx="629">
                  <c:v>1.5523346265904732</c:v>
                </c:pt>
                <c:pt idx="630">
                  <c:v>0.93284983022447643</c:v>
                </c:pt>
                <c:pt idx="631">
                  <c:v>0.77706240032011231</c:v>
                </c:pt>
                <c:pt idx="632">
                  <c:v>1.4509994986876071</c:v>
                </c:pt>
                <c:pt idx="633">
                  <c:v>1.0832385462622671</c:v>
                </c:pt>
                <c:pt idx="634">
                  <c:v>1.2930835941256644</c:v>
                </c:pt>
                <c:pt idx="635">
                  <c:v>0.89449499881208283</c:v>
                </c:pt>
                <c:pt idx="636">
                  <c:v>0.68827258662416679</c:v>
                </c:pt>
                <c:pt idx="637">
                  <c:v>0.62195157163140236</c:v>
                </c:pt>
                <c:pt idx="638">
                  <c:v>0.81591058678558714</c:v>
                </c:pt>
                <c:pt idx="639">
                  <c:v>0.75854835927180064</c:v>
                </c:pt>
                <c:pt idx="640">
                  <c:v>0.86913119992061416</c:v>
                </c:pt>
                <c:pt idx="641">
                  <c:v>0.56890452248370715</c:v>
                </c:pt>
                <c:pt idx="642">
                  <c:v>0.767940141711285</c:v>
                </c:pt>
                <c:pt idx="643">
                  <c:v>0.72600097530048413</c:v>
                </c:pt>
                <c:pt idx="644">
                  <c:v>0.98022681030031911</c:v>
                </c:pt>
                <c:pt idx="645">
                  <c:v>0.80983882630122594</c:v>
                </c:pt>
                <c:pt idx="646">
                  <c:v>0.8976708836268058</c:v>
                </c:pt>
                <c:pt idx="647">
                  <c:v>0.9522808599667385</c:v>
                </c:pt>
                <c:pt idx="648">
                  <c:v>0.5974846880107586</c:v>
                </c:pt>
                <c:pt idx="649">
                  <c:v>0.75447318930524276</c:v>
                </c:pt>
                <c:pt idx="650">
                  <c:v>0.59876661233798711</c:v>
                </c:pt>
                <c:pt idx="651">
                  <c:v>0.38726259228557663</c:v>
                </c:pt>
                <c:pt idx="652">
                  <c:v>0.60556755824244135</c:v>
                </c:pt>
                <c:pt idx="653">
                  <c:v>0.71704099895017148</c:v>
                </c:pt>
                <c:pt idx="654">
                  <c:v>0.67048690496134822</c:v>
                </c:pt>
                <c:pt idx="655">
                  <c:v>0.60688996439052967</c:v>
                </c:pt>
                <c:pt idx="656">
                  <c:v>0.62611882929895668</c:v>
                </c:pt>
                <c:pt idx="657">
                  <c:v>0.8605355599580401</c:v>
                </c:pt>
                <c:pt idx="658">
                  <c:v>0.69562611571531274</c:v>
                </c:pt>
                <c:pt idx="659">
                  <c:v>0.7475777858187822</c:v>
                </c:pt>
                <c:pt idx="660">
                  <c:v>0.69979574326387695</c:v>
                </c:pt>
                <c:pt idx="661">
                  <c:v>1.1192413831330315</c:v>
                </c:pt>
                <c:pt idx="662">
                  <c:v>1.0831990686274815</c:v>
                </c:pt>
                <c:pt idx="663">
                  <c:v>0.71289835928218059</c:v>
                </c:pt>
                <c:pt idx="664">
                  <c:v>0.9172370970423982</c:v>
                </c:pt>
                <c:pt idx="665">
                  <c:v>0.51391671581574916</c:v>
                </c:pt>
                <c:pt idx="666">
                  <c:v>1.0768704106330589</c:v>
                </c:pt>
                <c:pt idx="667">
                  <c:v>0.74591803116352851</c:v>
                </c:pt>
                <c:pt idx="668">
                  <c:v>1.0345399199539462</c:v>
                </c:pt>
                <c:pt idx="669">
                  <c:v>0.60027793365008808</c:v>
                </c:pt>
                <c:pt idx="670">
                  <c:v>0.73911708525907438</c:v>
                </c:pt>
                <c:pt idx="671">
                  <c:v>0.7295903634167239</c:v>
                </c:pt>
                <c:pt idx="672">
                  <c:v>0.86852397260771652</c:v>
                </c:pt>
                <c:pt idx="673">
                  <c:v>0.82940503971681834</c:v>
                </c:pt>
                <c:pt idx="674">
                  <c:v>0.73618890021687877</c:v>
                </c:pt>
                <c:pt idx="675">
                  <c:v>0.76735990227896045</c:v>
                </c:pt>
                <c:pt idx="676">
                  <c:v>0.90752146003603507</c:v>
                </c:pt>
                <c:pt idx="677">
                  <c:v>1.2433856337698934</c:v>
                </c:pt>
                <c:pt idx="678">
                  <c:v>0.86168254488240248</c:v>
                </c:pt>
                <c:pt idx="679">
                  <c:v>1.2173423290167258</c:v>
                </c:pt>
                <c:pt idx="680">
                  <c:v>1.4278208096073535</c:v>
                </c:pt>
                <c:pt idx="681">
                  <c:v>0.9618480636299489</c:v>
                </c:pt>
                <c:pt idx="682">
                  <c:v>1.1233165530995892</c:v>
                </c:pt>
                <c:pt idx="683">
                  <c:v>1.2104469255302652</c:v>
                </c:pt>
                <c:pt idx="684">
                  <c:v>0.89261065601932499</c:v>
                </c:pt>
                <c:pt idx="685">
                  <c:v>1.2953373038733629</c:v>
                </c:pt>
                <c:pt idx="686">
                  <c:v>1.2679446050915337</c:v>
                </c:pt>
                <c:pt idx="687">
                  <c:v>0.90228581120482831</c:v>
                </c:pt>
                <c:pt idx="688">
                  <c:v>1.1011460092086802</c:v>
                </c:pt>
                <c:pt idx="689">
                  <c:v>1.2140498075867916</c:v>
                </c:pt>
                <c:pt idx="690">
                  <c:v>0.66521077430928155</c:v>
                </c:pt>
                <c:pt idx="691">
                  <c:v>1.3984040197825318</c:v>
                </c:pt>
                <c:pt idx="692">
                  <c:v>1.4000637744377855</c:v>
                </c:pt>
                <c:pt idx="693">
                  <c:v>1.1657010195398485</c:v>
                </c:pt>
                <c:pt idx="694">
                  <c:v>1.2245345991894918</c:v>
                </c:pt>
                <c:pt idx="695">
                  <c:v>1.506369036015742</c:v>
                </c:pt>
                <c:pt idx="696">
                  <c:v>1.4068242385213798</c:v>
                </c:pt>
                <c:pt idx="697">
                  <c:v>1.1975332246759742</c:v>
                </c:pt>
                <c:pt idx="698">
                  <c:v>0.78827550972321447</c:v>
                </c:pt>
                <c:pt idx="699">
                  <c:v>1.1760373777993958</c:v>
                </c:pt>
                <c:pt idx="700">
                  <c:v>1.5622204548620433</c:v>
                </c:pt>
                <c:pt idx="701">
                  <c:v>0.97889091021194419</c:v>
                </c:pt>
                <c:pt idx="702">
                  <c:v>1.4682486547060534</c:v>
                </c:pt>
                <c:pt idx="703">
                  <c:v>1.2867281699705024</c:v>
                </c:pt>
                <c:pt idx="704">
                  <c:v>0.95676084814189488</c:v>
                </c:pt>
                <c:pt idx="705">
                  <c:v>1.3695674693900346</c:v>
                </c:pt>
                <c:pt idx="706">
                  <c:v>1.6840977235307539</c:v>
                </c:pt>
                <c:pt idx="707">
                  <c:v>1.2051842888184852</c:v>
                </c:pt>
                <c:pt idx="708">
                  <c:v>0.83380406425025488</c:v>
                </c:pt>
                <c:pt idx="709">
                  <c:v>0.87703864892857086</c:v>
                </c:pt>
                <c:pt idx="710">
                  <c:v>1.2151293228097209</c:v>
                </c:pt>
                <c:pt idx="711">
                  <c:v>1.3493535468406845</c:v>
                </c:pt>
                <c:pt idx="712">
                  <c:v>1.0202093553695606</c:v>
                </c:pt>
                <c:pt idx="713">
                  <c:v>1.0331635380447115</c:v>
                </c:pt>
                <c:pt idx="714">
                  <c:v>0.91395806955275072</c:v>
                </c:pt>
                <c:pt idx="715">
                  <c:v>0.732896394456936</c:v>
                </c:pt>
                <c:pt idx="716">
                  <c:v>0.99443957184951293</c:v>
                </c:pt>
                <c:pt idx="717">
                  <c:v>0.69600287748878853</c:v>
                </c:pt>
                <c:pt idx="718">
                  <c:v>0.98105924898251351</c:v>
                </c:pt>
                <c:pt idx="719">
                  <c:v>1.0024759869662514</c:v>
                </c:pt>
                <c:pt idx="720">
                  <c:v>0.88316296969600316</c:v>
                </c:pt>
                <c:pt idx="721">
                  <c:v>0.61600868916565221</c:v>
                </c:pt>
                <c:pt idx="722">
                  <c:v>1.0033186801114848</c:v>
                </c:pt>
                <c:pt idx="723">
                  <c:v>1.0665206660039936</c:v>
                </c:pt>
                <c:pt idx="724">
                  <c:v>1.2141563943506248</c:v>
                </c:pt>
                <c:pt idx="725">
                  <c:v>0.82398946810753726</c:v>
                </c:pt>
                <c:pt idx="726">
                  <c:v>1.0801270772758118</c:v>
                </c:pt>
                <c:pt idx="727">
                  <c:v>1.052462077922538</c:v>
                </c:pt>
                <c:pt idx="728">
                  <c:v>0.84579672242687121</c:v>
                </c:pt>
                <c:pt idx="729">
                  <c:v>0.77663422404368676</c:v>
                </c:pt>
                <c:pt idx="730">
                  <c:v>0.96030022272188464</c:v>
                </c:pt>
                <c:pt idx="731">
                  <c:v>0.77322234448005867</c:v>
                </c:pt>
                <c:pt idx="732">
                  <c:v>0.8085332426144749</c:v>
                </c:pt>
                <c:pt idx="733">
                  <c:v>0.5430026879005494</c:v>
                </c:pt>
                <c:pt idx="734">
                  <c:v>0.57895074426672755</c:v>
                </c:pt>
                <c:pt idx="735">
                  <c:v>0.53952914786287987</c:v>
                </c:pt>
                <c:pt idx="736">
                  <c:v>0.53591173338578013</c:v>
                </c:pt>
                <c:pt idx="737">
                  <c:v>0.67386676730790007</c:v>
                </c:pt>
                <c:pt idx="738">
                  <c:v>0.44241390124756147</c:v>
                </c:pt>
                <c:pt idx="739">
                  <c:v>0.49375652263276049</c:v>
                </c:pt>
                <c:pt idx="740">
                  <c:v>0.40586979363231573</c:v>
                </c:pt>
                <c:pt idx="741">
                  <c:v>0.54754500948827123</c:v>
                </c:pt>
                <c:pt idx="742">
                  <c:v>0.37499844962888546</c:v>
                </c:pt>
                <c:pt idx="743">
                  <c:v>0.45795234070601243</c:v>
                </c:pt>
                <c:pt idx="744">
                  <c:v>0.503108361195717</c:v>
                </c:pt>
                <c:pt idx="745">
                  <c:v>0.41466668792889905</c:v>
                </c:pt>
                <c:pt idx="746">
                  <c:v>1.7337486556067621</c:v>
                </c:pt>
                <c:pt idx="747">
                  <c:v>2.1184689066428528</c:v>
                </c:pt>
                <c:pt idx="748">
                  <c:v>1.8085839176017617</c:v>
                </c:pt>
                <c:pt idx="749">
                  <c:v>1.6877293884804767</c:v>
                </c:pt>
                <c:pt idx="750">
                  <c:v>1.6646683711889663</c:v>
                </c:pt>
                <c:pt idx="751">
                  <c:v>1.3754807479344626</c:v>
                </c:pt>
                <c:pt idx="752">
                  <c:v>1.806528568467046</c:v>
                </c:pt>
                <c:pt idx="753">
                  <c:v>1.6474034384573542</c:v>
                </c:pt>
                <c:pt idx="754">
                  <c:v>1.0887184366589235</c:v>
                </c:pt>
                <c:pt idx="755">
                  <c:v>1.6915934448537424</c:v>
                </c:pt>
                <c:pt idx="756">
                  <c:v>0.84503624324702631</c:v>
                </c:pt>
                <c:pt idx="757">
                  <c:v>1.5633191053561335</c:v>
                </c:pt>
                <c:pt idx="758">
                  <c:v>1.9560141110349214</c:v>
                </c:pt>
                <c:pt idx="759">
                  <c:v>1.2508238229139534</c:v>
                </c:pt>
                <c:pt idx="760">
                  <c:v>1.6329337805489552</c:v>
                </c:pt>
                <c:pt idx="761">
                  <c:v>1.270884030468779</c:v>
                </c:pt>
                <c:pt idx="762">
                  <c:v>1.2594151822970652</c:v>
                </c:pt>
                <c:pt idx="763">
                  <c:v>0.89600890178797654</c:v>
                </c:pt>
                <c:pt idx="764">
                  <c:v>0.82976499917608848</c:v>
                </c:pt>
                <c:pt idx="765">
                  <c:v>1.1750842072996788</c:v>
                </c:pt>
                <c:pt idx="766">
                  <c:v>1.1361558946881627</c:v>
                </c:pt>
                <c:pt idx="767">
                  <c:v>0.89048001261559118</c:v>
                </c:pt>
                <c:pt idx="768">
                  <c:v>0.88248470448154703</c:v>
                </c:pt>
                <c:pt idx="769">
                  <c:v>0.95530572432452543</c:v>
                </c:pt>
                <c:pt idx="770">
                  <c:v>0.89960576277372906</c:v>
                </c:pt>
                <c:pt idx="771">
                  <c:v>0.60770507866140067</c:v>
                </c:pt>
                <c:pt idx="772">
                  <c:v>0.50337555658323008</c:v>
                </c:pt>
                <c:pt idx="773">
                  <c:v>0.70353997437869531</c:v>
                </c:pt>
                <c:pt idx="774">
                  <c:v>0.5438001107625029</c:v>
                </c:pt>
                <c:pt idx="775">
                  <c:v>0.82147189730426073</c:v>
                </c:pt>
                <c:pt idx="776">
                  <c:v>0.61704259332578171</c:v>
                </c:pt>
                <c:pt idx="777">
                  <c:v>0.58347748805953903</c:v>
                </c:pt>
                <c:pt idx="778">
                  <c:v>0.71995579068996907</c:v>
                </c:pt>
                <c:pt idx="779">
                  <c:v>0.56208453595176211</c:v>
                </c:pt>
                <c:pt idx="780">
                  <c:v>0.84651474899613999</c:v>
                </c:pt>
                <c:pt idx="781">
                  <c:v>0.65032828044204527</c:v>
                </c:pt>
                <c:pt idx="782">
                  <c:v>0.67622685021823559</c:v>
                </c:pt>
                <c:pt idx="783">
                  <c:v>0.76915084872066919</c:v>
                </c:pt>
                <c:pt idx="784">
                  <c:v>1.0788684043381582</c:v>
                </c:pt>
                <c:pt idx="785">
                  <c:v>1.0057307035811216</c:v>
                </c:pt>
                <c:pt idx="786">
                  <c:v>0.64739438986726439</c:v>
                </c:pt>
                <c:pt idx="787">
                  <c:v>0.75886476807456249</c:v>
                </c:pt>
                <c:pt idx="788">
                  <c:v>1.0918962755809349</c:v>
                </c:pt>
                <c:pt idx="789">
                  <c:v>1.1309624256748916</c:v>
                </c:pt>
                <c:pt idx="790">
                  <c:v>0.72861775333932199</c:v>
                </c:pt>
                <c:pt idx="791">
                  <c:v>0.70292874717561593</c:v>
                </c:pt>
                <c:pt idx="792">
                  <c:v>0.64652120814857961</c:v>
                </c:pt>
                <c:pt idx="793">
                  <c:v>1.0745024957447342</c:v>
                </c:pt>
                <c:pt idx="794">
                  <c:v>0.98748120566060982</c:v>
                </c:pt>
                <c:pt idx="795">
                  <c:v>1.0132575299961843</c:v>
                </c:pt>
                <c:pt idx="796">
                  <c:v>0.98082756096423185</c:v>
                </c:pt>
                <c:pt idx="797">
                  <c:v>0.54914398288085375</c:v>
                </c:pt>
                <c:pt idx="798">
                  <c:v>0.55682798200527972</c:v>
                </c:pt>
                <c:pt idx="799">
                  <c:v>0.70898862830328824</c:v>
                </c:pt>
                <c:pt idx="800">
                  <c:v>0.54018513844714799</c:v>
                </c:pt>
                <c:pt idx="801">
                  <c:v>0.41296256203477655</c:v>
                </c:pt>
                <c:pt idx="802">
                  <c:v>0.39083613728330441</c:v>
                </c:pt>
                <c:pt idx="803">
                  <c:v>0.44181248602012146</c:v>
                </c:pt>
                <c:pt idx="804">
                  <c:v>0.47408528234271063</c:v>
                </c:pt>
                <c:pt idx="805">
                  <c:v>0.69445888450437365</c:v>
                </c:pt>
                <c:pt idx="806">
                  <c:v>0.3428111427556419</c:v>
                </c:pt>
                <c:pt idx="807">
                  <c:v>0.40613428099466159</c:v>
                </c:pt>
                <c:pt idx="808">
                  <c:v>0.49278883475693847</c:v>
                </c:pt>
                <c:pt idx="809">
                  <c:v>0.63101350082473806</c:v>
                </c:pt>
                <c:pt idx="810">
                  <c:v>0.80975379863951114</c:v>
                </c:pt>
                <c:pt idx="811">
                  <c:v>1.2067022079536089</c:v>
                </c:pt>
                <c:pt idx="812">
                  <c:v>1.4329086639960862</c:v>
                </c:pt>
                <c:pt idx="813">
                  <c:v>1.0933981481370727</c:v>
                </c:pt>
                <c:pt idx="814">
                  <c:v>1.7933406138347867</c:v>
                </c:pt>
                <c:pt idx="815">
                  <c:v>1.9620742491534322</c:v>
                </c:pt>
                <c:pt idx="816">
                  <c:v>1.5601836313115787</c:v>
                </c:pt>
                <c:pt idx="817">
                  <c:v>0.88287403576217394</c:v>
                </c:pt>
                <c:pt idx="818">
                  <c:v>1.1117175005950792</c:v>
                </c:pt>
                <c:pt idx="819">
                  <c:v>1.5539840411089167</c:v>
                </c:pt>
                <c:pt idx="820">
                  <c:v>1.613901770645066</c:v>
                </c:pt>
                <c:pt idx="821">
                  <c:v>2.1702058436191347</c:v>
                </c:pt>
                <c:pt idx="822">
                  <c:v>1.5764248112791155</c:v>
                </c:pt>
                <c:pt idx="823">
                  <c:v>1.4904688028917865</c:v>
                </c:pt>
                <c:pt idx="824">
                  <c:v>2.0864327895285175</c:v>
                </c:pt>
                <c:pt idx="825">
                  <c:v>1.0842646673596301</c:v>
                </c:pt>
                <c:pt idx="826">
                  <c:v>1.0667835693515608</c:v>
                </c:pt>
                <c:pt idx="827">
                  <c:v>1.75347113655964</c:v>
                </c:pt>
                <c:pt idx="828">
                  <c:v>1.3915373141648015</c:v>
                </c:pt>
                <c:pt idx="829">
                  <c:v>0.80020119063709971</c:v>
                </c:pt>
                <c:pt idx="830">
                  <c:v>1.085696685378273</c:v>
                </c:pt>
                <c:pt idx="831">
                  <c:v>1.5584547315085828</c:v>
                </c:pt>
                <c:pt idx="832">
                  <c:v>1.4549128433069425</c:v>
                </c:pt>
                <c:pt idx="833">
                  <c:v>1.8081847030524278</c:v>
                </c:pt>
                <c:pt idx="834">
                  <c:v>1.001696604040798</c:v>
                </c:pt>
                <c:pt idx="835">
                  <c:v>0.99680678641616316</c:v>
                </c:pt>
                <c:pt idx="836">
                  <c:v>1.9160575725787448</c:v>
                </c:pt>
                <c:pt idx="837">
                  <c:v>0.9385481021455151</c:v>
                </c:pt>
                <c:pt idx="838">
                  <c:v>1.4993577927879973</c:v>
                </c:pt>
                <c:pt idx="839">
                  <c:v>1.1081374555484718</c:v>
                </c:pt>
                <c:pt idx="840">
                  <c:v>0.92056055874060883</c:v>
                </c:pt>
                <c:pt idx="841">
                  <c:v>0.92976389405554627</c:v>
                </c:pt>
                <c:pt idx="842">
                  <c:v>0.99670200460992098</c:v>
                </c:pt>
                <c:pt idx="843">
                  <c:v>0.92695224892138128</c:v>
                </c:pt>
                <c:pt idx="844">
                  <c:v>0.65479897084171124</c:v>
                </c:pt>
                <c:pt idx="845">
                  <c:v>0.77924482938866513</c:v>
                </c:pt>
                <c:pt idx="846">
                  <c:v>0.72583793237145378</c:v>
                </c:pt>
                <c:pt idx="847">
                  <c:v>0.62144677902343659</c:v>
                </c:pt>
                <c:pt idx="848">
                  <c:v>0.71692693510200378</c:v>
                </c:pt>
                <c:pt idx="849">
                  <c:v>0.65961343331600963</c:v>
                </c:pt>
                <c:pt idx="850">
                  <c:v>0.41486046147119726</c:v>
                </c:pt>
                <c:pt idx="851">
                  <c:v>0.75206276140272732</c:v>
                </c:pt>
                <c:pt idx="852">
                  <c:v>0.54631128269854234</c:v>
                </c:pt>
                <c:pt idx="853">
                  <c:v>0.67725394114881088</c:v>
                </c:pt>
                <c:pt idx="854">
                  <c:v>0.70326098613276578</c:v>
                </c:pt>
                <c:pt idx="855">
                  <c:v>0.68498527482861882</c:v>
                </c:pt>
                <c:pt idx="856">
                  <c:v>0.4925549203520842</c:v>
                </c:pt>
                <c:pt idx="857">
                  <c:v>0.47672927958027078</c:v>
                </c:pt>
                <c:pt idx="858">
                  <c:v>0.57926926852608052</c:v>
                </c:pt>
                <c:pt idx="859">
                  <c:v>0.46320851997591178</c:v>
                </c:pt>
                <c:pt idx="860">
                  <c:v>0.95888501167289497</c:v>
                </c:pt>
                <c:pt idx="861">
                  <c:v>0.60888789896140105</c:v>
                </c:pt>
                <c:pt idx="862">
                  <c:v>0.80295163379282475</c:v>
                </c:pt>
                <c:pt idx="863">
                  <c:v>0.52778149000585706</c:v>
                </c:pt>
                <c:pt idx="864">
                  <c:v>1.0441293175274911</c:v>
                </c:pt>
                <c:pt idx="865">
                  <c:v>0.76088301531912794</c:v>
                </c:pt>
                <c:pt idx="866">
                  <c:v>0.68839722490327582</c:v>
                </c:pt>
                <c:pt idx="867">
                  <c:v>0.60139249799952155</c:v>
                </c:pt>
                <c:pt idx="868">
                  <c:v>0.34212058966680692</c:v>
                </c:pt>
                <c:pt idx="869">
                  <c:v>0.42917976258239082</c:v>
                </c:pt>
                <c:pt idx="870">
                  <c:v>0.4338984169409591</c:v>
                </c:pt>
                <c:pt idx="871">
                  <c:v>0.95805017282484062</c:v>
                </c:pt>
                <c:pt idx="872">
                  <c:v>0.64068436986990707</c:v>
                </c:pt>
                <c:pt idx="873">
                  <c:v>0.52674701578109406</c:v>
                </c:pt>
                <c:pt idx="874">
                  <c:v>0.44021415431319655</c:v>
                </c:pt>
                <c:pt idx="875">
                  <c:v>0.48268204354031069</c:v>
                </c:pt>
                <c:pt idx="876">
                  <c:v>0.56015871837387909</c:v>
                </c:pt>
                <c:pt idx="877">
                  <c:v>0.51248216068173003</c:v>
                </c:pt>
                <c:pt idx="878">
                  <c:v>0.5053860304732678</c:v>
                </c:pt>
                <c:pt idx="879">
                  <c:v>0.32291929616155618</c:v>
                </c:pt>
                <c:pt idx="880">
                  <c:v>0.48671104841570356</c:v>
                </c:pt>
                <c:pt idx="881">
                  <c:v>0.46698344346276638</c:v>
                </c:pt>
                <c:pt idx="882">
                  <c:v>0.47876193068857709</c:v>
                </c:pt>
                <c:pt idx="883">
                  <c:v>1.0045652155979574</c:v>
                </c:pt>
                <c:pt idx="884">
                  <c:v>1.1948177296013067</c:v>
                </c:pt>
                <c:pt idx="885">
                  <c:v>0.86839574001204412</c:v>
                </c:pt>
                <c:pt idx="886">
                  <c:v>1.0502635681936299</c:v>
                </c:pt>
                <c:pt idx="887">
                  <c:v>1.4128921556495988</c:v>
                </c:pt>
                <c:pt idx="888">
                  <c:v>2.3207249568969073</c:v>
                </c:pt>
                <c:pt idx="889">
                  <c:v>0.99445640606825547</c:v>
                </c:pt>
                <c:pt idx="890">
                  <c:v>1.1995726813010947</c:v>
                </c:pt>
                <c:pt idx="891">
                  <c:v>1.7389330231560538</c:v>
                </c:pt>
                <c:pt idx="892">
                  <c:v>1.0012803062175697</c:v>
                </c:pt>
                <c:pt idx="893">
                  <c:v>1.3517129870237006</c:v>
                </c:pt>
                <c:pt idx="894">
                  <c:v>1.8945578736357562</c:v>
                </c:pt>
                <c:pt idx="895">
                  <c:v>1.613398668547529</c:v>
                </c:pt>
                <c:pt idx="896">
                  <c:v>1.8672078270266703</c:v>
                </c:pt>
                <c:pt idx="897">
                  <c:v>1.3698616576335785</c:v>
                </c:pt>
                <c:pt idx="898">
                  <c:v>1.6907301540162183</c:v>
                </c:pt>
                <c:pt idx="899">
                  <c:v>1.6183169582828059</c:v>
                </c:pt>
                <c:pt idx="900">
                  <c:v>1.1786654127585154</c:v>
                </c:pt>
                <c:pt idx="901">
                  <c:v>1.9574974633108124</c:v>
                </c:pt>
                <c:pt idx="902">
                  <c:v>2.6172016399798714</c:v>
                </c:pt>
                <c:pt idx="903">
                  <c:v>1.6138705339833856</c:v>
                </c:pt>
                <c:pt idx="904">
                  <c:v>2.2700901658953483</c:v>
                </c:pt>
                <c:pt idx="905">
                  <c:v>2.2566057036322089</c:v>
                </c:pt>
                <c:pt idx="906">
                  <c:v>1.2040191056005147</c:v>
                </c:pt>
                <c:pt idx="907">
                  <c:v>2.0362082477458525</c:v>
                </c:pt>
                <c:pt idx="908">
                  <c:v>1.201314953679643</c:v>
                </c:pt>
                <c:pt idx="909">
                  <c:v>1.732218015030399</c:v>
                </c:pt>
                <c:pt idx="910">
                  <c:v>1.3773026125836283</c:v>
                </c:pt>
                <c:pt idx="911">
                  <c:v>1.3206787602808094</c:v>
                </c:pt>
                <c:pt idx="912">
                  <c:v>1.1923313617277536</c:v>
                </c:pt>
                <c:pt idx="913">
                  <c:v>1.5072833914915733</c:v>
                </c:pt>
                <c:pt idx="914">
                  <c:v>1.2549079779906123</c:v>
                </c:pt>
                <c:pt idx="915">
                  <c:v>0.86961170094290596</c:v>
                </c:pt>
                <c:pt idx="916">
                  <c:v>0.79801519538693788</c:v>
                </c:pt>
                <c:pt idx="917">
                  <c:v>0.76081042063668836</c:v>
                </c:pt>
                <c:pt idx="918">
                  <c:v>0.69712673546662707</c:v>
                </c:pt>
                <c:pt idx="919">
                  <c:v>0.80607320513772374</c:v>
                </c:pt>
                <c:pt idx="920">
                  <c:v>0.69758045223187404</c:v>
                </c:pt>
                <c:pt idx="921">
                  <c:v>0.76877768703442473</c:v>
                </c:pt>
                <c:pt idx="922">
                  <c:v>0.59551232872192117</c:v>
                </c:pt>
                <c:pt idx="923">
                  <c:v>0.70508052843504954</c:v>
                </c:pt>
                <c:pt idx="924">
                  <c:v>0.53482651235026613</c:v>
                </c:pt>
                <c:pt idx="925">
                  <c:v>0.46225271959914616</c:v>
                </c:pt>
                <c:pt idx="926">
                  <c:v>1.1109512837022522</c:v>
                </c:pt>
                <c:pt idx="927">
                  <c:v>0.6239725339839346</c:v>
                </c:pt>
                <c:pt idx="928">
                  <c:v>0.7801682720745402</c:v>
                </c:pt>
                <c:pt idx="929">
                  <c:v>0.87788157370936626</c:v>
                </c:pt>
                <c:pt idx="930">
                  <c:v>0.72434863886236378</c:v>
                </c:pt>
                <c:pt idx="931">
                  <c:v>0.82905800119311601</c:v>
                </c:pt>
                <c:pt idx="932">
                  <c:v>0.62286441089498168</c:v>
                </c:pt>
                <c:pt idx="933">
                  <c:v>0.65839050634379803</c:v>
                </c:pt>
                <c:pt idx="934">
                  <c:v>0.54564311683049238</c:v>
                </c:pt>
                <c:pt idx="935">
                  <c:v>1.0568682613011213</c:v>
                </c:pt>
                <c:pt idx="936">
                  <c:v>0.4991515645462174</c:v>
                </c:pt>
                <c:pt idx="937">
                  <c:v>0.64754082356240905</c:v>
                </c:pt>
                <c:pt idx="938">
                  <c:v>0.55229185536420933</c:v>
                </c:pt>
                <c:pt idx="939">
                  <c:v>0.34272427834747243</c:v>
                </c:pt>
                <c:pt idx="940">
                  <c:v>0.47993307157064735</c:v>
                </c:pt>
                <c:pt idx="941">
                  <c:v>0.36427479155501785</c:v>
                </c:pt>
                <c:pt idx="942">
                  <c:v>0.78150794327163242</c:v>
                </c:pt>
                <c:pt idx="943">
                  <c:v>0.44619320438462073</c:v>
                </c:pt>
                <c:pt idx="944">
                  <c:v>0.94082958082211987</c:v>
                </c:pt>
                <c:pt idx="945">
                  <c:v>0.54096253721596022</c:v>
                </c:pt>
                <c:pt idx="946">
                  <c:v>0.65519845028159052</c:v>
                </c:pt>
                <c:pt idx="947">
                  <c:v>0.4316552910235828</c:v>
                </c:pt>
                <c:pt idx="948">
                  <c:v>0.49141124207412895</c:v>
                </c:pt>
                <c:pt idx="949">
                  <c:v>0.61133662293975599</c:v>
                </c:pt>
                <c:pt idx="950">
                  <c:v>0.55981716887873978</c:v>
                </c:pt>
                <c:pt idx="951">
                  <c:v>0.43567430461485951</c:v>
                </c:pt>
                <c:pt idx="952">
                  <c:v>0.30757858336202804</c:v>
                </c:pt>
                <c:pt idx="953">
                  <c:v>0.47301970662762816</c:v>
                </c:pt>
                <c:pt idx="954">
                  <c:v>0.49291630477703507</c:v>
                </c:pt>
                <c:pt idx="955">
                  <c:v>0.42750396422765502</c:v>
                </c:pt>
                <c:pt idx="956">
                  <c:v>0.85542140721984461</c:v>
                </c:pt>
                <c:pt idx="957">
                  <c:v>0.48907922184215358</c:v>
                </c:pt>
                <c:pt idx="958">
                  <c:v>0.61305669460022005</c:v>
                </c:pt>
                <c:pt idx="959">
                  <c:v>0.50444409273226076</c:v>
                </c:pt>
                <c:pt idx="960">
                  <c:v>0.71252314619667301</c:v>
                </c:pt>
                <c:pt idx="961">
                  <c:v>0.76217367624199261</c:v>
                </c:pt>
                <c:pt idx="962">
                  <c:v>1.3140851311428301</c:v>
                </c:pt>
                <c:pt idx="963">
                  <c:v>1.9835899466773192</c:v>
                </c:pt>
                <c:pt idx="964">
                  <c:v>1.2415278775422915</c:v>
                </c:pt>
                <c:pt idx="965">
                  <c:v>1.0838270767487799</c:v>
                </c:pt>
                <c:pt idx="966">
                  <c:v>1.1666882211615217</c:v>
                </c:pt>
                <c:pt idx="967">
                  <c:v>0.84864035548147654</c:v>
                </c:pt>
                <c:pt idx="968">
                  <c:v>2.1578960546545423</c:v>
                </c:pt>
                <c:pt idx="969">
                  <c:v>1.9992525222778914</c:v>
                </c:pt>
                <c:pt idx="970">
                  <c:v>2.153083161835359</c:v>
                </c:pt>
                <c:pt idx="971">
                  <c:v>1.8829657545401692</c:v>
                </c:pt>
                <c:pt idx="972">
                  <c:v>1.6211840791379979</c:v>
                </c:pt>
                <c:pt idx="973">
                  <c:v>1.4483995730142625</c:v>
                </c:pt>
                <c:pt idx="974">
                  <c:v>2.1539431976655909</c:v>
                </c:pt>
                <c:pt idx="975">
                  <c:v>1.7309544215466541</c:v>
                </c:pt>
                <c:pt idx="976">
                  <c:v>1.4187944934735823</c:v>
                </c:pt>
                <c:pt idx="977">
                  <c:v>2.0952457522522532</c:v>
                </c:pt>
                <c:pt idx="978">
                  <c:v>2.1012163856121338</c:v>
                </c:pt>
                <c:pt idx="979">
                  <c:v>1.4552137030537935</c:v>
                </c:pt>
                <c:pt idx="980">
                  <c:v>1.9406708509186237</c:v>
                </c:pt>
                <c:pt idx="981">
                  <c:v>2.1438708549615271</c:v>
                </c:pt>
                <c:pt idx="982">
                  <c:v>1.8748450316047089</c:v>
                </c:pt>
                <c:pt idx="983">
                  <c:v>0.98733767225697622</c:v>
                </c:pt>
                <c:pt idx="984">
                  <c:v>1.7475431895797839</c:v>
                </c:pt>
                <c:pt idx="985">
                  <c:v>0.96998810329710272</c:v>
                </c:pt>
                <c:pt idx="986">
                  <c:v>1.3959704656712701</c:v>
                </c:pt>
                <c:pt idx="987">
                  <c:v>1.1079907757481842</c:v>
                </c:pt>
                <c:pt idx="988">
                  <c:v>1.0184808928017253</c:v>
                </c:pt>
                <c:pt idx="989">
                  <c:v>0.93299002344654314</c:v>
                </c:pt>
                <c:pt idx="990">
                  <c:v>1.0723819845464611</c:v>
                </c:pt>
                <c:pt idx="991">
                  <c:v>0.68582895715831671</c:v>
                </c:pt>
                <c:pt idx="992">
                  <c:v>0.83868378683148237</c:v>
                </c:pt>
                <c:pt idx="993">
                  <c:v>0.87961818452041174</c:v>
                </c:pt>
                <c:pt idx="994">
                  <c:v>0.59676563127755522</c:v>
                </c:pt>
                <c:pt idx="995">
                  <c:v>0.59592847657200254</c:v>
                </c:pt>
                <c:pt idx="996">
                  <c:v>0.67787831877765625</c:v>
                </c:pt>
                <c:pt idx="997">
                  <c:v>0.60079003909846684</c:v>
                </c:pt>
                <c:pt idx="998">
                  <c:v>0.81555033783918507</c:v>
                </c:pt>
                <c:pt idx="999">
                  <c:v>0.97641541634225359</c:v>
                </c:pt>
                <c:pt idx="1000">
                  <c:v>0.9354327538978241</c:v>
                </c:pt>
                <c:pt idx="1001">
                  <c:v>0.93374514142844645</c:v>
                </c:pt>
                <c:pt idx="1002">
                  <c:v>0.6961633676431157</c:v>
                </c:pt>
                <c:pt idx="1003">
                  <c:v>0.45909252240355991</c:v>
                </c:pt>
                <c:pt idx="1004">
                  <c:v>0.47547320123476744</c:v>
                </c:pt>
                <c:pt idx="1005">
                  <c:v>0.46455790957503085</c:v>
                </c:pt>
                <c:pt idx="1006">
                  <c:v>0.28294603557686016</c:v>
                </c:pt>
                <c:pt idx="1007">
                  <c:v>0.72567336183241782</c:v>
                </c:pt>
                <c:pt idx="1008">
                  <c:v>0.47276373167383989</c:v>
                </c:pt>
                <c:pt idx="1009">
                  <c:v>0.57985745140490097</c:v>
                </c:pt>
                <c:pt idx="1010">
                  <c:v>0.71325624990176706</c:v>
                </c:pt>
                <c:pt idx="1011">
                  <c:v>0.68978450216253206</c:v>
                </c:pt>
                <c:pt idx="1012">
                  <c:v>0.38657163426993402</c:v>
                </c:pt>
                <c:pt idx="1013">
                  <c:v>0.46268450490718954</c:v>
                </c:pt>
                <c:pt idx="1014">
                  <c:v>0.51527917975559412</c:v>
                </c:pt>
                <c:pt idx="1015">
                  <c:v>0.6054038786936462</c:v>
                </c:pt>
                <c:pt idx="1016">
                  <c:v>0.47747046736825116</c:v>
                </c:pt>
                <c:pt idx="1017">
                  <c:v>0.51506242219071996</c:v>
                </c:pt>
                <c:pt idx="1018">
                  <c:v>0.66083188456862074</c:v>
                </c:pt>
                <c:pt idx="1019">
                  <c:v>0.68331274058271663</c:v>
                </c:pt>
                <c:pt idx="1020">
                  <c:v>0.58427001611841156</c:v>
                </c:pt>
                <c:pt idx="1021">
                  <c:v>0.53919992530778282</c:v>
                </c:pt>
                <c:pt idx="1022">
                  <c:v>0.64386286377561186</c:v>
                </c:pt>
                <c:pt idx="1023">
                  <c:v>0.84439457665065931</c:v>
                </c:pt>
                <c:pt idx="1024">
                  <c:v>0.54867532742942648</c:v>
                </c:pt>
                <c:pt idx="1025">
                  <c:v>1.0086813281420992</c:v>
                </c:pt>
                <c:pt idx="1026">
                  <c:v>1.3623987086503861</c:v>
                </c:pt>
                <c:pt idx="1027">
                  <c:v>1.2723669058115659</c:v>
                </c:pt>
                <c:pt idx="1028">
                  <c:v>0.88424700322110183</c:v>
                </c:pt>
                <c:pt idx="1029">
                  <c:v>1.5177519519323679</c:v>
                </c:pt>
                <c:pt idx="1030">
                  <c:v>1.3784697338174878</c:v>
                </c:pt>
                <c:pt idx="1031">
                  <c:v>1.601528750756247</c:v>
                </c:pt>
                <c:pt idx="1032">
                  <c:v>1.5377400959504104</c:v>
                </c:pt>
                <c:pt idx="1033">
                  <c:v>1.1041940008355957</c:v>
                </c:pt>
                <c:pt idx="1034">
                  <c:v>1.113081060995438</c:v>
                </c:pt>
                <c:pt idx="1035">
                  <c:v>0.83570879137248588</c:v>
                </c:pt>
                <c:pt idx="1036">
                  <c:v>1.4063850116366439</c:v>
                </c:pt>
                <c:pt idx="1037">
                  <c:v>2.2471101923676469</c:v>
                </c:pt>
                <c:pt idx="1038">
                  <c:v>1.4507119336534182</c:v>
                </c:pt>
                <c:pt idx="1039">
                  <c:v>2.0040630314108454</c:v>
                </c:pt>
                <c:pt idx="1040">
                  <c:v>1.9527843846348913</c:v>
                </c:pt>
                <c:pt idx="1041">
                  <c:v>1.9239401458234171</c:v>
                </c:pt>
                <c:pt idx="1042">
                  <c:v>1.3701555329362416</c:v>
                </c:pt>
                <c:pt idx="1043">
                  <c:v>1.6849184824999934</c:v>
                </c:pt>
                <c:pt idx="1044">
                  <c:v>1.711409353464262</c:v>
                </c:pt>
                <c:pt idx="1045">
                  <c:v>1.6916224843278884</c:v>
                </c:pt>
                <c:pt idx="1046">
                  <c:v>0.77743197178773615</c:v>
                </c:pt>
                <c:pt idx="1047">
                  <c:v>1.4679131946945068</c:v>
                </c:pt>
                <c:pt idx="1048">
                  <c:v>1.0984499253664293</c:v>
                </c:pt>
                <c:pt idx="1049">
                  <c:v>1.383532571225621</c:v>
                </c:pt>
                <c:pt idx="1050">
                  <c:v>1.5134168006348838</c:v>
                </c:pt>
                <c:pt idx="1051">
                  <c:v>1.7499457519622541</c:v>
                </c:pt>
                <c:pt idx="1052">
                  <c:v>1.4373039299976282</c:v>
                </c:pt>
                <c:pt idx="1053">
                  <c:v>0.94096007180211627</c:v>
                </c:pt>
                <c:pt idx="1054">
                  <c:v>0.85622334661950861</c:v>
                </c:pt>
                <c:pt idx="1055">
                  <c:v>1.0861876402678317</c:v>
                </c:pt>
                <c:pt idx="1056">
                  <c:v>0.75111141033872586</c:v>
                </c:pt>
                <c:pt idx="1057">
                  <c:v>0.91575426354388767</c:v>
                </c:pt>
                <c:pt idx="1058">
                  <c:v>0.90312039404836275</c:v>
                </c:pt>
                <c:pt idx="1059">
                  <c:v>0.69289652148679737</c:v>
                </c:pt>
                <c:pt idx="1060">
                  <c:v>0.8041550830000842</c:v>
                </c:pt>
              </c:numCache>
            </c:numRef>
          </c:xVal>
          <c:yVal>
            <c:numRef>
              <c:f>('Sup Fig 4B Scatter total'!$C$3:$C$361,'Sup Fig 4B Scatter total'!$E$3:$E$358,'Sup Fig 4B Scatter total'!$G$3:$G$348)</c:f>
              <c:numCache>
                <c:formatCode>General</c:formatCode>
                <c:ptCount val="1061"/>
                <c:pt idx="0">
                  <c:v>0.74493054423927429</c:v>
                </c:pt>
                <c:pt idx="1">
                  <c:v>0.64005839677597964</c:v>
                </c:pt>
                <c:pt idx="2">
                  <c:v>0.66603962556688612</c:v>
                </c:pt>
                <c:pt idx="3">
                  <c:v>0.63782563492676103</c:v>
                </c:pt>
                <c:pt idx="4">
                  <c:v>1.0836337508207283</c:v>
                </c:pt>
                <c:pt idx="5">
                  <c:v>0.64357668817474822</c:v>
                </c:pt>
                <c:pt idx="6">
                  <c:v>0.88024944419191276</c:v>
                </c:pt>
                <c:pt idx="7">
                  <c:v>0.35203211822678876</c:v>
                </c:pt>
                <c:pt idx="8">
                  <c:v>0.54337304275981946</c:v>
                </c:pt>
                <c:pt idx="9">
                  <c:v>0.79195386197281614</c:v>
                </c:pt>
                <c:pt idx="10">
                  <c:v>0.57070746055025245</c:v>
                </c:pt>
                <c:pt idx="11">
                  <c:v>1.3374243476819014</c:v>
                </c:pt>
                <c:pt idx="12">
                  <c:v>1.2498730194125445</c:v>
                </c:pt>
                <c:pt idx="13">
                  <c:v>1.3637438737226897</c:v>
                </c:pt>
                <c:pt idx="14">
                  <c:v>1.8919611996878136</c:v>
                </c:pt>
                <c:pt idx="15">
                  <c:v>1.0864077882697574</c:v>
                </c:pt>
                <c:pt idx="16">
                  <c:v>0.74980202463756929</c:v>
                </c:pt>
                <c:pt idx="17">
                  <c:v>1.0556227385305321</c:v>
                </c:pt>
                <c:pt idx="18">
                  <c:v>0.90508046233322192</c:v>
                </c:pt>
                <c:pt idx="19">
                  <c:v>0.86719117034648319</c:v>
                </c:pt>
                <c:pt idx="20">
                  <c:v>1.8987271446854457</c:v>
                </c:pt>
                <c:pt idx="21">
                  <c:v>0.66035623176887537</c:v>
                </c:pt>
                <c:pt idx="22">
                  <c:v>0.86827372154610427</c:v>
                </c:pt>
                <c:pt idx="23">
                  <c:v>0.61258866008559398</c:v>
                </c:pt>
                <c:pt idx="24">
                  <c:v>0.62544395558109467</c:v>
                </c:pt>
                <c:pt idx="25">
                  <c:v>0.75507946173572227</c:v>
                </c:pt>
                <c:pt idx="26">
                  <c:v>1.227071784770525</c:v>
                </c:pt>
                <c:pt idx="27">
                  <c:v>1.5761268871983556</c:v>
                </c:pt>
                <c:pt idx="28">
                  <c:v>0.58403637219558735</c:v>
                </c:pt>
                <c:pt idx="29">
                  <c:v>1.3885072324140226</c:v>
                </c:pt>
                <c:pt idx="30">
                  <c:v>0.56272364545304676</c:v>
                </c:pt>
                <c:pt idx="31">
                  <c:v>1.0947975600668209</c:v>
                </c:pt>
                <c:pt idx="32">
                  <c:v>1.8565753073501987</c:v>
                </c:pt>
                <c:pt idx="33">
                  <c:v>1.2528500352115026</c:v>
                </c:pt>
                <c:pt idx="34">
                  <c:v>0.72720376834547873</c:v>
                </c:pt>
                <c:pt idx="35">
                  <c:v>0.74858415453799554</c:v>
                </c:pt>
                <c:pt idx="36">
                  <c:v>0.93383572857315755</c:v>
                </c:pt>
                <c:pt idx="37">
                  <c:v>0.75697392633505911</c:v>
                </c:pt>
                <c:pt idx="38">
                  <c:v>0.63978775897607432</c:v>
                </c:pt>
                <c:pt idx="39">
                  <c:v>1.2883035869990938</c:v>
                </c:pt>
                <c:pt idx="40">
                  <c:v>0.72767738449531294</c:v>
                </c:pt>
                <c:pt idx="41">
                  <c:v>1.5635422295027603</c:v>
                </c:pt>
                <c:pt idx="42">
                  <c:v>0.79269811592255568</c:v>
                </c:pt>
                <c:pt idx="43">
                  <c:v>0.57909723234731603</c:v>
                </c:pt>
                <c:pt idx="44">
                  <c:v>2.212937630375472</c:v>
                </c:pt>
                <c:pt idx="45">
                  <c:v>0.86008692809896958</c:v>
                </c:pt>
                <c:pt idx="46">
                  <c:v>0.92443106502644923</c:v>
                </c:pt>
                <c:pt idx="47">
                  <c:v>0.95880206561441927</c:v>
                </c:pt>
                <c:pt idx="48">
                  <c:v>0.5570402516550359</c:v>
                </c:pt>
                <c:pt idx="49">
                  <c:v>0.82382146291166258</c:v>
                </c:pt>
                <c:pt idx="50">
                  <c:v>1.3702391809204164</c:v>
                </c:pt>
                <c:pt idx="51">
                  <c:v>1.1395204565011678</c:v>
                </c:pt>
                <c:pt idx="52">
                  <c:v>1.4006859334097599</c:v>
                </c:pt>
                <c:pt idx="53">
                  <c:v>1.0177334465437933</c:v>
                </c:pt>
                <c:pt idx="54">
                  <c:v>0.44492854304427504</c:v>
                </c:pt>
                <c:pt idx="55">
                  <c:v>0.67862428326248159</c:v>
                </c:pt>
                <c:pt idx="56">
                  <c:v>0.90751620253236942</c:v>
                </c:pt>
                <c:pt idx="57">
                  <c:v>0.96353822711276171</c:v>
                </c:pt>
                <c:pt idx="58">
                  <c:v>0.79073599187324239</c:v>
                </c:pt>
                <c:pt idx="59">
                  <c:v>0.97612288480835707</c:v>
                </c:pt>
                <c:pt idx="60">
                  <c:v>0.92294255712697015</c:v>
                </c:pt>
                <c:pt idx="61">
                  <c:v>1.1029166940639792</c:v>
                </c:pt>
                <c:pt idx="62">
                  <c:v>1.44094330614567</c:v>
                </c:pt>
                <c:pt idx="63">
                  <c:v>1.4147590990048344</c:v>
                </c:pt>
                <c:pt idx="64">
                  <c:v>0.76861135173098605</c:v>
                </c:pt>
                <c:pt idx="65">
                  <c:v>1.0993307432152344</c:v>
                </c:pt>
                <c:pt idx="66">
                  <c:v>0.88329411944084713</c:v>
                </c:pt>
                <c:pt idx="67">
                  <c:v>1.2844469983504436</c:v>
                </c:pt>
                <c:pt idx="68">
                  <c:v>1.1706438034902746</c:v>
                </c:pt>
                <c:pt idx="69">
                  <c:v>1.0260555588908806</c:v>
                </c:pt>
                <c:pt idx="70">
                  <c:v>1.4393194793462383</c:v>
                </c:pt>
                <c:pt idx="71">
                  <c:v>1.3330941428834171</c:v>
                </c:pt>
                <c:pt idx="72">
                  <c:v>0.43620047399732986</c:v>
                </c:pt>
                <c:pt idx="73">
                  <c:v>1.1683433821910798</c:v>
                </c:pt>
                <c:pt idx="74">
                  <c:v>1.0039309187486243</c:v>
                </c:pt>
                <c:pt idx="75">
                  <c:v>0.9079221592322273</c:v>
                </c:pt>
                <c:pt idx="76">
                  <c:v>1.0103585664963746</c:v>
                </c:pt>
                <c:pt idx="77">
                  <c:v>1.0235521592417567</c:v>
                </c:pt>
                <c:pt idx="78">
                  <c:v>0.93099403167415218</c:v>
                </c:pt>
                <c:pt idx="79">
                  <c:v>0.54878579875792499</c:v>
                </c:pt>
                <c:pt idx="80">
                  <c:v>0.73444332949294489</c:v>
                </c:pt>
                <c:pt idx="81">
                  <c:v>0.96820672916112771</c:v>
                </c:pt>
                <c:pt idx="82">
                  <c:v>0.56204705095328356</c:v>
                </c:pt>
                <c:pt idx="83">
                  <c:v>0.58072105914674765</c:v>
                </c:pt>
                <c:pt idx="84">
                  <c:v>0.93444466362294443</c:v>
                </c:pt>
                <c:pt idx="85">
                  <c:v>0.43732396672561735</c:v>
                </c:pt>
                <c:pt idx="86">
                  <c:v>0.85751539267701571</c:v>
                </c:pt>
                <c:pt idx="87">
                  <c:v>0.59246864151437739</c:v>
                </c:pt>
                <c:pt idx="88">
                  <c:v>0.5862501637518831</c:v>
                </c:pt>
                <c:pt idx="89">
                  <c:v>0.72147032815877377</c:v>
                </c:pt>
                <c:pt idx="90">
                  <c:v>0.88480055020632731</c:v>
                </c:pt>
                <c:pt idx="91">
                  <c:v>1.0921677474290954</c:v>
                </c:pt>
                <c:pt idx="92">
                  <c:v>1.361719722276806</c:v>
                </c:pt>
                <c:pt idx="93">
                  <c:v>0.7990109386257942</c:v>
                </c:pt>
                <c:pt idx="94">
                  <c:v>1.0493998493482675</c:v>
                </c:pt>
                <c:pt idx="95">
                  <c:v>0.96646566123010413</c:v>
                </c:pt>
                <c:pt idx="96">
                  <c:v>0.92052507041330978</c:v>
                </c:pt>
                <c:pt idx="97">
                  <c:v>1.1870947140892121</c:v>
                </c:pt>
                <c:pt idx="98">
                  <c:v>0.78016514377415336</c:v>
                </c:pt>
                <c:pt idx="99">
                  <c:v>0.6135987751359141</c:v>
                </c:pt>
                <c:pt idx="100">
                  <c:v>0.65662048863561928</c:v>
                </c:pt>
                <c:pt idx="101">
                  <c:v>0.6715321444946617</c:v>
                </c:pt>
                <c:pt idx="102">
                  <c:v>0.84628406039169446</c:v>
                </c:pt>
                <c:pt idx="103">
                  <c:v>0.71677474290954346</c:v>
                </c:pt>
                <c:pt idx="104">
                  <c:v>0.61258351346040474</c:v>
                </c:pt>
                <c:pt idx="105">
                  <c:v>0.98861105652714998</c:v>
                </c:pt>
                <c:pt idx="106">
                  <c:v>1.0853781849741271</c:v>
                </c:pt>
                <c:pt idx="107">
                  <c:v>0.52844370210257419</c:v>
                </c:pt>
                <c:pt idx="108">
                  <c:v>0.78346474421955847</c:v>
                </c:pt>
                <c:pt idx="109">
                  <c:v>0.4502685530883605</c:v>
                </c:pt>
                <c:pt idx="110">
                  <c:v>0.54627423527870567</c:v>
                </c:pt>
                <c:pt idx="111">
                  <c:v>0.86589130149996718</c:v>
                </c:pt>
                <c:pt idx="112">
                  <c:v>0.3995054693128971</c:v>
                </c:pt>
                <c:pt idx="113">
                  <c:v>1.0559355963843584</c:v>
                </c:pt>
                <c:pt idx="114">
                  <c:v>0.52247903975895726</c:v>
                </c:pt>
                <c:pt idx="115">
                  <c:v>0.70427433352983559</c:v>
                </c:pt>
                <c:pt idx="116">
                  <c:v>0.39322353769568347</c:v>
                </c:pt>
                <c:pt idx="117">
                  <c:v>0.60712648195454244</c:v>
                </c:pt>
                <c:pt idx="118">
                  <c:v>0.62349757647212944</c:v>
                </c:pt>
                <c:pt idx="119">
                  <c:v>1.4334225781096481</c:v>
                </c:pt>
                <c:pt idx="120">
                  <c:v>1.4944017324949237</c:v>
                </c:pt>
                <c:pt idx="121">
                  <c:v>1.7208685399882098</c:v>
                </c:pt>
                <c:pt idx="122">
                  <c:v>1.9131337197877776</c:v>
                </c:pt>
                <c:pt idx="123">
                  <c:v>1.4246024923036615</c:v>
                </c:pt>
                <c:pt idx="124">
                  <c:v>1.2505485688085414</c:v>
                </c:pt>
                <c:pt idx="125">
                  <c:v>1.6534170924215628</c:v>
                </c:pt>
                <c:pt idx="126">
                  <c:v>1.5223214285714286</c:v>
                </c:pt>
                <c:pt idx="127">
                  <c:v>1.1847469214645967</c:v>
                </c:pt>
                <c:pt idx="128">
                  <c:v>1.1172320200432304</c:v>
                </c:pt>
                <c:pt idx="129">
                  <c:v>1.1384256075194865</c:v>
                </c:pt>
                <c:pt idx="130">
                  <c:v>1.3746643086395494</c:v>
                </c:pt>
                <c:pt idx="131">
                  <c:v>1.3748546702037072</c:v>
                </c:pt>
                <c:pt idx="132">
                  <c:v>0.88143749590620291</c:v>
                </c:pt>
                <c:pt idx="133">
                  <c:v>0.46308623174166502</c:v>
                </c:pt>
                <c:pt idx="134">
                  <c:v>1.8379409019453723</c:v>
                </c:pt>
                <c:pt idx="135">
                  <c:v>1.2793566188511167</c:v>
                </c:pt>
                <c:pt idx="136">
                  <c:v>1.2874787122551909</c:v>
                </c:pt>
                <c:pt idx="137">
                  <c:v>0.87433066417763805</c:v>
                </c:pt>
                <c:pt idx="138">
                  <c:v>1.3449679046309033</c:v>
                </c:pt>
                <c:pt idx="139">
                  <c:v>1.4621037204427851</c:v>
                </c:pt>
                <c:pt idx="140">
                  <c:v>1.1695179963319577</c:v>
                </c:pt>
                <c:pt idx="141">
                  <c:v>1.3615928145673675</c:v>
                </c:pt>
                <c:pt idx="142">
                  <c:v>1.0669131132508023</c:v>
                </c:pt>
                <c:pt idx="143">
                  <c:v>1.3181903779393462</c:v>
                </c:pt>
                <c:pt idx="144">
                  <c:v>0.86842945568874041</c:v>
                </c:pt>
                <c:pt idx="145">
                  <c:v>1.0907717626252702</c:v>
                </c:pt>
                <c:pt idx="146">
                  <c:v>1.1830971212418941</c:v>
                </c:pt>
                <c:pt idx="147">
                  <c:v>0.66917651775625997</c:v>
                </c:pt>
                <c:pt idx="148">
                  <c:v>0.63843868835728779</c:v>
                </c:pt>
                <c:pt idx="149">
                  <c:v>0.76264746261040717</c:v>
                </c:pt>
                <c:pt idx="150">
                  <c:v>0.7071796522858983</c:v>
                </c:pt>
                <c:pt idx="151">
                  <c:v>0.70054307548384742</c:v>
                </c:pt>
                <c:pt idx="152">
                  <c:v>0.8485038088179907</c:v>
                </c:pt>
                <c:pt idx="153">
                  <c:v>0.74825656975543375</c:v>
                </c:pt>
                <c:pt idx="154">
                  <c:v>0.77298655068097044</c:v>
                </c:pt>
                <c:pt idx="155">
                  <c:v>1.1748836700725316</c:v>
                </c:pt>
                <c:pt idx="156">
                  <c:v>0.75195908102394637</c:v>
                </c:pt>
                <c:pt idx="157">
                  <c:v>0.6239080780959555</c:v>
                </c:pt>
                <c:pt idx="158">
                  <c:v>0.95741352707480343</c:v>
                </c:pt>
                <c:pt idx="159">
                  <c:v>0.93170552430475406</c:v>
                </c:pt>
                <c:pt idx="160">
                  <c:v>0.77857524693532909</c:v>
                </c:pt>
                <c:pt idx="161">
                  <c:v>0.78821574797409766</c:v>
                </c:pt>
                <c:pt idx="162">
                  <c:v>0.90236486896937151</c:v>
                </c:pt>
                <c:pt idx="163">
                  <c:v>0.62299991495462226</c:v>
                </c:pt>
                <c:pt idx="164">
                  <c:v>1.2886136388487286</c:v>
                </c:pt>
                <c:pt idx="165">
                  <c:v>0.74022281888979335</c:v>
                </c:pt>
                <c:pt idx="166">
                  <c:v>0.6327801333997497</c:v>
                </c:pt>
                <c:pt idx="167">
                  <c:v>0.79338529200937924</c:v>
                </c:pt>
                <c:pt idx="168">
                  <c:v>0.96768275644218738</c:v>
                </c:pt>
                <c:pt idx="169">
                  <c:v>0.90383190173614059</c:v>
                </c:pt>
                <c:pt idx="170">
                  <c:v>0.83166786135173554</c:v>
                </c:pt>
                <c:pt idx="171">
                  <c:v>1.0901450631158196</c:v>
                </c:pt>
                <c:pt idx="172">
                  <c:v>1.1345751983379704</c:v>
                </c:pt>
                <c:pt idx="173">
                  <c:v>0.8621961146411693</c:v>
                </c:pt>
                <c:pt idx="174">
                  <c:v>0.83488136169799176</c:v>
                </c:pt>
                <c:pt idx="175">
                  <c:v>0.43431155766684082</c:v>
                </c:pt>
                <c:pt idx="176">
                  <c:v>0.82300538215747976</c:v>
                </c:pt>
                <c:pt idx="177">
                  <c:v>0.97459876805695611</c:v>
                </c:pt>
                <c:pt idx="178">
                  <c:v>0.68894653075605339</c:v>
                </c:pt>
                <c:pt idx="179">
                  <c:v>0.59044575927298348</c:v>
                </c:pt>
                <c:pt idx="180">
                  <c:v>0.48782332430232417</c:v>
                </c:pt>
                <c:pt idx="181">
                  <c:v>0.66680132184815755</c:v>
                </c:pt>
                <c:pt idx="182">
                  <c:v>0.31177939229002904</c:v>
                </c:pt>
                <c:pt idx="183">
                  <c:v>0.60616396748836698</c:v>
                </c:pt>
                <c:pt idx="184">
                  <c:v>0.76327619093902244</c:v>
                </c:pt>
                <c:pt idx="185">
                  <c:v>1.1216513382497661</c:v>
                </c:pt>
                <c:pt idx="186">
                  <c:v>0.76194887557861235</c:v>
                </c:pt>
                <c:pt idx="187">
                  <c:v>0.95273299396177813</c:v>
                </c:pt>
                <c:pt idx="188">
                  <c:v>1.1520398741328408</c:v>
                </c:pt>
                <c:pt idx="189">
                  <c:v>0.96251321240690568</c:v>
                </c:pt>
                <c:pt idx="190">
                  <c:v>1.1257031430341762</c:v>
                </c:pt>
                <c:pt idx="191">
                  <c:v>0.91298339185265276</c:v>
                </c:pt>
                <c:pt idx="192">
                  <c:v>1.3111081412725218</c:v>
                </c:pt>
                <c:pt idx="193">
                  <c:v>1.5402446877012235</c:v>
                </c:pt>
                <c:pt idx="194">
                  <c:v>1.6564895697918818</c:v>
                </c:pt>
                <c:pt idx="195">
                  <c:v>1.07526515933859</c:v>
                </c:pt>
                <c:pt idx="196">
                  <c:v>1.1591654618571481</c:v>
                </c:pt>
                <c:pt idx="197">
                  <c:v>1.5012635313270724</c:v>
                </c:pt>
                <c:pt idx="198">
                  <c:v>1.4158263373385656</c:v>
                </c:pt>
                <c:pt idx="199">
                  <c:v>1.0563334507769502</c:v>
                </c:pt>
                <c:pt idx="200">
                  <c:v>1.9648458856261162</c:v>
                </c:pt>
                <c:pt idx="201">
                  <c:v>1.4381811223559999</c:v>
                </c:pt>
                <c:pt idx="202">
                  <c:v>1.4128224131018479</c:v>
                </c:pt>
                <c:pt idx="203">
                  <c:v>1.320259631389034</c:v>
                </c:pt>
                <c:pt idx="204">
                  <c:v>0.94204461237531745</c:v>
                </c:pt>
                <c:pt idx="205">
                  <c:v>1.5099958692245077</c:v>
                </c:pt>
                <c:pt idx="206">
                  <c:v>2.1079863684408751</c:v>
                </c:pt>
                <c:pt idx="207">
                  <c:v>1.6191850222940383</c:v>
                </c:pt>
                <c:pt idx="208">
                  <c:v>1.7148914456499289</c:v>
                </c:pt>
                <c:pt idx="209">
                  <c:v>1.3222156750780596</c:v>
                </c:pt>
                <c:pt idx="210">
                  <c:v>1.3164174027141624</c:v>
                </c:pt>
                <c:pt idx="211">
                  <c:v>1.0226615558444399</c:v>
                </c:pt>
                <c:pt idx="212">
                  <c:v>1.0285296869115164</c:v>
                </c:pt>
                <c:pt idx="213">
                  <c:v>0.88783425870803923</c:v>
                </c:pt>
                <c:pt idx="214">
                  <c:v>0.87099831124178395</c:v>
                </c:pt>
                <c:pt idx="215">
                  <c:v>1.0089692500212613</c:v>
                </c:pt>
                <c:pt idx="216">
                  <c:v>0.52121535280386144</c:v>
                </c:pt>
                <c:pt idx="217">
                  <c:v>0.65711637365805575</c:v>
                </c:pt>
                <c:pt idx="218">
                  <c:v>0.74232189302886487</c:v>
                </c:pt>
                <c:pt idx="219">
                  <c:v>0.58545817535875599</c:v>
                </c:pt>
                <c:pt idx="220">
                  <c:v>1.0956217662358598</c:v>
                </c:pt>
                <c:pt idx="221">
                  <c:v>0.89505011268767076</c:v>
                </c:pt>
                <c:pt idx="222">
                  <c:v>0.68271368031422353</c:v>
                </c:pt>
                <c:pt idx="223">
                  <c:v>0.52007452576626068</c:v>
                </c:pt>
                <c:pt idx="224">
                  <c:v>1.0298103065042643</c:v>
                </c:pt>
                <c:pt idx="225">
                  <c:v>0.73590474094236036</c:v>
                </c:pt>
                <c:pt idx="226">
                  <c:v>0.79658247900475243</c:v>
                </c:pt>
                <c:pt idx="227">
                  <c:v>0.59116231054675994</c:v>
                </c:pt>
                <c:pt idx="228">
                  <c:v>0.61019986173672325</c:v>
                </c:pt>
                <c:pt idx="229">
                  <c:v>0.51173222805380492</c:v>
                </c:pt>
                <c:pt idx="230">
                  <c:v>0.82802652422862422</c:v>
                </c:pt>
                <c:pt idx="231">
                  <c:v>1.2054976702947862</c:v>
                </c:pt>
                <c:pt idx="232">
                  <c:v>1.2872094068629427</c:v>
                </c:pt>
                <c:pt idx="233">
                  <c:v>1.0941957324388589</c:v>
                </c:pt>
                <c:pt idx="234">
                  <c:v>0.90175247153357541</c:v>
                </c:pt>
                <c:pt idx="235">
                  <c:v>1.7758398874053316</c:v>
                </c:pt>
                <c:pt idx="236">
                  <c:v>1.1103812160348201</c:v>
                </c:pt>
                <c:pt idx="237">
                  <c:v>1.0966199898937605</c:v>
                </c:pt>
                <c:pt idx="238">
                  <c:v>0.8051386817867584</c:v>
                </c:pt>
                <c:pt idx="239">
                  <c:v>0.80906027472851116</c:v>
                </c:pt>
                <c:pt idx="240">
                  <c:v>0.8919128383342686</c:v>
                </c:pt>
                <c:pt idx="241">
                  <c:v>0.74203668626946462</c:v>
                </c:pt>
                <c:pt idx="242">
                  <c:v>0.89747437014257248</c:v>
                </c:pt>
                <c:pt idx="243">
                  <c:v>0.8770820868454583</c:v>
                </c:pt>
                <c:pt idx="244">
                  <c:v>0.53576089753327161</c:v>
                </c:pt>
                <c:pt idx="245">
                  <c:v>0.72463907394605254</c:v>
                </c:pt>
                <c:pt idx="246">
                  <c:v>0.81490701329621518</c:v>
                </c:pt>
                <c:pt idx="247">
                  <c:v>0.69198289999472995</c:v>
                </c:pt>
                <c:pt idx="248">
                  <c:v>0.67087759979911532</c:v>
                </c:pt>
                <c:pt idx="249">
                  <c:v>0.46788168879602449</c:v>
                </c:pt>
                <c:pt idx="250">
                  <c:v>0.37404866495335942</c:v>
                </c:pt>
                <c:pt idx="251">
                  <c:v>0.47080505807987649</c:v>
                </c:pt>
                <c:pt idx="252">
                  <c:v>1.2246778248644494</c:v>
                </c:pt>
                <c:pt idx="253">
                  <c:v>1.0233218527279098</c:v>
                </c:pt>
                <c:pt idx="254">
                  <c:v>1.2179041643286947</c:v>
                </c:pt>
                <c:pt idx="255">
                  <c:v>1.4263903054502391</c:v>
                </c:pt>
                <c:pt idx="256">
                  <c:v>1.2541967244623697</c:v>
                </c:pt>
                <c:pt idx="257">
                  <c:v>1.1294900689146334</c:v>
                </c:pt>
                <c:pt idx="258">
                  <c:v>1.3112380763424094</c:v>
                </c:pt>
                <c:pt idx="259">
                  <c:v>2.1793361502667614</c:v>
                </c:pt>
                <c:pt idx="260">
                  <c:v>1.3315590579496734</c:v>
                </c:pt>
                <c:pt idx="261">
                  <c:v>1.0579744739950336</c:v>
                </c:pt>
                <c:pt idx="262">
                  <c:v>1.4963372631931378</c:v>
                </c:pt>
                <c:pt idx="263">
                  <c:v>2.0009393222619378</c:v>
                </c:pt>
                <c:pt idx="264">
                  <c:v>1.9698517854873161</c:v>
                </c:pt>
                <c:pt idx="265">
                  <c:v>1.5366940196482657</c:v>
                </c:pt>
                <c:pt idx="266">
                  <c:v>1.4118447607208291</c:v>
                </c:pt>
                <c:pt idx="267">
                  <c:v>1.3150883675943121</c:v>
                </c:pt>
                <c:pt idx="268">
                  <c:v>1.7830413580801867</c:v>
                </c:pt>
                <c:pt idx="269">
                  <c:v>1.334981539062476</c:v>
                </c:pt>
                <c:pt idx="270">
                  <c:v>0.95045152570115921</c:v>
                </c:pt>
                <c:pt idx="271">
                  <c:v>1.143465200125243</c:v>
                </c:pt>
                <c:pt idx="272">
                  <c:v>0.95815210820496455</c:v>
                </c:pt>
                <c:pt idx="273">
                  <c:v>0.9875284044231849</c:v>
                </c:pt>
                <c:pt idx="274">
                  <c:v>1.2286707194960522</c:v>
                </c:pt>
                <c:pt idx="275">
                  <c:v>0.42602759685404545</c:v>
                </c:pt>
                <c:pt idx="276">
                  <c:v>1.1295613706044834</c:v>
                </c:pt>
                <c:pt idx="277">
                  <c:v>1.1114507413825709</c:v>
                </c:pt>
                <c:pt idx="278">
                  <c:v>0.7626428746361289</c:v>
                </c:pt>
                <c:pt idx="279">
                  <c:v>0.79686768576415268</c:v>
                </c:pt>
                <c:pt idx="280">
                  <c:v>0.61583269523487705</c:v>
                </c:pt>
                <c:pt idx="281">
                  <c:v>0.60478093330811944</c:v>
                </c:pt>
                <c:pt idx="282">
                  <c:v>0.83636882194108009</c:v>
                </c:pt>
                <c:pt idx="283">
                  <c:v>1.0144091414966536</c:v>
                </c:pt>
                <c:pt idx="284">
                  <c:v>0.84107473347118333</c:v>
                </c:pt>
                <c:pt idx="285">
                  <c:v>1.0609691449687357</c:v>
                </c:pt>
                <c:pt idx="286">
                  <c:v>0.84141004017075272</c:v>
                </c:pt>
                <c:pt idx="287">
                  <c:v>0.98457663670942674</c:v>
                </c:pt>
                <c:pt idx="288">
                  <c:v>0.99052732654110753</c:v>
                </c:pt>
                <c:pt idx="289">
                  <c:v>1.199326531517438</c:v>
                </c:pt>
                <c:pt idx="290">
                  <c:v>0.87658911829333641</c:v>
                </c:pt>
                <c:pt idx="291">
                  <c:v>1.4419046523030152</c:v>
                </c:pt>
                <c:pt idx="292">
                  <c:v>0.73035966669423835</c:v>
                </c:pt>
                <c:pt idx="293">
                  <c:v>0.64153686994194359</c:v>
                </c:pt>
                <c:pt idx="294">
                  <c:v>0.75993809556347547</c:v>
                </c:pt>
                <c:pt idx="295">
                  <c:v>0.48891917778824701</c:v>
                </c:pt>
                <c:pt idx="296">
                  <c:v>0.64039923806235755</c:v>
                </c:pt>
                <c:pt idx="297">
                  <c:v>0.85077362564119163</c:v>
                </c:pt>
                <c:pt idx="298">
                  <c:v>0.65107547570154967</c:v>
                </c:pt>
                <c:pt idx="299">
                  <c:v>0.90861783121091266</c:v>
                </c:pt>
                <c:pt idx="300">
                  <c:v>0.49486986761992785</c:v>
                </c:pt>
                <c:pt idx="301">
                  <c:v>0.51788503564539934</c:v>
                </c:pt>
                <c:pt idx="302">
                  <c:v>0.75748781151513622</c:v>
                </c:pt>
                <c:pt idx="303">
                  <c:v>0.71810824645254256</c:v>
                </c:pt>
                <c:pt idx="304">
                  <c:v>1.701809781716134</c:v>
                </c:pt>
                <c:pt idx="305">
                  <c:v>0.67181537996784901</c:v>
                </c:pt>
                <c:pt idx="306">
                  <c:v>0.44280133159272062</c:v>
                </c:pt>
                <c:pt idx="307">
                  <c:v>0.67190289011243254</c:v>
                </c:pt>
                <c:pt idx="308">
                  <c:v>0.60845803528936493</c:v>
                </c:pt>
                <c:pt idx="309">
                  <c:v>0.66131416261782405</c:v>
                </c:pt>
                <c:pt idx="310">
                  <c:v>0.83012123151947581</c:v>
                </c:pt>
                <c:pt idx="311">
                  <c:v>0.557264600707993</c:v>
                </c:pt>
                <c:pt idx="312">
                  <c:v>0.83624694164032376</c:v>
                </c:pt>
                <c:pt idx="313">
                  <c:v>0.8151569967956902</c:v>
                </c:pt>
                <c:pt idx="314">
                  <c:v>1.060885482786275</c:v>
                </c:pt>
                <c:pt idx="315">
                  <c:v>0.94738482526142154</c:v>
                </c:pt>
                <c:pt idx="316">
                  <c:v>1.0224685293141003</c:v>
                </c:pt>
                <c:pt idx="317">
                  <c:v>0.74987442893636813</c:v>
                </c:pt>
                <c:pt idx="318">
                  <c:v>0.79581725484272747</c:v>
                </c:pt>
                <c:pt idx="319">
                  <c:v>0.50353337193369851</c:v>
                </c:pt>
                <c:pt idx="320">
                  <c:v>0.51403458928372348</c:v>
                </c:pt>
                <c:pt idx="321">
                  <c:v>0.82723339674821894</c:v>
                </c:pt>
                <c:pt idx="322">
                  <c:v>0.64827515107487632</c:v>
                </c:pt>
                <c:pt idx="323">
                  <c:v>1.3636705830453291</c:v>
                </c:pt>
                <c:pt idx="324">
                  <c:v>0.942921807887661</c:v>
                </c:pt>
                <c:pt idx="325">
                  <c:v>1.1998515923849391</c:v>
                </c:pt>
                <c:pt idx="326">
                  <c:v>1.912534209873302</c:v>
                </c:pt>
                <c:pt idx="327">
                  <c:v>1.6899959121973558</c:v>
                </c:pt>
                <c:pt idx="328">
                  <c:v>0.65728869596698114</c:v>
                </c:pt>
                <c:pt idx="329">
                  <c:v>1.1588968447198416</c:v>
                </c:pt>
                <c:pt idx="330">
                  <c:v>1.0658735610275369</c:v>
                </c:pt>
                <c:pt idx="331">
                  <c:v>1.2950626296918324</c:v>
                </c:pt>
                <c:pt idx="332">
                  <c:v>0.53101155733293059</c:v>
                </c:pt>
                <c:pt idx="333">
                  <c:v>1.9095588649574617</c:v>
                </c:pt>
                <c:pt idx="334">
                  <c:v>1.5010615100414895</c:v>
                </c:pt>
                <c:pt idx="335">
                  <c:v>1.1996765720957721</c:v>
                </c:pt>
                <c:pt idx="336">
                  <c:v>0.8775517298837554</c:v>
                </c:pt>
                <c:pt idx="337">
                  <c:v>1.32761640347691</c:v>
                </c:pt>
                <c:pt idx="338">
                  <c:v>0.99525287434861887</c:v>
                </c:pt>
                <c:pt idx="339">
                  <c:v>1.6262885269405374</c:v>
                </c:pt>
                <c:pt idx="340">
                  <c:v>0.85322390968953077</c:v>
                </c:pt>
                <c:pt idx="341">
                  <c:v>1.1833996852032334</c:v>
                </c:pt>
                <c:pt idx="342">
                  <c:v>1.1157543434401556</c:v>
                </c:pt>
                <c:pt idx="343">
                  <c:v>1.3681336004190896</c:v>
                </c:pt>
                <c:pt idx="344">
                  <c:v>1.0332322770978759</c:v>
                </c:pt>
                <c:pt idx="345">
                  <c:v>1.942900230043791</c:v>
                </c:pt>
                <c:pt idx="346">
                  <c:v>1.7015472512823833</c:v>
                </c:pt>
                <c:pt idx="347">
                  <c:v>1.2738851747026154</c:v>
                </c:pt>
                <c:pt idx="348">
                  <c:v>1.4689452869793296</c:v>
                </c:pt>
                <c:pt idx="349">
                  <c:v>1.3029385427043512</c:v>
                </c:pt>
                <c:pt idx="350">
                  <c:v>0.91430599060884288</c:v>
                </c:pt>
                <c:pt idx="351">
                  <c:v>0.6113458700606218</c:v>
                </c:pt>
                <c:pt idx="352">
                  <c:v>1.3657708265153341</c:v>
                </c:pt>
                <c:pt idx="353">
                  <c:v>0.86477524877455825</c:v>
                </c:pt>
                <c:pt idx="354">
                  <c:v>1.0306069727603697</c:v>
                </c:pt>
                <c:pt idx="355">
                  <c:v>1.7866946219621693</c:v>
                </c:pt>
                <c:pt idx="356">
                  <c:v>0.88429001101668803</c:v>
                </c:pt>
                <c:pt idx="357">
                  <c:v>0.87212610091957576</c:v>
                </c:pt>
                <c:pt idx="358">
                  <c:v>0.81130655043401434</c:v>
                </c:pt>
                <c:pt idx="359">
                  <c:v>0.68835185284689482</c:v>
                </c:pt>
                <c:pt idx="360">
                  <c:v>0.49608876307514838</c:v>
                </c:pt>
                <c:pt idx="361">
                  <c:v>0.69273885887511721</c:v>
                </c:pt>
                <c:pt idx="362">
                  <c:v>0.5648015202846316</c:v>
                </c:pt>
                <c:pt idx="363">
                  <c:v>0.73609880217731527</c:v>
                </c:pt>
                <c:pt idx="364">
                  <c:v>0.52919535507882665</c:v>
                </c:pt>
                <c:pt idx="365">
                  <c:v>0.57510588328115397</c:v>
                </c:pt>
                <c:pt idx="366">
                  <c:v>0.67473172948020432</c:v>
                </c:pt>
                <c:pt idx="367">
                  <c:v>0.65187848877504584</c:v>
                </c:pt>
                <c:pt idx="368">
                  <c:v>0.65703067027330697</c:v>
                </c:pt>
                <c:pt idx="369">
                  <c:v>0.75558527081430304</c:v>
                </c:pt>
                <c:pt idx="370">
                  <c:v>0.72462117012673344</c:v>
                </c:pt>
                <c:pt idx="371">
                  <c:v>0.99809488311859673</c:v>
                </c:pt>
                <c:pt idx="372">
                  <c:v>0.71804066108439979</c:v>
                </c:pt>
                <c:pt idx="373">
                  <c:v>0.86954540415208004</c:v>
                </c:pt>
                <c:pt idx="374">
                  <c:v>1.2647330285781135</c:v>
                </c:pt>
                <c:pt idx="375">
                  <c:v>0.56026147916240143</c:v>
                </c:pt>
                <c:pt idx="376">
                  <c:v>0.92213846479274619</c:v>
                </c:pt>
                <c:pt idx="377">
                  <c:v>0.98773950842407177</c:v>
                </c:pt>
                <c:pt idx="378">
                  <c:v>0.89867308371155663</c:v>
                </c:pt>
                <c:pt idx="379">
                  <c:v>0.66412129629566652</c:v>
                </c:pt>
                <c:pt idx="380">
                  <c:v>0.82251261859369584</c:v>
                </c:pt>
                <c:pt idx="381">
                  <c:v>0.40936887647075226</c:v>
                </c:pt>
                <c:pt idx="382">
                  <c:v>0.89596946371741959</c:v>
                </c:pt>
                <c:pt idx="383">
                  <c:v>0.85903699436354741</c:v>
                </c:pt>
                <c:pt idx="384">
                  <c:v>0.60535582019668743</c:v>
                </c:pt>
                <c:pt idx="385">
                  <c:v>1.0670626988180929</c:v>
                </c:pt>
                <c:pt idx="386">
                  <c:v>0.48986533591883286</c:v>
                </c:pt>
                <c:pt idx="387">
                  <c:v>0.81139206842913214</c:v>
                </c:pt>
                <c:pt idx="388">
                  <c:v>0.49965958193532939</c:v>
                </c:pt>
                <c:pt idx="389">
                  <c:v>0.57444273120712042</c:v>
                </c:pt>
                <c:pt idx="390">
                  <c:v>0.67008966496196898</c:v>
                </c:pt>
                <c:pt idx="391">
                  <c:v>0.5764321874292212</c:v>
                </c:pt>
                <c:pt idx="392">
                  <c:v>0.66284600384560177</c:v>
                </c:pt>
                <c:pt idx="393">
                  <c:v>0.56796424556079195</c:v>
                </c:pt>
                <c:pt idx="394">
                  <c:v>0.72171350334058604</c:v>
                </c:pt>
                <c:pt idx="395">
                  <c:v>0.81674829671940363</c:v>
                </c:pt>
                <c:pt idx="396">
                  <c:v>0.80353626693673386</c:v>
                </c:pt>
                <c:pt idx="397">
                  <c:v>1.7447020950844447</c:v>
                </c:pt>
                <c:pt idx="398">
                  <c:v>1.0671137105160955</c:v>
                </c:pt>
                <c:pt idx="399">
                  <c:v>0.97646592316550018</c:v>
                </c:pt>
                <c:pt idx="400">
                  <c:v>0.88918490788307569</c:v>
                </c:pt>
                <c:pt idx="401">
                  <c:v>1.0056446144229794</c:v>
                </c:pt>
                <c:pt idx="402">
                  <c:v>1.4931634122336934</c:v>
                </c:pt>
                <c:pt idx="403">
                  <c:v>1.4441921821512107</c:v>
                </c:pt>
                <c:pt idx="404">
                  <c:v>1.8628451876584338</c:v>
                </c:pt>
                <c:pt idx="405">
                  <c:v>1.4618422296601055</c:v>
                </c:pt>
                <c:pt idx="406">
                  <c:v>1.0275286328660889</c:v>
                </c:pt>
                <c:pt idx="407">
                  <c:v>1.6683375831745735</c:v>
                </c:pt>
                <c:pt idx="408">
                  <c:v>1.8679973691566949</c:v>
                </c:pt>
                <c:pt idx="409">
                  <c:v>1.6662971152544701</c:v>
                </c:pt>
                <c:pt idx="410">
                  <c:v>1.462403358338134</c:v>
                </c:pt>
                <c:pt idx="411">
                  <c:v>1.152660328066432</c:v>
                </c:pt>
                <c:pt idx="412">
                  <c:v>1.5447872506123104</c:v>
                </c:pt>
                <c:pt idx="413">
                  <c:v>1.5756493279038748</c:v>
                </c:pt>
                <c:pt idx="414">
                  <c:v>1.587331006746467</c:v>
                </c:pt>
                <c:pt idx="415">
                  <c:v>1.7047599355484198</c:v>
                </c:pt>
                <c:pt idx="416">
                  <c:v>1.4961731024158458</c:v>
                </c:pt>
                <c:pt idx="417">
                  <c:v>1.9055929905846007</c:v>
                </c:pt>
                <c:pt idx="418">
                  <c:v>1.4977544650539261</c:v>
                </c:pt>
                <c:pt idx="419">
                  <c:v>1.1964283649526508</c:v>
                </c:pt>
                <c:pt idx="420">
                  <c:v>1.3965982679147981</c:v>
                </c:pt>
                <c:pt idx="421">
                  <c:v>0.31040618234573553</c:v>
                </c:pt>
                <c:pt idx="422">
                  <c:v>1.0649712191999869</c:v>
                </c:pt>
                <c:pt idx="423">
                  <c:v>0.73859837537944195</c:v>
                </c:pt>
                <c:pt idx="424">
                  <c:v>1.4512828081735702</c:v>
                </c:pt>
                <c:pt idx="425">
                  <c:v>0.99697262576253975</c:v>
                </c:pt>
                <c:pt idx="426">
                  <c:v>1.9480347233227522</c:v>
                </c:pt>
                <c:pt idx="427">
                  <c:v>1.0320176622903163</c:v>
                </c:pt>
                <c:pt idx="428">
                  <c:v>0.8692903456620672</c:v>
                </c:pt>
                <c:pt idx="429">
                  <c:v>0.88979704825910666</c:v>
                </c:pt>
                <c:pt idx="430">
                  <c:v>0.89913218899357994</c:v>
                </c:pt>
                <c:pt idx="431">
                  <c:v>0.93300395646729706</c:v>
                </c:pt>
                <c:pt idx="432">
                  <c:v>1.0195197962796827</c:v>
                </c:pt>
                <c:pt idx="433">
                  <c:v>0.66794717364586043</c:v>
                </c:pt>
                <c:pt idx="434">
                  <c:v>0.75939395414604138</c:v>
                </c:pt>
                <c:pt idx="435">
                  <c:v>0.77829139679540082</c:v>
                </c:pt>
                <c:pt idx="436">
                  <c:v>0.47823364231610949</c:v>
                </c:pt>
                <c:pt idx="437">
                  <c:v>0.56887055694348243</c:v>
                </c:pt>
                <c:pt idx="438">
                  <c:v>0.78240723325064776</c:v>
                </c:pt>
                <c:pt idx="439">
                  <c:v>0.683538645712781</c:v>
                </c:pt>
                <c:pt idx="440">
                  <c:v>0.60732928683175735</c:v>
                </c:pt>
                <c:pt idx="441">
                  <c:v>0.93779112351271143</c:v>
                </c:pt>
                <c:pt idx="442">
                  <c:v>0.85259773451969734</c:v>
                </c:pt>
                <c:pt idx="443">
                  <c:v>0.69539933571284729</c:v>
                </c:pt>
                <c:pt idx="444">
                  <c:v>1.1187994149316349</c:v>
                </c:pt>
                <c:pt idx="445">
                  <c:v>1.1687647843722131</c:v>
                </c:pt>
                <c:pt idx="446">
                  <c:v>0.84821636022862801</c:v>
                </c:pt>
                <c:pt idx="447">
                  <c:v>0.45437949339806555</c:v>
                </c:pt>
                <c:pt idx="448">
                  <c:v>0.82254770276579781</c:v>
                </c:pt>
                <c:pt idx="449">
                  <c:v>0.81055424384782027</c:v>
                </c:pt>
                <c:pt idx="450">
                  <c:v>0.8521994277659638</c:v>
                </c:pt>
                <c:pt idx="451">
                  <c:v>0.68398120877248492</c:v>
                </c:pt>
                <c:pt idx="452">
                  <c:v>0.80869547899706351</c:v>
                </c:pt>
                <c:pt idx="453">
                  <c:v>0.58462580186894375</c:v>
                </c:pt>
                <c:pt idx="454">
                  <c:v>0.92367336190815486</c:v>
                </c:pt>
                <c:pt idx="455">
                  <c:v>0.68318459526501774</c:v>
                </c:pt>
                <c:pt idx="456">
                  <c:v>0.61848187593629744</c:v>
                </c:pt>
                <c:pt idx="457">
                  <c:v>0.83520500627333127</c:v>
                </c:pt>
                <c:pt idx="458">
                  <c:v>0.57555325914501243</c:v>
                </c:pt>
                <c:pt idx="459">
                  <c:v>0.79232064578801664</c:v>
                </c:pt>
                <c:pt idx="460">
                  <c:v>0.64729273112302588</c:v>
                </c:pt>
                <c:pt idx="461">
                  <c:v>0.6168443926153927</c:v>
                </c:pt>
                <c:pt idx="462">
                  <c:v>0.72257270757867109</c:v>
                </c:pt>
                <c:pt idx="463">
                  <c:v>0.45544164474135507</c:v>
                </c:pt>
                <c:pt idx="464">
                  <c:v>0.71385421530250281</c:v>
                </c:pt>
                <c:pt idx="465">
                  <c:v>0.56696753578675541</c:v>
                </c:pt>
                <c:pt idx="466">
                  <c:v>0.68048496060082353</c:v>
                </c:pt>
                <c:pt idx="467">
                  <c:v>0.75257848302660024</c:v>
                </c:pt>
                <c:pt idx="468">
                  <c:v>0.56621517858525861</c:v>
                </c:pt>
                <c:pt idx="469">
                  <c:v>1.2603753377309348</c:v>
                </c:pt>
                <c:pt idx="470">
                  <c:v>0.81431602985530394</c:v>
                </c:pt>
                <c:pt idx="471">
                  <c:v>1.9309911421003598</c:v>
                </c:pt>
                <c:pt idx="472">
                  <c:v>0.9887301316846383</c:v>
                </c:pt>
                <c:pt idx="473">
                  <c:v>1.567646870083401</c:v>
                </c:pt>
                <c:pt idx="474">
                  <c:v>1.1758015370215062</c:v>
                </c:pt>
                <c:pt idx="475">
                  <c:v>2.2456977338558528</c:v>
                </c:pt>
                <c:pt idx="476">
                  <c:v>1.1198615662749245</c:v>
                </c:pt>
                <c:pt idx="477">
                  <c:v>1.9501983788915123</c:v>
                </c:pt>
                <c:pt idx="478">
                  <c:v>1.400535058739182</c:v>
                </c:pt>
                <c:pt idx="479">
                  <c:v>1.384824070119691</c:v>
                </c:pt>
                <c:pt idx="480">
                  <c:v>1.6647009490764815</c:v>
                </c:pt>
                <c:pt idx="481">
                  <c:v>0.80471241145972783</c:v>
                </c:pt>
                <c:pt idx="482">
                  <c:v>1.5000232345606344</c:v>
                </c:pt>
                <c:pt idx="483">
                  <c:v>1.5493247594116566</c:v>
                </c:pt>
                <c:pt idx="484">
                  <c:v>1.6060613436657054</c:v>
                </c:pt>
                <c:pt idx="485">
                  <c:v>0.98209168578907879</c:v>
                </c:pt>
                <c:pt idx="486">
                  <c:v>0.71500487925773315</c:v>
                </c:pt>
                <c:pt idx="487">
                  <c:v>0.76505876131025219</c:v>
                </c:pt>
                <c:pt idx="488">
                  <c:v>1.1890784288126253</c:v>
                </c:pt>
                <c:pt idx="489">
                  <c:v>1.3097211188879274</c:v>
                </c:pt>
                <c:pt idx="490">
                  <c:v>1.2202348682157849</c:v>
                </c:pt>
                <c:pt idx="491">
                  <c:v>1.3179970481043917</c:v>
                </c:pt>
                <c:pt idx="492">
                  <c:v>1.3671658040375028</c:v>
                </c:pt>
                <c:pt idx="493">
                  <c:v>1.0205504156773537</c:v>
                </c:pt>
                <c:pt idx="494">
                  <c:v>0.8751684505645998</c:v>
                </c:pt>
                <c:pt idx="495">
                  <c:v>0.81068701276573141</c:v>
                </c:pt>
                <c:pt idx="496">
                  <c:v>1.0466616361998879</c:v>
                </c:pt>
                <c:pt idx="497">
                  <c:v>0.43468543724123887</c:v>
                </c:pt>
                <c:pt idx="498">
                  <c:v>0.94876668739336989</c:v>
                </c:pt>
                <c:pt idx="499">
                  <c:v>1.636775220009161</c:v>
                </c:pt>
                <c:pt idx="500">
                  <c:v>0.61794616835247729</c:v>
                </c:pt>
                <c:pt idx="501">
                  <c:v>0.8270136994841264</c:v>
                </c:pt>
                <c:pt idx="502">
                  <c:v>0.40281408288265824</c:v>
                </c:pt>
                <c:pt idx="503">
                  <c:v>0.55746021850599259</c:v>
                </c:pt>
                <c:pt idx="504">
                  <c:v>0.72060470987952563</c:v>
                </c:pt>
                <c:pt idx="505">
                  <c:v>0.85869301622430372</c:v>
                </c:pt>
                <c:pt idx="506">
                  <c:v>0.9092841668874585</c:v>
                </c:pt>
                <c:pt idx="507">
                  <c:v>0.80099995324408146</c:v>
                </c:pt>
                <c:pt idx="508">
                  <c:v>0.63218989137041592</c:v>
                </c:pt>
                <c:pt idx="509">
                  <c:v>0.98209871732930198</c:v>
                </c:pt>
                <c:pt idx="510">
                  <c:v>0.88542493337281614</c:v>
                </c:pt>
                <c:pt idx="511">
                  <c:v>0.98916073126256565</c:v>
                </c:pt>
                <c:pt idx="512">
                  <c:v>0.79561367143057526</c:v>
                </c:pt>
                <c:pt idx="513">
                  <c:v>0.83471408755825005</c:v>
                </c:pt>
                <c:pt idx="514">
                  <c:v>0.75926624378535912</c:v>
                </c:pt>
                <c:pt idx="515">
                  <c:v>0.95911724825834199</c:v>
                </c:pt>
                <c:pt idx="516">
                  <c:v>0.66438788710004204</c:v>
                </c:pt>
                <c:pt idx="517">
                  <c:v>0.78049218396895403</c:v>
                </c:pt>
                <c:pt idx="518">
                  <c:v>1.1199875317550614</c:v>
                </c:pt>
                <c:pt idx="519">
                  <c:v>0.92931315555694094</c:v>
                </c:pt>
                <c:pt idx="520">
                  <c:v>0.58758349827782363</c:v>
                </c:pt>
                <c:pt idx="521">
                  <c:v>1.3395483378270967</c:v>
                </c:pt>
                <c:pt idx="522">
                  <c:v>0.81927341302619894</c:v>
                </c:pt>
                <c:pt idx="523">
                  <c:v>1.1639156523229899</c:v>
                </c:pt>
                <c:pt idx="524">
                  <c:v>0.69259604444929324</c:v>
                </c:pt>
                <c:pt idx="525">
                  <c:v>0.73109798481991184</c:v>
                </c:pt>
                <c:pt idx="526">
                  <c:v>0.65174009943425337</c:v>
                </c:pt>
                <c:pt idx="527">
                  <c:v>0.96793479107897074</c:v>
                </c:pt>
                <c:pt idx="528">
                  <c:v>0.96083287876190326</c:v>
                </c:pt>
                <c:pt idx="529">
                  <c:v>0.77626295528575662</c:v>
                </c:pt>
                <c:pt idx="530">
                  <c:v>0.70991194302012062</c:v>
                </c:pt>
                <c:pt idx="531">
                  <c:v>0.95033960382151705</c:v>
                </c:pt>
                <c:pt idx="532">
                  <c:v>0.62133753097579603</c:v>
                </c:pt>
                <c:pt idx="533">
                  <c:v>0.65397440892726333</c:v>
                </c:pt>
                <c:pt idx="534">
                  <c:v>0.56284650031949879</c:v>
                </c:pt>
                <c:pt idx="535">
                  <c:v>0.87102161681966239</c:v>
                </c:pt>
                <c:pt idx="536">
                  <c:v>0.69195767030843325</c:v>
                </c:pt>
                <c:pt idx="537">
                  <c:v>0.66498636285709833</c:v>
                </c:pt>
                <c:pt idx="538">
                  <c:v>1.3484057790315291</c:v>
                </c:pt>
                <c:pt idx="539">
                  <c:v>1.1390589592132538</c:v>
                </c:pt>
                <c:pt idx="540">
                  <c:v>0.95169614887084453</c:v>
                </c:pt>
                <c:pt idx="541">
                  <c:v>0.9369337468634571</c:v>
                </c:pt>
                <c:pt idx="542">
                  <c:v>0.97782959026230065</c:v>
                </c:pt>
                <c:pt idx="543">
                  <c:v>1.3395483378270967</c:v>
                </c:pt>
                <c:pt idx="544">
                  <c:v>0.9587581628041083</c:v>
                </c:pt>
                <c:pt idx="545">
                  <c:v>0.87912098873182365</c:v>
                </c:pt>
                <c:pt idx="546">
                  <c:v>1.3939298349516076</c:v>
                </c:pt>
                <c:pt idx="547">
                  <c:v>1.2500562629552858</c:v>
                </c:pt>
                <c:pt idx="548">
                  <c:v>1.5893122204385706</c:v>
                </c:pt>
                <c:pt idx="549">
                  <c:v>1.5752280909558469</c:v>
                </c:pt>
                <c:pt idx="550">
                  <c:v>1.3797260103174727</c:v>
                </c:pt>
                <c:pt idx="551">
                  <c:v>2.0091629132054298</c:v>
                </c:pt>
                <c:pt idx="552">
                  <c:v>1.5594283309695618</c:v>
                </c:pt>
                <c:pt idx="553">
                  <c:v>1.3961242460608139</c:v>
                </c:pt>
                <c:pt idx="554">
                  <c:v>1.2598712653710082</c:v>
                </c:pt>
                <c:pt idx="555">
                  <c:v>1.1505097953649299</c:v>
                </c:pt>
                <c:pt idx="556">
                  <c:v>1.4431644405654349</c:v>
                </c:pt>
                <c:pt idx="557">
                  <c:v>1.7284777831460498</c:v>
                </c:pt>
                <c:pt idx="558">
                  <c:v>1.3622904165952341</c:v>
                </c:pt>
                <c:pt idx="559">
                  <c:v>1.4320726898679925</c:v>
                </c:pt>
                <c:pt idx="560">
                  <c:v>1.3895410127331951</c:v>
                </c:pt>
                <c:pt idx="561">
                  <c:v>0.96278789956828703</c:v>
                </c:pt>
                <c:pt idx="562">
                  <c:v>1.0001726851924007</c:v>
                </c:pt>
                <c:pt idx="563">
                  <c:v>0.92444555273288342</c:v>
                </c:pt>
                <c:pt idx="564">
                  <c:v>0.83654941321322263</c:v>
                </c:pt>
                <c:pt idx="565">
                  <c:v>0.68195757775631327</c:v>
                </c:pt>
                <c:pt idx="566">
                  <c:v>0.94067505190404821</c:v>
                </c:pt>
                <c:pt idx="567">
                  <c:v>0.79234272985365928</c:v>
                </c:pt>
                <c:pt idx="568">
                  <c:v>0.64426508679624384</c:v>
                </c:pt>
                <c:pt idx="569">
                  <c:v>1.1128380511540947</c:v>
                </c:pt>
                <c:pt idx="570">
                  <c:v>0.49615106102554651</c:v>
                </c:pt>
                <c:pt idx="571">
                  <c:v>0.68974347839864414</c:v>
                </c:pt>
                <c:pt idx="572">
                  <c:v>0.78673979200824362</c:v>
                </c:pt>
                <c:pt idx="573">
                  <c:v>0.5493789705569958</c:v>
                </c:pt>
                <c:pt idx="574">
                  <c:v>0.80016501320927214</c:v>
                </c:pt>
                <c:pt idx="575">
                  <c:v>0.58688954795065562</c:v>
                </c:pt>
                <c:pt idx="576">
                  <c:v>0.61992505161063927</c:v>
                </c:pt>
                <c:pt idx="577">
                  <c:v>0.7766253977158698</c:v>
                </c:pt>
                <c:pt idx="578">
                  <c:v>0.69854809501286885</c:v>
                </c:pt>
                <c:pt idx="579">
                  <c:v>0.68923412041269727</c:v>
                </c:pt>
                <c:pt idx="580">
                  <c:v>0.51143180060395299</c:v>
                </c:pt>
                <c:pt idx="581">
                  <c:v>0.87696892094740586</c:v>
                </c:pt>
                <c:pt idx="582">
                  <c:v>0.59787712736179555</c:v>
                </c:pt>
                <c:pt idx="583">
                  <c:v>0.69687449020190051</c:v>
                </c:pt>
                <c:pt idx="584">
                  <c:v>1.0357794644229876</c:v>
                </c:pt>
                <c:pt idx="585">
                  <c:v>0.76385506535391579</c:v>
                </c:pt>
                <c:pt idx="586">
                  <c:v>0.77484264476505571</c:v>
                </c:pt>
                <c:pt idx="587">
                  <c:v>0.73121977154003326</c:v>
                </c:pt>
                <c:pt idx="588">
                  <c:v>0.70818951403257779</c:v>
                </c:pt>
                <c:pt idx="589">
                  <c:v>0.89064882114140786</c:v>
                </c:pt>
                <c:pt idx="590">
                  <c:v>0.95897555668485401</c:v>
                </c:pt>
                <c:pt idx="591">
                  <c:v>0.97552969122812783</c:v>
                </c:pt>
                <c:pt idx="592">
                  <c:v>0.84600723194449168</c:v>
                </c:pt>
                <c:pt idx="593">
                  <c:v>0.72336110547113852</c:v>
                </c:pt>
                <c:pt idx="594">
                  <c:v>0.79994671692958064</c:v>
                </c:pt>
                <c:pt idx="595">
                  <c:v>0.64026298833523265</c:v>
                </c:pt>
                <c:pt idx="596">
                  <c:v>0.72874574703686268</c:v>
                </c:pt>
                <c:pt idx="597">
                  <c:v>0.85797714461424346</c:v>
                </c:pt>
                <c:pt idx="598">
                  <c:v>0.47035571730866504</c:v>
                </c:pt>
                <c:pt idx="599">
                  <c:v>0.69574662609016102</c:v>
                </c:pt>
                <c:pt idx="600">
                  <c:v>0.50299101112254752</c:v>
                </c:pt>
                <c:pt idx="601">
                  <c:v>0.45300116307318911</c:v>
                </c:pt>
                <c:pt idx="602">
                  <c:v>0.45005416329735354</c:v>
                </c:pt>
                <c:pt idx="603">
                  <c:v>1.1290647412778312</c:v>
                </c:pt>
                <c:pt idx="604">
                  <c:v>1.8327064161501689</c:v>
                </c:pt>
                <c:pt idx="605">
                  <c:v>0.84207789891004425</c:v>
                </c:pt>
                <c:pt idx="606">
                  <c:v>1.5123202429895792</c:v>
                </c:pt>
                <c:pt idx="607">
                  <c:v>1.6699301569268579</c:v>
                </c:pt>
                <c:pt idx="608">
                  <c:v>0.93383510180704721</c:v>
                </c:pt>
                <c:pt idx="609">
                  <c:v>1.6923055255952386</c:v>
                </c:pt>
                <c:pt idx="610">
                  <c:v>1.1883321812140792</c:v>
                </c:pt>
                <c:pt idx="611">
                  <c:v>1.0015797139379827</c:v>
                </c:pt>
                <c:pt idx="612">
                  <c:v>0.96155872932787045</c:v>
                </c:pt>
                <c:pt idx="613">
                  <c:v>1.1446365425624931</c:v>
                </c:pt>
                <c:pt idx="614">
                  <c:v>1.4109943864994312</c:v>
                </c:pt>
                <c:pt idx="615">
                  <c:v>1.8553728465248054</c:v>
                </c:pt>
                <c:pt idx="616">
                  <c:v>1.214527734777062</c:v>
                </c:pt>
                <c:pt idx="617">
                  <c:v>1.34048468815907</c:v>
                </c:pt>
                <c:pt idx="618">
                  <c:v>1.3381198117957451</c:v>
                </c:pt>
                <c:pt idx="619">
                  <c:v>0.63964448220944004</c:v>
                </c:pt>
                <c:pt idx="620">
                  <c:v>1.0689968816493809</c:v>
                </c:pt>
                <c:pt idx="621">
                  <c:v>1.4205994228058583</c:v>
                </c:pt>
                <c:pt idx="622">
                  <c:v>1.9931177990101554</c:v>
                </c:pt>
                <c:pt idx="623">
                  <c:v>0.51950876295253934</c:v>
                </c:pt>
                <c:pt idx="624">
                  <c:v>0.66500323336693845</c:v>
                </c:pt>
                <c:pt idx="625">
                  <c:v>0.64957696293540423</c:v>
                </c:pt>
                <c:pt idx="626">
                  <c:v>1.5105011073254833</c:v>
                </c:pt>
                <c:pt idx="627">
                  <c:v>1.4031721031438185</c:v>
                </c:pt>
                <c:pt idx="628">
                  <c:v>1.4575278767870072</c:v>
                </c:pt>
                <c:pt idx="629">
                  <c:v>1.3194554798821199</c:v>
                </c:pt>
                <c:pt idx="630">
                  <c:v>1.1603902574135645</c:v>
                </c:pt>
                <c:pt idx="631">
                  <c:v>0.88668310539367856</c:v>
                </c:pt>
                <c:pt idx="632">
                  <c:v>1.5781365713165729</c:v>
                </c:pt>
                <c:pt idx="633">
                  <c:v>1.3423038238231659</c:v>
                </c:pt>
                <c:pt idx="634">
                  <c:v>1.0464032167013084</c:v>
                </c:pt>
                <c:pt idx="635">
                  <c:v>0.81300811099779002</c:v>
                </c:pt>
                <c:pt idx="636">
                  <c:v>1.0736902516627487</c:v>
                </c:pt>
                <c:pt idx="637">
                  <c:v>0.64084511174774339</c:v>
                </c:pt>
                <c:pt idx="638">
                  <c:v>0.88853862377105641</c:v>
                </c:pt>
                <c:pt idx="639">
                  <c:v>0.68607893763087879</c:v>
                </c:pt>
                <c:pt idx="640">
                  <c:v>1.0047979427347653</c:v>
                </c:pt>
                <c:pt idx="641">
                  <c:v>0.5320941231919859</c:v>
                </c:pt>
                <c:pt idx="642">
                  <c:v>0.60062139663337799</c:v>
                </c:pt>
                <c:pt idx="643">
                  <c:v>0.64318220812859561</c:v>
                </c:pt>
                <c:pt idx="644">
                  <c:v>0.67949494469239213</c:v>
                </c:pt>
                <c:pt idx="645">
                  <c:v>0.54744557611488598</c:v>
                </c:pt>
                <c:pt idx="646">
                  <c:v>1.0049659017382981</c:v>
                </c:pt>
                <c:pt idx="647">
                  <c:v>1.0902218919315596</c:v>
                </c:pt>
                <c:pt idx="648">
                  <c:v>0.61745088878736698</c:v>
                </c:pt>
                <c:pt idx="649">
                  <c:v>0.65866802825432191</c:v>
                </c:pt>
                <c:pt idx="650">
                  <c:v>0.57428542487943124</c:v>
                </c:pt>
                <c:pt idx="651">
                  <c:v>0.36437026226410801</c:v>
                </c:pt>
                <c:pt idx="652">
                  <c:v>0.58936814339667887</c:v>
                </c:pt>
                <c:pt idx="653">
                  <c:v>0.75460621107227088</c:v>
                </c:pt>
                <c:pt idx="654">
                  <c:v>0.72403767242929695</c:v>
                </c:pt>
                <c:pt idx="655">
                  <c:v>0.52796233170507845</c:v>
                </c:pt>
                <c:pt idx="656">
                  <c:v>0.68500400000826878</c:v>
                </c:pt>
                <c:pt idx="657">
                  <c:v>0.79793963398373946</c:v>
                </c:pt>
                <c:pt idx="658">
                  <c:v>0.60082294743761744</c:v>
                </c:pt>
                <c:pt idx="659">
                  <c:v>0.60421571930898044</c:v>
                </c:pt>
                <c:pt idx="660">
                  <c:v>0.58678157474227333</c:v>
                </c:pt>
                <c:pt idx="661">
                  <c:v>0.77177162123332554</c:v>
                </c:pt>
                <c:pt idx="662">
                  <c:v>0.78221867125306721</c:v>
                </c:pt>
                <c:pt idx="663">
                  <c:v>0.60179710965810784</c:v>
                </c:pt>
                <c:pt idx="664">
                  <c:v>0.82780274481187555</c:v>
                </c:pt>
                <c:pt idx="665">
                  <c:v>0.40390781169573475</c:v>
                </c:pt>
                <c:pt idx="666">
                  <c:v>1.3651035971133789</c:v>
                </c:pt>
                <c:pt idx="667">
                  <c:v>0.60152837525245528</c:v>
                </c:pt>
                <c:pt idx="668">
                  <c:v>1.1123924803978922</c:v>
                </c:pt>
                <c:pt idx="669">
                  <c:v>0.72477669204484141</c:v>
                </c:pt>
                <c:pt idx="670">
                  <c:v>0.68483604100473594</c:v>
                </c:pt>
                <c:pt idx="671">
                  <c:v>0.70008671852551629</c:v>
                </c:pt>
                <c:pt idx="672">
                  <c:v>0.70112806434741981</c:v>
                </c:pt>
                <c:pt idx="673">
                  <c:v>0.76619538231603579</c:v>
                </c:pt>
                <c:pt idx="674">
                  <c:v>0.70804797529297214</c:v>
                </c:pt>
                <c:pt idx="675">
                  <c:v>0.69988516772127696</c:v>
                </c:pt>
                <c:pt idx="676">
                  <c:v>0.95820611515475995</c:v>
                </c:pt>
                <c:pt idx="677">
                  <c:v>1.4381993554508639</c:v>
                </c:pt>
                <c:pt idx="678">
                  <c:v>0.91218534818676622</c:v>
                </c:pt>
                <c:pt idx="679">
                  <c:v>1.5168713527056386</c:v>
                </c:pt>
                <c:pt idx="680">
                  <c:v>1.1941885151183775</c:v>
                </c:pt>
                <c:pt idx="681">
                  <c:v>0.83690612280335464</c:v>
                </c:pt>
                <c:pt idx="682">
                  <c:v>1.4956077428583832</c:v>
                </c:pt>
                <c:pt idx="683">
                  <c:v>1.5834838935067566</c:v>
                </c:pt>
                <c:pt idx="684">
                  <c:v>1.2826021345780558</c:v>
                </c:pt>
                <c:pt idx="685">
                  <c:v>1.220625262274444</c:v>
                </c:pt>
                <c:pt idx="686">
                  <c:v>1.1138033360275679</c:v>
                </c:pt>
                <c:pt idx="687">
                  <c:v>0.9135290202150288</c:v>
                </c:pt>
                <c:pt idx="688">
                  <c:v>1.0016403134683483</c:v>
                </c:pt>
                <c:pt idx="689">
                  <c:v>1.5382693297557204</c:v>
                </c:pt>
                <c:pt idx="690">
                  <c:v>0.90560135524827956</c:v>
                </c:pt>
                <c:pt idx="691">
                  <c:v>1.9541022307022855</c:v>
                </c:pt>
                <c:pt idx="692">
                  <c:v>1.4034990253209825</c:v>
                </c:pt>
                <c:pt idx="693">
                  <c:v>1.3173360565086438</c:v>
                </c:pt>
                <c:pt idx="694">
                  <c:v>0.69330117478279019</c:v>
                </c:pt>
                <c:pt idx="695">
                  <c:v>1.931528540627474</c:v>
                </c:pt>
                <c:pt idx="696">
                  <c:v>1.8100605892725359</c:v>
                </c:pt>
                <c:pt idx="697">
                  <c:v>1.0634828185691338</c:v>
                </c:pt>
                <c:pt idx="698">
                  <c:v>0.86938939408660276</c:v>
                </c:pt>
                <c:pt idx="699">
                  <c:v>1.6494245982937432</c:v>
                </c:pt>
                <c:pt idx="700">
                  <c:v>1.4171372964078479</c:v>
                </c:pt>
                <c:pt idx="701">
                  <c:v>1.2377906724354986</c:v>
                </c:pt>
                <c:pt idx="702">
                  <c:v>1.3553619749084753</c:v>
                </c:pt>
                <c:pt idx="703">
                  <c:v>0.98551624912919711</c:v>
                </c:pt>
                <c:pt idx="704">
                  <c:v>0.70085932994176725</c:v>
                </c:pt>
                <c:pt idx="705">
                  <c:v>1.2034598521133892</c:v>
                </c:pt>
                <c:pt idx="706">
                  <c:v>1.3289252277524088</c:v>
                </c:pt>
                <c:pt idx="707">
                  <c:v>1.0942529080163472</c:v>
                </c:pt>
                <c:pt idx="708">
                  <c:v>0.99038706023164902</c:v>
                </c:pt>
                <c:pt idx="709">
                  <c:v>0.4690759050664704</c:v>
                </c:pt>
                <c:pt idx="710">
                  <c:v>1.2393694870687071</c:v>
                </c:pt>
                <c:pt idx="711">
                  <c:v>1.2946279992310061</c:v>
                </c:pt>
                <c:pt idx="712">
                  <c:v>0.69195750275452761</c:v>
                </c:pt>
                <c:pt idx="713">
                  <c:v>1.0766508044461074</c:v>
                </c:pt>
                <c:pt idx="714">
                  <c:v>1.0499117310836819</c:v>
                </c:pt>
                <c:pt idx="715">
                  <c:v>0.80056033679818195</c:v>
                </c:pt>
                <c:pt idx="716">
                  <c:v>0.90186207667374541</c:v>
                </c:pt>
                <c:pt idx="717">
                  <c:v>0.73927797026936404</c:v>
                </c:pt>
                <c:pt idx="718">
                  <c:v>1.0557162549830483</c:v>
                </c:pt>
                <c:pt idx="719">
                  <c:v>1.2506270258187102</c:v>
                </c:pt>
                <c:pt idx="720">
                  <c:v>1.0280570768600277</c:v>
                </c:pt>
                <c:pt idx="721">
                  <c:v>0.59916694608993704</c:v>
                </c:pt>
                <c:pt idx="722">
                  <c:v>0.93038560411311055</c:v>
                </c:pt>
                <c:pt idx="723">
                  <c:v>0.94361014865317983</c:v>
                </c:pt>
                <c:pt idx="724">
                  <c:v>1.3366297827949778</c:v>
                </c:pt>
                <c:pt idx="725">
                  <c:v>0.98259230282031218</c:v>
                </c:pt>
                <c:pt idx="726">
                  <c:v>0.81179687791065913</c:v>
                </c:pt>
                <c:pt idx="727">
                  <c:v>1.040330837152118</c:v>
                </c:pt>
                <c:pt idx="728">
                  <c:v>0.64532319958272788</c:v>
                </c:pt>
                <c:pt idx="729">
                  <c:v>0.82173689504861969</c:v>
                </c:pt>
                <c:pt idx="730">
                  <c:v>0.74774859356953916</c:v>
                </c:pt>
                <c:pt idx="731">
                  <c:v>0.72622629559256369</c:v>
                </c:pt>
                <c:pt idx="732">
                  <c:v>0.88958831638165492</c:v>
                </c:pt>
                <c:pt idx="733">
                  <c:v>0.59925338102157144</c:v>
                </c:pt>
                <c:pt idx="734">
                  <c:v>0.75786148057076863</c:v>
                </c:pt>
                <c:pt idx="735">
                  <c:v>0.9474997205767296</c:v>
                </c:pt>
                <c:pt idx="736">
                  <c:v>1.0539011214187251</c:v>
                </c:pt>
                <c:pt idx="737">
                  <c:v>0.87930255951715663</c:v>
                </c:pt>
                <c:pt idx="738">
                  <c:v>0.88915614172348278</c:v>
                </c:pt>
                <c:pt idx="739">
                  <c:v>0.98907492269289521</c:v>
                </c:pt>
                <c:pt idx="740">
                  <c:v>0.59493163443984953</c:v>
                </c:pt>
                <c:pt idx="741">
                  <c:v>0.72812786408852126</c:v>
                </c:pt>
                <c:pt idx="742">
                  <c:v>0.55534443575127601</c:v>
                </c:pt>
                <c:pt idx="743">
                  <c:v>0.55923400767482578</c:v>
                </c:pt>
                <c:pt idx="744">
                  <c:v>0.58058343578853244</c:v>
                </c:pt>
                <c:pt idx="745">
                  <c:v>0.41203531910137475</c:v>
                </c:pt>
                <c:pt idx="746">
                  <c:v>0.76866584702507357</c:v>
                </c:pt>
                <c:pt idx="747">
                  <c:v>2.0534346708393874</c:v>
                </c:pt>
                <c:pt idx="748">
                  <c:v>1.7602473827353675</c:v>
                </c:pt>
                <c:pt idx="749">
                  <c:v>1.3391363958123765</c:v>
                </c:pt>
                <c:pt idx="750">
                  <c:v>1.3139838307067546</c:v>
                </c:pt>
                <c:pt idx="751">
                  <c:v>1.7584322491710442</c:v>
                </c:pt>
                <c:pt idx="752">
                  <c:v>1.6779613278193808</c:v>
                </c:pt>
                <c:pt idx="753">
                  <c:v>1.4838284713684289</c:v>
                </c:pt>
                <c:pt idx="754">
                  <c:v>1.3406922245817965</c:v>
                </c:pt>
                <c:pt idx="755">
                  <c:v>1.3072419060392684</c:v>
                </c:pt>
                <c:pt idx="756">
                  <c:v>0.71896576133527068</c:v>
                </c:pt>
                <c:pt idx="757">
                  <c:v>1.4331776014306472</c:v>
                </c:pt>
                <c:pt idx="758">
                  <c:v>0.92200141574456984</c:v>
                </c:pt>
                <c:pt idx="759">
                  <c:v>1.1990253716329495</c:v>
                </c:pt>
                <c:pt idx="760">
                  <c:v>1.4288558548489252</c:v>
                </c:pt>
                <c:pt idx="761">
                  <c:v>1.2353280429194144</c:v>
                </c:pt>
                <c:pt idx="762">
                  <c:v>0.59484519950821502</c:v>
                </c:pt>
                <c:pt idx="763">
                  <c:v>1.1255556797436757</c:v>
                </c:pt>
                <c:pt idx="764">
                  <c:v>1.1321247345478931</c:v>
                </c:pt>
                <c:pt idx="765">
                  <c:v>1.1981610223166053</c:v>
                </c:pt>
                <c:pt idx="766">
                  <c:v>1.1762065496814575</c:v>
                </c:pt>
                <c:pt idx="767">
                  <c:v>0.9692813233486085</c:v>
                </c:pt>
                <c:pt idx="768">
                  <c:v>0.86227487798517199</c:v>
                </c:pt>
                <c:pt idx="769">
                  <c:v>0.98967996721433626</c:v>
                </c:pt>
                <c:pt idx="770">
                  <c:v>0.90272642599008979</c:v>
                </c:pt>
                <c:pt idx="771">
                  <c:v>0.82554003204053505</c:v>
                </c:pt>
                <c:pt idx="772">
                  <c:v>0.68508326813457021</c:v>
                </c:pt>
                <c:pt idx="773">
                  <c:v>0.74749645410861143</c:v>
                </c:pt>
                <c:pt idx="774">
                  <c:v>0.61761873944406742</c:v>
                </c:pt>
                <c:pt idx="775">
                  <c:v>0.52198001673164651</c:v>
                </c:pt>
                <c:pt idx="776">
                  <c:v>0.5161363426244332</c:v>
                </c:pt>
                <c:pt idx="777">
                  <c:v>0.98939164003959679</c:v>
                </c:pt>
                <c:pt idx="778">
                  <c:v>0.98667556615877927</c:v>
                </c:pt>
                <c:pt idx="779">
                  <c:v>0.85515174611192168</c:v>
                </c:pt>
                <c:pt idx="780">
                  <c:v>1.3336745807504888</c:v>
                </c:pt>
                <c:pt idx="781">
                  <c:v>0.99935057760259405</c:v>
                </c:pt>
                <c:pt idx="782">
                  <c:v>0.93111950950569489</c:v>
                </c:pt>
                <c:pt idx="783">
                  <c:v>0.71391590430941365</c:v>
                </c:pt>
                <c:pt idx="784">
                  <c:v>1.1774591799689269</c:v>
                </c:pt>
                <c:pt idx="785">
                  <c:v>0.99301307188068666</c:v>
                </c:pt>
                <c:pt idx="786">
                  <c:v>0.65687835281224705</c:v>
                </c:pt>
                <c:pt idx="787">
                  <c:v>0.72552094725472471</c:v>
                </c:pt>
                <c:pt idx="788">
                  <c:v>0.90930861319003953</c:v>
                </c:pt>
                <c:pt idx="789">
                  <c:v>1.1288990711906755</c:v>
                </c:pt>
                <c:pt idx="790">
                  <c:v>0.5775360733847309</c:v>
                </c:pt>
                <c:pt idx="791">
                  <c:v>0.8054393635660505</c:v>
                </c:pt>
                <c:pt idx="792">
                  <c:v>0.57959370511262298</c:v>
                </c:pt>
                <c:pt idx="793">
                  <c:v>1.3981196064680668</c:v>
                </c:pt>
                <c:pt idx="794">
                  <c:v>0.96708691210924724</c:v>
                </c:pt>
                <c:pt idx="795">
                  <c:v>0.9298849304689597</c:v>
                </c:pt>
                <c:pt idx="796">
                  <c:v>0.64198109910230883</c:v>
                </c:pt>
                <c:pt idx="797">
                  <c:v>0.58288591587725014</c:v>
                </c:pt>
                <c:pt idx="798">
                  <c:v>0.73317533728248296</c:v>
                </c:pt>
                <c:pt idx="799">
                  <c:v>0.63514976176570737</c:v>
                </c:pt>
                <c:pt idx="800">
                  <c:v>0.66889492210313639</c:v>
                </c:pt>
                <c:pt idx="801">
                  <c:v>0.81819668027898107</c:v>
                </c:pt>
                <c:pt idx="802">
                  <c:v>0.57720685230826818</c:v>
                </c:pt>
                <c:pt idx="803">
                  <c:v>0.66124053207537814</c:v>
                </c:pt>
                <c:pt idx="804">
                  <c:v>0.53802954420920424</c:v>
                </c:pt>
                <c:pt idx="805">
                  <c:v>0.97992653409129349</c:v>
                </c:pt>
                <c:pt idx="806">
                  <c:v>0.55514904018526579</c:v>
                </c:pt>
                <c:pt idx="807">
                  <c:v>0.56881171485846882</c:v>
                </c:pt>
                <c:pt idx="808">
                  <c:v>0.59078722171235554</c:v>
                </c:pt>
                <c:pt idx="809">
                  <c:v>0.89984350724173623</c:v>
                </c:pt>
                <c:pt idx="810">
                  <c:v>0.85984314645151549</c:v>
                </c:pt>
                <c:pt idx="811">
                  <c:v>1.3669259094732238</c:v>
                </c:pt>
                <c:pt idx="812">
                  <c:v>1.1786937590056621</c:v>
                </c:pt>
                <c:pt idx="813">
                  <c:v>0.85227106169287281</c:v>
                </c:pt>
                <c:pt idx="814">
                  <c:v>1.8509631971425415</c:v>
                </c:pt>
                <c:pt idx="815">
                  <c:v>1.9774663957733427</c:v>
                </c:pt>
                <c:pt idx="816">
                  <c:v>1.4368853882215522</c:v>
                </c:pt>
                <c:pt idx="817">
                  <c:v>0.93902081534080017</c:v>
                </c:pt>
                <c:pt idx="818">
                  <c:v>1.2902173986574095</c:v>
                </c:pt>
                <c:pt idx="819">
                  <c:v>1.1660187475618473</c:v>
                </c:pt>
                <c:pt idx="820">
                  <c:v>1.4043748069208584</c:v>
                </c:pt>
                <c:pt idx="821">
                  <c:v>0.9660992488798591</c:v>
                </c:pt>
                <c:pt idx="822">
                  <c:v>1.3245386958786483</c:v>
                </c:pt>
                <c:pt idx="823">
                  <c:v>1.2149903826856774</c:v>
                </c:pt>
                <c:pt idx="824">
                  <c:v>2.1676738726996807</c:v>
                </c:pt>
                <c:pt idx="825">
                  <c:v>1.0233837161843728</c:v>
                </c:pt>
                <c:pt idx="826">
                  <c:v>1.2251962360560218</c:v>
                </c:pt>
                <c:pt idx="827">
                  <c:v>1.2882420721986332</c:v>
                </c:pt>
                <c:pt idx="828">
                  <c:v>1.2390235212674561</c:v>
                </c:pt>
                <c:pt idx="829">
                  <c:v>0.74708492776303304</c:v>
                </c:pt>
                <c:pt idx="830">
                  <c:v>1.1675002424059295</c:v>
                </c:pt>
                <c:pt idx="831">
                  <c:v>1.0808327940271178</c:v>
                </c:pt>
                <c:pt idx="832">
                  <c:v>1.4865154654983077</c:v>
                </c:pt>
                <c:pt idx="833">
                  <c:v>1.2850321667031215</c:v>
                </c:pt>
                <c:pt idx="834">
                  <c:v>0.90132500208581845</c:v>
                </c:pt>
                <c:pt idx="835">
                  <c:v>0.94708673171413693</c:v>
                </c:pt>
                <c:pt idx="836">
                  <c:v>2.3852890042415402</c:v>
                </c:pt>
                <c:pt idx="837">
                  <c:v>1.1058535958382849</c:v>
                </c:pt>
                <c:pt idx="838">
                  <c:v>1.6923609435566249</c:v>
                </c:pt>
                <c:pt idx="839">
                  <c:v>1.0877464366328351</c:v>
                </c:pt>
                <c:pt idx="840">
                  <c:v>0.90000811777996759</c:v>
                </c:pt>
                <c:pt idx="841">
                  <c:v>0.71696119926669388</c:v>
                </c:pt>
                <c:pt idx="842">
                  <c:v>1.0367994750502287</c:v>
                </c:pt>
                <c:pt idx="843">
                  <c:v>1.0884871840548762</c:v>
                </c:pt>
                <c:pt idx="844">
                  <c:v>0.48930482489272131</c:v>
                </c:pt>
                <c:pt idx="845">
                  <c:v>0.59745394851072564</c:v>
                </c:pt>
                <c:pt idx="846">
                  <c:v>0.77151097725477713</c:v>
                </c:pt>
                <c:pt idx="847">
                  <c:v>0.67899932237492666</c:v>
                </c:pt>
                <c:pt idx="848">
                  <c:v>0.73849100405217993</c:v>
                </c:pt>
                <c:pt idx="849">
                  <c:v>0.68464197602347177</c:v>
                </c:pt>
                <c:pt idx="850">
                  <c:v>0.5359824342210614</c:v>
                </c:pt>
                <c:pt idx="851">
                  <c:v>0.61059085468515772</c:v>
                </c:pt>
                <c:pt idx="852">
                  <c:v>0.8028590530800277</c:v>
                </c:pt>
                <c:pt idx="853">
                  <c:v>0.67454092936866883</c:v>
                </c:pt>
                <c:pt idx="854">
                  <c:v>0.68283075386467951</c:v>
                </c:pt>
                <c:pt idx="855">
                  <c:v>0.77325253702284658</c:v>
                </c:pt>
                <c:pt idx="856">
                  <c:v>0.50595794381954362</c:v>
                </c:pt>
                <c:pt idx="857">
                  <c:v>0.58962247507760124</c:v>
                </c:pt>
                <c:pt idx="858">
                  <c:v>0.62069190133996066</c:v>
                </c:pt>
                <c:pt idx="859">
                  <c:v>0.5106949863886926</c:v>
                </c:pt>
                <c:pt idx="860">
                  <c:v>1.1515193186475363</c:v>
                </c:pt>
                <c:pt idx="861">
                  <c:v>0.58049670189291713</c:v>
                </c:pt>
                <c:pt idx="862">
                  <c:v>0.94009396280390223</c:v>
                </c:pt>
                <c:pt idx="863">
                  <c:v>0.61560654681719773</c:v>
                </c:pt>
                <c:pt idx="864">
                  <c:v>1.125465584517217</c:v>
                </c:pt>
                <c:pt idx="865">
                  <c:v>0.72330460287461407</c:v>
                </c:pt>
                <c:pt idx="866">
                  <c:v>0.85635976915512191</c:v>
                </c:pt>
                <c:pt idx="867">
                  <c:v>0.86012153825415194</c:v>
                </c:pt>
                <c:pt idx="868">
                  <c:v>0.6856172494935906</c:v>
                </c:pt>
                <c:pt idx="869">
                  <c:v>0.60160440628191925</c:v>
                </c:pt>
                <c:pt idx="870">
                  <c:v>0.68039257018938226</c:v>
                </c:pt>
                <c:pt idx="871">
                  <c:v>1.0257787033929204</c:v>
                </c:pt>
                <c:pt idx="872">
                  <c:v>0.72685738480147577</c:v>
                </c:pt>
                <c:pt idx="873">
                  <c:v>0.67537687805734214</c:v>
                </c:pt>
                <c:pt idx="874">
                  <c:v>0.58850787682603678</c:v>
                </c:pt>
                <c:pt idx="875">
                  <c:v>0.83128130849492143</c:v>
                </c:pt>
                <c:pt idx="876">
                  <c:v>0.80021188223256201</c:v>
                </c:pt>
                <c:pt idx="877">
                  <c:v>0.87607422572966831</c:v>
                </c:pt>
                <c:pt idx="878">
                  <c:v>0.82104093705867298</c:v>
                </c:pt>
                <c:pt idx="879">
                  <c:v>0.47321662017983757</c:v>
                </c:pt>
                <c:pt idx="880">
                  <c:v>0.72943489325821864</c:v>
                </c:pt>
                <c:pt idx="881">
                  <c:v>0.72205067984160409</c:v>
                </c:pt>
                <c:pt idx="882">
                  <c:v>0.63615695208041756</c:v>
                </c:pt>
                <c:pt idx="883">
                  <c:v>1.2344175636076433</c:v>
                </c:pt>
                <c:pt idx="884">
                  <c:v>1.2345568883890889</c:v>
                </c:pt>
                <c:pt idx="885">
                  <c:v>0.84869690617561622</c:v>
                </c:pt>
                <c:pt idx="886">
                  <c:v>0.71933384660341571</c:v>
                </c:pt>
                <c:pt idx="887">
                  <c:v>1.5035930413604612</c:v>
                </c:pt>
                <c:pt idx="888">
                  <c:v>1.9232392830744818</c:v>
                </c:pt>
                <c:pt idx="889">
                  <c:v>1.3212169024482261</c:v>
                </c:pt>
                <c:pt idx="890">
                  <c:v>1.9002506941359647</c:v>
                </c:pt>
                <c:pt idx="891">
                  <c:v>2.0702269274995455</c:v>
                </c:pt>
                <c:pt idx="892">
                  <c:v>0.60508752581805814</c:v>
                </c:pt>
                <c:pt idx="893">
                  <c:v>1.0639536935090033</c:v>
                </c:pt>
                <c:pt idx="894">
                  <c:v>1.1016410468900266</c:v>
                </c:pt>
                <c:pt idx="895">
                  <c:v>1.1586945448919825</c:v>
                </c:pt>
                <c:pt idx="896">
                  <c:v>1.5528443516014661</c:v>
                </c:pt>
                <c:pt idx="897">
                  <c:v>0.91989186949429635</c:v>
                </c:pt>
                <c:pt idx="898">
                  <c:v>1.3821018319399347</c:v>
                </c:pt>
                <c:pt idx="899">
                  <c:v>1.379524323483192</c:v>
                </c:pt>
                <c:pt idx="900">
                  <c:v>1.3450414400754165</c:v>
                </c:pt>
                <c:pt idx="901">
                  <c:v>1.6361605709059097</c:v>
                </c:pt>
                <c:pt idx="902">
                  <c:v>1.2650690155256661</c:v>
                </c:pt>
                <c:pt idx="903">
                  <c:v>1.3745782937418747</c:v>
                </c:pt>
                <c:pt idx="904">
                  <c:v>1.473777538131112</c:v>
                </c:pt>
                <c:pt idx="905">
                  <c:v>2.0977435718350432</c:v>
                </c:pt>
                <c:pt idx="906">
                  <c:v>1.1664967326529339</c:v>
                </c:pt>
                <c:pt idx="907">
                  <c:v>2.5488075517650368</c:v>
                </c:pt>
                <c:pt idx="908">
                  <c:v>1.1545844638393388</c:v>
                </c:pt>
                <c:pt idx="909">
                  <c:v>1.3180820948657008</c:v>
                </c:pt>
                <c:pt idx="910">
                  <c:v>1.1804292107974896</c:v>
                </c:pt>
                <c:pt idx="911">
                  <c:v>1.4178386383807204</c:v>
                </c:pt>
                <c:pt idx="912">
                  <c:v>1.1244903110470981</c:v>
                </c:pt>
                <c:pt idx="913">
                  <c:v>1.364407584696349</c:v>
                </c:pt>
                <c:pt idx="914">
                  <c:v>1.094605145427026</c:v>
                </c:pt>
                <c:pt idx="915">
                  <c:v>0.77631768221464892</c:v>
                </c:pt>
                <c:pt idx="916">
                  <c:v>0.79129509622004635</c:v>
                </c:pt>
                <c:pt idx="917">
                  <c:v>0.7052620436774143</c:v>
                </c:pt>
                <c:pt idx="918">
                  <c:v>0.58655732988579889</c:v>
                </c:pt>
                <c:pt idx="919">
                  <c:v>1.1917841804853027</c:v>
                </c:pt>
                <c:pt idx="920">
                  <c:v>0.80000289506039368</c:v>
                </c:pt>
                <c:pt idx="921">
                  <c:v>0.78161202390958007</c:v>
                </c:pt>
                <c:pt idx="922">
                  <c:v>0.9785476024828762</c:v>
                </c:pt>
                <c:pt idx="923">
                  <c:v>0.8870825197176514</c:v>
                </c:pt>
                <c:pt idx="924">
                  <c:v>0.78730456227912093</c:v>
                </c:pt>
                <c:pt idx="925">
                  <c:v>0.69535823319802992</c:v>
                </c:pt>
                <c:pt idx="926">
                  <c:v>1.3941804558618505</c:v>
                </c:pt>
                <c:pt idx="927">
                  <c:v>1.0184882070612253</c:v>
                </c:pt>
                <c:pt idx="928">
                  <c:v>1.1102086237858517</c:v>
                </c:pt>
                <c:pt idx="929">
                  <c:v>1.146429904939009</c:v>
                </c:pt>
                <c:pt idx="930">
                  <c:v>1.0740626467515162</c:v>
                </c:pt>
                <c:pt idx="931">
                  <c:v>0.86750344882405295</c:v>
                </c:pt>
                <c:pt idx="932">
                  <c:v>0.63782588641837923</c:v>
                </c:pt>
                <c:pt idx="933">
                  <c:v>0.66229972503537726</c:v>
                </c:pt>
                <c:pt idx="934">
                  <c:v>0.54527712438671594</c:v>
                </c:pt>
                <c:pt idx="935">
                  <c:v>1.1431165237108614</c:v>
                </c:pt>
                <c:pt idx="936">
                  <c:v>0.52938795531537264</c:v>
                </c:pt>
                <c:pt idx="937">
                  <c:v>0.83060443060150213</c:v>
                </c:pt>
                <c:pt idx="938">
                  <c:v>0.61990350613885448</c:v>
                </c:pt>
                <c:pt idx="939">
                  <c:v>0.46643371198057154</c:v>
                </c:pt>
                <c:pt idx="940">
                  <c:v>0.71998268005267108</c:v>
                </c:pt>
                <c:pt idx="941">
                  <c:v>0.44625220813640087</c:v>
                </c:pt>
                <c:pt idx="942">
                  <c:v>1.022102804764659</c:v>
                </c:pt>
                <c:pt idx="943">
                  <c:v>0.59565557987832107</c:v>
                </c:pt>
                <c:pt idx="944">
                  <c:v>0.97774867877877636</c:v>
                </c:pt>
                <c:pt idx="945">
                  <c:v>0.74784520401663801</c:v>
                </c:pt>
                <c:pt idx="946">
                  <c:v>1.0346785926078548</c:v>
                </c:pt>
                <c:pt idx="947">
                  <c:v>0.6960359702674237</c:v>
                </c:pt>
                <c:pt idx="948">
                  <c:v>0.71282878876462541</c:v>
                </c:pt>
                <c:pt idx="949">
                  <c:v>0.94499138709140973</c:v>
                </c:pt>
                <c:pt idx="950">
                  <c:v>0.8446109967023071</c:v>
                </c:pt>
                <c:pt idx="951">
                  <c:v>0.53571350129638129</c:v>
                </c:pt>
                <c:pt idx="952">
                  <c:v>0.42095002421236599</c:v>
                </c:pt>
                <c:pt idx="953">
                  <c:v>0.82352584343227808</c:v>
                </c:pt>
                <c:pt idx="954">
                  <c:v>0.70846114987297659</c:v>
                </c:pt>
                <c:pt idx="955">
                  <c:v>0.63074729924915518</c:v>
                </c:pt>
                <c:pt idx="956">
                  <c:v>0.87797072134024601</c:v>
                </c:pt>
                <c:pt idx="957">
                  <c:v>0.71900372650799116</c:v>
                </c:pt>
                <c:pt idx="958">
                  <c:v>0.89227850391633712</c:v>
                </c:pt>
                <c:pt idx="959">
                  <c:v>0.98972203367139999</c:v>
                </c:pt>
                <c:pt idx="960">
                  <c:v>0.89679675104562906</c:v>
                </c:pt>
                <c:pt idx="961">
                  <c:v>0.64942272071689522</c:v>
                </c:pt>
                <c:pt idx="962">
                  <c:v>1.2498977641997944</c:v>
                </c:pt>
                <c:pt idx="963">
                  <c:v>1.0928886764568995</c:v>
                </c:pt>
                <c:pt idx="964">
                  <c:v>0.89687205516445057</c:v>
                </c:pt>
                <c:pt idx="965">
                  <c:v>0.58707091033266634</c:v>
                </c:pt>
                <c:pt idx="966">
                  <c:v>1.2238425390875443</c:v>
                </c:pt>
                <c:pt idx="967">
                  <c:v>0.92375562558373769</c:v>
                </c:pt>
                <c:pt idx="968">
                  <c:v>2.2142423098283381</c:v>
                </c:pt>
                <c:pt idx="969">
                  <c:v>2.0512841966985418</c:v>
                </c:pt>
                <c:pt idx="970">
                  <c:v>1.5742326039641343</c:v>
                </c:pt>
                <c:pt idx="971">
                  <c:v>1.8174649077576839</c:v>
                </c:pt>
                <c:pt idx="972">
                  <c:v>0.31514773726811302</c:v>
                </c:pt>
                <c:pt idx="973">
                  <c:v>1.4104461455273014</c:v>
                </c:pt>
                <c:pt idx="974">
                  <c:v>1.6785288085319567</c:v>
                </c:pt>
                <c:pt idx="975">
                  <c:v>1.6271713994956716</c:v>
                </c:pt>
                <c:pt idx="976">
                  <c:v>1.029332000171526</c:v>
                </c:pt>
                <c:pt idx="977">
                  <c:v>0.99536984258301497</c:v>
                </c:pt>
                <c:pt idx="978">
                  <c:v>1.6128636169195805</c:v>
                </c:pt>
                <c:pt idx="979">
                  <c:v>1.17007539824897</c:v>
                </c:pt>
                <c:pt idx="980">
                  <c:v>2.2541534928037503</c:v>
                </c:pt>
                <c:pt idx="981">
                  <c:v>1.5304056068100025</c:v>
                </c:pt>
                <c:pt idx="982">
                  <c:v>1.5195618136997018</c:v>
                </c:pt>
                <c:pt idx="983">
                  <c:v>1.0643484154235385</c:v>
                </c:pt>
                <c:pt idx="984">
                  <c:v>1.523703540234886</c:v>
                </c:pt>
                <c:pt idx="985">
                  <c:v>1.223541322612258</c:v>
                </c:pt>
                <c:pt idx="986">
                  <c:v>1.0473296845698723</c:v>
                </c:pt>
                <c:pt idx="987">
                  <c:v>1.0169068205659733</c:v>
                </c:pt>
                <c:pt idx="988">
                  <c:v>0.64829315893457218</c:v>
                </c:pt>
                <c:pt idx="989">
                  <c:v>1.0614115547894989</c:v>
                </c:pt>
                <c:pt idx="990">
                  <c:v>1.1927419380142512</c:v>
                </c:pt>
                <c:pt idx="991">
                  <c:v>0.68752660484059058</c:v>
                </c:pt>
                <c:pt idx="992">
                  <c:v>0.60311068764165277</c:v>
                </c:pt>
                <c:pt idx="993">
                  <c:v>1.0035026874157404</c:v>
                </c:pt>
                <c:pt idx="994">
                  <c:v>0.85018350149510047</c:v>
                </c:pt>
                <c:pt idx="995">
                  <c:v>0.47401828992952516</c:v>
                </c:pt>
                <c:pt idx="996">
                  <c:v>0.71760990049818218</c:v>
                </c:pt>
                <c:pt idx="997">
                  <c:v>1.1123963038335918</c:v>
                </c:pt>
                <c:pt idx="998">
                  <c:v>0.81630650133203453</c:v>
                </c:pt>
                <c:pt idx="999">
                  <c:v>0.98930823536322265</c:v>
                </c:pt>
                <c:pt idx="1000">
                  <c:v>0.69071467293871169</c:v>
                </c:pt>
                <c:pt idx="1001">
                  <c:v>0.67536904760447936</c:v>
                </c:pt>
                <c:pt idx="1002">
                  <c:v>0.90256506900024591</c:v>
                </c:pt>
                <c:pt idx="1003">
                  <c:v>0.61148278634459619</c:v>
                </c:pt>
                <c:pt idx="1004">
                  <c:v>0.87058155514574065</c:v>
                </c:pt>
                <c:pt idx="1005">
                  <c:v>0.67133072514810244</c:v>
                </c:pt>
                <c:pt idx="1006">
                  <c:v>0.51682450796712076</c:v>
                </c:pt>
                <c:pt idx="1007">
                  <c:v>0.98421994906818766</c:v>
                </c:pt>
                <c:pt idx="1008">
                  <c:v>0.80992595185095895</c:v>
                </c:pt>
                <c:pt idx="1009">
                  <c:v>0.96015154722818108</c:v>
                </c:pt>
                <c:pt idx="1010">
                  <c:v>1.0115997753224233</c:v>
                </c:pt>
                <c:pt idx="1011">
                  <c:v>0.79579182325363973</c:v>
                </c:pt>
                <c:pt idx="1012">
                  <c:v>0.5343508274277966</c:v>
                </c:pt>
                <c:pt idx="1013">
                  <c:v>0.57917620669358061</c:v>
                </c:pt>
                <c:pt idx="1014">
                  <c:v>0.73949760821174515</c:v>
                </c:pt>
                <c:pt idx="1015">
                  <c:v>0.86702783138412887</c:v>
                </c:pt>
                <c:pt idx="1016">
                  <c:v>0.44728459526830983</c:v>
                </c:pt>
                <c:pt idx="1017">
                  <c:v>0.53919681437544897</c:v>
                </c:pt>
                <c:pt idx="1018">
                  <c:v>0.90313043414413874</c:v>
                </c:pt>
                <c:pt idx="1019">
                  <c:v>1.0240378084880644</c:v>
                </c:pt>
                <c:pt idx="1020">
                  <c:v>0.92033368780830449</c:v>
                </c:pt>
                <c:pt idx="1021">
                  <c:v>0.60267924338969447</c:v>
                </c:pt>
                <c:pt idx="1022">
                  <c:v>0.82276781726223769</c:v>
                </c:pt>
                <c:pt idx="1023">
                  <c:v>0.77681170770866803</c:v>
                </c:pt>
                <c:pt idx="1024">
                  <c:v>0.55211944623585518</c:v>
                </c:pt>
                <c:pt idx="1025">
                  <c:v>0.99520418614953299</c:v>
                </c:pt>
                <c:pt idx="1026">
                  <c:v>1.483760436922015</c:v>
                </c:pt>
                <c:pt idx="1027">
                  <c:v>1.7233944914834227</c:v>
                </c:pt>
                <c:pt idx="1028">
                  <c:v>0.67948813650998385</c:v>
                </c:pt>
                <c:pt idx="1029">
                  <c:v>1.1976856741122728</c:v>
                </c:pt>
                <c:pt idx="1030">
                  <c:v>1.127418863371314</c:v>
                </c:pt>
                <c:pt idx="1031">
                  <c:v>0.96007078077905361</c:v>
                </c:pt>
                <c:pt idx="1032">
                  <c:v>1.4082438069877663</c:v>
                </c:pt>
                <c:pt idx="1033">
                  <c:v>1.0418064272961229</c:v>
                </c:pt>
                <c:pt idx="1034">
                  <c:v>1.4041247180822618</c:v>
                </c:pt>
                <c:pt idx="1035">
                  <c:v>1.1083579813772149</c:v>
                </c:pt>
                <c:pt idx="1036">
                  <c:v>1.2474378067748366</c:v>
                </c:pt>
                <c:pt idx="1037">
                  <c:v>1.5131594244044393</c:v>
                </c:pt>
                <c:pt idx="1038">
                  <c:v>1.1093271787667454</c:v>
                </c:pt>
                <c:pt idx="1039">
                  <c:v>2.2037933308940234</c:v>
                </c:pt>
                <c:pt idx="1040">
                  <c:v>1.4489500973480458</c:v>
                </c:pt>
                <c:pt idx="1041">
                  <c:v>2.2422381606787321</c:v>
                </c:pt>
                <c:pt idx="1042">
                  <c:v>1.2092352763375107</c:v>
                </c:pt>
                <c:pt idx="1043">
                  <c:v>2.0130229780547766</c:v>
                </c:pt>
                <c:pt idx="1044">
                  <c:v>1.1883167660134781</c:v>
                </c:pt>
                <c:pt idx="1045">
                  <c:v>1.7431822715196696</c:v>
                </c:pt>
                <c:pt idx="1046">
                  <c:v>0.83189442601364949</c:v>
                </c:pt>
                <c:pt idx="1047">
                  <c:v>1.2019662959160322</c:v>
                </c:pt>
                <c:pt idx="1048">
                  <c:v>0.80120317534518481</c:v>
                </c:pt>
                <c:pt idx="1049">
                  <c:v>1.0577174177742479</c:v>
                </c:pt>
                <c:pt idx="1050">
                  <c:v>1.3501727300650659</c:v>
                </c:pt>
                <c:pt idx="1051">
                  <c:v>1.4669610155034871</c:v>
                </c:pt>
                <c:pt idx="1052">
                  <c:v>1.387809895358499</c:v>
                </c:pt>
                <c:pt idx="1053">
                  <c:v>0.85741662393795182</c:v>
                </c:pt>
                <c:pt idx="1054">
                  <c:v>0.75831619085846169</c:v>
                </c:pt>
                <c:pt idx="1055">
                  <c:v>1.0047346271465825</c:v>
                </c:pt>
                <c:pt idx="1056">
                  <c:v>0.55535010420095676</c:v>
                </c:pt>
                <c:pt idx="1057">
                  <c:v>0.62230549052768636</c:v>
                </c:pt>
                <c:pt idx="1058">
                  <c:v>0.55236174558323781</c:v>
                </c:pt>
                <c:pt idx="1059">
                  <c:v>0.77455024713309695</c:v>
                </c:pt>
                <c:pt idx="1060">
                  <c:v>0.8104105505457242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3-1348-AFCA-450A892E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63584"/>
        <c:axId val="263361664"/>
      </c:scatterChart>
      <c:valAx>
        <c:axId val="2633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361664"/>
        <c:crosses val="autoZero"/>
        <c:crossBetween val="midCat"/>
      </c:valAx>
      <c:valAx>
        <c:axId val="26336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3363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2</xdr:row>
      <xdr:rowOff>109537</xdr:rowOff>
    </xdr:from>
    <xdr:to>
      <xdr:col>23</xdr:col>
      <xdr:colOff>171450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5</xdr:row>
      <xdr:rowOff>14287</xdr:rowOff>
    </xdr:from>
    <xdr:to>
      <xdr:col>23</xdr:col>
      <xdr:colOff>333375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5</xdr:row>
      <xdr:rowOff>119062</xdr:rowOff>
    </xdr:from>
    <xdr:to>
      <xdr:col>13</xdr:col>
      <xdr:colOff>133350</xdr:colOff>
      <xdr:row>20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20"/>
  <sheetViews>
    <sheetView topLeftCell="I7" zoomScale="55" zoomScaleNormal="55" workbookViewId="0">
      <selection activeCell="K58" sqref="K58"/>
    </sheetView>
  </sheetViews>
  <sheetFormatPr defaultColWidth="8.85546875" defaultRowHeight="15" x14ac:dyDescent="0.25"/>
  <cols>
    <col min="1" max="1" width="23.140625" bestFit="1" customWidth="1"/>
    <col min="3" max="3" width="22" bestFit="1" customWidth="1"/>
    <col min="5" max="5" width="10.140625" customWidth="1"/>
    <col min="11" max="11" width="22.28515625" bestFit="1" customWidth="1"/>
    <col min="15" max="15" width="12.28515625" bestFit="1" customWidth="1"/>
    <col min="16" max="17" width="12.28515625" customWidth="1"/>
    <col min="19" max="19" width="22.28515625" bestFit="1" customWidth="1"/>
    <col min="27" max="27" width="22.28515625" bestFit="1" customWidth="1"/>
    <col min="35" max="35" width="22.28515625" bestFit="1" customWidth="1"/>
    <col min="43" max="43" width="22.85546875" bestFit="1" customWidth="1"/>
    <col min="47" max="47" width="12.42578125" bestFit="1" customWidth="1"/>
  </cols>
  <sheetData>
    <row r="1" spans="1:110" x14ac:dyDescent="0.25">
      <c r="A1" s="2" t="s">
        <v>3</v>
      </c>
      <c r="C1" s="122">
        <v>1</v>
      </c>
      <c r="D1" s="122"/>
      <c r="E1" s="122"/>
      <c r="F1" s="122"/>
      <c r="G1" s="122"/>
      <c r="H1" s="122"/>
      <c r="K1" s="122">
        <v>2</v>
      </c>
      <c r="L1" s="122"/>
      <c r="M1" s="122"/>
      <c r="N1" s="122"/>
      <c r="O1" s="122"/>
      <c r="P1" s="122"/>
      <c r="S1" s="121">
        <v>3</v>
      </c>
      <c r="T1" s="121"/>
      <c r="U1" s="121"/>
      <c r="V1" s="121"/>
      <c r="W1" s="121"/>
      <c r="X1" s="121"/>
      <c r="AA1" s="122">
        <v>4</v>
      </c>
      <c r="AB1" s="122"/>
      <c r="AC1" s="122"/>
      <c r="AD1" s="122"/>
      <c r="AE1" s="122"/>
      <c r="AF1" s="122"/>
      <c r="AI1" s="122">
        <v>5</v>
      </c>
      <c r="AJ1" s="122"/>
      <c r="AK1" s="122"/>
      <c r="AL1" s="122"/>
      <c r="AM1" s="122"/>
      <c r="AN1" s="122"/>
      <c r="AO1" s="48"/>
      <c r="AP1" s="48"/>
      <c r="AQ1" s="48"/>
      <c r="AR1" s="48"/>
      <c r="AS1" s="7"/>
      <c r="AT1" s="48"/>
      <c r="AU1" s="48"/>
      <c r="AV1" s="48"/>
      <c r="AW1" s="48"/>
      <c r="AX1" s="7"/>
      <c r="AY1" s="48"/>
      <c r="AZ1" s="48"/>
      <c r="BA1" s="48"/>
      <c r="BB1" s="48"/>
      <c r="BC1" s="7"/>
      <c r="BD1" s="48"/>
      <c r="BE1" s="48"/>
      <c r="BF1" s="48"/>
      <c r="BG1" s="48"/>
      <c r="BI1" s="1"/>
      <c r="BJ1" s="1"/>
      <c r="BK1" s="1"/>
      <c r="BL1" s="1"/>
    </row>
    <row r="2" spans="1:110" x14ac:dyDescent="0.25">
      <c r="D2" t="s">
        <v>0</v>
      </c>
      <c r="E2" t="s">
        <v>1</v>
      </c>
      <c r="F2" t="s">
        <v>2</v>
      </c>
      <c r="G2" t="s">
        <v>39</v>
      </c>
      <c r="H2" t="s">
        <v>40</v>
      </c>
      <c r="L2" t="s">
        <v>0</v>
      </c>
      <c r="M2" t="s">
        <v>1</v>
      </c>
      <c r="N2" t="s">
        <v>2</v>
      </c>
      <c r="O2" t="s">
        <v>39</v>
      </c>
      <c r="P2" t="s">
        <v>40</v>
      </c>
      <c r="T2" t="s">
        <v>0</v>
      </c>
      <c r="U2" t="s">
        <v>1</v>
      </c>
      <c r="V2" t="s">
        <v>2</v>
      </c>
      <c r="W2" t="s">
        <v>39</v>
      </c>
      <c r="X2" t="s">
        <v>40</v>
      </c>
      <c r="AB2" t="s">
        <v>0</v>
      </c>
      <c r="AC2" t="s">
        <v>1</v>
      </c>
      <c r="AD2" t="s">
        <v>2</v>
      </c>
      <c r="AE2" t="s">
        <v>39</v>
      </c>
      <c r="AF2" t="s">
        <v>40</v>
      </c>
      <c r="AJ2" t="s">
        <v>0</v>
      </c>
      <c r="AK2" t="s">
        <v>1</v>
      </c>
      <c r="AL2" t="s">
        <v>2</v>
      </c>
      <c r="AM2" t="s">
        <v>39</v>
      </c>
      <c r="AN2" t="s">
        <v>40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110" x14ac:dyDescent="0.25">
      <c r="C3">
        <v>1</v>
      </c>
      <c r="D3" s="3">
        <v>6380</v>
      </c>
      <c r="E3" s="6">
        <v>33900</v>
      </c>
      <c r="F3" s="38">
        <v>11010</v>
      </c>
      <c r="G3">
        <f>E3/$E$88</f>
        <v>0.88892165766690689</v>
      </c>
      <c r="H3">
        <f>F3/$F$88</f>
        <v>0.74493054423927429</v>
      </c>
      <c r="K3" s="6">
        <v>1</v>
      </c>
      <c r="L3" s="4">
        <v>18902</v>
      </c>
      <c r="M3" s="6">
        <v>18157</v>
      </c>
      <c r="N3" s="6">
        <v>6892</v>
      </c>
      <c r="O3">
        <f>M3/$M$65</f>
        <v>0.43770655999552077</v>
      </c>
      <c r="P3">
        <f>N3/$N$65</f>
        <v>0.43732396672561735</v>
      </c>
      <c r="S3" s="6">
        <v>1</v>
      </c>
      <c r="T3" s="4">
        <v>12924</v>
      </c>
      <c r="U3" s="6">
        <v>19076</v>
      </c>
      <c r="V3" s="6">
        <v>9579</v>
      </c>
      <c r="W3">
        <f>U3/$U$72</f>
        <v>0.48788826909241062</v>
      </c>
      <c r="X3">
        <f>V3/$V$72</f>
        <v>0.66917651775625997</v>
      </c>
      <c r="AA3" s="6">
        <v>1</v>
      </c>
      <c r="AB3" s="3">
        <v>8845</v>
      </c>
      <c r="AC3" s="6">
        <v>17254</v>
      </c>
      <c r="AD3" s="6">
        <v>7310</v>
      </c>
      <c r="AE3" s="7">
        <f>AC3/$AC$73</f>
        <v>0.44648536868835176</v>
      </c>
      <c r="AF3" s="7">
        <f>AD3/$AD$73</f>
        <v>0.52121535280386144</v>
      </c>
      <c r="AG3" s="7"/>
      <c r="AH3" s="7"/>
      <c r="AI3" s="6">
        <v>1</v>
      </c>
      <c r="AJ3" s="3">
        <v>9221</v>
      </c>
      <c r="AK3" s="6">
        <v>24250</v>
      </c>
      <c r="AL3" s="6">
        <v>9615</v>
      </c>
      <c r="AM3" s="7">
        <f>AK3/$AK$76</f>
        <v>0.75679490890031853</v>
      </c>
      <c r="AN3" s="7">
        <f>AL3/$AL$76</f>
        <v>0.84141004017075272</v>
      </c>
      <c r="AO3" s="7"/>
      <c r="AP3" s="7"/>
      <c r="AQ3" s="6"/>
      <c r="AR3" s="6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110" x14ac:dyDescent="0.25">
      <c r="C4">
        <v>2</v>
      </c>
      <c r="D4" s="4">
        <v>18579</v>
      </c>
      <c r="E4" s="6">
        <v>27667</v>
      </c>
      <c r="F4" s="38">
        <v>9460</v>
      </c>
      <c r="G4">
        <f>E4/$E$88</f>
        <v>0.72548069329410947</v>
      </c>
      <c r="H4">
        <f t="shared" ref="H4:H67" si="0">F4/$F$88</f>
        <v>0.64005839677597964</v>
      </c>
      <c r="K4" s="6">
        <v>2</v>
      </c>
      <c r="L4" s="4">
        <v>22199</v>
      </c>
      <c r="M4" s="6">
        <v>42212</v>
      </c>
      <c r="N4" s="6">
        <v>13514</v>
      </c>
      <c r="O4">
        <f t="shared" ref="O4:O64" si="1">M4/$M$65</f>
        <v>1.0175948290208141</v>
      </c>
      <c r="P4">
        <f t="shared" ref="P4:P64" si="2">N4/$N$65</f>
        <v>0.85751539267701571</v>
      </c>
      <c r="S4" s="6">
        <v>2</v>
      </c>
      <c r="T4" s="4">
        <v>11869</v>
      </c>
      <c r="U4" s="6">
        <v>18516</v>
      </c>
      <c r="V4" s="6">
        <v>9139</v>
      </c>
      <c r="W4">
        <f t="shared" ref="W4:W67" si="3">U4/$U$72</f>
        <v>0.47356569461706205</v>
      </c>
      <c r="X4">
        <f t="shared" ref="X4:X67" si="4">V4/$V$72</f>
        <v>0.63843868835728779</v>
      </c>
      <c r="AA4" s="6">
        <v>2</v>
      </c>
      <c r="AB4" s="4">
        <v>14448</v>
      </c>
      <c r="AC4" s="6">
        <v>22250</v>
      </c>
      <c r="AD4" s="6">
        <v>9216</v>
      </c>
      <c r="AE4" s="7">
        <f t="shared" ref="AE4:AE67" si="5">AC4/$AC$73</f>
        <v>0.57576790618499052</v>
      </c>
      <c r="AF4" s="7">
        <f t="shared" ref="AF4:AF67" si="6">AD4/$AD$73</f>
        <v>0.65711637365805575</v>
      </c>
      <c r="AG4" s="7"/>
      <c r="AH4" s="7"/>
      <c r="AI4" s="6">
        <v>2</v>
      </c>
      <c r="AJ4" s="4">
        <v>17884</v>
      </c>
      <c r="AK4" s="6">
        <v>28343</v>
      </c>
      <c r="AL4" s="6">
        <v>11251</v>
      </c>
      <c r="AM4" s="7">
        <f t="shared" ref="AM4:AM67" si="7">AK4/$AK$76</f>
        <v>0.88452940630770016</v>
      </c>
      <c r="AN4" s="7">
        <f t="shared" ref="AN4:AN67" si="8">AL4/$AL$76</f>
        <v>0.98457663670942674</v>
      </c>
      <c r="AO4" s="7"/>
      <c r="AP4" s="7"/>
      <c r="AQ4" s="6"/>
      <c r="AR4" s="6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110" x14ac:dyDescent="0.25">
      <c r="C5">
        <v>3</v>
      </c>
      <c r="D5" s="4">
        <v>15266</v>
      </c>
      <c r="E5" s="6">
        <v>21642</v>
      </c>
      <c r="F5" s="38">
        <v>9844</v>
      </c>
      <c r="G5">
        <f t="shared" ref="G5:G67" si="9">E5/$E$88</f>
        <v>0.56749387950522712</v>
      </c>
      <c r="H5">
        <f t="shared" si="0"/>
        <v>0.66603962556688612</v>
      </c>
      <c r="K5" s="6">
        <v>3</v>
      </c>
      <c r="L5" s="4">
        <v>14950</v>
      </c>
      <c r="M5" s="6">
        <v>22413</v>
      </c>
      <c r="N5" s="6">
        <v>9337</v>
      </c>
      <c r="O5">
        <f t="shared" si="1"/>
        <v>0.54030495837305759</v>
      </c>
      <c r="P5">
        <f t="shared" si="2"/>
        <v>0.59246864151437739</v>
      </c>
      <c r="S5" s="6">
        <v>3</v>
      </c>
      <c r="T5" s="4">
        <v>22235</v>
      </c>
      <c r="U5" s="6">
        <v>19273</v>
      </c>
      <c r="V5" s="6">
        <v>10917</v>
      </c>
      <c r="W5">
        <f t="shared" si="3"/>
        <v>0.4929267461846315</v>
      </c>
      <c r="X5">
        <f t="shared" si="4"/>
        <v>0.76264746261040717</v>
      </c>
      <c r="AA5" s="6">
        <v>3</v>
      </c>
      <c r="AB5" s="4">
        <v>30402</v>
      </c>
      <c r="AC5" s="6">
        <v>24938</v>
      </c>
      <c r="AD5" s="6">
        <v>10411</v>
      </c>
      <c r="AE5" s="7">
        <f t="shared" si="5"/>
        <v>0.64532584469399068</v>
      </c>
      <c r="AF5" s="7">
        <f t="shared" si="6"/>
        <v>0.74232189302886487</v>
      </c>
      <c r="AG5" s="7"/>
      <c r="AH5" s="7"/>
      <c r="AI5" s="6">
        <v>3</v>
      </c>
      <c r="AJ5" s="4">
        <v>11712</v>
      </c>
      <c r="AK5" s="6">
        <v>24209</v>
      </c>
      <c r="AL5" s="6">
        <v>11319</v>
      </c>
      <c r="AM5" s="7">
        <f t="shared" si="7"/>
        <v>0.75551537936362112</v>
      </c>
      <c r="AN5" s="7">
        <f t="shared" si="8"/>
        <v>0.99052732654110753</v>
      </c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110" x14ac:dyDescent="0.25">
      <c r="C6">
        <v>4</v>
      </c>
      <c r="D6" s="3">
        <v>4596</v>
      </c>
      <c r="E6" s="6">
        <v>35180</v>
      </c>
      <c r="F6" s="38">
        <v>9427</v>
      </c>
      <c r="G6">
        <f t="shared" si="9"/>
        <v>0.92248566126022957</v>
      </c>
      <c r="H6">
        <f t="shared" si="0"/>
        <v>0.63782563492676103</v>
      </c>
      <c r="K6" s="6">
        <v>4</v>
      </c>
      <c r="L6" s="4">
        <v>20315</v>
      </c>
      <c r="M6" s="6">
        <v>22946</v>
      </c>
      <c r="N6" s="6">
        <v>9239</v>
      </c>
      <c r="O6">
        <f t="shared" si="1"/>
        <v>0.55315386493678576</v>
      </c>
      <c r="P6">
        <f t="shared" si="2"/>
        <v>0.5862501637518831</v>
      </c>
      <c r="S6" s="6">
        <v>4</v>
      </c>
      <c r="T6" s="4">
        <v>27918</v>
      </c>
      <c r="U6" s="6">
        <v>25779</v>
      </c>
      <c r="V6" s="6">
        <v>10123</v>
      </c>
      <c r="W6">
        <f t="shared" si="3"/>
        <v>0.65932437035716362</v>
      </c>
      <c r="X6">
        <f t="shared" si="4"/>
        <v>0.7071796522858983</v>
      </c>
      <c r="AA6" s="6">
        <v>4</v>
      </c>
      <c r="AB6" s="4">
        <v>18055</v>
      </c>
      <c r="AC6" s="6">
        <v>20046</v>
      </c>
      <c r="AD6" s="6">
        <v>8211</v>
      </c>
      <c r="AE6" s="7">
        <f t="shared" si="5"/>
        <v>0.51873453696109306</v>
      </c>
      <c r="AF6" s="7">
        <f t="shared" si="6"/>
        <v>0.58545817535875599</v>
      </c>
      <c r="AG6" s="7"/>
      <c r="AH6" s="7"/>
      <c r="AI6" s="6">
        <v>4</v>
      </c>
      <c r="AJ6" s="4">
        <v>18116</v>
      </c>
      <c r="AK6" s="6">
        <v>29161</v>
      </c>
      <c r="AL6" s="6">
        <v>13705</v>
      </c>
      <c r="AM6" s="7">
        <f t="shared" si="7"/>
        <v>0.91005758096668821</v>
      </c>
      <c r="AN6" s="7">
        <f t="shared" si="8"/>
        <v>1.199326531517438</v>
      </c>
      <c r="AO6" s="7"/>
      <c r="AP6" s="7"/>
      <c r="AQ6" s="6"/>
      <c r="AR6" s="6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110" x14ac:dyDescent="0.25">
      <c r="C7">
        <v>5</v>
      </c>
      <c r="D7" s="3">
        <v>5190</v>
      </c>
      <c r="E7" s="40">
        <v>44294</v>
      </c>
      <c r="F7" s="37">
        <v>16016</v>
      </c>
      <c r="G7">
        <f t="shared" si="9"/>
        <v>1.1614718555958103</v>
      </c>
      <c r="H7">
        <f t="shared" si="0"/>
        <v>1.0836337508207283</v>
      </c>
      <c r="K7" s="6">
        <v>5</v>
      </c>
      <c r="L7" s="4">
        <v>28844</v>
      </c>
      <c r="M7" s="6">
        <v>29222</v>
      </c>
      <c r="N7" s="6">
        <v>11370</v>
      </c>
      <c r="O7">
        <f t="shared" si="1"/>
        <v>0.70444793171719489</v>
      </c>
      <c r="P7">
        <f t="shared" si="2"/>
        <v>0.72147032815877377</v>
      </c>
      <c r="S7" s="6">
        <v>5</v>
      </c>
      <c r="T7" s="4">
        <v>21040</v>
      </c>
      <c r="U7" s="6">
        <v>27784</v>
      </c>
      <c r="V7" s="6">
        <v>10028</v>
      </c>
      <c r="W7">
        <f t="shared" si="3"/>
        <v>0.71060430218408144</v>
      </c>
      <c r="X7">
        <f t="shared" si="4"/>
        <v>0.70054307548384742</v>
      </c>
      <c r="AA7" s="6">
        <v>5</v>
      </c>
      <c r="AB7" s="4">
        <v>20813</v>
      </c>
      <c r="AC7" s="38">
        <v>38410</v>
      </c>
      <c r="AD7" s="38">
        <v>15366</v>
      </c>
      <c r="AE7" s="7">
        <f t="shared" si="5"/>
        <v>0.99394360793552738</v>
      </c>
      <c r="AF7" s="7">
        <f t="shared" si="6"/>
        <v>1.0956217662358598</v>
      </c>
      <c r="AG7" s="7"/>
      <c r="AH7" s="7"/>
      <c r="AI7" s="6">
        <v>5</v>
      </c>
      <c r="AJ7" s="4">
        <v>16800</v>
      </c>
      <c r="AK7" s="6">
        <v>19433</v>
      </c>
      <c r="AL7" s="6">
        <v>10017</v>
      </c>
      <c r="AM7" s="7">
        <f t="shared" si="7"/>
        <v>0.60646579235710885</v>
      </c>
      <c r="AN7" s="7">
        <f t="shared" si="8"/>
        <v>0.87658911829333641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110" x14ac:dyDescent="0.25">
      <c r="C8">
        <v>6</v>
      </c>
      <c r="D8" s="4">
        <v>15568</v>
      </c>
      <c r="E8" s="6">
        <v>24488</v>
      </c>
      <c r="F8" s="38">
        <v>9512</v>
      </c>
      <c r="G8">
        <f t="shared" si="9"/>
        <v>0.6421213437447556</v>
      </c>
      <c r="H8">
        <f t="shared" si="0"/>
        <v>0.64357668817474822</v>
      </c>
      <c r="K8" s="6">
        <v>6</v>
      </c>
      <c r="L8" s="4">
        <v>17532</v>
      </c>
      <c r="M8" s="6">
        <v>25865</v>
      </c>
      <c r="N8" s="6">
        <v>13944</v>
      </c>
      <c r="O8">
        <f t="shared" si="1"/>
        <v>0.62352151645558984</v>
      </c>
      <c r="P8">
        <f t="shared" si="2"/>
        <v>0.88480055020632731</v>
      </c>
      <c r="S8" s="6">
        <v>6</v>
      </c>
      <c r="T8" s="4">
        <v>24232</v>
      </c>
      <c r="U8" s="6">
        <v>28066</v>
      </c>
      <c r="V8" s="6">
        <v>12146</v>
      </c>
      <c r="W8">
        <f t="shared" si="3"/>
        <v>0.71781674147345342</v>
      </c>
      <c r="X8">
        <f t="shared" si="4"/>
        <v>0.8485038088179907</v>
      </c>
      <c r="AA8" s="6">
        <v>6</v>
      </c>
      <c r="AB8" s="4">
        <v>18593</v>
      </c>
      <c r="AC8" s="6">
        <v>30160</v>
      </c>
      <c r="AD8" s="6">
        <v>12553</v>
      </c>
      <c r="AE8" s="7">
        <f t="shared" si="5"/>
        <v>0.78045663148491295</v>
      </c>
      <c r="AF8" s="7">
        <f t="shared" si="6"/>
        <v>0.89505011268767076</v>
      </c>
      <c r="AG8" s="7"/>
      <c r="AH8" s="7"/>
      <c r="AI8" s="6">
        <v>6</v>
      </c>
      <c r="AJ8" s="4">
        <v>24641</v>
      </c>
      <c r="AK8" s="40">
        <v>35406</v>
      </c>
      <c r="AL8" s="37">
        <v>16477</v>
      </c>
      <c r="AM8" s="7">
        <f t="shared" si="7"/>
        <v>1.1049517750319455</v>
      </c>
      <c r="AN8" s="7">
        <f t="shared" si="8"/>
        <v>1.4419046523030152</v>
      </c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110" x14ac:dyDescent="0.25">
      <c r="C9">
        <v>7</v>
      </c>
      <c r="D9" s="3">
        <v>4528</v>
      </c>
      <c r="E9" s="6">
        <v>41841</v>
      </c>
      <c r="F9" s="38">
        <v>13010</v>
      </c>
      <c r="G9">
        <f t="shared" si="9"/>
        <v>1.0971495893345442</v>
      </c>
      <c r="H9">
        <f t="shared" si="0"/>
        <v>0.88024944419191276</v>
      </c>
      <c r="K9" s="6">
        <v>7</v>
      </c>
      <c r="L9" s="4">
        <v>31397</v>
      </c>
      <c r="M9" s="6">
        <v>36288</v>
      </c>
      <c r="N9" s="6">
        <v>17212</v>
      </c>
      <c r="O9">
        <f t="shared" si="1"/>
        <v>0.87478634406110356</v>
      </c>
      <c r="P9">
        <f t="shared" si="2"/>
        <v>1.0921677474290954</v>
      </c>
      <c r="S9" s="6">
        <v>7</v>
      </c>
      <c r="T9" s="4">
        <v>18876</v>
      </c>
      <c r="U9" s="6">
        <v>58479</v>
      </c>
      <c r="V9" s="6">
        <v>10711</v>
      </c>
      <c r="W9">
        <f t="shared" si="3"/>
        <v>1.4956604156141267</v>
      </c>
      <c r="X9">
        <f t="shared" si="4"/>
        <v>0.74825656975543375</v>
      </c>
      <c r="AA9" s="6">
        <v>7</v>
      </c>
      <c r="AB9" s="4">
        <v>14397</v>
      </c>
      <c r="AC9" s="6">
        <v>31438</v>
      </c>
      <c r="AD9" s="6">
        <v>9575</v>
      </c>
      <c r="AE9" s="7">
        <f t="shared" si="5"/>
        <v>0.81352770492780813</v>
      </c>
      <c r="AF9" s="7">
        <f t="shared" si="6"/>
        <v>0.68271368031422353</v>
      </c>
      <c r="AG9" s="7"/>
      <c r="AH9" s="7"/>
      <c r="AI9" s="6">
        <v>7</v>
      </c>
      <c r="AJ9" s="4">
        <v>10404</v>
      </c>
      <c r="AK9" s="6">
        <v>26654</v>
      </c>
      <c r="AL9" s="6">
        <v>8346</v>
      </c>
      <c r="AM9" s="7">
        <f t="shared" si="7"/>
        <v>0.83181903100326149</v>
      </c>
      <c r="AN9" s="7">
        <f t="shared" si="8"/>
        <v>0.73035966669423835</v>
      </c>
      <c r="AO9" s="6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110" x14ac:dyDescent="0.25">
      <c r="C10">
        <v>8</v>
      </c>
      <c r="D10" s="3">
        <v>5743</v>
      </c>
      <c r="E10" s="6">
        <v>18668</v>
      </c>
      <c r="F10" s="38">
        <v>5203</v>
      </c>
      <c r="G10">
        <f t="shared" si="9"/>
        <v>0.48951001490636631</v>
      </c>
      <c r="H10">
        <f t="shared" si="0"/>
        <v>0.35203211822678876</v>
      </c>
      <c r="K10" s="6">
        <v>8</v>
      </c>
      <c r="L10" s="4">
        <v>20935</v>
      </c>
      <c r="M10" s="6">
        <v>37259</v>
      </c>
      <c r="N10" s="6">
        <v>21460</v>
      </c>
      <c r="O10">
        <f t="shared" si="1"/>
        <v>0.8981940143676328</v>
      </c>
      <c r="P10">
        <f t="shared" si="2"/>
        <v>1.361719722276806</v>
      </c>
      <c r="S10" s="6">
        <v>8</v>
      </c>
      <c r="T10" s="4">
        <v>15174</v>
      </c>
      <c r="U10" s="6">
        <v>25967</v>
      </c>
      <c r="V10" s="6">
        <v>11065</v>
      </c>
      <c r="W10">
        <f t="shared" si="3"/>
        <v>0.66413266321674502</v>
      </c>
      <c r="X10">
        <f t="shared" si="4"/>
        <v>0.77298655068097044</v>
      </c>
      <c r="AA10" s="6">
        <v>8</v>
      </c>
      <c r="AB10" s="4">
        <v>13664</v>
      </c>
      <c r="AC10" s="6">
        <v>17899</v>
      </c>
      <c r="AD10" s="6">
        <v>7294</v>
      </c>
      <c r="AE10" s="7">
        <f t="shared" si="5"/>
        <v>0.46317616866539979</v>
      </c>
      <c r="AF10" s="7">
        <f t="shared" si="6"/>
        <v>0.52007452576626068</v>
      </c>
      <c r="AG10" s="7"/>
      <c r="AH10" s="7"/>
      <c r="AI10" s="6">
        <v>8</v>
      </c>
      <c r="AJ10" s="4">
        <v>12146</v>
      </c>
      <c r="AK10" s="6">
        <v>22272</v>
      </c>
      <c r="AL10" s="6">
        <v>7331</v>
      </c>
      <c r="AM10" s="7">
        <f t="shared" si="7"/>
        <v>0.69506541076403694</v>
      </c>
      <c r="AN10" s="7">
        <f t="shared" si="8"/>
        <v>0.64153686994194359</v>
      </c>
      <c r="AO10" s="6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110" x14ac:dyDescent="0.25">
      <c r="C11">
        <v>9</v>
      </c>
      <c r="D11" s="4">
        <v>11763</v>
      </c>
      <c r="E11" s="6">
        <v>19299</v>
      </c>
      <c r="F11" s="38">
        <v>8031</v>
      </c>
      <c r="G11">
        <f t="shared" si="9"/>
        <v>0.50605601980276216</v>
      </c>
      <c r="H11">
        <f t="shared" si="0"/>
        <v>0.54337304275981946</v>
      </c>
      <c r="I11" s="3"/>
      <c r="J11" s="3"/>
      <c r="K11" s="6">
        <v>9</v>
      </c>
      <c r="L11" s="4">
        <v>29800</v>
      </c>
      <c r="M11" s="6">
        <v>28108</v>
      </c>
      <c r="N11" s="6">
        <v>12592</v>
      </c>
      <c r="O11">
        <f t="shared" si="1"/>
        <v>0.6775929937960069</v>
      </c>
      <c r="P11">
        <f t="shared" si="2"/>
        <v>0.7990109386257942</v>
      </c>
      <c r="Q11" s="3"/>
      <c r="R11" s="3"/>
      <c r="S11" s="6">
        <v>9</v>
      </c>
      <c r="T11" s="4">
        <v>25052</v>
      </c>
      <c r="U11" s="6">
        <v>26961</v>
      </c>
      <c r="V11" s="6">
        <v>16818</v>
      </c>
      <c r="W11">
        <f t="shared" si="3"/>
        <v>0.6895552329104887</v>
      </c>
      <c r="X11">
        <f t="shared" si="4"/>
        <v>1.1748836700725316</v>
      </c>
      <c r="Y11" s="3"/>
      <c r="Z11" s="3"/>
      <c r="AA11" s="6">
        <v>9</v>
      </c>
      <c r="AB11" s="4">
        <v>16420</v>
      </c>
      <c r="AC11" s="40">
        <v>51739</v>
      </c>
      <c r="AD11" s="37">
        <v>14443</v>
      </c>
      <c r="AE11" s="7">
        <f t="shared" si="5"/>
        <v>1.3388609302519201</v>
      </c>
      <c r="AF11" s="7">
        <f t="shared" si="6"/>
        <v>1.0298103065042643</v>
      </c>
      <c r="AG11" s="6"/>
      <c r="AH11" s="6"/>
      <c r="AI11" s="6">
        <v>9</v>
      </c>
      <c r="AJ11" s="4">
        <v>10701</v>
      </c>
      <c r="AK11" s="6">
        <v>22855</v>
      </c>
      <c r="AL11" s="6">
        <v>8684</v>
      </c>
      <c r="AM11" s="7">
        <f t="shared" si="7"/>
        <v>0.71325969661512501</v>
      </c>
      <c r="AN11" s="7">
        <f t="shared" si="8"/>
        <v>0.75993809556347547</v>
      </c>
      <c r="AO11" s="6"/>
      <c r="AP11" s="7"/>
      <c r="AQ11" s="7"/>
      <c r="AR11" s="7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W11" s="3"/>
      <c r="CX11" s="3"/>
      <c r="CY11" s="3"/>
      <c r="CZ11" s="3"/>
      <c r="DA11" s="3"/>
      <c r="DB11" s="3"/>
      <c r="DC11" s="3"/>
    </row>
    <row r="12" spans="1:110" x14ac:dyDescent="0.25">
      <c r="C12">
        <v>10</v>
      </c>
      <c r="D12" s="4">
        <v>13916</v>
      </c>
      <c r="E12" s="6">
        <v>29960</v>
      </c>
      <c r="F12" s="38">
        <v>11705</v>
      </c>
      <c r="G12">
        <f t="shared" si="9"/>
        <v>0.78560745910621033</v>
      </c>
      <c r="H12">
        <f t="shared" si="0"/>
        <v>0.79195386197281614</v>
      </c>
      <c r="K12" s="6">
        <v>10</v>
      </c>
      <c r="L12" s="5">
        <v>31</v>
      </c>
      <c r="M12" s="6">
        <v>33987</v>
      </c>
      <c r="N12" s="6">
        <v>16538</v>
      </c>
      <c r="O12">
        <f t="shared" si="1"/>
        <v>0.81931667426159416</v>
      </c>
      <c r="P12">
        <f t="shared" si="2"/>
        <v>1.0493998493482675</v>
      </c>
      <c r="S12" s="6">
        <v>10</v>
      </c>
      <c r="T12" s="4">
        <v>14764</v>
      </c>
      <c r="U12" s="6">
        <v>22891</v>
      </c>
      <c r="V12" s="6">
        <v>10764</v>
      </c>
      <c r="W12">
        <f t="shared" si="3"/>
        <v>0.58546080770572306</v>
      </c>
      <c r="X12">
        <f t="shared" si="4"/>
        <v>0.75195908102394637</v>
      </c>
      <c r="AA12" s="6">
        <v>10</v>
      </c>
      <c r="AB12" s="4">
        <v>12103</v>
      </c>
      <c r="AC12" s="6">
        <v>38192</v>
      </c>
      <c r="AD12" s="6">
        <v>10321</v>
      </c>
      <c r="AE12" s="7">
        <f t="shared" si="5"/>
        <v>0.98830237631537787</v>
      </c>
      <c r="AF12" s="7">
        <f t="shared" si="6"/>
        <v>0.73590474094236036</v>
      </c>
      <c r="AG12" s="7"/>
      <c r="AH12" s="7"/>
      <c r="AI12" s="6">
        <v>10</v>
      </c>
      <c r="AJ12" s="4">
        <v>12478</v>
      </c>
      <c r="AK12" s="6">
        <v>14489</v>
      </c>
      <c r="AL12" s="6">
        <v>5587</v>
      </c>
      <c r="AM12" s="7">
        <f t="shared" si="7"/>
        <v>0.45217325505388517</v>
      </c>
      <c r="AN12" s="7">
        <f t="shared" si="8"/>
        <v>0.48891917778824701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110" x14ac:dyDescent="0.25">
      <c r="C13">
        <v>11</v>
      </c>
      <c r="D13" s="4">
        <v>12359</v>
      </c>
      <c r="E13" s="6">
        <v>21380</v>
      </c>
      <c r="F13" s="38">
        <v>8435</v>
      </c>
      <c r="G13">
        <f t="shared" si="9"/>
        <v>0.56062374751971888</v>
      </c>
      <c r="H13">
        <f t="shared" si="0"/>
        <v>0.57070746055025245</v>
      </c>
      <c r="K13" s="6">
        <v>11</v>
      </c>
      <c r="L13" s="4">
        <v>17979</v>
      </c>
      <c r="M13" s="6">
        <v>34103</v>
      </c>
      <c r="N13" s="6">
        <v>15231</v>
      </c>
      <c r="O13">
        <f t="shared" si="1"/>
        <v>0.82211305917977884</v>
      </c>
      <c r="P13">
        <f t="shared" si="2"/>
        <v>0.96646566123010413</v>
      </c>
      <c r="S13" s="6">
        <v>11</v>
      </c>
      <c r="T13" s="4">
        <v>15028</v>
      </c>
      <c r="U13" s="6">
        <v>23597</v>
      </c>
      <c r="V13" s="6">
        <v>8931</v>
      </c>
      <c r="W13">
        <f t="shared" si="3"/>
        <v>0.60351748195500177</v>
      </c>
      <c r="X13">
        <f t="shared" si="4"/>
        <v>0.6239080780959555</v>
      </c>
      <c r="AA13" s="6">
        <v>11</v>
      </c>
      <c r="AB13" s="4">
        <v>16398</v>
      </c>
      <c r="AC13" s="6">
        <v>24742</v>
      </c>
      <c r="AD13" s="6">
        <v>11172</v>
      </c>
      <c r="AE13" s="7">
        <f t="shared" si="5"/>
        <v>0.6402539116777094</v>
      </c>
      <c r="AF13" s="7">
        <f t="shared" si="6"/>
        <v>0.79658247900475243</v>
      </c>
      <c r="AG13" s="7"/>
      <c r="AH13" s="7"/>
      <c r="AI13" s="6">
        <v>11</v>
      </c>
      <c r="AJ13" s="4">
        <v>11898</v>
      </c>
      <c r="AK13" s="6">
        <v>14977</v>
      </c>
      <c r="AL13" s="6">
        <v>7318</v>
      </c>
      <c r="AM13" s="7">
        <f t="shared" si="7"/>
        <v>0.46740277734433283</v>
      </c>
      <c r="AN13" s="7">
        <f t="shared" si="8"/>
        <v>0.64039923806235755</v>
      </c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</row>
    <row r="14" spans="1:110" x14ac:dyDescent="0.25">
      <c r="C14">
        <v>12</v>
      </c>
      <c r="D14" s="3">
        <v>4547</v>
      </c>
      <c r="E14" s="6">
        <v>36993</v>
      </c>
      <c r="F14" s="38">
        <v>19767</v>
      </c>
      <c r="G14">
        <f t="shared" si="9"/>
        <v>0.97002592572483437</v>
      </c>
      <c r="H14">
        <f t="shared" si="0"/>
        <v>1.3374243476819014</v>
      </c>
      <c r="K14" s="6">
        <v>12</v>
      </c>
      <c r="L14" s="4">
        <v>30115</v>
      </c>
      <c r="M14" s="6">
        <v>36811</v>
      </c>
      <c r="N14" s="6">
        <v>14507</v>
      </c>
      <c r="O14">
        <f t="shared" si="1"/>
        <v>0.88739418295947103</v>
      </c>
      <c r="P14">
        <f t="shared" si="2"/>
        <v>0.92052507041330978</v>
      </c>
      <c r="Q14" s="3"/>
      <c r="R14" s="3"/>
      <c r="S14" s="6">
        <v>12</v>
      </c>
      <c r="T14" s="4">
        <v>22179</v>
      </c>
      <c r="U14" s="6">
        <v>28357</v>
      </c>
      <c r="V14" s="6">
        <v>13705</v>
      </c>
      <c r="W14">
        <f t="shared" si="3"/>
        <v>0.72525936499546495</v>
      </c>
      <c r="X14">
        <f t="shared" si="4"/>
        <v>0.95741352707480343</v>
      </c>
      <c r="Y14" s="3"/>
      <c r="Z14" s="3"/>
      <c r="AA14" s="6">
        <v>12</v>
      </c>
      <c r="AB14" s="4">
        <v>23573</v>
      </c>
      <c r="AC14" s="6">
        <v>21726</v>
      </c>
      <c r="AD14" s="6">
        <v>8291</v>
      </c>
      <c r="AE14" s="7">
        <f t="shared" si="5"/>
        <v>0.56220824852921814</v>
      </c>
      <c r="AF14" s="7">
        <f t="shared" si="6"/>
        <v>0.59116231054675994</v>
      </c>
      <c r="AG14" s="6"/>
      <c r="AH14" s="6"/>
      <c r="AI14" s="6">
        <v>12</v>
      </c>
      <c r="AJ14" s="4">
        <v>17258</v>
      </c>
      <c r="AK14" s="6">
        <v>30144</v>
      </c>
      <c r="AL14" s="6">
        <v>9722</v>
      </c>
      <c r="AM14" s="7">
        <f t="shared" si="7"/>
        <v>0.94073508180994647</v>
      </c>
      <c r="AN14" s="7">
        <f t="shared" si="8"/>
        <v>0.85077362564119163</v>
      </c>
      <c r="AO14" s="7"/>
      <c r="AP14" s="7"/>
      <c r="AQ14" s="7"/>
      <c r="AR14" s="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</row>
    <row r="15" spans="1:110" x14ac:dyDescent="0.25">
      <c r="C15">
        <v>13</v>
      </c>
      <c r="D15" s="3">
        <v>4173</v>
      </c>
      <c r="E15" s="41">
        <v>42560</v>
      </c>
      <c r="F15" s="42">
        <v>18473</v>
      </c>
      <c r="G15">
        <f t="shared" si="9"/>
        <v>1.1160031194779809</v>
      </c>
      <c r="H15">
        <f t="shared" si="0"/>
        <v>1.2498730194125445</v>
      </c>
      <c r="K15" s="6">
        <v>13</v>
      </c>
      <c r="L15" s="4">
        <v>23462</v>
      </c>
      <c r="M15" s="40">
        <v>49462</v>
      </c>
      <c r="N15" s="37">
        <v>18708</v>
      </c>
      <c r="O15">
        <f t="shared" si="1"/>
        <v>1.1923688864073607</v>
      </c>
      <c r="P15">
        <f t="shared" si="2"/>
        <v>1.1870947140892121</v>
      </c>
      <c r="S15" s="6">
        <v>13</v>
      </c>
      <c r="T15" s="4">
        <v>17894</v>
      </c>
      <c r="U15" s="6">
        <v>27144</v>
      </c>
      <c r="V15" s="6">
        <v>13337</v>
      </c>
      <c r="W15">
        <f t="shared" si="3"/>
        <v>0.69423564564082585</v>
      </c>
      <c r="X15">
        <f t="shared" si="4"/>
        <v>0.93170552430475406</v>
      </c>
      <c r="AA15" s="6">
        <v>13</v>
      </c>
      <c r="AB15" s="4">
        <v>17761</v>
      </c>
      <c r="AC15" s="6">
        <v>26726</v>
      </c>
      <c r="AD15" s="6">
        <v>8558</v>
      </c>
      <c r="AE15" s="7">
        <f t="shared" si="5"/>
        <v>0.6915942948629239</v>
      </c>
      <c r="AF15" s="7">
        <f t="shared" si="6"/>
        <v>0.61019986173672325</v>
      </c>
      <c r="AG15" s="7"/>
      <c r="AH15" s="7"/>
      <c r="AI15" s="6">
        <v>13</v>
      </c>
      <c r="AJ15" s="4">
        <v>14820</v>
      </c>
      <c r="AK15" s="6">
        <v>26747</v>
      </c>
      <c r="AL15" s="6">
        <v>7440</v>
      </c>
      <c r="AM15" s="7">
        <f t="shared" si="7"/>
        <v>0.83472137848894101</v>
      </c>
      <c r="AN15" s="7">
        <f t="shared" si="8"/>
        <v>0.65107547570154967</v>
      </c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</row>
    <row r="16" spans="1:110" x14ac:dyDescent="0.25">
      <c r="C16">
        <v>14</v>
      </c>
      <c r="D16" s="3">
        <v>5188</v>
      </c>
      <c r="E16" s="43">
        <v>45615</v>
      </c>
      <c r="F16" s="44">
        <v>20156</v>
      </c>
      <c r="G16">
        <f t="shared" si="9"/>
        <v>1.1961109561792318</v>
      </c>
      <c r="H16">
        <f t="shared" si="0"/>
        <v>1.3637438737226897</v>
      </c>
      <c r="K16" s="6">
        <v>14</v>
      </c>
      <c r="L16" s="4">
        <v>30284</v>
      </c>
      <c r="M16" s="6">
        <v>36920</v>
      </c>
      <c r="N16" s="6">
        <v>12295</v>
      </c>
      <c r="O16">
        <f t="shared" si="1"/>
        <v>0.89002182051190326</v>
      </c>
      <c r="P16">
        <f t="shared" si="2"/>
        <v>0.78016514377415336</v>
      </c>
      <c r="S16" s="6">
        <v>14</v>
      </c>
      <c r="T16" s="4">
        <v>21609</v>
      </c>
      <c r="U16" s="6">
        <v>31618</v>
      </c>
      <c r="V16" s="6">
        <v>11145</v>
      </c>
      <c r="W16">
        <f t="shared" si="3"/>
        <v>0.80866278528852165</v>
      </c>
      <c r="X16">
        <f t="shared" si="4"/>
        <v>0.77857524693532909</v>
      </c>
      <c r="AA16" s="6">
        <v>14</v>
      </c>
      <c r="AB16" s="4">
        <v>19448</v>
      </c>
      <c r="AC16" s="6">
        <v>14417</v>
      </c>
      <c r="AD16" s="6">
        <v>7177</v>
      </c>
      <c r="AE16" s="7">
        <f t="shared" si="5"/>
        <v>0.37307172599860711</v>
      </c>
      <c r="AF16" s="7">
        <f t="shared" si="6"/>
        <v>0.51173222805380492</v>
      </c>
      <c r="AG16" s="7"/>
      <c r="AH16" s="7"/>
      <c r="AI16" s="6">
        <v>14</v>
      </c>
      <c r="AJ16" s="4">
        <v>14630</v>
      </c>
      <c r="AK16" s="6">
        <v>34586</v>
      </c>
      <c r="AL16" s="6">
        <v>10383</v>
      </c>
      <c r="AM16" s="7">
        <f t="shared" si="7"/>
        <v>1.0793611842979967</v>
      </c>
      <c r="AN16" s="7">
        <f t="shared" si="8"/>
        <v>0.90861783121091266</v>
      </c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3:59" x14ac:dyDescent="0.25">
      <c r="C17">
        <v>15</v>
      </c>
      <c r="D17" s="3">
        <v>4982</v>
      </c>
      <c r="E17" s="43">
        <v>66807</v>
      </c>
      <c r="F17" s="44">
        <v>27963</v>
      </c>
      <c r="G17">
        <f t="shared" si="9"/>
        <v>1.7518049906711815</v>
      </c>
      <c r="H17">
        <f t="shared" si="0"/>
        <v>1.8919611996878136</v>
      </c>
      <c r="K17" s="6">
        <v>15</v>
      </c>
      <c r="L17" s="4">
        <v>14742</v>
      </c>
      <c r="M17" s="6">
        <v>33608</v>
      </c>
      <c r="N17" s="6">
        <v>9670</v>
      </c>
      <c r="O17">
        <f t="shared" si="1"/>
        <v>0.81018020974442151</v>
      </c>
      <c r="P17">
        <f t="shared" si="2"/>
        <v>0.6135987751359141</v>
      </c>
      <c r="S17" s="6">
        <v>15</v>
      </c>
      <c r="T17" s="4">
        <v>21647</v>
      </c>
      <c r="U17" s="6">
        <v>33112</v>
      </c>
      <c r="V17" s="6">
        <v>11283</v>
      </c>
      <c r="W17">
        <f t="shared" si="3"/>
        <v>0.84687336790668388</v>
      </c>
      <c r="X17">
        <f t="shared" si="4"/>
        <v>0.78821574797409766</v>
      </c>
      <c r="AA17" s="6">
        <v>15</v>
      </c>
      <c r="AB17" s="4">
        <v>30632</v>
      </c>
      <c r="AC17" s="6">
        <v>26085</v>
      </c>
      <c r="AD17" s="6">
        <v>11613</v>
      </c>
      <c r="AE17" s="7">
        <f t="shared" si="5"/>
        <v>0.67500700372294276</v>
      </c>
      <c r="AF17" s="7">
        <f t="shared" si="6"/>
        <v>0.82802652422862422</v>
      </c>
      <c r="AG17" s="7"/>
      <c r="AH17" s="7"/>
      <c r="AI17" s="6">
        <v>15</v>
      </c>
      <c r="AJ17" s="4">
        <v>13700</v>
      </c>
      <c r="AK17" s="6">
        <v>11682</v>
      </c>
      <c r="AL17" s="6">
        <v>5655</v>
      </c>
      <c r="AM17" s="7">
        <f t="shared" si="7"/>
        <v>0.36457229384633077</v>
      </c>
      <c r="AN17" s="7">
        <f t="shared" si="8"/>
        <v>0.49486986761992785</v>
      </c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</row>
    <row r="18" spans="3:59" x14ac:dyDescent="0.25">
      <c r="C18">
        <v>16</v>
      </c>
      <c r="D18" s="4">
        <v>16851</v>
      </c>
      <c r="E18" s="45">
        <v>38537</v>
      </c>
      <c r="F18" s="46">
        <v>16057</v>
      </c>
      <c r="G18">
        <f t="shared" si="9"/>
        <v>1.01051250505928</v>
      </c>
      <c r="H18">
        <f t="shared" si="0"/>
        <v>1.0864077882697574</v>
      </c>
      <c r="K18" s="6">
        <v>16</v>
      </c>
      <c r="L18" s="4">
        <v>15181</v>
      </c>
      <c r="M18" s="6">
        <v>30268</v>
      </c>
      <c r="N18" s="6">
        <v>10348</v>
      </c>
      <c r="O18">
        <f t="shared" si="1"/>
        <v>0.72966360951392972</v>
      </c>
      <c r="P18">
        <f t="shared" si="2"/>
        <v>0.65662048863561928</v>
      </c>
      <c r="S18" s="6">
        <v>16</v>
      </c>
      <c r="T18" s="4">
        <v>16738</v>
      </c>
      <c r="U18" s="6">
        <v>39464</v>
      </c>
      <c r="V18" s="6">
        <v>12917</v>
      </c>
      <c r="W18">
        <f t="shared" si="3"/>
        <v>1.0093322840984951</v>
      </c>
      <c r="X18">
        <f t="shared" si="4"/>
        <v>0.90236486896937151</v>
      </c>
      <c r="AA18" s="6">
        <v>16</v>
      </c>
      <c r="AB18" s="4">
        <v>20477</v>
      </c>
      <c r="AC18" s="6">
        <v>34105</v>
      </c>
      <c r="AD18" s="6">
        <v>16907</v>
      </c>
      <c r="AE18" s="7">
        <f t="shared" si="5"/>
        <v>0.88254222204220678</v>
      </c>
      <c r="AF18" s="7">
        <f t="shared" si="6"/>
        <v>1.2054976702947862</v>
      </c>
      <c r="AG18" s="7"/>
      <c r="AH18" s="7"/>
      <c r="AI18" s="6">
        <v>16</v>
      </c>
      <c r="AJ18" s="4">
        <v>15272</v>
      </c>
      <c r="AK18" s="6">
        <v>13524</v>
      </c>
      <c r="AL18" s="6">
        <v>5918</v>
      </c>
      <c r="AM18" s="7">
        <f t="shared" si="7"/>
        <v>0.42205749888527455</v>
      </c>
      <c r="AN18" s="7">
        <f t="shared" si="8"/>
        <v>0.51788503564539934</v>
      </c>
      <c r="AO18" s="7"/>
      <c r="AP18" s="7"/>
      <c r="AQ18" s="7"/>
      <c r="AR18" s="6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</row>
    <row r="19" spans="3:59" x14ac:dyDescent="0.25">
      <c r="C19">
        <v>17</v>
      </c>
      <c r="D19" s="4">
        <v>19561</v>
      </c>
      <c r="E19" s="6">
        <v>32673</v>
      </c>
      <c r="F19" s="38">
        <v>11082</v>
      </c>
      <c r="G19">
        <f t="shared" si="9"/>
        <v>0.85674741359737017</v>
      </c>
      <c r="H19">
        <f t="shared" si="0"/>
        <v>0.74980202463756929</v>
      </c>
      <c r="K19" s="6">
        <v>17</v>
      </c>
      <c r="L19" s="4">
        <v>29204</v>
      </c>
      <c r="M19" s="6">
        <v>27456</v>
      </c>
      <c r="N19" s="6">
        <v>10583</v>
      </c>
      <c r="O19">
        <f t="shared" si="1"/>
        <v>0.66187538201448581</v>
      </c>
      <c r="P19">
        <f t="shared" si="2"/>
        <v>0.6715321444946617</v>
      </c>
      <c r="S19" s="6">
        <v>17</v>
      </c>
      <c r="T19" s="4">
        <v>22402</v>
      </c>
      <c r="U19" s="6">
        <v>29320</v>
      </c>
      <c r="V19" s="6">
        <v>8918</v>
      </c>
      <c r="W19">
        <f t="shared" si="3"/>
        <v>0.74988907788789472</v>
      </c>
      <c r="X19">
        <f t="shared" si="4"/>
        <v>0.62299991495462226</v>
      </c>
      <c r="AA19" s="6">
        <v>17</v>
      </c>
      <c r="AB19" s="4">
        <v>30947</v>
      </c>
      <c r="AC19" s="41">
        <v>46373</v>
      </c>
      <c r="AD19" s="42">
        <v>18053</v>
      </c>
      <c r="AE19" s="7">
        <f t="shared" si="5"/>
        <v>1.2000038253265872</v>
      </c>
      <c r="AF19" s="7">
        <f t="shared" si="6"/>
        <v>1.2872094068629427</v>
      </c>
      <c r="AG19" s="7"/>
      <c r="AH19" s="7"/>
      <c r="AI19" s="6">
        <v>17</v>
      </c>
      <c r="AJ19" s="4">
        <v>28160</v>
      </c>
      <c r="AK19" s="6">
        <v>27290</v>
      </c>
      <c r="AL19" s="6">
        <v>8656</v>
      </c>
      <c r="AM19" s="7">
        <f t="shared" si="7"/>
        <v>0.85166734284081214</v>
      </c>
      <c r="AN19" s="7">
        <f t="shared" si="8"/>
        <v>0.75748781151513622</v>
      </c>
      <c r="AO19" s="7"/>
      <c r="AP19" s="7"/>
      <c r="AQ19" s="56" t="s">
        <v>33</v>
      </c>
      <c r="AR19" s="56"/>
      <c r="AS19" s="56"/>
      <c r="AT19" s="56"/>
      <c r="AU19" s="56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3:59" x14ac:dyDescent="0.25">
      <c r="C20">
        <v>18</v>
      </c>
      <c r="D20" s="3">
        <v>6008</v>
      </c>
      <c r="E20" s="40">
        <v>40839</v>
      </c>
      <c r="F20" s="37">
        <v>15602</v>
      </c>
      <c r="G20">
        <f t="shared" si="9"/>
        <v>1.0708752677716462</v>
      </c>
      <c r="H20">
        <f t="shared" si="0"/>
        <v>1.0556227385305321</v>
      </c>
      <c r="K20" s="6">
        <v>18</v>
      </c>
      <c r="L20" s="4">
        <v>21848</v>
      </c>
      <c r="M20" s="6">
        <v>39446</v>
      </c>
      <c r="N20" s="6">
        <v>13337</v>
      </c>
      <c r="O20">
        <f t="shared" si="1"/>
        <v>0.95091551278202968</v>
      </c>
      <c r="P20">
        <f t="shared" si="2"/>
        <v>0.84628406039169446</v>
      </c>
      <c r="S20" s="6">
        <v>18</v>
      </c>
      <c r="T20" s="4">
        <v>35607</v>
      </c>
      <c r="U20" s="40">
        <v>49036</v>
      </c>
      <c r="V20" s="37">
        <v>18446</v>
      </c>
      <c r="W20">
        <f t="shared" si="3"/>
        <v>1.254146003523561</v>
      </c>
      <c r="X20">
        <f t="shared" si="4"/>
        <v>1.2886136388487286</v>
      </c>
      <c r="AA20" s="6">
        <v>18</v>
      </c>
      <c r="AB20" s="4">
        <v>20324</v>
      </c>
      <c r="AC20" s="45">
        <v>49338</v>
      </c>
      <c r="AD20" s="46">
        <v>15346</v>
      </c>
      <c r="AE20" s="7">
        <f t="shared" si="5"/>
        <v>1.2767297508024746</v>
      </c>
      <c r="AF20" s="7">
        <f t="shared" si="6"/>
        <v>1.0941957324388589</v>
      </c>
      <c r="AG20" s="7"/>
      <c r="AH20" s="7"/>
      <c r="AI20" s="6">
        <v>18</v>
      </c>
      <c r="AJ20" s="4">
        <v>17672</v>
      </c>
      <c r="AK20" s="6">
        <v>24237</v>
      </c>
      <c r="AL20" s="6">
        <v>8206</v>
      </c>
      <c r="AM20" s="7">
        <f t="shared" si="7"/>
        <v>0.756389204413073</v>
      </c>
      <c r="AN20" s="7">
        <f t="shared" si="8"/>
        <v>0.71810824645254256</v>
      </c>
      <c r="AO20" s="7"/>
      <c r="AP20" s="7"/>
      <c r="AQ20" t="s">
        <v>5</v>
      </c>
      <c r="AS20" s="3">
        <f t="shared" ref="AS20:AT22" si="10">AVERAGE(E88,M65,U72,AC73,AK76)</f>
        <v>37880.88199349105</v>
      </c>
      <c r="AT20" s="3">
        <f t="shared" si="10"/>
        <v>14061.230718778268</v>
      </c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</row>
    <row r="21" spans="3:59" x14ac:dyDescent="0.25">
      <c r="C21">
        <v>19</v>
      </c>
      <c r="D21" s="4">
        <v>17607</v>
      </c>
      <c r="E21" s="6">
        <v>39180</v>
      </c>
      <c r="F21" s="38">
        <v>13377</v>
      </c>
      <c r="G21">
        <f t="shared" si="9"/>
        <v>1.0273731724893631</v>
      </c>
      <c r="H21">
        <f t="shared" si="0"/>
        <v>0.90508046233322192</v>
      </c>
      <c r="K21" s="6">
        <v>19</v>
      </c>
      <c r="L21" s="4">
        <v>26542</v>
      </c>
      <c r="M21" s="6">
        <v>28725</v>
      </c>
      <c r="N21" s="6">
        <v>11296</v>
      </c>
      <c r="O21">
        <f t="shared" si="1"/>
        <v>0.6924668687487654</v>
      </c>
      <c r="P21">
        <f t="shared" si="2"/>
        <v>0.71677474290954346</v>
      </c>
      <c r="S21" s="6">
        <v>19</v>
      </c>
      <c r="T21" s="4">
        <v>16337</v>
      </c>
      <c r="U21" s="6">
        <v>37423</v>
      </c>
      <c r="V21" s="6">
        <v>10596</v>
      </c>
      <c r="W21">
        <f t="shared" si="3"/>
        <v>0.95713161534101932</v>
      </c>
      <c r="X21">
        <f t="shared" si="4"/>
        <v>0.74022281888979335</v>
      </c>
      <c r="AA21" s="6">
        <v>19</v>
      </c>
      <c r="AB21" s="4">
        <v>25118</v>
      </c>
      <c r="AC21" s="6">
        <v>34074</v>
      </c>
      <c r="AD21" s="6">
        <v>12647</v>
      </c>
      <c r="AE21" s="7">
        <f t="shared" si="5"/>
        <v>0.88174002855493783</v>
      </c>
      <c r="AF21" s="7">
        <f t="shared" si="6"/>
        <v>0.90175247153357541</v>
      </c>
      <c r="AG21" s="7"/>
      <c r="AH21" s="7"/>
      <c r="AI21" s="6">
        <v>19</v>
      </c>
      <c r="AJ21" s="4">
        <v>14358</v>
      </c>
      <c r="AK21" s="40">
        <v>46667</v>
      </c>
      <c r="AL21" s="37">
        <v>19447</v>
      </c>
      <c r="AM21" s="7">
        <f t="shared" si="7"/>
        <v>1.4563854850990172</v>
      </c>
      <c r="AN21" s="7">
        <f t="shared" si="8"/>
        <v>1.701809781716134</v>
      </c>
      <c r="AO21" s="6"/>
      <c r="AP21" s="6"/>
      <c r="AQ21" t="s">
        <v>8</v>
      </c>
      <c r="AS21" s="3">
        <f t="shared" si="10"/>
        <v>47049.866791756205</v>
      </c>
      <c r="AT21" s="3">
        <f t="shared" si="10"/>
        <v>16952.255586983236</v>
      </c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3:59" x14ac:dyDescent="0.25">
      <c r="C22">
        <v>20</v>
      </c>
      <c r="D22" s="3">
        <v>7591</v>
      </c>
      <c r="E22" s="6">
        <v>27643</v>
      </c>
      <c r="F22" s="38">
        <v>12817</v>
      </c>
      <c r="G22">
        <f t="shared" si="9"/>
        <v>0.72485136822673468</v>
      </c>
      <c r="H22">
        <f t="shared" si="0"/>
        <v>0.86719117034648319</v>
      </c>
      <c r="K22" s="6">
        <v>20</v>
      </c>
      <c r="L22" s="4">
        <v>21985</v>
      </c>
      <c r="M22" s="6">
        <v>27794</v>
      </c>
      <c r="N22" s="6">
        <v>9654</v>
      </c>
      <c r="O22">
        <f t="shared" si="1"/>
        <v>0.67002346910367927</v>
      </c>
      <c r="P22">
        <f t="shared" si="2"/>
        <v>0.61258351346040474</v>
      </c>
      <c r="S22" s="6">
        <v>20</v>
      </c>
      <c r="T22" s="4">
        <v>14126</v>
      </c>
      <c r="U22" s="6">
        <v>32194</v>
      </c>
      <c r="V22" s="6">
        <v>9058</v>
      </c>
      <c r="W22">
        <f t="shared" si="3"/>
        <v>0.82339457617745171</v>
      </c>
      <c r="X22">
        <f t="shared" si="4"/>
        <v>0.6327801333997497</v>
      </c>
      <c r="AA22" s="6">
        <v>20</v>
      </c>
      <c r="AB22" s="4">
        <v>22175</v>
      </c>
      <c r="AC22" s="41">
        <v>51515</v>
      </c>
      <c r="AD22" s="42">
        <v>24906</v>
      </c>
      <c r="AE22" s="7">
        <f t="shared" si="5"/>
        <v>1.3330644353761703</v>
      </c>
      <c r="AF22" s="7">
        <f t="shared" si="6"/>
        <v>1.7758398874053316</v>
      </c>
      <c r="AG22" s="7"/>
      <c r="AH22" s="7"/>
      <c r="AI22" s="6">
        <v>20</v>
      </c>
      <c r="AJ22" s="4">
        <v>19500</v>
      </c>
      <c r="AK22" s="6">
        <v>22450</v>
      </c>
      <c r="AL22" s="6">
        <v>7677</v>
      </c>
      <c r="AM22" s="7">
        <f t="shared" si="7"/>
        <v>0.70062044143555269</v>
      </c>
      <c r="AN22" s="7">
        <f t="shared" si="8"/>
        <v>0.67181537996784901</v>
      </c>
      <c r="AO22" s="6"/>
      <c r="AP22" s="7"/>
      <c r="AQ22" s="5" t="s">
        <v>30</v>
      </c>
      <c r="AS22" s="3">
        <f t="shared" si="10"/>
        <v>29183.382863232247</v>
      </c>
      <c r="AT22" s="3">
        <f t="shared" si="10"/>
        <v>11157.93063167296</v>
      </c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3:59" x14ac:dyDescent="0.25">
      <c r="C23">
        <v>21</v>
      </c>
      <c r="D23" s="3">
        <v>4715</v>
      </c>
      <c r="E23" s="40">
        <v>59348</v>
      </c>
      <c r="F23" s="37">
        <v>28063</v>
      </c>
      <c r="G23">
        <f t="shared" si="9"/>
        <v>1.5562160041066546</v>
      </c>
      <c r="H23">
        <f t="shared" si="0"/>
        <v>1.8987271446854457</v>
      </c>
      <c r="K23" s="6">
        <v>21</v>
      </c>
      <c r="L23" s="4">
        <v>18261</v>
      </c>
      <c r="M23" s="6">
        <v>31854</v>
      </c>
      <c r="N23" s="6">
        <v>15580</v>
      </c>
      <c r="O23">
        <f t="shared" si="1"/>
        <v>0.76789694124014529</v>
      </c>
      <c r="P23">
        <f t="shared" si="2"/>
        <v>0.98861105652714998</v>
      </c>
      <c r="S23" s="6">
        <v>21</v>
      </c>
      <c r="T23" s="4">
        <v>23521</v>
      </c>
      <c r="U23" s="6">
        <v>37043</v>
      </c>
      <c r="V23" s="6">
        <v>11357</v>
      </c>
      <c r="W23">
        <f t="shared" si="3"/>
        <v>0.94741272551846134</v>
      </c>
      <c r="X23">
        <f t="shared" si="4"/>
        <v>0.79338529200937924</v>
      </c>
      <c r="AA23" s="6">
        <v>21</v>
      </c>
      <c r="AB23" s="4">
        <v>18790</v>
      </c>
      <c r="AC23" s="43">
        <v>45435</v>
      </c>
      <c r="AD23" s="44">
        <v>15573</v>
      </c>
      <c r="AE23" s="7">
        <f t="shared" si="5"/>
        <v>1.1757310030343839</v>
      </c>
      <c r="AF23" s="7">
        <f t="shared" si="6"/>
        <v>1.1103812160348201</v>
      </c>
      <c r="AG23" s="7"/>
      <c r="AH23" s="7"/>
      <c r="AI23" s="6">
        <v>21</v>
      </c>
      <c r="AJ23" s="4">
        <v>11976</v>
      </c>
      <c r="AK23" s="6">
        <v>14265</v>
      </c>
      <c r="AL23" s="6">
        <v>5060</v>
      </c>
      <c r="AM23" s="7">
        <f t="shared" si="7"/>
        <v>0.44518265465826984</v>
      </c>
      <c r="AN23" s="7">
        <f t="shared" si="8"/>
        <v>0.44280133159272062</v>
      </c>
      <c r="AO23" s="6"/>
      <c r="AP23" s="6"/>
      <c r="AQ23" t="s">
        <v>31</v>
      </c>
      <c r="AR23">
        <f>AVERAGE(D91,L68,T75,AB76,AJ79)</f>
        <v>37.200000000000003</v>
      </c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3:59" x14ac:dyDescent="0.25">
      <c r="C24">
        <v>22</v>
      </c>
      <c r="D24" s="4">
        <v>25520</v>
      </c>
      <c r="E24" s="6">
        <v>29880</v>
      </c>
      <c r="F24" s="38">
        <v>9760</v>
      </c>
      <c r="G24">
        <f t="shared" si="9"/>
        <v>0.78350970888162763</v>
      </c>
      <c r="H24">
        <f t="shared" si="0"/>
        <v>0.66035623176887537</v>
      </c>
      <c r="K24" s="6">
        <v>22</v>
      </c>
      <c r="L24" s="4">
        <v>25797</v>
      </c>
      <c r="M24" s="40">
        <v>43320</v>
      </c>
      <c r="N24" s="37">
        <v>17105</v>
      </c>
      <c r="O24">
        <f t="shared" si="1"/>
        <v>1.0443051263427856</v>
      </c>
      <c r="P24">
        <f t="shared" si="2"/>
        <v>1.0853781849741271</v>
      </c>
      <c r="S24" s="6">
        <v>22</v>
      </c>
      <c r="T24" s="4">
        <v>27943</v>
      </c>
      <c r="U24" s="6">
        <v>36852</v>
      </c>
      <c r="V24" s="6">
        <v>13852</v>
      </c>
      <c r="W24">
        <f t="shared" si="3"/>
        <v>0.9425277045813335</v>
      </c>
      <c r="X24">
        <f t="shared" si="4"/>
        <v>0.96768275644218738</v>
      </c>
      <c r="AA24" s="6">
        <v>22</v>
      </c>
      <c r="AB24" s="4">
        <v>31410</v>
      </c>
      <c r="AC24" s="45">
        <v>39241</v>
      </c>
      <c r="AD24" s="46">
        <v>15380</v>
      </c>
      <c r="AE24" s="7">
        <f t="shared" si="5"/>
        <v>1.0154475688361893</v>
      </c>
      <c r="AF24" s="7">
        <f t="shared" si="6"/>
        <v>1.0966199898937605</v>
      </c>
      <c r="AG24" s="7"/>
      <c r="AH24" s="7"/>
      <c r="AI24" s="6">
        <v>22</v>
      </c>
      <c r="AJ24" s="4">
        <v>17243</v>
      </c>
      <c r="AK24" s="6">
        <v>18896</v>
      </c>
      <c r="AL24" s="6">
        <v>7678</v>
      </c>
      <c r="AM24" s="7">
        <f t="shared" si="7"/>
        <v>0.58970707623012042</v>
      </c>
      <c r="AN24" s="7">
        <f t="shared" si="8"/>
        <v>0.67190289011243254</v>
      </c>
      <c r="AO24" s="7"/>
      <c r="AP24" s="7"/>
      <c r="AQ24" s="3" t="s">
        <v>32</v>
      </c>
      <c r="AR24">
        <f>AVERAGE(D92,L69,T76,AB77,AJ80)</f>
        <v>51.799212582110599</v>
      </c>
      <c r="AS24" s="3"/>
      <c r="AT24" s="3"/>
      <c r="AU24" s="3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3:59" x14ac:dyDescent="0.25">
      <c r="C25">
        <v>23</v>
      </c>
      <c r="D25" s="3">
        <v>7539</v>
      </c>
      <c r="E25" s="6">
        <v>36843</v>
      </c>
      <c r="F25" s="38">
        <v>12833</v>
      </c>
      <c r="G25">
        <f t="shared" si="9"/>
        <v>0.96609264405374184</v>
      </c>
      <c r="H25">
        <f t="shared" si="0"/>
        <v>0.86827372154610427</v>
      </c>
      <c r="K25" s="6">
        <v>23</v>
      </c>
      <c r="L25" s="4">
        <v>15720</v>
      </c>
      <c r="M25" s="6">
        <v>18952</v>
      </c>
      <c r="N25" s="6">
        <v>8328</v>
      </c>
      <c r="O25">
        <f t="shared" si="1"/>
        <v>0.45687143939170072</v>
      </c>
      <c r="P25">
        <f t="shared" si="2"/>
        <v>0.52844370210257419</v>
      </c>
      <c r="S25" s="6">
        <v>23</v>
      </c>
      <c r="T25" s="4">
        <v>29151</v>
      </c>
      <c r="U25" s="6">
        <v>41445</v>
      </c>
      <c r="V25" s="6">
        <v>12938</v>
      </c>
      <c r="W25">
        <f t="shared" si="3"/>
        <v>1.0599983913050408</v>
      </c>
      <c r="X25">
        <f t="shared" si="4"/>
        <v>0.90383190173614059</v>
      </c>
      <c r="AA25" s="6">
        <v>23</v>
      </c>
      <c r="AB25" s="4">
        <v>25885</v>
      </c>
      <c r="AC25" s="6">
        <v>30750</v>
      </c>
      <c r="AD25" s="6">
        <v>11292</v>
      </c>
      <c r="AE25" s="7">
        <f t="shared" si="5"/>
        <v>0.79572418495229025</v>
      </c>
      <c r="AF25" s="7">
        <f t="shared" si="6"/>
        <v>0.8051386817867584</v>
      </c>
      <c r="AG25" s="7"/>
      <c r="AH25" s="7"/>
      <c r="AI25" s="6">
        <v>23</v>
      </c>
      <c r="AJ25" s="4">
        <v>14626</v>
      </c>
      <c r="AK25" s="6">
        <v>17065</v>
      </c>
      <c r="AL25" s="6">
        <v>6953</v>
      </c>
      <c r="AM25" s="7">
        <f t="shared" si="7"/>
        <v>0.53256515960346129</v>
      </c>
      <c r="AN25" s="7">
        <f t="shared" si="8"/>
        <v>0.60845803528936493</v>
      </c>
      <c r="AO25" s="6"/>
      <c r="AP25" s="7"/>
      <c r="AR25" t="s">
        <v>11</v>
      </c>
      <c r="AS25" t="s">
        <v>0</v>
      </c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 spans="3:59" x14ac:dyDescent="0.25">
      <c r="C26">
        <v>24</v>
      </c>
      <c r="D26" s="3">
        <v>6243</v>
      </c>
      <c r="E26" s="6">
        <v>39811</v>
      </c>
      <c r="F26" s="38">
        <v>9054</v>
      </c>
      <c r="G26">
        <f t="shared" si="9"/>
        <v>1.043919177385759</v>
      </c>
      <c r="H26">
        <f t="shared" si="0"/>
        <v>0.61258866008559398</v>
      </c>
      <c r="K26" s="6">
        <v>24</v>
      </c>
      <c r="L26" s="4">
        <v>20547</v>
      </c>
      <c r="M26" s="6">
        <v>41560</v>
      </c>
      <c r="N26" s="6">
        <v>12347</v>
      </c>
      <c r="O26">
        <f t="shared" si="1"/>
        <v>1.0018772172392929</v>
      </c>
      <c r="P26">
        <f t="shared" si="2"/>
        <v>0.78346474421955847</v>
      </c>
      <c r="S26" s="6">
        <v>24</v>
      </c>
      <c r="T26" s="4">
        <v>19411</v>
      </c>
      <c r="U26" s="6">
        <v>29600</v>
      </c>
      <c r="V26" s="6">
        <v>11905</v>
      </c>
      <c r="W26">
        <f t="shared" si="3"/>
        <v>0.757050365125569</v>
      </c>
      <c r="X26">
        <f t="shared" si="4"/>
        <v>0.83166786135173554</v>
      </c>
      <c r="AA26" s="6">
        <v>24</v>
      </c>
      <c r="AB26" s="4">
        <v>21751</v>
      </c>
      <c r="AC26" s="6">
        <v>29324</v>
      </c>
      <c r="AD26" s="6">
        <v>11347</v>
      </c>
      <c r="AE26" s="7">
        <f t="shared" si="5"/>
        <v>0.75882328453791736</v>
      </c>
      <c r="AF26" s="7">
        <f t="shared" si="6"/>
        <v>0.80906027472851116</v>
      </c>
      <c r="AG26" s="7"/>
      <c r="AH26" s="7"/>
      <c r="AI26" s="6">
        <v>24</v>
      </c>
      <c r="AJ26" s="4">
        <v>19089</v>
      </c>
      <c r="AK26" s="6">
        <v>17456</v>
      </c>
      <c r="AL26" s="6">
        <v>7557</v>
      </c>
      <c r="AM26" s="7">
        <f t="shared" si="7"/>
        <v>0.54476750225830761</v>
      </c>
      <c r="AN26" s="7">
        <f t="shared" si="8"/>
        <v>0.66131416261782405</v>
      </c>
      <c r="AO26" s="6"/>
      <c r="AP26" s="6"/>
      <c r="AQ26" s="29" t="s">
        <v>10</v>
      </c>
      <c r="AR26">
        <f t="shared" ref="AR26:AS29" si="11">AVERAGE(D94,L71,T78,AB79,AJ82)</f>
        <v>36.682140665445992</v>
      </c>
      <c r="AS26">
        <f t="shared" si="11"/>
        <v>10.594690049933016</v>
      </c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3:59" x14ac:dyDescent="0.25">
      <c r="C27">
        <v>25</v>
      </c>
      <c r="D27" s="4">
        <v>10561</v>
      </c>
      <c r="E27" s="6">
        <v>21817</v>
      </c>
      <c r="F27" s="38">
        <v>9244</v>
      </c>
      <c r="G27">
        <f t="shared" si="9"/>
        <v>0.57208270812150175</v>
      </c>
      <c r="H27">
        <f t="shared" si="0"/>
        <v>0.62544395558109467</v>
      </c>
      <c r="K27" s="6">
        <v>25</v>
      </c>
      <c r="L27" s="4">
        <v>13972</v>
      </c>
      <c r="M27" s="6">
        <v>15292</v>
      </c>
      <c r="N27" s="6">
        <v>7096</v>
      </c>
      <c r="O27">
        <f t="shared" si="1"/>
        <v>0.36864067386966481</v>
      </c>
      <c r="P27">
        <f t="shared" si="2"/>
        <v>0.4502685530883605</v>
      </c>
      <c r="S27" s="6">
        <v>25</v>
      </c>
      <c r="T27" s="4">
        <v>28469</v>
      </c>
      <c r="U27" s="40">
        <v>49827</v>
      </c>
      <c r="V27" s="37">
        <v>15605</v>
      </c>
      <c r="W27">
        <f t="shared" si="3"/>
        <v>1.2743766399699907</v>
      </c>
      <c r="X27">
        <f t="shared" si="4"/>
        <v>1.0901450631158196</v>
      </c>
      <c r="AA27" s="6">
        <v>25</v>
      </c>
      <c r="AB27" s="4">
        <v>22935</v>
      </c>
      <c r="AC27" s="6">
        <v>45148</v>
      </c>
      <c r="AD27" s="6">
        <v>12509</v>
      </c>
      <c r="AE27" s="7">
        <f t="shared" si="5"/>
        <v>1.1683042439748292</v>
      </c>
      <c r="AF27" s="7">
        <f t="shared" si="6"/>
        <v>0.8919128383342686</v>
      </c>
      <c r="AG27" s="7"/>
      <c r="AH27" s="7"/>
      <c r="AI27" s="6">
        <v>25</v>
      </c>
      <c r="AJ27" s="4">
        <v>22204</v>
      </c>
      <c r="AK27" s="6">
        <v>24261</v>
      </c>
      <c r="AL27" s="6">
        <v>9486</v>
      </c>
      <c r="AM27" s="7">
        <f t="shared" si="7"/>
        <v>0.75713819731260323</v>
      </c>
      <c r="AN27" s="7">
        <f t="shared" si="8"/>
        <v>0.83012123151947581</v>
      </c>
      <c r="AO27" s="7"/>
      <c r="AP27" s="6"/>
      <c r="AQ27" s="20" t="s">
        <v>12</v>
      </c>
      <c r="AR27">
        <f t="shared" si="11"/>
        <v>8.2195071192610847</v>
      </c>
      <c r="AS27">
        <f t="shared" si="11"/>
        <v>6.4490723825762188</v>
      </c>
      <c r="AT27" s="3"/>
      <c r="AU27" s="3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</row>
    <row r="28" spans="3:59" x14ac:dyDescent="0.25">
      <c r="C28">
        <v>26</v>
      </c>
      <c r="D28" s="4">
        <v>18543</v>
      </c>
      <c r="E28" s="6">
        <v>30202</v>
      </c>
      <c r="F28" s="38">
        <v>11160</v>
      </c>
      <c r="G28">
        <f t="shared" si="9"/>
        <v>0.79195315353557294</v>
      </c>
      <c r="H28">
        <f t="shared" si="0"/>
        <v>0.75507946173572227</v>
      </c>
      <c r="K28" s="6">
        <v>26</v>
      </c>
      <c r="L28" s="4">
        <v>22383</v>
      </c>
      <c r="M28" s="6">
        <v>22391</v>
      </c>
      <c r="N28" s="6">
        <v>8609</v>
      </c>
      <c r="O28">
        <f t="shared" si="1"/>
        <v>0.53977460950926393</v>
      </c>
      <c r="P28">
        <f t="shared" si="2"/>
        <v>0.54627423527870567</v>
      </c>
      <c r="S28" s="6">
        <v>26</v>
      </c>
      <c r="T28" s="4">
        <v>29956</v>
      </c>
      <c r="U28" s="6">
        <v>32234</v>
      </c>
      <c r="V28" s="6">
        <v>16241</v>
      </c>
      <c r="W28">
        <f t="shared" si="3"/>
        <v>0.82441761721140516</v>
      </c>
      <c r="X28">
        <f t="shared" si="4"/>
        <v>1.1345751983379704</v>
      </c>
      <c r="AA28" s="6">
        <v>26</v>
      </c>
      <c r="AB28" s="4">
        <v>21393</v>
      </c>
      <c r="AC28" s="6">
        <v>27993</v>
      </c>
      <c r="AD28" s="6">
        <v>10407</v>
      </c>
      <c r="AE28" s="7">
        <f t="shared" si="5"/>
        <v>0.7243807190038849</v>
      </c>
      <c r="AF28" s="7">
        <f t="shared" si="6"/>
        <v>0.74203668626946462</v>
      </c>
      <c r="AG28" s="7"/>
      <c r="AH28" s="7"/>
      <c r="AI28" s="6">
        <v>26</v>
      </c>
      <c r="AJ28" s="4">
        <v>15644</v>
      </c>
      <c r="AK28" s="6">
        <v>16391</v>
      </c>
      <c r="AL28" s="6">
        <v>6368</v>
      </c>
      <c r="AM28" s="7">
        <f t="shared" si="7"/>
        <v>0.51153094234165453</v>
      </c>
      <c r="AN28" s="7">
        <f t="shared" si="8"/>
        <v>0.557264600707993</v>
      </c>
      <c r="AO28" s="6"/>
      <c r="AP28" s="7"/>
      <c r="AQ28" s="9" t="s">
        <v>13</v>
      </c>
      <c r="AR28">
        <f t="shared" si="11"/>
        <v>6.4345774583344832</v>
      </c>
      <c r="AS28">
        <f t="shared" si="11"/>
        <v>7.6591564161896644</v>
      </c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</row>
    <row r="29" spans="3:59" x14ac:dyDescent="0.25">
      <c r="C29">
        <v>27</v>
      </c>
      <c r="D29" s="3">
        <v>5429</v>
      </c>
      <c r="E29" s="41">
        <v>51579</v>
      </c>
      <c r="F29" s="42">
        <v>18136</v>
      </c>
      <c r="G29">
        <f t="shared" si="9"/>
        <v>1.35249823542187</v>
      </c>
      <c r="H29">
        <f t="shared" si="0"/>
        <v>1.227071784770525</v>
      </c>
      <c r="K29" s="6">
        <v>27</v>
      </c>
      <c r="L29" s="4">
        <v>19150</v>
      </c>
      <c r="M29" s="6">
        <v>33559</v>
      </c>
      <c r="N29" s="6">
        <v>13646</v>
      </c>
      <c r="O29">
        <f t="shared" si="1"/>
        <v>0.80899897818415389</v>
      </c>
      <c r="P29">
        <f t="shared" si="2"/>
        <v>0.86589130149996718</v>
      </c>
      <c r="S29" s="6">
        <v>27</v>
      </c>
      <c r="T29" s="4">
        <v>18726</v>
      </c>
      <c r="U29" s="6">
        <v>30158</v>
      </c>
      <c r="V29" s="6">
        <v>12342</v>
      </c>
      <c r="W29">
        <f t="shared" si="3"/>
        <v>0.77132178754921998</v>
      </c>
      <c r="X29">
        <f t="shared" si="4"/>
        <v>0.8621961146411693</v>
      </c>
      <c r="AA29" s="6">
        <v>27</v>
      </c>
      <c r="AB29" s="4">
        <v>30425</v>
      </c>
      <c r="AC29" s="6">
        <v>31892</v>
      </c>
      <c r="AD29" s="6">
        <v>12587</v>
      </c>
      <c r="AE29" s="7">
        <f t="shared" si="5"/>
        <v>0.8252759579349086</v>
      </c>
      <c r="AF29" s="7">
        <f t="shared" si="6"/>
        <v>0.89747437014257248</v>
      </c>
      <c r="AG29" s="7"/>
      <c r="AH29" s="7"/>
      <c r="AI29" s="6">
        <v>27</v>
      </c>
      <c r="AJ29" s="4">
        <v>22525</v>
      </c>
      <c r="AK29" s="6">
        <v>31293</v>
      </c>
      <c r="AL29" s="6">
        <v>9556</v>
      </c>
      <c r="AM29" s="7">
        <f t="shared" si="7"/>
        <v>0.97659311687495542</v>
      </c>
      <c r="AN29" s="7">
        <f t="shared" si="8"/>
        <v>0.83624694164032376</v>
      </c>
      <c r="AO29" s="6"/>
      <c r="AP29" s="7"/>
      <c r="AQ29" t="s">
        <v>15</v>
      </c>
      <c r="AR29">
        <f t="shared" si="11"/>
        <v>48.663774756958439</v>
      </c>
      <c r="AS29">
        <f t="shared" si="11"/>
        <v>75.2970811513011</v>
      </c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3:59" x14ac:dyDescent="0.25">
      <c r="C30">
        <v>28</v>
      </c>
      <c r="D30" s="3">
        <v>5432</v>
      </c>
      <c r="E30" s="45">
        <v>65045</v>
      </c>
      <c r="F30" s="46">
        <v>23295</v>
      </c>
      <c r="G30">
        <f t="shared" si="9"/>
        <v>1.705602041974748</v>
      </c>
      <c r="H30">
        <f t="shared" si="0"/>
        <v>1.5761268871983556</v>
      </c>
      <c r="K30" s="6">
        <v>28</v>
      </c>
      <c r="L30" s="4">
        <v>14800</v>
      </c>
      <c r="M30" s="6">
        <v>23043</v>
      </c>
      <c r="N30" s="6">
        <v>6296</v>
      </c>
      <c r="O30">
        <f t="shared" si="1"/>
        <v>0.55549222129078513</v>
      </c>
      <c r="P30">
        <f t="shared" si="2"/>
        <v>0.3995054693128971</v>
      </c>
      <c r="S30" s="6">
        <v>28</v>
      </c>
      <c r="T30" s="4">
        <v>26543</v>
      </c>
      <c r="U30" s="6">
        <v>35568</v>
      </c>
      <c r="V30" s="6">
        <v>11951</v>
      </c>
      <c r="W30">
        <f t="shared" si="3"/>
        <v>0.90968808739142704</v>
      </c>
      <c r="X30">
        <f t="shared" si="4"/>
        <v>0.83488136169799176</v>
      </c>
      <c r="AA30" s="6">
        <v>28</v>
      </c>
      <c r="AB30" s="4">
        <v>22940</v>
      </c>
      <c r="AC30" s="6">
        <v>30084</v>
      </c>
      <c r="AD30" s="6">
        <v>12301</v>
      </c>
      <c r="AE30" s="7">
        <f t="shared" si="5"/>
        <v>0.7784899635806406</v>
      </c>
      <c r="AF30" s="7">
        <f t="shared" si="6"/>
        <v>0.8770820868454583</v>
      </c>
      <c r="AG30" s="7"/>
      <c r="AH30" s="7"/>
      <c r="AI30" s="6">
        <v>28</v>
      </c>
      <c r="AJ30" s="4">
        <v>21083</v>
      </c>
      <c r="AK30" s="6">
        <v>32125</v>
      </c>
      <c r="AL30" s="6">
        <v>9315</v>
      </c>
      <c r="AM30" s="7">
        <f t="shared" si="7"/>
        <v>1.0025582040586694</v>
      </c>
      <c r="AN30" s="7">
        <f t="shared" si="8"/>
        <v>0.8151569967956902</v>
      </c>
      <c r="AO30" s="6"/>
      <c r="AP30" s="7"/>
      <c r="AQ30" t="s">
        <v>11</v>
      </c>
      <c r="AR30">
        <f>SUM(AR26:AR29)</f>
        <v>100</v>
      </c>
      <c r="AS30">
        <f>AVERAGE(E98,M75,U82,AC83,AK86)</f>
        <v>100</v>
      </c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</row>
    <row r="31" spans="3:59" x14ac:dyDescent="0.25">
      <c r="C31">
        <v>29</v>
      </c>
      <c r="D31" s="4">
        <v>16968</v>
      </c>
      <c r="E31" s="6">
        <v>21096</v>
      </c>
      <c r="F31" s="38">
        <v>8632</v>
      </c>
      <c r="G31">
        <f t="shared" si="9"/>
        <v>0.55317673422245039</v>
      </c>
      <c r="H31">
        <f t="shared" si="0"/>
        <v>0.58403637219558735</v>
      </c>
      <c r="K31" s="6">
        <v>29</v>
      </c>
      <c r="L31" s="4">
        <v>17269</v>
      </c>
      <c r="M31" s="6">
        <v>34474</v>
      </c>
      <c r="N31" s="6">
        <v>16641</v>
      </c>
      <c r="O31">
        <f t="shared" si="1"/>
        <v>0.83105666956466284</v>
      </c>
      <c r="P31">
        <f t="shared" si="2"/>
        <v>1.0559355963843584</v>
      </c>
      <c r="S31" s="6">
        <v>29</v>
      </c>
      <c r="T31" s="4">
        <v>18652</v>
      </c>
      <c r="U31" s="6">
        <v>15896</v>
      </c>
      <c r="V31" s="6">
        <v>6217</v>
      </c>
      <c r="W31">
        <f t="shared" si="3"/>
        <v>0.40655650689310963</v>
      </c>
      <c r="X31">
        <f t="shared" si="4"/>
        <v>0.43431155766684082</v>
      </c>
      <c r="AA31" s="6">
        <v>29</v>
      </c>
      <c r="AB31" s="4">
        <v>21645</v>
      </c>
      <c r="AC31" s="6">
        <v>17374</v>
      </c>
      <c r="AD31" s="6">
        <v>7514</v>
      </c>
      <c r="AE31" s="7">
        <f t="shared" si="5"/>
        <v>0.44959063380036068</v>
      </c>
      <c r="AF31" s="7">
        <f t="shared" si="6"/>
        <v>0.53576089753327161</v>
      </c>
      <c r="AG31" s="7"/>
      <c r="AH31" s="7"/>
      <c r="AI31" s="6">
        <v>29</v>
      </c>
      <c r="AJ31" s="4">
        <v>16066</v>
      </c>
      <c r="AK31" s="40">
        <v>40238</v>
      </c>
      <c r="AL31" s="37">
        <v>12123</v>
      </c>
      <c r="AM31" s="7">
        <f t="shared" si="7"/>
        <v>1.2557490121373616</v>
      </c>
      <c r="AN31" s="7">
        <f t="shared" si="8"/>
        <v>1.060885482786275</v>
      </c>
      <c r="AO31" s="7"/>
      <c r="AP31" s="7"/>
      <c r="AQ31" s="3"/>
      <c r="AR31" s="3"/>
      <c r="AS31" s="3"/>
      <c r="AT31" s="3"/>
      <c r="AU31" s="3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</row>
    <row r="32" spans="3:59" x14ac:dyDescent="0.25">
      <c r="C32">
        <v>30</v>
      </c>
      <c r="D32" s="3">
        <v>5125</v>
      </c>
      <c r="E32" s="40">
        <v>45331</v>
      </c>
      <c r="F32" s="37">
        <v>20522</v>
      </c>
      <c r="G32">
        <f t="shared" si="9"/>
        <v>1.1886639428819632</v>
      </c>
      <c r="H32">
        <f t="shared" si="0"/>
        <v>1.3885072324140226</v>
      </c>
      <c r="K32" s="6">
        <v>30</v>
      </c>
      <c r="L32" s="4">
        <v>21603</v>
      </c>
      <c r="M32" s="6">
        <v>21028</v>
      </c>
      <c r="N32" s="6">
        <v>8234</v>
      </c>
      <c r="O32">
        <f t="shared" si="1"/>
        <v>0.50691708672059321</v>
      </c>
      <c r="P32">
        <f t="shared" si="2"/>
        <v>0.52247903975895726</v>
      </c>
      <c r="S32" s="6">
        <v>30</v>
      </c>
      <c r="T32" s="4">
        <v>24073</v>
      </c>
      <c r="U32" s="6">
        <v>35307</v>
      </c>
      <c r="V32" s="6">
        <v>11781</v>
      </c>
      <c r="W32">
        <f t="shared" si="3"/>
        <v>0.90301274464488057</v>
      </c>
      <c r="X32">
        <f t="shared" si="4"/>
        <v>0.82300538215747976</v>
      </c>
      <c r="AA32" s="6">
        <v>30</v>
      </c>
      <c r="AB32" s="4">
        <v>24308</v>
      </c>
      <c r="AC32" s="6">
        <v>29558</v>
      </c>
      <c r="AD32" s="6">
        <v>10163</v>
      </c>
      <c r="AE32" s="7">
        <f t="shared" si="5"/>
        <v>0.76487855150633477</v>
      </c>
      <c r="AF32" s="7">
        <f t="shared" si="6"/>
        <v>0.72463907394605254</v>
      </c>
      <c r="AG32" s="7"/>
      <c r="AH32" s="7"/>
      <c r="AI32" s="6">
        <v>30</v>
      </c>
      <c r="AJ32" s="4">
        <v>16416</v>
      </c>
      <c r="AK32" s="6">
        <v>28447</v>
      </c>
      <c r="AL32" s="6">
        <v>10826</v>
      </c>
      <c r="AM32" s="7">
        <f t="shared" si="7"/>
        <v>0.88777504220566439</v>
      </c>
      <c r="AN32" s="7">
        <f t="shared" si="8"/>
        <v>0.94738482526142154</v>
      </c>
      <c r="AO32" s="7"/>
      <c r="AP32" s="7"/>
      <c r="AQ32" t="s">
        <v>16</v>
      </c>
      <c r="AR32" s="3">
        <f>AVERAGE(D100,L77,T84,AB85,AJ88)</f>
        <v>48935.30780215752</v>
      </c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</row>
    <row r="33" spans="3:59" x14ac:dyDescent="0.25">
      <c r="C33">
        <v>31</v>
      </c>
      <c r="D33" s="4">
        <v>18092</v>
      </c>
      <c r="E33" s="6">
        <v>25408</v>
      </c>
      <c r="F33" s="38">
        <v>8317</v>
      </c>
      <c r="G33">
        <f t="shared" si="9"/>
        <v>0.66624547132745637</v>
      </c>
      <c r="H33">
        <f t="shared" si="0"/>
        <v>0.56272364545304676</v>
      </c>
      <c r="K33" s="6">
        <v>31</v>
      </c>
      <c r="L33" s="4">
        <v>16927</v>
      </c>
      <c r="M33" s="6">
        <v>21311</v>
      </c>
      <c r="N33" s="6">
        <v>11099</v>
      </c>
      <c r="O33">
        <f t="shared" si="1"/>
        <v>0.51373930165030257</v>
      </c>
      <c r="P33">
        <f t="shared" si="2"/>
        <v>0.70427433352983559</v>
      </c>
      <c r="S33" s="6">
        <v>31</v>
      </c>
      <c r="T33" s="4">
        <v>18273</v>
      </c>
      <c r="U33" s="6">
        <v>36656</v>
      </c>
      <c r="V33" s="6">
        <v>13951</v>
      </c>
      <c r="W33">
        <f t="shared" si="3"/>
        <v>0.93751480351496141</v>
      </c>
      <c r="X33">
        <f t="shared" si="4"/>
        <v>0.97459876805695611</v>
      </c>
      <c r="AA33" s="6">
        <v>31</v>
      </c>
      <c r="AB33" s="4">
        <v>20219</v>
      </c>
      <c r="AC33" s="6">
        <v>24152</v>
      </c>
      <c r="AD33" s="6">
        <v>11429</v>
      </c>
      <c r="AE33" s="7">
        <f t="shared" si="5"/>
        <v>0.62498635821033222</v>
      </c>
      <c r="AF33" s="7">
        <f t="shared" si="6"/>
        <v>0.81490701329621518</v>
      </c>
      <c r="AG33" s="7"/>
      <c r="AH33" s="7"/>
      <c r="AI33" s="6">
        <v>31</v>
      </c>
      <c r="AJ33" s="4">
        <v>24709</v>
      </c>
      <c r="AK33" s="6">
        <v>27165</v>
      </c>
      <c r="AL33" s="6">
        <v>11684</v>
      </c>
      <c r="AM33" s="7">
        <f t="shared" si="7"/>
        <v>0.84776633815575886</v>
      </c>
      <c r="AN33" s="7">
        <f t="shared" si="8"/>
        <v>1.0224685293141003</v>
      </c>
      <c r="AO33" s="7"/>
      <c r="AP33" s="7"/>
      <c r="AQ33" t="s">
        <v>19</v>
      </c>
      <c r="AR33" s="3">
        <f>AVERAGE(D101,L78,T85,AB86,AJ89)</f>
        <v>28873.698619449191</v>
      </c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</row>
    <row r="34" spans="3:59" x14ac:dyDescent="0.25">
      <c r="C34">
        <v>32</v>
      </c>
      <c r="D34" s="4">
        <v>16933</v>
      </c>
      <c r="E34" s="41">
        <v>44076</v>
      </c>
      <c r="F34" s="42">
        <v>16181</v>
      </c>
      <c r="G34">
        <f t="shared" si="9"/>
        <v>1.1557554862338226</v>
      </c>
      <c r="H34">
        <f t="shared" si="0"/>
        <v>1.0947975600668209</v>
      </c>
      <c r="K34" s="6">
        <v>32</v>
      </c>
      <c r="L34" s="4">
        <v>15158</v>
      </c>
      <c r="M34" s="6">
        <v>18355</v>
      </c>
      <c r="N34" s="6">
        <v>6197</v>
      </c>
      <c r="O34">
        <f t="shared" si="1"/>
        <v>0.44247969976966367</v>
      </c>
      <c r="P34">
        <f t="shared" si="2"/>
        <v>0.39322353769568347</v>
      </c>
      <c r="S34" s="6">
        <v>32</v>
      </c>
      <c r="T34" s="4">
        <v>11459</v>
      </c>
      <c r="U34" s="6">
        <v>24786</v>
      </c>
      <c r="V34" s="6">
        <v>9862</v>
      </c>
      <c r="W34">
        <f t="shared" si="3"/>
        <v>0.63392737668926868</v>
      </c>
      <c r="X34">
        <f t="shared" si="4"/>
        <v>0.68894653075605339</v>
      </c>
      <c r="AA34" s="6">
        <v>32</v>
      </c>
      <c r="AB34" s="4">
        <v>17562</v>
      </c>
      <c r="AC34" s="6">
        <v>22314</v>
      </c>
      <c r="AD34" s="6">
        <v>9705</v>
      </c>
      <c r="AE34" s="7">
        <f t="shared" si="5"/>
        <v>0.57742404757806198</v>
      </c>
      <c r="AF34" s="7">
        <f t="shared" si="6"/>
        <v>0.69198289999472995</v>
      </c>
      <c r="AG34" s="7"/>
      <c r="AH34" s="7"/>
      <c r="AI34" s="6">
        <v>32</v>
      </c>
      <c r="AJ34" s="4">
        <v>18207</v>
      </c>
      <c r="AK34" s="6">
        <v>24017</v>
      </c>
      <c r="AL34" s="6">
        <v>8569</v>
      </c>
      <c r="AM34" s="7">
        <f t="shared" si="7"/>
        <v>0.74952343616737938</v>
      </c>
      <c r="AN34" s="7">
        <f t="shared" si="8"/>
        <v>0.74987442893636813</v>
      </c>
      <c r="AO34" s="7"/>
      <c r="AP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</row>
    <row r="35" spans="3:59" x14ac:dyDescent="0.25">
      <c r="C35">
        <v>33</v>
      </c>
      <c r="D35" s="3">
        <v>5794</v>
      </c>
      <c r="E35" s="43">
        <v>60468</v>
      </c>
      <c r="F35" s="44">
        <v>27440</v>
      </c>
      <c r="G35">
        <f t="shared" si="9"/>
        <v>1.5855845072508119</v>
      </c>
      <c r="H35">
        <f t="shared" si="0"/>
        <v>1.8565753073501987</v>
      </c>
      <c r="K35" s="6">
        <v>33</v>
      </c>
      <c r="L35" s="4">
        <v>15632</v>
      </c>
      <c r="M35" s="6">
        <v>29381</v>
      </c>
      <c r="N35" s="6">
        <v>9568</v>
      </c>
      <c r="O35">
        <f t="shared" si="1"/>
        <v>0.70828090759643092</v>
      </c>
      <c r="P35">
        <f t="shared" si="2"/>
        <v>0.60712648195454244</v>
      </c>
      <c r="S35" s="6">
        <v>33</v>
      </c>
      <c r="T35" s="4">
        <v>14344</v>
      </c>
      <c r="U35" s="6">
        <v>23817</v>
      </c>
      <c r="V35" s="6">
        <v>8452</v>
      </c>
      <c r="W35">
        <f t="shared" si="3"/>
        <v>0.60914420764174593</v>
      </c>
      <c r="X35">
        <f t="shared" si="4"/>
        <v>0.59044575927298348</v>
      </c>
      <c r="AA35" s="6">
        <v>33</v>
      </c>
      <c r="AB35" s="4">
        <v>19336</v>
      </c>
      <c r="AC35" s="6">
        <v>32007</v>
      </c>
      <c r="AD35" s="6">
        <v>9409</v>
      </c>
      <c r="AE35" s="7">
        <f t="shared" si="5"/>
        <v>0.82825183700058391</v>
      </c>
      <c r="AF35" s="7">
        <f t="shared" si="6"/>
        <v>0.67087759979911532</v>
      </c>
      <c r="AG35" s="7"/>
      <c r="AH35" s="7"/>
      <c r="AI35" s="6">
        <v>33</v>
      </c>
      <c r="AJ35" s="4">
        <v>25506</v>
      </c>
      <c r="AK35" s="6">
        <v>26406</v>
      </c>
      <c r="AL35" s="6">
        <v>9094</v>
      </c>
      <c r="AM35" s="7">
        <f t="shared" si="7"/>
        <v>0.82407943770811598</v>
      </c>
      <c r="AN35" s="7">
        <f t="shared" si="8"/>
        <v>0.79581725484272747</v>
      </c>
      <c r="AO35" s="7"/>
      <c r="AP35" s="7"/>
      <c r="AQ35" t="s">
        <v>17</v>
      </c>
      <c r="AS35" s="3">
        <f>AVERAGE(E103,M80,U87,AC88,AK91)</f>
        <v>17844.162442830158</v>
      </c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3:59" x14ac:dyDescent="0.25">
      <c r="C36">
        <v>34</v>
      </c>
      <c r="D36" s="3">
        <v>4946</v>
      </c>
      <c r="E36" s="45">
        <v>70578</v>
      </c>
      <c r="F36" s="46">
        <v>18517</v>
      </c>
      <c r="G36">
        <f t="shared" si="9"/>
        <v>1.8506876918824471</v>
      </c>
      <c r="H36">
        <f t="shared" si="0"/>
        <v>1.2528500352115026</v>
      </c>
      <c r="K36" s="6">
        <v>34</v>
      </c>
      <c r="L36" s="4">
        <v>15678</v>
      </c>
      <c r="M36" s="6">
        <v>22792</v>
      </c>
      <c r="N36" s="6">
        <v>9826</v>
      </c>
      <c r="O36">
        <f t="shared" si="1"/>
        <v>0.54944142289023024</v>
      </c>
      <c r="P36">
        <f t="shared" si="2"/>
        <v>0.62349757647212944</v>
      </c>
      <c r="S36" s="6">
        <v>34</v>
      </c>
      <c r="T36" s="4">
        <v>10695</v>
      </c>
      <c r="U36" s="6">
        <v>18339</v>
      </c>
      <c r="V36" s="6">
        <v>6983</v>
      </c>
      <c r="W36">
        <f t="shared" si="3"/>
        <v>0.46903873804181795</v>
      </c>
      <c r="X36">
        <f t="shared" si="4"/>
        <v>0.48782332430232417</v>
      </c>
      <c r="AA36" s="6">
        <v>34</v>
      </c>
      <c r="AB36" s="4">
        <v>15232</v>
      </c>
      <c r="AC36" s="6">
        <v>14884</v>
      </c>
      <c r="AD36" s="6">
        <v>6562</v>
      </c>
      <c r="AE36" s="7">
        <f t="shared" si="5"/>
        <v>0.38515638272617525</v>
      </c>
      <c r="AF36" s="7">
        <f t="shared" si="6"/>
        <v>0.46788168879602449</v>
      </c>
      <c r="AG36" s="7"/>
      <c r="AH36" s="7"/>
      <c r="AI36" s="6">
        <v>34</v>
      </c>
      <c r="AJ36" s="4">
        <v>19569</v>
      </c>
      <c r="AK36" s="6">
        <v>17185</v>
      </c>
      <c r="AL36" s="6">
        <v>5754</v>
      </c>
      <c r="AM36" s="7">
        <f t="shared" si="7"/>
        <v>0.53631012410111234</v>
      </c>
      <c r="AN36" s="7">
        <f t="shared" si="8"/>
        <v>0.50353337193369851</v>
      </c>
      <c r="AO36" s="7"/>
      <c r="AP36" s="7"/>
      <c r="AQ36" t="s">
        <v>18</v>
      </c>
      <c r="AS36" s="3">
        <f>AVERAGE(E104,M81,U88,AC89,AK92)</f>
        <v>10698.240154934832</v>
      </c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3:59" x14ac:dyDescent="0.25">
      <c r="C37">
        <v>35</v>
      </c>
      <c r="D37" s="4">
        <v>19452</v>
      </c>
      <c r="E37" s="6">
        <v>35130</v>
      </c>
      <c r="F37" s="38">
        <v>10748</v>
      </c>
      <c r="G37">
        <f t="shared" si="9"/>
        <v>0.92117456736986547</v>
      </c>
      <c r="H37">
        <f t="shared" si="0"/>
        <v>0.72720376834547873</v>
      </c>
      <c r="K37" s="6">
        <v>35</v>
      </c>
      <c r="L37" s="6">
        <v>5220</v>
      </c>
      <c r="M37" s="41">
        <v>60382</v>
      </c>
      <c r="N37" s="42">
        <v>22590</v>
      </c>
      <c r="O37">
        <f t="shared" si="1"/>
        <v>1.4556147769813039</v>
      </c>
      <c r="P37">
        <f t="shared" si="2"/>
        <v>1.4334225781096481</v>
      </c>
      <c r="S37" s="6">
        <v>35</v>
      </c>
      <c r="T37" s="4">
        <v>12561</v>
      </c>
      <c r="U37" s="6">
        <v>20911</v>
      </c>
      <c r="V37" s="6">
        <v>9545</v>
      </c>
      <c r="W37">
        <f t="shared" si="3"/>
        <v>0.53482027652502617</v>
      </c>
      <c r="X37">
        <f t="shared" si="4"/>
        <v>0.66680132184815755</v>
      </c>
      <c r="AA37" s="6">
        <v>35</v>
      </c>
      <c r="AB37" s="4">
        <v>10482</v>
      </c>
      <c r="AC37" s="6">
        <v>14746</v>
      </c>
      <c r="AD37" s="6">
        <v>5246</v>
      </c>
      <c r="AE37" s="7">
        <f t="shared" si="5"/>
        <v>0.38158532784736493</v>
      </c>
      <c r="AF37" s="7">
        <f t="shared" si="6"/>
        <v>0.37404866495335942</v>
      </c>
      <c r="AG37" s="7"/>
      <c r="AH37" s="7"/>
      <c r="AI37" s="6">
        <v>35</v>
      </c>
      <c r="AJ37" s="4">
        <v>17200</v>
      </c>
      <c r="AK37" s="6">
        <v>16168</v>
      </c>
      <c r="AL37" s="6">
        <v>5874</v>
      </c>
      <c r="AM37" s="7">
        <f t="shared" si="7"/>
        <v>0.50457154998351961</v>
      </c>
      <c r="AN37" s="7">
        <f t="shared" si="8"/>
        <v>0.51403458928372348</v>
      </c>
      <c r="AO37" s="7"/>
      <c r="AP37" s="7"/>
      <c r="AV37" s="3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3:59" x14ac:dyDescent="0.25">
      <c r="C38">
        <v>36</v>
      </c>
      <c r="D38" s="4">
        <v>23819</v>
      </c>
      <c r="E38" s="6">
        <v>27085</v>
      </c>
      <c r="F38" s="38">
        <v>11064</v>
      </c>
      <c r="G38">
        <f t="shared" si="9"/>
        <v>0.71021956041027057</v>
      </c>
      <c r="H38">
        <f t="shared" si="0"/>
        <v>0.74858415453799554</v>
      </c>
      <c r="K38" s="6">
        <v>36</v>
      </c>
      <c r="L38" s="6">
        <v>12870</v>
      </c>
      <c r="M38" s="43">
        <v>66159</v>
      </c>
      <c r="N38" s="44">
        <v>23551</v>
      </c>
      <c r="O38">
        <f t="shared" si="1"/>
        <v>1.5948795672602114</v>
      </c>
      <c r="P38">
        <f t="shared" si="2"/>
        <v>1.4944017324949237</v>
      </c>
      <c r="S38" s="6">
        <v>36</v>
      </c>
      <c r="T38" s="6">
        <v>7380</v>
      </c>
      <c r="U38" s="6">
        <v>7636</v>
      </c>
      <c r="V38" s="6">
        <v>4463</v>
      </c>
      <c r="W38">
        <f t="shared" si="3"/>
        <v>0.19529853338171774</v>
      </c>
      <c r="X38">
        <f t="shared" si="4"/>
        <v>0.31177939229002904</v>
      </c>
      <c r="AA38" s="6">
        <v>36</v>
      </c>
      <c r="AB38" s="4">
        <v>13672</v>
      </c>
      <c r="AC38" s="6">
        <v>21241</v>
      </c>
      <c r="AD38" s="6">
        <v>6603</v>
      </c>
      <c r="AE38" s="7">
        <f t="shared" si="5"/>
        <v>0.54965780203484871</v>
      </c>
      <c r="AF38" s="7">
        <f t="shared" si="6"/>
        <v>0.47080505807987649</v>
      </c>
      <c r="AG38" s="7"/>
      <c r="AH38" s="7"/>
      <c r="AI38" s="6">
        <v>36</v>
      </c>
      <c r="AJ38" s="4">
        <v>14758</v>
      </c>
      <c r="AK38" s="6">
        <v>28105</v>
      </c>
      <c r="AL38" s="6">
        <v>9453</v>
      </c>
      <c r="AM38" s="7">
        <f t="shared" si="7"/>
        <v>0.87710189338735889</v>
      </c>
      <c r="AN38" s="7">
        <f t="shared" si="8"/>
        <v>0.82723339674821894</v>
      </c>
      <c r="AO38" s="7"/>
      <c r="AP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spans="3:59" x14ac:dyDescent="0.25">
      <c r="C39">
        <v>37</v>
      </c>
      <c r="D39" s="4">
        <v>18876</v>
      </c>
      <c r="E39" s="6">
        <v>35909</v>
      </c>
      <c r="F39" s="38">
        <v>13802</v>
      </c>
      <c r="G39">
        <f t="shared" si="9"/>
        <v>0.94160141018173926</v>
      </c>
      <c r="H39">
        <f t="shared" si="0"/>
        <v>0.93383572857315755</v>
      </c>
      <c r="K39" s="6">
        <v>37</v>
      </c>
      <c r="L39" s="6">
        <v>5287</v>
      </c>
      <c r="M39" s="43">
        <v>63713</v>
      </c>
      <c r="N39" s="44">
        <v>27120</v>
      </c>
      <c r="O39">
        <f t="shared" si="1"/>
        <v>1.535914416312971</v>
      </c>
      <c r="P39">
        <f t="shared" si="2"/>
        <v>1.7208685399882098</v>
      </c>
      <c r="S39" s="6">
        <v>37</v>
      </c>
      <c r="T39" s="6">
        <v>13077</v>
      </c>
      <c r="U39" s="6">
        <v>22090</v>
      </c>
      <c r="V39" s="6">
        <v>8677</v>
      </c>
      <c r="W39">
        <f t="shared" si="3"/>
        <v>0.5649744110008047</v>
      </c>
      <c r="X39">
        <f t="shared" si="4"/>
        <v>0.60616396748836698</v>
      </c>
      <c r="AA39" s="6">
        <v>37</v>
      </c>
      <c r="AB39" s="3">
        <v>3373</v>
      </c>
      <c r="AC39" s="6">
        <v>36697</v>
      </c>
      <c r="AD39" s="6">
        <v>17176</v>
      </c>
      <c r="AE39" s="7">
        <f t="shared" si="5"/>
        <v>0.9496159484615998</v>
      </c>
      <c r="AF39" s="7">
        <f t="shared" si="6"/>
        <v>1.2246778248644494</v>
      </c>
      <c r="AG39" s="7"/>
      <c r="AH39" s="7"/>
      <c r="AI39" s="6">
        <v>37</v>
      </c>
      <c r="AJ39" s="4">
        <v>15714</v>
      </c>
      <c r="AK39" s="6">
        <v>19816</v>
      </c>
      <c r="AL39" s="6">
        <v>7408</v>
      </c>
      <c r="AM39" s="7">
        <f t="shared" si="7"/>
        <v>0.61841847071211187</v>
      </c>
      <c r="AN39" s="7">
        <f t="shared" si="8"/>
        <v>0.64827515107487632</v>
      </c>
      <c r="AO39" s="7"/>
      <c r="AP39" s="7"/>
      <c r="AQ39" s="3"/>
      <c r="AR39" s="3"/>
      <c r="AS39" s="3" t="s">
        <v>27</v>
      </c>
      <c r="AT39" s="3" t="s">
        <v>28</v>
      </c>
      <c r="AU39" s="3" t="s">
        <v>29</v>
      </c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</row>
    <row r="40" spans="3:59" x14ac:dyDescent="0.25">
      <c r="C40">
        <v>38</v>
      </c>
      <c r="D40" s="3">
        <v>6287</v>
      </c>
      <c r="E40" s="6">
        <v>33888</v>
      </c>
      <c r="F40" s="38">
        <v>11188</v>
      </c>
      <c r="G40">
        <f t="shared" si="9"/>
        <v>0.8886069951332195</v>
      </c>
      <c r="H40">
        <f t="shared" si="0"/>
        <v>0.75697392633505911</v>
      </c>
      <c r="K40" s="6">
        <v>38</v>
      </c>
      <c r="L40" s="6">
        <v>5884</v>
      </c>
      <c r="M40" s="43">
        <v>66163</v>
      </c>
      <c r="N40" s="44">
        <v>30150</v>
      </c>
      <c r="O40">
        <f t="shared" si="1"/>
        <v>1.5949759943263557</v>
      </c>
      <c r="P40">
        <f t="shared" si="2"/>
        <v>1.9131337197877776</v>
      </c>
      <c r="S40" s="6">
        <v>38</v>
      </c>
      <c r="T40" s="6">
        <v>14797</v>
      </c>
      <c r="U40" s="6">
        <v>26318</v>
      </c>
      <c r="V40" s="6">
        <v>10926</v>
      </c>
      <c r="W40">
        <f t="shared" si="3"/>
        <v>0.67310984828968667</v>
      </c>
      <c r="X40">
        <f t="shared" si="4"/>
        <v>0.76327619093902244</v>
      </c>
      <c r="AA40" s="6">
        <v>38</v>
      </c>
      <c r="AB40" s="3">
        <v>4017</v>
      </c>
      <c r="AC40" s="40">
        <v>43369</v>
      </c>
      <c r="AD40" s="37">
        <v>14352</v>
      </c>
      <c r="AE40" s="7">
        <f t="shared" si="5"/>
        <v>1.1222686886892967</v>
      </c>
      <c r="AF40" s="7">
        <f t="shared" si="6"/>
        <v>1.0233218527279098</v>
      </c>
      <c r="AG40" s="7"/>
      <c r="AH40" s="7"/>
      <c r="AI40" s="6">
        <v>38</v>
      </c>
      <c r="AJ40" s="3">
        <v>3505</v>
      </c>
      <c r="AK40" s="40">
        <v>46039</v>
      </c>
      <c r="AL40" s="37">
        <v>15583</v>
      </c>
      <c r="AM40" s="7">
        <f t="shared" si="7"/>
        <v>1.43678683756131</v>
      </c>
      <c r="AN40" s="7">
        <f t="shared" si="8"/>
        <v>1.3636705830453291</v>
      </c>
      <c r="AO40" s="7"/>
      <c r="AP40" s="7"/>
      <c r="AQ40" s="10" t="s">
        <v>20</v>
      </c>
      <c r="AR40" s="10">
        <f>AVERAGE(D108,L85,T92,AB93,AJ96)</f>
        <v>32.6</v>
      </c>
      <c r="AS40" s="10">
        <f>AVERAGE(E108,M85,U92,AC93,AK96)</f>
        <v>45.520158202572851</v>
      </c>
      <c r="AT40" s="10">
        <f>AVERAGE(F108,N85,V92,AD93,AL96)</f>
        <v>100</v>
      </c>
      <c r="AU40" s="10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</row>
    <row r="41" spans="3:59" x14ac:dyDescent="0.25">
      <c r="C41">
        <v>39</v>
      </c>
      <c r="D41" s="4">
        <v>17133</v>
      </c>
      <c r="E41" s="6">
        <v>39400</v>
      </c>
      <c r="F41" s="38">
        <v>9456</v>
      </c>
      <c r="G41">
        <f t="shared" si="9"/>
        <v>1.0331419856069655</v>
      </c>
      <c r="H41">
        <f t="shared" si="0"/>
        <v>0.63978775897607432</v>
      </c>
      <c r="K41" s="6">
        <v>39</v>
      </c>
      <c r="L41" s="6">
        <v>5903</v>
      </c>
      <c r="M41" s="43">
        <v>55062</v>
      </c>
      <c r="N41" s="44">
        <v>22451</v>
      </c>
      <c r="O41">
        <f t="shared" si="1"/>
        <v>1.3273667790093828</v>
      </c>
      <c r="P41">
        <f t="shared" si="2"/>
        <v>1.4246024923036615</v>
      </c>
      <c r="S41" s="6">
        <v>39</v>
      </c>
      <c r="T41" s="6">
        <v>5714</v>
      </c>
      <c r="U41" s="40">
        <v>42212</v>
      </c>
      <c r="V41" s="37">
        <v>16056</v>
      </c>
      <c r="W41">
        <f t="shared" si="3"/>
        <v>1.0796152031310986</v>
      </c>
      <c r="X41">
        <f t="shared" si="4"/>
        <v>1.1216513382497661</v>
      </c>
      <c r="AA41" s="6">
        <v>39</v>
      </c>
      <c r="AB41" s="3">
        <v>5162</v>
      </c>
      <c r="AC41" s="6">
        <v>36971</v>
      </c>
      <c r="AD41" s="6">
        <v>17081</v>
      </c>
      <c r="AE41" s="7">
        <f t="shared" si="5"/>
        <v>0.95670630380068689</v>
      </c>
      <c r="AF41" s="7">
        <f t="shared" si="6"/>
        <v>1.2179041643286947</v>
      </c>
      <c r="AG41" s="7"/>
      <c r="AH41" s="7"/>
      <c r="AI41" s="6">
        <v>39</v>
      </c>
      <c r="AJ41" s="3">
        <v>4958</v>
      </c>
      <c r="AK41" s="6">
        <v>25606</v>
      </c>
      <c r="AL41" s="6">
        <v>10775</v>
      </c>
      <c r="AM41" s="7">
        <f t="shared" si="7"/>
        <v>0.79911300772377558</v>
      </c>
      <c r="AN41" s="7">
        <f t="shared" si="8"/>
        <v>0.942921807887661</v>
      </c>
      <c r="AO41" s="7"/>
      <c r="AP41" s="7"/>
      <c r="AQ41" s="9" t="s">
        <v>21</v>
      </c>
      <c r="AR41" s="8">
        <f t="shared" ref="AR41:AS46" si="12">AVERAGE(D109,L86,T93,AB94,AJ97)</f>
        <v>31.4</v>
      </c>
      <c r="AS41" s="8">
        <f t="shared" si="12"/>
        <v>44.133891232529052</v>
      </c>
      <c r="AT41" s="8"/>
      <c r="AU41" s="8">
        <f>AVERAGE(G109,O86,W93,AE94,AM97)</f>
        <v>100</v>
      </c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</row>
    <row r="42" spans="3:59" x14ac:dyDescent="0.25">
      <c r="C42">
        <v>40</v>
      </c>
      <c r="D42" s="3">
        <v>5173</v>
      </c>
      <c r="E42" s="40">
        <v>46622</v>
      </c>
      <c r="F42" s="37">
        <v>19041</v>
      </c>
      <c r="G42">
        <f t="shared" si="9"/>
        <v>1.2225163871311662</v>
      </c>
      <c r="H42">
        <f t="shared" si="0"/>
        <v>1.2883035869990938</v>
      </c>
      <c r="K42" s="6">
        <v>40</v>
      </c>
      <c r="L42" s="6">
        <v>4877</v>
      </c>
      <c r="M42" s="43">
        <v>64369</v>
      </c>
      <c r="N42" s="44">
        <v>19708</v>
      </c>
      <c r="O42">
        <f t="shared" si="1"/>
        <v>1.5517284551606365</v>
      </c>
      <c r="P42">
        <f t="shared" si="2"/>
        <v>1.2505485688085414</v>
      </c>
      <c r="S42" s="6">
        <v>40</v>
      </c>
      <c r="T42" s="3">
        <v>4876</v>
      </c>
      <c r="U42" s="6">
        <v>29194</v>
      </c>
      <c r="V42" s="6">
        <v>10907</v>
      </c>
      <c r="W42">
        <f t="shared" si="3"/>
        <v>0.74666649863094126</v>
      </c>
      <c r="X42">
        <f t="shared" si="4"/>
        <v>0.76194887557861235</v>
      </c>
      <c r="AA42" s="6">
        <v>40</v>
      </c>
      <c r="AB42" s="3">
        <v>6089</v>
      </c>
      <c r="AC42" s="41">
        <v>53095</v>
      </c>
      <c r="AD42" s="42">
        <v>20005</v>
      </c>
      <c r="AE42" s="7">
        <f t="shared" si="5"/>
        <v>1.3739504260176212</v>
      </c>
      <c r="AF42" s="7">
        <f t="shared" si="6"/>
        <v>1.4263903054502391</v>
      </c>
      <c r="AG42" s="7"/>
      <c r="AH42" s="7"/>
      <c r="AI42" s="6">
        <v>40</v>
      </c>
      <c r="AJ42" s="3">
        <v>5164</v>
      </c>
      <c r="AK42" s="41">
        <v>35047</v>
      </c>
      <c r="AL42" s="42">
        <v>13711</v>
      </c>
      <c r="AM42" s="7">
        <f t="shared" si="7"/>
        <v>1.0937480895764728</v>
      </c>
      <c r="AN42" s="7">
        <f t="shared" si="8"/>
        <v>1.1998515923849391</v>
      </c>
      <c r="AO42" s="7"/>
      <c r="AP42" s="7"/>
      <c r="AQ42" s="20" t="s">
        <v>22</v>
      </c>
      <c r="AR42" s="10">
        <f t="shared" si="12"/>
        <v>6.2</v>
      </c>
      <c r="AS42" s="10">
        <f t="shared" si="12"/>
        <v>8.4828124413899353</v>
      </c>
      <c r="AT42" s="10">
        <f>AVERAGE(F110,N87,V94,AD95,AL98)</f>
        <v>18.648189454223939</v>
      </c>
      <c r="AU42" s="10"/>
      <c r="AV42" s="3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</row>
    <row r="43" spans="3:59" x14ac:dyDescent="0.25">
      <c r="C43">
        <v>41</v>
      </c>
      <c r="D43" s="4">
        <v>14686</v>
      </c>
      <c r="E43" s="6">
        <v>28608</v>
      </c>
      <c r="F43" s="38">
        <v>10755</v>
      </c>
      <c r="G43">
        <f t="shared" si="9"/>
        <v>0.75015548031076318</v>
      </c>
      <c r="H43">
        <f t="shared" si="0"/>
        <v>0.72767738449531294</v>
      </c>
      <c r="K43" s="6">
        <v>41</v>
      </c>
      <c r="L43" s="6">
        <v>10009</v>
      </c>
      <c r="M43" s="43">
        <v>60953</v>
      </c>
      <c r="N43" s="44">
        <v>26057</v>
      </c>
      <c r="O43">
        <f t="shared" si="1"/>
        <v>1.469379740673403</v>
      </c>
      <c r="P43">
        <f t="shared" si="2"/>
        <v>1.6534170924215628</v>
      </c>
      <c r="S43" s="6">
        <v>41</v>
      </c>
      <c r="T43" s="3">
        <v>6514</v>
      </c>
      <c r="U43" s="6">
        <v>31848</v>
      </c>
      <c r="V43" s="6">
        <v>13638</v>
      </c>
      <c r="W43">
        <f t="shared" si="3"/>
        <v>0.8145452712337542</v>
      </c>
      <c r="X43">
        <f t="shared" si="4"/>
        <v>0.95273299396177813</v>
      </c>
      <c r="AA43" s="6">
        <v>41</v>
      </c>
      <c r="AB43" s="3">
        <v>6313</v>
      </c>
      <c r="AC43" s="43">
        <v>48735</v>
      </c>
      <c r="AD43" s="44">
        <v>17590</v>
      </c>
      <c r="AE43" s="7">
        <f t="shared" si="5"/>
        <v>1.2611257936146298</v>
      </c>
      <c r="AF43" s="7">
        <f t="shared" si="6"/>
        <v>1.2541967244623697</v>
      </c>
      <c r="AG43" s="7"/>
      <c r="AH43" s="7"/>
      <c r="AI43" s="6">
        <v>41</v>
      </c>
      <c r="AJ43" s="3">
        <v>4036</v>
      </c>
      <c r="AK43" s="43">
        <v>53618</v>
      </c>
      <c r="AL43" s="44">
        <v>21855</v>
      </c>
      <c r="AM43" s="7">
        <f t="shared" si="7"/>
        <v>1.6733125536254549</v>
      </c>
      <c r="AN43" s="7">
        <f t="shared" si="8"/>
        <v>1.912534209873302</v>
      </c>
      <c r="AO43" s="7"/>
      <c r="AP43" s="7"/>
      <c r="AQ43" s="9" t="s">
        <v>23</v>
      </c>
      <c r="AR43" s="8">
        <f t="shared" si="12"/>
        <v>5</v>
      </c>
      <c r="AS43" s="8">
        <f t="shared" si="12"/>
        <v>7.0965454713461398</v>
      </c>
      <c r="AT43" s="8"/>
      <c r="AU43" s="8">
        <f>AVERAGE(G111,O88,W95,AE96,AM99)</f>
        <v>15.785714285714283</v>
      </c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</row>
    <row r="44" spans="3:59" x14ac:dyDescent="0.25">
      <c r="C44">
        <v>42</v>
      </c>
      <c r="D44" s="3">
        <v>6133</v>
      </c>
      <c r="E44" s="40">
        <v>58484</v>
      </c>
      <c r="F44" s="37">
        <v>23109</v>
      </c>
      <c r="G44">
        <f t="shared" si="9"/>
        <v>1.5335603016811616</v>
      </c>
      <c r="H44">
        <f t="shared" si="0"/>
        <v>1.5635422295027603</v>
      </c>
      <c r="K44" s="6">
        <v>42</v>
      </c>
      <c r="L44" s="6">
        <v>5219</v>
      </c>
      <c r="M44" s="43">
        <v>54307</v>
      </c>
      <c r="N44" s="44">
        <v>23991</v>
      </c>
      <c r="O44">
        <f t="shared" si="1"/>
        <v>1.309166170274646</v>
      </c>
      <c r="P44">
        <f t="shared" si="2"/>
        <v>1.5223214285714286</v>
      </c>
      <c r="S44" s="6">
        <v>42</v>
      </c>
      <c r="T44" s="3">
        <v>9869</v>
      </c>
      <c r="U44" s="40">
        <v>55646</v>
      </c>
      <c r="V44" s="37">
        <v>16491</v>
      </c>
      <c r="W44">
        <f t="shared" si="3"/>
        <v>1.4232035343843721</v>
      </c>
      <c r="X44">
        <f t="shared" si="4"/>
        <v>1.1520398741328408</v>
      </c>
      <c r="AA44" s="6">
        <v>42</v>
      </c>
      <c r="AB44" s="3">
        <v>4083</v>
      </c>
      <c r="AC44" s="43">
        <v>44758</v>
      </c>
      <c r="AD44" s="44">
        <v>15841</v>
      </c>
      <c r="AE44" s="7">
        <f t="shared" si="5"/>
        <v>1.1582121323608003</v>
      </c>
      <c r="AF44" s="7">
        <f t="shared" si="6"/>
        <v>1.1294900689146334</v>
      </c>
      <c r="AG44" s="7"/>
      <c r="AH44" s="7"/>
      <c r="AI44" s="6">
        <v>42</v>
      </c>
      <c r="AJ44" s="3">
        <v>4104</v>
      </c>
      <c r="AK44" s="45">
        <v>38779</v>
      </c>
      <c r="AL44" s="46">
        <v>19312</v>
      </c>
      <c r="AM44" s="7">
        <f t="shared" si="7"/>
        <v>1.2102164854534208</v>
      </c>
      <c r="AN44" s="7">
        <f t="shared" si="8"/>
        <v>1.6899959121973558</v>
      </c>
      <c r="AO44" s="7"/>
      <c r="AP44" s="7"/>
      <c r="AQ44" s="7" t="s">
        <v>24</v>
      </c>
      <c r="AR44" s="6">
        <f t="shared" si="12"/>
        <v>39.200000000000003</v>
      </c>
      <c r="AS44" s="6">
        <f t="shared" si="12"/>
        <v>54.717937035522382</v>
      </c>
      <c r="AT44" s="6"/>
      <c r="AU44" s="6"/>
      <c r="AV44" s="3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</row>
    <row r="45" spans="3:59" x14ac:dyDescent="0.25">
      <c r="C45">
        <v>43</v>
      </c>
      <c r="D45" s="4">
        <v>19654</v>
      </c>
      <c r="E45" s="6">
        <v>30407</v>
      </c>
      <c r="F45" s="38">
        <v>11716</v>
      </c>
      <c r="G45">
        <f t="shared" si="9"/>
        <v>0.79732863848606605</v>
      </c>
      <c r="H45">
        <f t="shared" si="0"/>
        <v>0.79269811592255568</v>
      </c>
      <c r="K45" s="6">
        <v>43</v>
      </c>
      <c r="L45" s="6">
        <v>14105</v>
      </c>
      <c r="M45" s="43">
        <v>54039</v>
      </c>
      <c r="N45" s="44">
        <v>18671</v>
      </c>
      <c r="O45">
        <f t="shared" si="1"/>
        <v>1.3027055568429777</v>
      </c>
      <c r="P45">
        <f t="shared" si="2"/>
        <v>1.1847469214645967</v>
      </c>
      <c r="S45" s="6">
        <v>43</v>
      </c>
      <c r="T45" s="3">
        <v>4980</v>
      </c>
      <c r="U45" s="6">
        <v>40717</v>
      </c>
      <c r="V45" s="6">
        <v>13778</v>
      </c>
      <c r="W45">
        <f t="shared" si="3"/>
        <v>1.0413790444870876</v>
      </c>
      <c r="X45">
        <f t="shared" si="4"/>
        <v>0.96251321240690568</v>
      </c>
      <c r="AA45" s="6">
        <v>43</v>
      </c>
      <c r="AB45" s="3">
        <v>7186</v>
      </c>
      <c r="AC45" s="43">
        <v>48754</v>
      </c>
      <c r="AD45" s="44">
        <v>18390</v>
      </c>
      <c r="AE45" s="7">
        <f t="shared" si="5"/>
        <v>1.2616174605906978</v>
      </c>
      <c r="AF45" s="7">
        <f t="shared" si="6"/>
        <v>1.3112380763424094</v>
      </c>
      <c r="AG45" s="7"/>
      <c r="AH45" s="7"/>
      <c r="AI45" s="6">
        <v>43</v>
      </c>
      <c r="AJ45" s="3">
        <v>4669</v>
      </c>
      <c r="AK45" s="6">
        <v>54741</v>
      </c>
      <c r="AL45" s="6">
        <v>7511</v>
      </c>
      <c r="AM45" s="7">
        <f t="shared" si="7"/>
        <v>1.7083591797159727</v>
      </c>
      <c r="AN45" s="7">
        <f t="shared" si="8"/>
        <v>0.65728869596698114</v>
      </c>
      <c r="AO45" s="7"/>
      <c r="AP45" s="7"/>
      <c r="AQ45" s="7" t="s">
        <v>25</v>
      </c>
      <c r="AR45" s="6">
        <f t="shared" si="12"/>
        <v>40.4</v>
      </c>
      <c r="AS45" s="6">
        <f t="shared" si="12"/>
        <v>56.104204005566181</v>
      </c>
      <c r="AT45" s="6"/>
      <c r="AU45" s="6"/>
      <c r="AV45" s="3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</row>
    <row r="46" spans="3:59" x14ac:dyDescent="0.25">
      <c r="C46">
        <v>44</v>
      </c>
      <c r="D46" s="4">
        <v>16797</v>
      </c>
      <c r="E46" s="6">
        <v>25186</v>
      </c>
      <c r="F46" s="38">
        <v>8559</v>
      </c>
      <c r="G46">
        <f t="shared" si="9"/>
        <v>0.66042421445423938</v>
      </c>
      <c r="H46">
        <f t="shared" si="0"/>
        <v>0.57909723234731603</v>
      </c>
      <c r="K46" s="6">
        <v>44</v>
      </c>
      <c r="L46" s="6">
        <v>5427</v>
      </c>
      <c r="M46" s="43">
        <v>61863</v>
      </c>
      <c r="N46" s="44">
        <v>17607</v>
      </c>
      <c r="O46">
        <f t="shared" si="1"/>
        <v>1.4913168982212315</v>
      </c>
      <c r="P46">
        <f t="shared" si="2"/>
        <v>1.1172320200432304</v>
      </c>
      <c r="S46" s="6">
        <v>44</v>
      </c>
      <c r="T46" s="3">
        <v>6373</v>
      </c>
      <c r="U46" s="40">
        <v>48873</v>
      </c>
      <c r="V46" s="37">
        <v>16114</v>
      </c>
      <c r="W46">
        <f t="shared" si="3"/>
        <v>1.2499771113102005</v>
      </c>
      <c r="X46">
        <f t="shared" si="4"/>
        <v>1.1257031430341762</v>
      </c>
      <c r="AA46" s="6">
        <v>44</v>
      </c>
      <c r="AB46" s="3">
        <v>6481</v>
      </c>
      <c r="AC46" s="43">
        <v>61042</v>
      </c>
      <c r="AD46" s="44">
        <v>30565</v>
      </c>
      <c r="AE46" s="7">
        <f t="shared" si="5"/>
        <v>1.5795966080604131</v>
      </c>
      <c r="AF46" s="7">
        <f t="shared" si="6"/>
        <v>2.1793361502667614</v>
      </c>
      <c r="AG46" s="7"/>
      <c r="AH46" s="7"/>
      <c r="AI46" s="6">
        <v>44</v>
      </c>
      <c r="AJ46" s="3">
        <v>4956</v>
      </c>
      <c r="AK46" s="38">
        <v>31956</v>
      </c>
      <c r="AL46" s="38">
        <v>13243</v>
      </c>
      <c r="AM46" s="7">
        <f t="shared" si="7"/>
        <v>0.99728404572447749</v>
      </c>
      <c r="AN46" s="7">
        <f t="shared" si="8"/>
        <v>1.1588968447198416</v>
      </c>
      <c r="AO46" s="7"/>
      <c r="AP46" s="7"/>
      <c r="AQ46" s="36" t="s">
        <v>26</v>
      </c>
      <c r="AR46" s="33">
        <f t="shared" si="12"/>
        <v>26.4</v>
      </c>
      <c r="AS46" s="33">
        <f t="shared" si="12"/>
        <v>37.03734576118292</v>
      </c>
      <c r="AT46" s="33">
        <f>AVERAGE(F114,N91,V98,AD99,AL102)</f>
        <v>81.351810545776061</v>
      </c>
      <c r="AU46" s="37">
        <f>AVERAGE(G114,O91,W98,AE99,AM102)</f>
        <v>84.214285714285708</v>
      </c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</row>
    <row r="47" spans="3:59" x14ac:dyDescent="0.25">
      <c r="C47">
        <v>45</v>
      </c>
      <c r="D47" s="3">
        <v>4803</v>
      </c>
      <c r="E47" s="40">
        <v>57726</v>
      </c>
      <c r="F47" s="37">
        <v>32707</v>
      </c>
      <c r="G47">
        <f t="shared" si="9"/>
        <v>1.513684118303241</v>
      </c>
      <c r="H47">
        <f t="shared" si="0"/>
        <v>2.212937630375472</v>
      </c>
      <c r="K47" s="6">
        <v>45</v>
      </c>
      <c r="L47" s="6">
        <v>9859</v>
      </c>
      <c r="M47" s="43">
        <v>52585</v>
      </c>
      <c r="N47" s="44">
        <v>17941</v>
      </c>
      <c r="O47">
        <f t="shared" si="1"/>
        <v>1.2676543182995241</v>
      </c>
      <c r="P47">
        <f t="shared" si="2"/>
        <v>1.1384256075194865</v>
      </c>
      <c r="S47" s="6">
        <v>45</v>
      </c>
      <c r="T47" s="3">
        <v>6642</v>
      </c>
      <c r="U47" s="6">
        <v>44377</v>
      </c>
      <c r="V47" s="6">
        <v>13069</v>
      </c>
      <c r="W47">
        <f t="shared" si="3"/>
        <v>1.1349872990938303</v>
      </c>
      <c r="X47">
        <f t="shared" si="4"/>
        <v>0.91298339185265276</v>
      </c>
      <c r="AA47" s="6">
        <v>45</v>
      </c>
      <c r="AB47" s="3">
        <v>5024</v>
      </c>
      <c r="AC47" s="43">
        <v>49787</v>
      </c>
      <c r="AD47" s="44">
        <v>18675</v>
      </c>
      <c r="AE47" s="7">
        <f t="shared" si="5"/>
        <v>1.2883486177632415</v>
      </c>
      <c r="AF47" s="7">
        <f t="shared" si="6"/>
        <v>1.3315590579496734</v>
      </c>
      <c r="AG47" s="7"/>
      <c r="AH47" s="7"/>
      <c r="AI47" s="6">
        <v>45</v>
      </c>
      <c r="AJ47" s="3">
        <v>4090</v>
      </c>
      <c r="AK47" s="41">
        <v>39835</v>
      </c>
      <c r="AL47" s="42">
        <v>12180</v>
      </c>
      <c r="AM47" s="7">
        <f t="shared" si="7"/>
        <v>1.2431721730327501</v>
      </c>
      <c r="AN47" s="7">
        <f t="shared" si="8"/>
        <v>1.0658735610275369</v>
      </c>
    </row>
    <row r="48" spans="3:59" x14ac:dyDescent="0.25">
      <c r="C48">
        <v>46</v>
      </c>
      <c r="D48" s="4">
        <v>23365</v>
      </c>
      <c r="E48" s="6">
        <v>29885</v>
      </c>
      <c r="F48" s="38">
        <v>12712</v>
      </c>
      <c r="G48">
        <f t="shared" si="9"/>
        <v>0.78364081827066412</v>
      </c>
      <c r="H48">
        <f t="shared" si="0"/>
        <v>0.86008692809896958</v>
      </c>
      <c r="K48" s="6">
        <v>46</v>
      </c>
      <c r="L48" s="3">
        <v>5664</v>
      </c>
      <c r="M48" s="43">
        <v>57434</v>
      </c>
      <c r="N48" s="44">
        <v>21664</v>
      </c>
      <c r="O48">
        <f t="shared" si="1"/>
        <v>1.3845480292329537</v>
      </c>
      <c r="P48">
        <f t="shared" si="2"/>
        <v>1.3746643086395494</v>
      </c>
      <c r="S48" s="6">
        <v>46</v>
      </c>
      <c r="T48" s="3">
        <v>6043</v>
      </c>
      <c r="U48" s="41">
        <v>43478</v>
      </c>
      <c r="V48" s="42">
        <v>18768</v>
      </c>
      <c r="W48">
        <f t="shared" si="3"/>
        <v>1.1119944518557261</v>
      </c>
      <c r="X48">
        <f t="shared" si="4"/>
        <v>1.3111081412725218</v>
      </c>
      <c r="AA48" s="6">
        <v>46</v>
      </c>
      <c r="AB48" s="3">
        <v>6203</v>
      </c>
      <c r="AC48" s="43">
        <v>45784</v>
      </c>
      <c r="AD48" s="44">
        <v>14838</v>
      </c>
      <c r="AE48" s="7">
        <f t="shared" si="5"/>
        <v>1.1847621490684765</v>
      </c>
      <c r="AF48" s="7">
        <f t="shared" si="6"/>
        <v>1.0579744739950336</v>
      </c>
      <c r="AG48" s="7"/>
      <c r="AH48" s="7"/>
      <c r="AI48" s="6">
        <v>46</v>
      </c>
      <c r="AJ48" s="3">
        <v>5478</v>
      </c>
      <c r="AK48" s="45">
        <v>52440</v>
      </c>
      <c r="AL48" s="46">
        <v>14799</v>
      </c>
      <c r="AM48" s="7">
        <f t="shared" si="7"/>
        <v>1.6365494854735136</v>
      </c>
      <c r="AN48" s="7">
        <f t="shared" si="8"/>
        <v>1.2950626296918324</v>
      </c>
    </row>
    <row r="49" spans="3:48" x14ac:dyDescent="0.25">
      <c r="C49">
        <v>47</v>
      </c>
      <c r="D49" s="4">
        <v>18775</v>
      </c>
      <c r="E49" s="6">
        <v>32125</v>
      </c>
      <c r="F49" s="38">
        <v>13663</v>
      </c>
      <c r="G49">
        <f t="shared" si="9"/>
        <v>0.84237782455897892</v>
      </c>
      <c r="H49">
        <f t="shared" si="0"/>
        <v>0.92443106502644923</v>
      </c>
      <c r="K49" s="6">
        <v>47</v>
      </c>
      <c r="L49" s="3">
        <v>8029</v>
      </c>
      <c r="M49" s="45">
        <v>60754</v>
      </c>
      <c r="N49" s="46">
        <v>21667</v>
      </c>
      <c r="O49">
        <f t="shared" si="1"/>
        <v>1.4645824941327239</v>
      </c>
      <c r="P49">
        <f t="shared" si="2"/>
        <v>1.3748546702037072</v>
      </c>
      <c r="S49" s="6">
        <v>47</v>
      </c>
      <c r="T49" s="3">
        <v>5981</v>
      </c>
      <c r="U49" s="43">
        <v>59404</v>
      </c>
      <c r="V49" s="44">
        <v>22048</v>
      </c>
      <c r="W49">
        <f t="shared" si="3"/>
        <v>1.5193182395243008</v>
      </c>
      <c r="X49">
        <f t="shared" si="4"/>
        <v>1.5402446877012235</v>
      </c>
      <c r="AA49" s="6">
        <v>47</v>
      </c>
      <c r="AB49" s="3">
        <v>5199</v>
      </c>
      <c r="AC49" s="43">
        <v>57823</v>
      </c>
      <c r="AD49" s="44">
        <v>20986</v>
      </c>
      <c r="AE49" s="7">
        <f t="shared" si="5"/>
        <v>1.4962978714307733</v>
      </c>
      <c r="AF49" s="7">
        <f t="shared" si="6"/>
        <v>1.4963372631931378</v>
      </c>
      <c r="AG49" s="7"/>
      <c r="AH49" s="7"/>
      <c r="AI49" s="6">
        <v>47</v>
      </c>
      <c r="AJ49" s="3">
        <v>3902</v>
      </c>
      <c r="AK49" s="6">
        <v>52955</v>
      </c>
      <c r="AL49" s="6">
        <v>6068</v>
      </c>
      <c r="AM49" s="7">
        <f t="shared" si="7"/>
        <v>1.6526216247759327</v>
      </c>
      <c r="AN49" s="7">
        <f t="shared" si="8"/>
        <v>0.53101155733293059</v>
      </c>
      <c r="AQ49" s="81" t="s">
        <v>46</v>
      </c>
      <c r="AR49" s="73" t="s">
        <v>1</v>
      </c>
      <c r="AS49" s="73" t="s">
        <v>2</v>
      </c>
      <c r="AT49" s="73" t="s">
        <v>39</v>
      </c>
      <c r="AU49" s="74" t="s">
        <v>40</v>
      </c>
    </row>
    <row r="50" spans="3:48" x14ac:dyDescent="0.25">
      <c r="C50">
        <v>48</v>
      </c>
      <c r="D50" s="3">
        <v>6159</v>
      </c>
      <c r="E50" s="6">
        <v>39902</v>
      </c>
      <c r="F50" s="38">
        <v>14171</v>
      </c>
      <c r="G50">
        <f t="shared" si="9"/>
        <v>1.0463053682662218</v>
      </c>
      <c r="H50">
        <f t="shared" si="0"/>
        <v>0.95880206561441927</v>
      </c>
      <c r="K50" s="6">
        <v>48</v>
      </c>
      <c r="L50" s="3">
        <v>4348</v>
      </c>
      <c r="M50" s="6">
        <v>37478</v>
      </c>
      <c r="N50" s="6">
        <v>13891</v>
      </c>
      <c r="O50">
        <f t="shared" si="1"/>
        <v>0.90347339623903333</v>
      </c>
      <c r="P50">
        <f t="shared" si="2"/>
        <v>0.88143749590620291</v>
      </c>
      <c r="S50" s="6">
        <v>48</v>
      </c>
      <c r="T50" s="3">
        <v>4058</v>
      </c>
      <c r="U50" s="43">
        <v>71894</v>
      </c>
      <c r="V50" s="44">
        <v>23712</v>
      </c>
      <c r="W50">
        <f t="shared" si="3"/>
        <v>1.8387628023762723</v>
      </c>
      <c r="X50">
        <f t="shared" si="4"/>
        <v>1.6564895697918818</v>
      </c>
      <c r="AA50" s="6">
        <v>48</v>
      </c>
      <c r="AB50" s="3">
        <v>6649</v>
      </c>
      <c r="AC50" s="43">
        <v>66203</v>
      </c>
      <c r="AD50" s="44">
        <v>28063</v>
      </c>
      <c r="AE50" s="7">
        <f t="shared" si="5"/>
        <v>1.7131488850860641</v>
      </c>
      <c r="AF50" s="7">
        <f t="shared" si="6"/>
        <v>2.0009393222619378</v>
      </c>
      <c r="AG50" s="7"/>
      <c r="AH50" s="7"/>
      <c r="AI50" s="6">
        <v>48</v>
      </c>
      <c r="AJ50" s="3">
        <v>4936</v>
      </c>
      <c r="AK50" s="41">
        <v>57243</v>
      </c>
      <c r="AL50" s="42">
        <v>21821</v>
      </c>
      <c r="AM50" s="7">
        <f t="shared" si="7"/>
        <v>1.7864416894919972</v>
      </c>
      <c r="AN50" s="7">
        <f t="shared" si="8"/>
        <v>1.9095588649574617</v>
      </c>
      <c r="AQ50" s="75" t="s">
        <v>37</v>
      </c>
      <c r="AR50" s="38">
        <f>AVERAGE(AJ105,AB102,T101,L95,D118)</f>
        <v>13539</v>
      </c>
      <c r="AS50" s="38">
        <f>AVERAGE(AK105,AC102,U101,M95,E118)</f>
        <v>5233.8</v>
      </c>
      <c r="AT50" s="55">
        <f>AVERAGE(AL105,AD102,V101,N95,F118)</f>
        <v>0.3582186484005373</v>
      </c>
      <c r="AU50" s="95">
        <f>AVERAGE(AM105,AE102,W101,O95,G118)</f>
        <v>0.37477700895171628</v>
      </c>
    </row>
    <row r="51" spans="3:48" x14ac:dyDescent="0.25">
      <c r="C51">
        <v>49</v>
      </c>
      <c r="D51" s="4">
        <v>19384</v>
      </c>
      <c r="E51" s="6">
        <v>21397</v>
      </c>
      <c r="F51" s="38">
        <v>8233</v>
      </c>
      <c r="G51">
        <f t="shared" si="9"/>
        <v>0.56106951944244265</v>
      </c>
      <c r="H51">
        <f t="shared" si="0"/>
        <v>0.5570402516550359</v>
      </c>
      <c r="K51" s="6">
        <v>49</v>
      </c>
      <c r="L51" s="3">
        <v>4343</v>
      </c>
      <c r="M51" s="6">
        <v>45751</v>
      </c>
      <c r="N51" s="6">
        <v>7298</v>
      </c>
      <c r="O51">
        <f t="shared" si="1"/>
        <v>1.102908675791985</v>
      </c>
      <c r="P51">
        <f t="shared" si="2"/>
        <v>0.46308623174166502</v>
      </c>
      <c r="S51" s="6">
        <v>49</v>
      </c>
      <c r="T51" s="3">
        <v>4459</v>
      </c>
      <c r="U51" s="45">
        <v>39311</v>
      </c>
      <c r="V51" s="46">
        <v>15392</v>
      </c>
      <c r="W51">
        <f t="shared" si="3"/>
        <v>1.0054191521436231</v>
      </c>
      <c r="X51">
        <f t="shared" si="4"/>
        <v>1.07526515933859</v>
      </c>
      <c r="AA51" s="6">
        <v>49</v>
      </c>
      <c r="AB51" s="3">
        <v>6304</v>
      </c>
      <c r="AC51" s="43">
        <v>52342</v>
      </c>
      <c r="AD51" s="44">
        <v>27627</v>
      </c>
      <c r="AE51" s="7">
        <f t="shared" si="5"/>
        <v>1.3544648874397651</v>
      </c>
      <c r="AF51" s="7">
        <f t="shared" si="6"/>
        <v>1.9698517854873161</v>
      </c>
      <c r="AG51" s="7"/>
      <c r="AH51" s="7"/>
      <c r="AI51" s="6">
        <v>49</v>
      </c>
      <c r="AJ51" s="3">
        <v>7825</v>
      </c>
      <c r="AK51" s="43">
        <v>39781</v>
      </c>
      <c r="AL51" s="44">
        <v>17153</v>
      </c>
      <c r="AM51" s="7">
        <f t="shared" si="7"/>
        <v>1.241486939008807</v>
      </c>
      <c r="AN51" s="7">
        <f t="shared" si="8"/>
        <v>1.5010615100414895</v>
      </c>
      <c r="AQ51" s="75" t="s">
        <v>38</v>
      </c>
      <c r="AR51" s="38">
        <f>AVERAGE(AJ106,AB103,T102,L96,D119)</f>
        <v>70710.2</v>
      </c>
      <c r="AS51" s="38">
        <f>AVERAGE(AK106,AC103,U102,M96,E119)</f>
        <v>29159.8</v>
      </c>
      <c r="AT51" s="55">
        <f>AVERAGE(AL106,AD103,V102,N96,F119)</f>
        <v>1.8664473643636832</v>
      </c>
      <c r="AU51" s="95">
        <f t="shared" ref="AU51" si="13">AVERAGE(AM106,AE103,W102,O96,G119)</f>
        <v>2.0712588197829356</v>
      </c>
    </row>
    <row r="52" spans="3:48" x14ac:dyDescent="0.25">
      <c r="C52">
        <v>50</v>
      </c>
      <c r="D52" s="4">
        <v>23571</v>
      </c>
      <c r="E52" s="6">
        <v>29597</v>
      </c>
      <c r="F52" s="38">
        <v>12176</v>
      </c>
      <c r="G52">
        <f t="shared" si="9"/>
        <v>0.77608891746216646</v>
      </c>
      <c r="H52">
        <f t="shared" si="0"/>
        <v>0.82382146291166258</v>
      </c>
      <c r="K52" s="6">
        <v>50</v>
      </c>
      <c r="L52" s="3">
        <v>9638</v>
      </c>
      <c r="M52" s="41">
        <v>59993</v>
      </c>
      <c r="N52" s="42">
        <v>28965</v>
      </c>
      <c r="O52">
        <f t="shared" si="1"/>
        <v>1.4462372447987706</v>
      </c>
      <c r="P52">
        <f t="shared" si="2"/>
        <v>1.8379409019453723</v>
      </c>
      <c r="S52" s="6">
        <v>50</v>
      </c>
      <c r="T52" s="3">
        <v>7209</v>
      </c>
      <c r="U52" s="6">
        <v>31256</v>
      </c>
      <c r="V52" s="6">
        <v>16593</v>
      </c>
      <c r="W52">
        <f t="shared" si="3"/>
        <v>0.79940426393124275</v>
      </c>
      <c r="X52">
        <f t="shared" si="4"/>
        <v>1.1591654618571481</v>
      </c>
      <c r="AA52" s="6">
        <v>50</v>
      </c>
      <c r="AB52" s="3">
        <v>4227</v>
      </c>
      <c r="AC52" s="43">
        <v>70509</v>
      </c>
      <c r="AD52" s="44">
        <v>21552</v>
      </c>
      <c r="AE52" s="7">
        <f t="shared" si="5"/>
        <v>1.8245761481886515</v>
      </c>
      <c r="AF52" s="7">
        <f t="shared" si="6"/>
        <v>1.5366940196482657</v>
      </c>
      <c r="AG52" s="7"/>
      <c r="AH52" s="7"/>
      <c r="AI52" s="6">
        <v>50</v>
      </c>
      <c r="AJ52" s="3">
        <v>4736</v>
      </c>
      <c r="AK52" s="45">
        <v>38736</v>
      </c>
      <c r="AL52" s="46">
        <v>13709</v>
      </c>
      <c r="AM52" s="7">
        <f t="shared" si="7"/>
        <v>1.2088745398417624</v>
      </c>
      <c r="AN52" s="7">
        <f t="shared" si="8"/>
        <v>1.1996765720957721</v>
      </c>
      <c r="AQ52" s="77" t="s">
        <v>4</v>
      </c>
      <c r="AR52" s="78">
        <f>AVERAGE(AJ107,AB104,T103,L97,D120)</f>
        <v>37880.88199349105</v>
      </c>
      <c r="AS52" s="78">
        <f>AVERAGE(AK107,AC104,U103,M97,E120)</f>
        <v>14061.230718778268</v>
      </c>
      <c r="AT52" s="78"/>
      <c r="AU52" s="82"/>
    </row>
    <row r="53" spans="3:48" x14ac:dyDescent="0.25">
      <c r="C53">
        <v>51</v>
      </c>
      <c r="D53" s="3">
        <v>8319</v>
      </c>
      <c r="E53" s="40">
        <v>54650</v>
      </c>
      <c r="F53" s="37">
        <v>20252</v>
      </c>
      <c r="G53">
        <f t="shared" si="9"/>
        <v>1.4330256221680373</v>
      </c>
      <c r="H53">
        <f t="shared" si="0"/>
        <v>1.3702391809204164</v>
      </c>
      <c r="K53" s="6">
        <v>51</v>
      </c>
      <c r="L53" s="3">
        <v>4802</v>
      </c>
      <c r="M53" s="43">
        <v>56766</v>
      </c>
      <c r="N53" s="44">
        <v>20162</v>
      </c>
      <c r="O53">
        <f t="shared" si="1"/>
        <v>1.3684447091868552</v>
      </c>
      <c r="P53">
        <f t="shared" si="2"/>
        <v>1.2793566188511167</v>
      </c>
      <c r="S53" s="6">
        <v>51</v>
      </c>
      <c r="T53" s="3">
        <v>6229</v>
      </c>
      <c r="U53" s="41">
        <v>82771</v>
      </c>
      <c r="V53" s="42">
        <v>21490</v>
      </c>
      <c r="W53">
        <f t="shared" si="3"/>
        <v>2.1169532355340701</v>
      </c>
      <c r="X53">
        <f t="shared" si="4"/>
        <v>1.5012635313270724</v>
      </c>
      <c r="AA53" s="6">
        <v>51</v>
      </c>
      <c r="AB53" s="3">
        <v>5295</v>
      </c>
      <c r="AC53" s="43">
        <v>54041</v>
      </c>
      <c r="AD53" s="44">
        <v>19801</v>
      </c>
      <c r="AE53" s="7">
        <f t="shared" si="5"/>
        <v>1.3984302659839583</v>
      </c>
      <c r="AF53" s="7">
        <f t="shared" si="6"/>
        <v>1.4118447607208291</v>
      </c>
      <c r="AG53" s="7"/>
      <c r="AH53" s="7"/>
      <c r="AI53" s="6">
        <v>51</v>
      </c>
      <c r="AJ53" s="3">
        <v>5778</v>
      </c>
      <c r="AK53" s="6">
        <v>33444</v>
      </c>
      <c r="AL53" s="6">
        <v>10028</v>
      </c>
      <c r="AM53" s="7">
        <f t="shared" si="7"/>
        <v>1.0437216054953506</v>
      </c>
      <c r="AN53" s="7">
        <f t="shared" si="8"/>
        <v>0.8775517298837554</v>
      </c>
    </row>
    <row r="54" spans="3:48" x14ac:dyDescent="0.25">
      <c r="C54">
        <v>52</v>
      </c>
      <c r="D54" s="3">
        <v>4448</v>
      </c>
      <c r="E54" s="41">
        <v>50582</v>
      </c>
      <c r="F54" s="42">
        <v>16842</v>
      </c>
      <c r="G54">
        <f t="shared" si="9"/>
        <v>1.3263550232480084</v>
      </c>
      <c r="H54">
        <f t="shared" si="0"/>
        <v>1.1395204565011678</v>
      </c>
      <c r="K54" s="6">
        <v>52</v>
      </c>
      <c r="L54" s="3">
        <v>5565</v>
      </c>
      <c r="M54" s="45">
        <v>56420</v>
      </c>
      <c r="N54" s="46">
        <v>20290</v>
      </c>
      <c r="O54">
        <f t="shared" si="1"/>
        <v>1.3601037679653731</v>
      </c>
      <c r="P54">
        <f t="shared" si="2"/>
        <v>1.2874787122551909</v>
      </c>
      <c r="S54" s="6">
        <v>52</v>
      </c>
      <c r="T54" s="3">
        <v>5427</v>
      </c>
      <c r="U54" s="43">
        <v>47120</v>
      </c>
      <c r="V54" s="44">
        <v>20267</v>
      </c>
      <c r="W54">
        <f t="shared" si="3"/>
        <v>1.2051423379971897</v>
      </c>
      <c r="X54">
        <f t="shared" si="4"/>
        <v>1.4158263373385656</v>
      </c>
      <c r="AA54" s="6">
        <v>52</v>
      </c>
      <c r="AB54" s="3">
        <v>4770</v>
      </c>
      <c r="AC54" s="43">
        <v>61719</v>
      </c>
      <c r="AD54" s="44">
        <v>18444</v>
      </c>
      <c r="AE54" s="7">
        <f t="shared" si="5"/>
        <v>1.5971154787339967</v>
      </c>
      <c r="AF54" s="7">
        <f t="shared" si="6"/>
        <v>1.3150883675943121</v>
      </c>
      <c r="AG54" s="7"/>
      <c r="AH54" s="7"/>
      <c r="AI54" s="6">
        <v>52</v>
      </c>
      <c r="AJ54" s="3">
        <v>5543</v>
      </c>
      <c r="AK54" s="40">
        <v>43915</v>
      </c>
      <c r="AL54" s="37">
        <v>15171</v>
      </c>
      <c r="AM54" s="7">
        <f t="shared" si="7"/>
        <v>1.3705009659528862</v>
      </c>
      <c r="AN54" s="7">
        <f t="shared" si="8"/>
        <v>1.32761640347691</v>
      </c>
      <c r="AQ54" s="81" t="s">
        <v>47</v>
      </c>
      <c r="AR54" s="73" t="s">
        <v>39</v>
      </c>
      <c r="AS54" s="74" t="s">
        <v>40</v>
      </c>
      <c r="AT54" s="39"/>
      <c r="AU54" s="39"/>
    </row>
    <row r="55" spans="3:48" x14ac:dyDescent="0.25">
      <c r="C55">
        <v>53</v>
      </c>
      <c r="D55" s="3">
        <v>5298</v>
      </c>
      <c r="E55" s="43">
        <v>61723</v>
      </c>
      <c r="F55" s="44">
        <v>20702</v>
      </c>
      <c r="G55">
        <f t="shared" si="9"/>
        <v>1.6184929638989527</v>
      </c>
      <c r="H55">
        <f t="shared" si="0"/>
        <v>1.4006859334097599</v>
      </c>
      <c r="K55" s="6">
        <v>53</v>
      </c>
      <c r="L55" s="3">
        <v>3879</v>
      </c>
      <c r="M55" s="6">
        <v>40302</v>
      </c>
      <c r="N55" s="6">
        <v>13779</v>
      </c>
      <c r="O55">
        <f t="shared" si="1"/>
        <v>0.97155090493691021</v>
      </c>
      <c r="P55">
        <f t="shared" si="2"/>
        <v>0.87433066417763805</v>
      </c>
      <c r="S55" s="6">
        <v>53</v>
      </c>
      <c r="T55" s="3">
        <v>6198</v>
      </c>
      <c r="U55" s="43">
        <v>46527</v>
      </c>
      <c r="V55" s="44">
        <v>15121</v>
      </c>
      <c r="W55">
        <f t="shared" si="3"/>
        <v>1.1899757546688294</v>
      </c>
      <c r="X55">
        <f t="shared" si="4"/>
        <v>1.0563334507769502</v>
      </c>
      <c r="AA55" s="6">
        <v>53</v>
      </c>
      <c r="AB55" s="3">
        <v>6250</v>
      </c>
      <c r="AC55" s="43">
        <v>74487</v>
      </c>
      <c r="AD55" s="44">
        <v>25007</v>
      </c>
      <c r="AE55" s="7">
        <f t="shared" si="5"/>
        <v>1.9275156866517478</v>
      </c>
      <c r="AF55" s="7">
        <f t="shared" si="6"/>
        <v>1.7830413580801867</v>
      </c>
      <c r="AG55" s="7"/>
      <c r="AH55" s="7"/>
      <c r="AI55" s="6">
        <v>53</v>
      </c>
      <c r="AJ55" s="3">
        <v>5627</v>
      </c>
      <c r="AK55" s="6">
        <v>30560</v>
      </c>
      <c r="AL55" s="6">
        <v>11373</v>
      </c>
      <c r="AM55" s="7">
        <f t="shared" si="7"/>
        <v>0.95371762540180349</v>
      </c>
      <c r="AN55" s="7">
        <f t="shared" si="8"/>
        <v>0.99525287434861887</v>
      </c>
      <c r="AQ55" s="75" t="s">
        <v>37</v>
      </c>
      <c r="AR55" s="71">
        <v>0.19529853338171774</v>
      </c>
      <c r="AS55" s="76">
        <v>0.31177939229002904</v>
      </c>
      <c r="AT55" s="39"/>
      <c r="AU55" s="39"/>
    </row>
    <row r="56" spans="3:48" x14ac:dyDescent="0.25">
      <c r="C56">
        <v>54</v>
      </c>
      <c r="D56" s="4">
        <v>25856</v>
      </c>
      <c r="E56" s="45">
        <v>39915</v>
      </c>
      <c r="F56" s="46">
        <v>15042</v>
      </c>
      <c r="G56">
        <f t="shared" si="9"/>
        <v>1.0466462526777165</v>
      </c>
      <c r="H56">
        <f t="shared" si="0"/>
        <v>1.0177334465437933</v>
      </c>
      <c r="K56" s="6">
        <v>54</v>
      </c>
      <c r="L56" s="3">
        <v>4640</v>
      </c>
      <c r="M56" s="41">
        <v>67249</v>
      </c>
      <c r="N56" s="42">
        <v>21196</v>
      </c>
      <c r="O56">
        <f t="shared" si="1"/>
        <v>1.6211559427845337</v>
      </c>
      <c r="P56">
        <f t="shared" si="2"/>
        <v>1.3449679046309033</v>
      </c>
      <c r="S56" s="6">
        <v>54</v>
      </c>
      <c r="T56" s="3">
        <v>5528</v>
      </c>
      <c r="U56" s="43">
        <v>54276</v>
      </c>
      <c r="V56" s="44">
        <v>28126</v>
      </c>
      <c r="W56">
        <f t="shared" si="3"/>
        <v>1.3881643789714657</v>
      </c>
      <c r="X56">
        <f t="shared" si="4"/>
        <v>1.9648458856261162</v>
      </c>
      <c r="AA56" s="6">
        <v>54</v>
      </c>
      <c r="AB56" s="3">
        <v>6929</v>
      </c>
      <c r="AC56" s="45">
        <v>65181</v>
      </c>
      <c r="AD56" s="46">
        <v>18723</v>
      </c>
      <c r="AE56" s="7">
        <f t="shared" si="5"/>
        <v>1.6867023772154546</v>
      </c>
      <c r="AF56" s="7">
        <f t="shared" si="6"/>
        <v>1.334981539062476</v>
      </c>
      <c r="AG56" s="7"/>
      <c r="AH56" s="7"/>
      <c r="AI56" s="6">
        <v>54</v>
      </c>
      <c r="AJ56" s="3">
        <v>4970</v>
      </c>
      <c r="AK56" s="40">
        <v>52685</v>
      </c>
      <c r="AL56" s="37">
        <v>18584</v>
      </c>
      <c r="AM56" s="7">
        <f t="shared" si="7"/>
        <v>1.6441954546562179</v>
      </c>
      <c r="AN56" s="7">
        <f t="shared" si="8"/>
        <v>1.6262885269405374</v>
      </c>
      <c r="AQ56" s="75" t="s">
        <v>38</v>
      </c>
      <c r="AR56" s="39">
        <v>2.1169532355340701</v>
      </c>
      <c r="AS56" s="76">
        <v>2.212937630375472</v>
      </c>
      <c r="AT56" s="39"/>
      <c r="AU56" s="39"/>
    </row>
    <row r="57" spans="3:48" x14ac:dyDescent="0.25">
      <c r="C57">
        <v>55</v>
      </c>
      <c r="D57" s="3">
        <v>5178</v>
      </c>
      <c r="E57" s="6">
        <v>43686</v>
      </c>
      <c r="F57" s="38">
        <v>6576</v>
      </c>
      <c r="G57">
        <f t="shared" si="9"/>
        <v>1.1455289538889821</v>
      </c>
      <c r="H57">
        <f t="shared" si="0"/>
        <v>0.44492854304427504</v>
      </c>
      <c r="K57" s="6">
        <v>55</v>
      </c>
      <c r="L57" s="3">
        <v>3831</v>
      </c>
      <c r="M57" s="43">
        <v>68472</v>
      </c>
      <c r="N57" s="44">
        <v>23042</v>
      </c>
      <c r="O57">
        <f t="shared" si="1"/>
        <v>1.6506385182581538</v>
      </c>
      <c r="P57">
        <f t="shared" si="2"/>
        <v>1.4621037204427851</v>
      </c>
      <c r="S57" s="6">
        <v>55</v>
      </c>
      <c r="T57" s="3">
        <v>5772</v>
      </c>
      <c r="U57" s="43">
        <v>58065</v>
      </c>
      <c r="V57" s="44">
        <v>20587</v>
      </c>
      <c r="W57">
        <f t="shared" si="3"/>
        <v>1.4850719409127084</v>
      </c>
      <c r="X57">
        <f t="shared" si="4"/>
        <v>1.4381811223559999</v>
      </c>
      <c r="AA57" s="6">
        <v>55</v>
      </c>
      <c r="AB57" s="6">
        <v>7113</v>
      </c>
      <c r="AC57" s="6">
        <v>47861</v>
      </c>
      <c r="AD57" s="6">
        <v>13330</v>
      </c>
      <c r="AE57" s="7">
        <f t="shared" si="5"/>
        <v>1.2385091127154979</v>
      </c>
      <c r="AF57" s="7">
        <f t="shared" si="6"/>
        <v>0.95045152570115921</v>
      </c>
      <c r="AG57" s="7"/>
      <c r="AH57" s="7"/>
      <c r="AI57" s="6">
        <v>55</v>
      </c>
      <c r="AJ57" s="3">
        <v>5643</v>
      </c>
      <c r="AK57" s="6">
        <v>24405</v>
      </c>
      <c r="AL57" s="6">
        <v>9750</v>
      </c>
      <c r="AM57" s="7">
        <f t="shared" si="7"/>
        <v>0.76163215470978451</v>
      </c>
      <c r="AN57" s="7">
        <f t="shared" si="8"/>
        <v>0.85322390968953077</v>
      </c>
      <c r="AQ57" s="77" t="s">
        <v>4</v>
      </c>
      <c r="AR57" s="78"/>
      <c r="AS57" s="82"/>
      <c r="AT57" s="39"/>
      <c r="AU57" s="39"/>
      <c r="AV57" s="50"/>
    </row>
    <row r="58" spans="3:48" x14ac:dyDescent="0.25">
      <c r="C58">
        <v>56</v>
      </c>
      <c r="D58" s="4">
        <v>17939</v>
      </c>
      <c r="E58" s="6">
        <v>23333</v>
      </c>
      <c r="F58" s="38">
        <v>10030</v>
      </c>
      <c r="G58">
        <f t="shared" si="9"/>
        <v>0.61183507487734334</v>
      </c>
      <c r="H58">
        <f t="shared" si="0"/>
        <v>0.67862428326248159</v>
      </c>
      <c r="K58" s="6">
        <v>56</v>
      </c>
      <c r="L58" s="3">
        <v>4736</v>
      </c>
      <c r="M58" s="45">
        <v>48840</v>
      </c>
      <c r="N58" s="46">
        <v>18431</v>
      </c>
      <c r="O58">
        <f t="shared" si="1"/>
        <v>1.1773744776219217</v>
      </c>
      <c r="P58">
        <f t="shared" si="2"/>
        <v>1.1695179963319577</v>
      </c>
      <c r="S58" s="6">
        <v>56</v>
      </c>
      <c r="T58" s="3">
        <v>8290</v>
      </c>
      <c r="U58" s="43">
        <v>72168</v>
      </c>
      <c r="V58" s="44">
        <v>20224</v>
      </c>
      <c r="W58">
        <f t="shared" si="3"/>
        <v>1.8457706334588535</v>
      </c>
      <c r="X58">
        <f t="shared" si="4"/>
        <v>1.4128224131018479</v>
      </c>
      <c r="AA58" s="6">
        <v>56</v>
      </c>
      <c r="AB58" s="6">
        <v>5398</v>
      </c>
      <c r="AC58" s="40">
        <v>52565</v>
      </c>
      <c r="AD58" s="37">
        <v>16037</v>
      </c>
      <c r="AE58" s="7">
        <f t="shared" si="5"/>
        <v>1.3602355051062485</v>
      </c>
      <c r="AF58" s="7">
        <f t="shared" si="6"/>
        <v>1.143465200125243</v>
      </c>
      <c r="AG58" s="7"/>
      <c r="AH58" s="7"/>
      <c r="AI58" s="6">
        <v>56</v>
      </c>
      <c r="AJ58" s="6">
        <v>4615</v>
      </c>
      <c r="AK58" s="41">
        <v>46642</v>
      </c>
      <c r="AL58" s="42">
        <v>13523</v>
      </c>
      <c r="AM58" s="7">
        <f t="shared" si="7"/>
        <v>1.4556052841620064</v>
      </c>
      <c r="AN58" s="7">
        <f t="shared" si="8"/>
        <v>1.1833996852032334</v>
      </c>
    </row>
    <row r="59" spans="3:48" x14ac:dyDescent="0.25">
      <c r="C59">
        <v>57</v>
      </c>
      <c r="D59" s="4">
        <v>28762</v>
      </c>
      <c r="E59" s="6">
        <v>36730</v>
      </c>
      <c r="F59" s="38">
        <v>13413</v>
      </c>
      <c r="G59">
        <f t="shared" si="9"/>
        <v>0.96312957186151882</v>
      </c>
      <c r="H59">
        <f t="shared" si="0"/>
        <v>0.90751620253236942</v>
      </c>
      <c r="K59" s="6">
        <v>57</v>
      </c>
      <c r="L59" s="3">
        <v>8528</v>
      </c>
      <c r="M59" s="41">
        <v>61493</v>
      </c>
      <c r="N59" s="42">
        <v>21458</v>
      </c>
      <c r="O59">
        <f t="shared" si="1"/>
        <v>1.4823973946028837</v>
      </c>
      <c r="P59">
        <f t="shared" si="2"/>
        <v>1.3615928145673675</v>
      </c>
      <c r="S59" s="6">
        <v>57</v>
      </c>
      <c r="T59" s="3">
        <v>6</v>
      </c>
      <c r="U59" s="45">
        <v>57271</v>
      </c>
      <c r="V59" s="46">
        <v>18899</v>
      </c>
      <c r="W59">
        <f t="shared" si="3"/>
        <v>1.464764576388732</v>
      </c>
      <c r="X59">
        <f t="shared" si="4"/>
        <v>1.320259631389034</v>
      </c>
      <c r="AA59" s="6">
        <v>57</v>
      </c>
      <c r="AB59" s="6">
        <v>4458</v>
      </c>
      <c r="AC59" s="6">
        <v>58497</v>
      </c>
      <c r="AD59" s="6">
        <v>13438</v>
      </c>
      <c r="AE59" s="7">
        <f t="shared" si="5"/>
        <v>1.513739110476557</v>
      </c>
      <c r="AF59" s="7">
        <f t="shared" si="6"/>
        <v>0.95815210820496455</v>
      </c>
      <c r="AG59" s="7"/>
      <c r="AH59" s="7"/>
      <c r="AI59" s="6">
        <v>57</v>
      </c>
      <c r="AJ59" s="6">
        <v>3699</v>
      </c>
      <c r="AK59" s="43">
        <v>37199</v>
      </c>
      <c r="AL59" s="44">
        <v>12750</v>
      </c>
      <c r="AM59" s="7">
        <f t="shared" si="7"/>
        <v>1.1609077862343484</v>
      </c>
      <c r="AN59" s="7">
        <f t="shared" si="8"/>
        <v>1.1157543434401556</v>
      </c>
    </row>
    <row r="60" spans="3:48" x14ac:dyDescent="0.25">
      <c r="C60">
        <v>58</v>
      </c>
      <c r="D60" s="4">
        <v>23833</v>
      </c>
      <c r="E60" s="6">
        <v>37444</v>
      </c>
      <c r="F60" s="38">
        <v>14241</v>
      </c>
      <c r="G60">
        <f t="shared" si="9"/>
        <v>0.98185199261591927</v>
      </c>
      <c r="H60">
        <f t="shared" si="0"/>
        <v>0.96353822711276171</v>
      </c>
      <c r="K60" s="6">
        <v>58</v>
      </c>
      <c r="L60" s="3">
        <v>5241</v>
      </c>
      <c r="M60" s="43">
        <v>54621</v>
      </c>
      <c r="N60" s="44">
        <v>16814</v>
      </c>
      <c r="O60">
        <f t="shared" si="1"/>
        <v>1.3167356949669735</v>
      </c>
      <c r="P60">
        <f t="shared" si="2"/>
        <v>1.0669131132508023</v>
      </c>
      <c r="S60" s="6">
        <v>58</v>
      </c>
      <c r="T60" s="3">
        <v>4198</v>
      </c>
      <c r="U60" s="6">
        <v>55317</v>
      </c>
      <c r="V60" s="6">
        <v>13485</v>
      </c>
      <c r="W60">
        <f t="shared" si="3"/>
        <v>1.4147890218801049</v>
      </c>
      <c r="X60">
        <f t="shared" si="4"/>
        <v>0.94204461237531745</v>
      </c>
      <c r="AA60" s="6">
        <v>58</v>
      </c>
      <c r="AB60" s="6">
        <v>14196</v>
      </c>
      <c r="AC60" s="6">
        <v>50682</v>
      </c>
      <c r="AD60" s="6">
        <v>13850</v>
      </c>
      <c r="AE60" s="7">
        <f t="shared" si="5"/>
        <v>1.3115087200569748</v>
      </c>
      <c r="AF60" s="7">
        <f t="shared" si="6"/>
        <v>0.9875284044231849</v>
      </c>
      <c r="AG60" s="7"/>
      <c r="AH60" s="7"/>
      <c r="AI60" s="6">
        <v>58</v>
      </c>
      <c r="AJ60" s="6">
        <v>10973</v>
      </c>
      <c r="AK60" s="43">
        <v>37191</v>
      </c>
      <c r="AL60" s="44">
        <v>15634</v>
      </c>
      <c r="AM60" s="7">
        <f t="shared" si="7"/>
        <v>1.1606581219345051</v>
      </c>
      <c r="AN60" s="7">
        <f t="shared" si="8"/>
        <v>1.3681336004190896</v>
      </c>
    </row>
    <row r="61" spans="3:48" x14ac:dyDescent="0.25">
      <c r="C61">
        <v>59</v>
      </c>
      <c r="D61" s="4">
        <v>27269</v>
      </c>
      <c r="E61" s="6">
        <v>33313</v>
      </c>
      <c r="F61" s="38">
        <v>11687</v>
      </c>
      <c r="G61">
        <f t="shared" si="9"/>
        <v>0.87352941539403151</v>
      </c>
      <c r="H61">
        <f t="shared" si="0"/>
        <v>0.79073599187324239</v>
      </c>
      <c r="K61" s="6">
        <v>59</v>
      </c>
      <c r="L61" s="3">
        <v>4258</v>
      </c>
      <c r="M61" s="45">
        <v>46532</v>
      </c>
      <c r="N61" s="46">
        <v>20774</v>
      </c>
      <c r="O61">
        <f t="shared" si="1"/>
        <v>1.1217360604566597</v>
      </c>
      <c r="P61">
        <f t="shared" si="2"/>
        <v>1.3181903779393462</v>
      </c>
      <c r="S61" s="6">
        <v>59</v>
      </c>
      <c r="T61" s="3">
        <v>4574</v>
      </c>
      <c r="U61" s="41">
        <v>43344</v>
      </c>
      <c r="V61" s="42">
        <v>21615</v>
      </c>
      <c r="W61">
        <f t="shared" si="3"/>
        <v>1.1085672643919819</v>
      </c>
      <c r="X61">
        <f t="shared" si="4"/>
        <v>1.5099958692245077</v>
      </c>
      <c r="AA61" s="6">
        <v>59</v>
      </c>
      <c r="AB61" s="6">
        <v>3754</v>
      </c>
      <c r="AC61" s="40">
        <v>46920</v>
      </c>
      <c r="AD61" s="37">
        <v>17232</v>
      </c>
      <c r="AE61" s="7">
        <f t="shared" si="5"/>
        <v>1.2141586587954947</v>
      </c>
      <c r="AF61" s="7">
        <f t="shared" si="6"/>
        <v>1.2286707194960522</v>
      </c>
      <c r="AG61" s="7"/>
      <c r="AH61" s="7"/>
      <c r="AI61" s="6">
        <v>59</v>
      </c>
      <c r="AJ61" s="6">
        <v>6561</v>
      </c>
      <c r="AK61" s="43">
        <v>32421</v>
      </c>
      <c r="AL61" s="44">
        <v>11807</v>
      </c>
      <c r="AM61" s="7">
        <f t="shared" si="7"/>
        <v>1.0117957831528754</v>
      </c>
      <c r="AN61" s="7">
        <f t="shared" si="8"/>
        <v>1.0332322770978759</v>
      </c>
    </row>
    <row r="62" spans="3:48" x14ac:dyDescent="0.25">
      <c r="C62">
        <v>60</v>
      </c>
      <c r="D62" s="4">
        <v>20177</v>
      </c>
      <c r="E62" s="6">
        <v>25979</v>
      </c>
      <c r="F62" s="38">
        <v>14427</v>
      </c>
      <c r="G62">
        <f t="shared" si="9"/>
        <v>0.6812181635554152</v>
      </c>
      <c r="H62">
        <f t="shared" si="0"/>
        <v>0.97612288480835707</v>
      </c>
      <c r="K62" s="6">
        <v>60</v>
      </c>
      <c r="L62" s="3">
        <v>5329</v>
      </c>
      <c r="M62" s="6">
        <v>43771</v>
      </c>
      <c r="N62" s="6">
        <v>13686</v>
      </c>
      <c r="O62">
        <f t="shared" si="1"/>
        <v>1.0551772780505557</v>
      </c>
      <c r="P62">
        <f t="shared" si="2"/>
        <v>0.86842945568874041</v>
      </c>
      <c r="S62" s="6">
        <v>60</v>
      </c>
      <c r="T62" s="3">
        <v>6540</v>
      </c>
      <c r="U62" s="43">
        <v>78015</v>
      </c>
      <c r="V62" s="44">
        <v>30175</v>
      </c>
      <c r="W62">
        <f t="shared" si="3"/>
        <v>1.9953136565970024</v>
      </c>
      <c r="X62">
        <f t="shared" si="4"/>
        <v>2.1079863684408751</v>
      </c>
      <c r="AA62" s="6">
        <v>60</v>
      </c>
      <c r="AB62" s="6">
        <v>9519</v>
      </c>
      <c r="AC62" s="6">
        <v>19835</v>
      </c>
      <c r="AD62" s="6">
        <v>5975</v>
      </c>
      <c r="AE62" s="7">
        <f t="shared" si="5"/>
        <v>0.51327444580581061</v>
      </c>
      <c r="AF62" s="7">
        <f t="shared" si="6"/>
        <v>0.42602759685404545</v>
      </c>
      <c r="AG62" s="7"/>
      <c r="AH62" s="7"/>
      <c r="AI62" s="6">
        <v>60</v>
      </c>
      <c r="AJ62" s="6">
        <v>9118</v>
      </c>
      <c r="AK62" s="43">
        <v>47832</v>
      </c>
      <c r="AL62" s="44">
        <v>22202</v>
      </c>
      <c r="AM62" s="7">
        <f t="shared" si="7"/>
        <v>1.4927428487637129</v>
      </c>
      <c r="AN62" s="7">
        <f t="shared" si="8"/>
        <v>1.942900230043791</v>
      </c>
    </row>
    <row r="63" spans="3:48" x14ac:dyDescent="0.25">
      <c r="C63">
        <v>61</v>
      </c>
      <c r="D63" s="3">
        <v>4961</v>
      </c>
      <c r="E63" s="6">
        <v>44294</v>
      </c>
      <c r="F63" s="38">
        <v>13641</v>
      </c>
      <c r="G63">
        <f t="shared" si="9"/>
        <v>1.1614718555958103</v>
      </c>
      <c r="H63">
        <f t="shared" si="0"/>
        <v>0.92294255712697015</v>
      </c>
      <c r="K63" s="6">
        <v>61</v>
      </c>
      <c r="L63" s="3">
        <v>4693</v>
      </c>
      <c r="M63" s="6">
        <v>38978</v>
      </c>
      <c r="N63" s="6">
        <v>17190</v>
      </c>
      <c r="O63">
        <f t="shared" si="1"/>
        <v>0.93963354604314642</v>
      </c>
      <c r="P63">
        <f t="shared" si="2"/>
        <v>1.0907717626252702</v>
      </c>
      <c r="S63" s="6">
        <v>61</v>
      </c>
      <c r="T63" s="3">
        <v>4911</v>
      </c>
      <c r="U63" s="43">
        <v>51119</v>
      </c>
      <c r="V63" s="44">
        <v>23178</v>
      </c>
      <c r="W63">
        <f t="shared" si="3"/>
        <v>1.3074208653666879</v>
      </c>
      <c r="X63">
        <f t="shared" si="4"/>
        <v>1.6191850222940383</v>
      </c>
      <c r="AA63" s="6">
        <v>61</v>
      </c>
      <c r="AB63" s="6">
        <v>3496</v>
      </c>
      <c r="AC63" s="41">
        <v>46978</v>
      </c>
      <c r="AD63" s="42">
        <v>15842</v>
      </c>
      <c r="AE63" s="7">
        <f t="shared" si="5"/>
        <v>1.2156595369329657</v>
      </c>
      <c r="AF63" s="7">
        <f t="shared" si="6"/>
        <v>1.1295613706044834</v>
      </c>
      <c r="AG63" s="7"/>
      <c r="AH63" s="7"/>
      <c r="AI63" s="6">
        <v>61</v>
      </c>
      <c r="AJ63" s="6">
        <v>6155</v>
      </c>
      <c r="AK63" s="43">
        <v>57060</v>
      </c>
      <c r="AL63" s="44">
        <v>19444</v>
      </c>
      <c r="AM63" s="7">
        <f t="shared" si="7"/>
        <v>1.7807306186330794</v>
      </c>
      <c r="AN63" s="7">
        <f t="shared" si="8"/>
        <v>1.7015472512823833</v>
      </c>
    </row>
    <row r="64" spans="3:48" x14ac:dyDescent="0.25">
      <c r="C64">
        <v>62</v>
      </c>
      <c r="D64" s="3">
        <v>4699</v>
      </c>
      <c r="E64" s="6">
        <v>36945</v>
      </c>
      <c r="F64" s="38">
        <v>16301</v>
      </c>
      <c r="G64">
        <f t="shared" si="9"/>
        <v>0.9687672755900848</v>
      </c>
      <c r="H64">
        <f t="shared" si="0"/>
        <v>1.1029166940639792</v>
      </c>
      <c r="K64" s="6">
        <v>62</v>
      </c>
      <c r="L64" s="3">
        <v>4500</v>
      </c>
      <c r="M64" s="40">
        <v>49081</v>
      </c>
      <c r="N64" s="37">
        <v>18645</v>
      </c>
      <c r="O64">
        <f t="shared" si="1"/>
        <v>1.183184208357116</v>
      </c>
      <c r="P64">
        <f t="shared" si="2"/>
        <v>1.1830971212418941</v>
      </c>
      <c r="S64" s="6">
        <v>62</v>
      </c>
      <c r="T64" s="3">
        <v>5921</v>
      </c>
      <c r="U64" s="43">
        <v>57643</v>
      </c>
      <c r="V64" s="44">
        <v>24548</v>
      </c>
      <c r="W64">
        <f t="shared" si="3"/>
        <v>1.4742788580044992</v>
      </c>
      <c r="X64">
        <f t="shared" si="4"/>
        <v>1.7148914456499289</v>
      </c>
      <c r="AA64" s="6">
        <v>62</v>
      </c>
      <c r="AB64" s="3">
        <v>5903</v>
      </c>
      <c r="AC64" s="45">
        <v>45321</v>
      </c>
      <c r="AD64" s="46">
        <v>15588</v>
      </c>
      <c r="AE64" s="7">
        <f t="shared" si="5"/>
        <v>1.1727810011779756</v>
      </c>
      <c r="AF64" s="7">
        <f t="shared" si="6"/>
        <v>1.1114507413825709</v>
      </c>
      <c r="AG64" s="7"/>
      <c r="AH64" s="7"/>
      <c r="AI64" s="6">
        <v>62</v>
      </c>
      <c r="AJ64" s="6">
        <v>4082</v>
      </c>
      <c r="AK64" s="43">
        <v>49247</v>
      </c>
      <c r="AL64" s="44">
        <v>14557</v>
      </c>
      <c r="AM64" s="7">
        <f t="shared" si="7"/>
        <v>1.5369022217985149</v>
      </c>
      <c r="AN64" s="7">
        <f t="shared" si="8"/>
        <v>1.2738851747026154</v>
      </c>
    </row>
    <row r="65" spans="3:40" x14ac:dyDescent="0.25">
      <c r="C65">
        <v>63</v>
      </c>
      <c r="D65" s="3">
        <v>9314</v>
      </c>
      <c r="E65" s="6">
        <v>34864</v>
      </c>
      <c r="F65" s="38">
        <v>21297</v>
      </c>
      <c r="G65">
        <f t="shared" si="9"/>
        <v>0.91419954787312807</v>
      </c>
      <c r="H65">
        <f t="shared" si="0"/>
        <v>1.44094330614567</v>
      </c>
      <c r="K65" t="s">
        <v>5</v>
      </c>
      <c r="M65" s="3">
        <f>AVERAGE(M3:M64)</f>
        <v>41482.129032258068</v>
      </c>
      <c r="N65" s="3">
        <f>AVERAGE(N3:N64)</f>
        <v>15759.483870967742</v>
      </c>
      <c r="S65" s="6">
        <v>63</v>
      </c>
      <c r="T65" s="3">
        <v>4607</v>
      </c>
      <c r="U65" s="43">
        <v>54980</v>
      </c>
      <c r="V65" s="44">
        <v>18927</v>
      </c>
      <c r="W65">
        <f t="shared" si="3"/>
        <v>1.4061699011690467</v>
      </c>
      <c r="X65">
        <f t="shared" si="4"/>
        <v>1.3222156750780596</v>
      </c>
      <c r="AA65" s="6">
        <v>63</v>
      </c>
      <c r="AB65" s="3">
        <v>4098</v>
      </c>
      <c r="AC65" s="6">
        <v>40196</v>
      </c>
      <c r="AD65" s="6">
        <v>10696</v>
      </c>
      <c r="AE65" s="7">
        <f t="shared" si="5"/>
        <v>1.040160303685927</v>
      </c>
      <c r="AF65" s="7">
        <f t="shared" si="6"/>
        <v>0.7626428746361289</v>
      </c>
      <c r="AG65" s="7"/>
      <c r="AH65" s="7"/>
      <c r="AI65" s="6">
        <v>63</v>
      </c>
      <c r="AJ65" s="3">
        <v>4812</v>
      </c>
      <c r="AK65" s="43">
        <v>54308</v>
      </c>
      <c r="AL65" s="44">
        <v>16786</v>
      </c>
      <c r="AM65" s="7">
        <f t="shared" si="7"/>
        <v>1.6948460994869485</v>
      </c>
      <c r="AN65" s="7">
        <f t="shared" si="8"/>
        <v>1.4689452869793296</v>
      </c>
    </row>
    <row r="66" spans="3:40" x14ac:dyDescent="0.25">
      <c r="C66">
        <v>64</v>
      </c>
      <c r="D66" s="3">
        <v>4586</v>
      </c>
      <c r="E66" s="40">
        <v>48654</v>
      </c>
      <c r="F66" s="37">
        <v>20910</v>
      </c>
      <c r="G66">
        <f t="shared" si="9"/>
        <v>1.275799242835566</v>
      </c>
      <c r="H66">
        <f t="shared" si="0"/>
        <v>1.4147590990048344</v>
      </c>
      <c r="K66" t="s">
        <v>8</v>
      </c>
      <c r="M66" s="3">
        <f>AVERAGE(M37:M64)</f>
        <v>55483.214285714283</v>
      </c>
      <c r="N66" s="3">
        <f>AVERAGE(N37:N64)</f>
        <v>20313.892857142859</v>
      </c>
      <c r="S66" s="6">
        <v>64</v>
      </c>
      <c r="T66" s="3">
        <v>6451</v>
      </c>
      <c r="U66" s="43">
        <v>72713</v>
      </c>
      <c r="V66" s="44">
        <v>18844</v>
      </c>
      <c r="W66">
        <f t="shared" si="3"/>
        <v>1.8597095675464697</v>
      </c>
      <c r="X66">
        <f t="shared" si="4"/>
        <v>1.3164174027141624</v>
      </c>
      <c r="AA66" s="6">
        <v>64</v>
      </c>
      <c r="AB66" s="3">
        <v>2902</v>
      </c>
      <c r="AC66" s="6">
        <v>22873</v>
      </c>
      <c r="AD66" s="6">
        <v>11176</v>
      </c>
      <c r="AE66" s="7">
        <f t="shared" si="5"/>
        <v>0.59188940755817021</v>
      </c>
      <c r="AF66" s="7">
        <f t="shared" si="6"/>
        <v>0.79686768576415268</v>
      </c>
      <c r="AG66" s="7"/>
      <c r="AH66" s="7"/>
      <c r="AI66" s="6">
        <v>64</v>
      </c>
      <c r="AJ66" s="3">
        <v>7145</v>
      </c>
      <c r="AK66" s="45">
        <v>34658</v>
      </c>
      <c r="AL66" s="46">
        <v>14889</v>
      </c>
      <c r="AM66" s="7">
        <f t="shared" si="7"/>
        <v>1.0816081629965872</v>
      </c>
      <c r="AN66" s="7">
        <f t="shared" si="8"/>
        <v>1.3029385427043512</v>
      </c>
    </row>
    <row r="67" spans="3:40" x14ac:dyDescent="0.25">
      <c r="C67">
        <v>65</v>
      </c>
      <c r="D67" s="4">
        <v>16676</v>
      </c>
      <c r="E67" s="6">
        <v>21342</v>
      </c>
      <c r="F67" s="38">
        <v>11360</v>
      </c>
      <c r="G67">
        <f t="shared" si="9"/>
        <v>0.55962731616304207</v>
      </c>
      <c r="H67">
        <f t="shared" si="0"/>
        <v>0.76861135173098605</v>
      </c>
      <c r="K67" s="5" t="s">
        <v>30</v>
      </c>
      <c r="M67" s="3">
        <f>AVERAGE(M3:M36)</f>
        <v>29951.823529411766</v>
      </c>
      <c r="N67" s="3">
        <f>AVERAGE(N3:N36)</f>
        <v>12008.794117647059</v>
      </c>
      <c r="S67" s="6">
        <v>65</v>
      </c>
      <c r="T67" s="3">
        <v>4947</v>
      </c>
      <c r="U67" s="43">
        <v>53030</v>
      </c>
      <c r="V67" s="44">
        <v>14639</v>
      </c>
      <c r="W67">
        <f t="shared" si="3"/>
        <v>1.356296650763815</v>
      </c>
      <c r="X67">
        <f t="shared" si="4"/>
        <v>1.0226615558444399</v>
      </c>
      <c r="AA67" s="6">
        <v>65</v>
      </c>
      <c r="AB67" s="3">
        <v>8571</v>
      </c>
      <c r="AC67" s="6">
        <v>26824</v>
      </c>
      <c r="AD67" s="6">
        <v>8637</v>
      </c>
      <c r="AE67" s="7">
        <f t="shared" si="5"/>
        <v>0.69413026137106448</v>
      </c>
      <c r="AF67" s="7">
        <f t="shared" si="6"/>
        <v>0.61583269523487705</v>
      </c>
      <c r="AG67" s="7"/>
      <c r="AH67" s="7"/>
      <c r="AI67" s="6">
        <v>65</v>
      </c>
      <c r="AJ67" s="3">
        <v>4428</v>
      </c>
      <c r="AK67" s="6">
        <v>31924</v>
      </c>
      <c r="AL67" s="6">
        <v>10448</v>
      </c>
      <c r="AM67" s="7">
        <f t="shared" si="7"/>
        <v>0.99628538852510384</v>
      </c>
      <c r="AN67" s="7">
        <f t="shared" si="8"/>
        <v>0.91430599060884288</v>
      </c>
    </row>
    <row r="68" spans="3:40" x14ac:dyDescent="0.25">
      <c r="C68">
        <v>66</v>
      </c>
      <c r="D68" s="3">
        <v>5745</v>
      </c>
      <c r="E68" s="40">
        <v>43007</v>
      </c>
      <c r="F68" s="37">
        <v>16248</v>
      </c>
      <c r="G68">
        <f t="shared" ref="G68:G87" si="14">E68/$E$88</f>
        <v>1.1277242988578366</v>
      </c>
      <c r="H68">
        <f t="shared" ref="H68:H87" si="15">F68/$F$88</f>
        <v>1.0993307432152344</v>
      </c>
      <c r="K68" t="s">
        <v>31</v>
      </c>
      <c r="L68">
        <f>COUNT(L3:L36)</f>
        <v>34</v>
      </c>
      <c r="S68" s="6">
        <v>66</v>
      </c>
      <c r="T68" s="3">
        <v>4572</v>
      </c>
      <c r="U68" s="45">
        <v>43560</v>
      </c>
      <c r="V68" s="46">
        <v>14723</v>
      </c>
      <c r="W68">
        <f t="shared" ref="W68:W71" si="16">U68/$U$72</f>
        <v>1.1140916859753307</v>
      </c>
      <c r="X68">
        <f t="shared" ref="X68:X71" si="17">V68/$V$72</f>
        <v>1.0285296869115164</v>
      </c>
      <c r="AA68" s="6">
        <v>66</v>
      </c>
      <c r="AB68" s="3">
        <v>9268</v>
      </c>
      <c r="AC68" s="6">
        <v>31259</v>
      </c>
      <c r="AD68" s="6">
        <v>8482</v>
      </c>
      <c r="AE68" s="7">
        <f t="shared" ref="AE68:AE72" si="18">AC68/$AC$73</f>
        <v>0.80889568446906146</v>
      </c>
      <c r="AF68" s="7">
        <f t="shared" ref="AF68:AF72" si="19">AD68/$AD$73</f>
        <v>0.60478093330811944</v>
      </c>
      <c r="AG68" s="7"/>
      <c r="AH68" s="7"/>
      <c r="AI68" s="6">
        <v>66</v>
      </c>
      <c r="AJ68" s="3">
        <v>8233</v>
      </c>
      <c r="AK68" s="6">
        <v>23247</v>
      </c>
      <c r="AL68" s="6">
        <v>6986</v>
      </c>
      <c r="AM68" s="7">
        <f t="shared" ref="AM68:AM75" si="20">AK68/$AK$76</f>
        <v>0.72549324730745179</v>
      </c>
      <c r="AN68" s="7">
        <f t="shared" ref="AN68:AN75" si="21">AL68/$AL$76</f>
        <v>0.6113458700606218</v>
      </c>
    </row>
    <row r="69" spans="3:40" x14ac:dyDescent="0.25">
      <c r="C69">
        <v>67</v>
      </c>
      <c r="D69" s="4">
        <v>18560</v>
      </c>
      <c r="E69" s="6">
        <v>36835</v>
      </c>
      <c r="F69" s="38">
        <v>13055</v>
      </c>
      <c r="G69">
        <f t="shared" si="14"/>
        <v>0.96588286903128362</v>
      </c>
      <c r="H69">
        <f t="shared" si="15"/>
        <v>0.88329411944084713</v>
      </c>
      <c r="K69" s="3" t="s">
        <v>32</v>
      </c>
      <c r="L69" s="3">
        <f>(L68/K64)*100</f>
        <v>54.838709677419352</v>
      </c>
      <c r="M69" s="3"/>
      <c r="N69" s="3"/>
      <c r="O69" s="3"/>
      <c r="P69" s="3"/>
      <c r="Q69" s="3"/>
      <c r="S69" s="6">
        <v>67</v>
      </c>
      <c r="T69" s="3">
        <v>4465</v>
      </c>
      <c r="U69" s="6">
        <v>38581</v>
      </c>
      <c r="V69" s="6">
        <v>12709</v>
      </c>
      <c r="W69">
        <f t="shared" si="16"/>
        <v>0.98674865327397232</v>
      </c>
      <c r="X69">
        <f t="shared" si="17"/>
        <v>0.88783425870803923</v>
      </c>
      <c r="AA69" s="6">
        <v>67</v>
      </c>
      <c r="AB69" s="3">
        <v>10802</v>
      </c>
      <c r="AC69" s="6">
        <v>29640</v>
      </c>
      <c r="AD69" s="6">
        <v>11730</v>
      </c>
      <c r="AE69" s="7">
        <f t="shared" si="18"/>
        <v>0.76700048266620757</v>
      </c>
      <c r="AF69" s="7">
        <f t="shared" si="19"/>
        <v>0.83636882194108009</v>
      </c>
      <c r="AG69" s="7"/>
      <c r="AH69" s="7"/>
      <c r="AI69" s="6">
        <v>67</v>
      </c>
      <c r="AJ69" s="3">
        <v>4521</v>
      </c>
      <c r="AK69" s="40">
        <v>39051</v>
      </c>
      <c r="AL69" s="37">
        <v>15607</v>
      </c>
      <c r="AM69" s="7">
        <f t="shared" si="20"/>
        <v>1.2187050716480965</v>
      </c>
      <c r="AN69" s="7">
        <f t="shared" si="21"/>
        <v>1.3657708265153341</v>
      </c>
    </row>
    <row r="70" spans="3:40" x14ac:dyDescent="0.25">
      <c r="C70">
        <v>68</v>
      </c>
      <c r="D70" s="3">
        <v>4388</v>
      </c>
      <c r="E70" s="41">
        <v>59349</v>
      </c>
      <c r="F70" s="42">
        <v>18984</v>
      </c>
      <c r="G70">
        <f t="shared" si="14"/>
        <v>1.5562422259844619</v>
      </c>
      <c r="H70">
        <f t="shared" si="15"/>
        <v>1.2844469983504436</v>
      </c>
      <c r="L70" t="s">
        <v>11</v>
      </c>
      <c r="M70" t="s">
        <v>0</v>
      </c>
      <c r="S70" s="6">
        <v>68</v>
      </c>
      <c r="T70" s="3">
        <v>3686</v>
      </c>
      <c r="U70" s="3">
        <v>27872</v>
      </c>
      <c r="V70" s="3">
        <v>12468</v>
      </c>
      <c r="W70">
        <f t="shared" si="16"/>
        <v>0.71285499245877904</v>
      </c>
      <c r="X70">
        <f t="shared" si="17"/>
        <v>0.87099831124178395</v>
      </c>
      <c r="AA70" s="6">
        <v>68</v>
      </c>
      <c r="AB70" s="3">
        <v>3828</v>
      </c>
      <c r="AC70" s="40">
        <v>47773</v>
      </c>
      <c r="AD70" s="37">
        <v>14227</v>
      </c>
      <c r="AE70" s="7">
        <f t="shared" si="18"/>
        <v>1.2362319183000248</v>
      </c>
      <c r="AF70" s="7">
        <f t="shared" si="19"/>
        <v>1.0144091414966536</v>
      </c>
      <c r="AG70" s="7"/>
      <c r="AH70" s="7"/>
      <c r="AI70" s="6">
        <v>68</v>
      </c>
      <c r="AJ70" s="3">
        <v>7526</v>
      </c>
      <c r="AK70" s="6">
        <v>28868</v>
      </c>
      <c r="AL70" s="6">
        <v>9882</v>
      </c>
      <c r="AM70" s="7">
        <f t="shared" si="20"/>
        <v>0.90091362598492353</v>
      </c>
      <c r="AN70" s="7">
        <f t="shared" si="21"/>
        <v>0.86477524877455825</v>
      </c>
    </row>
    <row r="71" spans="3:40" x14ac:dyDescent="0.25">
      <c r="C71">
        <v>69</v>
      </c>
      <c r="D71" s="3">
        <v>4057</v>
      </c>
      <c r="E71" s="43">
        <v>55566</v>
      </c>
      <c r="F71" s="44">
        <v>17302</v>
      </c>
      <c r="G71">
        <f t="shared" si="14"/>
        <v>1.4570448622395087</v>
      </c>
      <c r="H71">
        <f t="shared" si="15"/>
        <v>1.1706438034902746</v>
      </c>
      <c r="K71" s="29" t="s">
        <v>10</v>
      </c>
      <c r="L71">
        <f>(COUNT(M64,M59:M61,M56:M58,M52:M54,M37:M49,M24,M15)/K64)*100</f>
        <v>40.322580645161288</v>
      </c>
      <c r="M71">
        <f>(COUNT(M15,M24)/L68)*100</f>
        <v>5.8823529411764701</v>
      </c>
      <c r="S71" s="6">
        <v>69</v>
      </c>
      <c r="T71" s="3">
        <v>6151</v>
      </c>
      <c r="U71" s="3">
        <v>36717</v>
      </c>
      <c r="V71" s="3">
        <v>14443</v>
      </c>
      <c r="W71">
        <f t="shared" si="16"/>
        <v>0.9390749410917405</v>
      </c>
      <c r="X71">
        <f t="shared" si="17"/>
        <v>1.0089692500212613</v>
      </c>
      <c r="AA71" s="6">
        <v>69</v>
      </c>
      <c r="AB71" s="3">
        <v>3903</v>
      </c>
      <c r="AC71" s="6">
        <v>37140</v>
      </c>
      <c r="AD71" s="6">
        <v>11796</v>
      </c>
      <c r="AE71" s="7">
        <f t="shared" si="18"/>
        <v>0.96107955216676622</v>
      </c>
      <c r="AF71" s="7">
        <f t="shared" si="19"/>
        <v>0.84107473347118333</v>
      </c>
      <c r="AG71" s="7"/>
      <c r="AH71" s="7"/>
      <c r="AI71" s="6">
        <v>69</v>
      </c>
      <c r="AJ71" s="3">
        <v>3324</v>
      </c>
      <c r="AK71" s="41">
        <v>40906</v>
      </c>
      <c r="AL71" s="42">
        <v>11777</v>
      </c>
      <c r="AM71" s="7">
        <f t="shared" si="20"/>
        <v>1.2765959811742857</v>
      </c>
      <c r="AN71" s="7">
        <f t="shared" si="21"/>
        <v>1.0306069727603697</v>
      </c>
    </row>
    <row r="72" spans="3:40" x14ac:dyDescent="0.25">
      <c r="C72">
        <v>70</v>
      </c>
      <c r="D72" s="4">
        <v>24639</v>
      </c>
      <c r="E72" s="43">
        <v>43247</v>
      </c>
      <c r="F72" s="44">
        <v>15165</v>
      </c>
      <c r="G72">
        <f t="shared" si="14"/>
        <v>1.1340175495315847</v>
      </c>
      <c r="H72">
        <f t="shared" si="15"/>
        <v>1.0260555588908806</v>
      </c>
      <c r="K72" s="20" t="s">
        <v>12</v>
      </c>
      <c r="L72">
        <f>(COUNT(M62,M51,M26,M4)/K64)*100</f>
        <v>6.4516129032258061</v>
      </c>
      <c r="M72">
        <f>(COUNT(M4,#REF!,M26)/L68)*100</f>
        <v>5.8823529411764701</v>
      </c>
      <c r="N72" s="3"/>
      <c r="O72" s="3"/>
      <c r="P72" s="3"/>
      <c r="Q72" s="3"/>
      <c r="S72" t="s">
        <v>5</v>
      </c>
      <c r="U72" s="3">
        <f>AVERAGE(U3:U71)</f>
        <v>39099.115942028984</v>
      </c>
      <c r="V72" s="3">
        <f>AVERAGE(V3:V71)</f>
        <v>14314.608695652174</v>
      </c>
      <c r="AA72" s="6">
        <v>70</v>
      </c>
      <c r="AB72" s="3">
        <v>11607</v>
      </c>
      <c r="AC72" s="6">
        <v>30462</v>
      </c>
      <c r="AD72" s="6">
        <v>14880</v>
      </c>
      <c r="AE72" s="7">
        <f t="shared" si="18"/>
        <v>0.78827154868346883</v>
      </c>
      <c r="AF72" s="7">
        <f t="shared" si="19"/>
        <v>1.0609691449687357</v>
      </c>
      <c r="AG72" s="7"/>
      <c r="AH72" s="7"/>
      <c r="AI72" s="6">
        <v>70</v>
      </c>
      <c r="AJ72" s="3">
        <v>4189</v>
      </c>
      <c r="AK72" s="45">
        <v>44318</v>
      </c>
      <c r="AL72" s="46">
        <v>20417</v>
      </c>
      <c r="AM72" s="7">
        <f t="shared" si="20"/>
        <v>1.3830778050574977</v>
      </c>
      <c r="AN72" s="7">
        <f t="shared" si="21"/>
        <v>1.7866946219621693</v>
      </c>
    </row>
    <row r="73" spans="3:40" x14ac:dyDescent="0.25">
      <c r="C73">
        <v>71</v>
      </c>
      <c r="D73" s="4">
        <v>12727</v>
      </c>
      <c r="E73" s="43">
        <v>44557</v>
      </c>
      <c r="F73" s="44">
        <v>21273</v>
      </c>
      <c r="G73">
        <f t="shared" si="14"/>
        <v>1.1683682094591259</v>
      </c>
      <c r="H73">
        <f t="shared" si="15"/>
        <v>1.4393194793462383</v>
      </c>
      <c r="K73" s="9" t="s">
        <v>13</v>
      </c>
      <c r="L73">
        <f>(COUNT(N63,N31,N12,N9,N10)/K64)*100</f>
        <v>8.064516129032258</v>
      </c>
      <c r="M73">
        <f>(COUNT(N31,N23,N12:N13,N9:N10)/L68)*100</f>
        <v>17.647058823529413</v>
      </c>
      <c r="R73" s="3"/>
      <c r="S73" t="s">
        <v>8</v>
      </c>
      <c r="U73" s="3">
        <f>AVERAGE(U38:U71)</f>
        <v>47804.205882352944</v>
      </c>
      <c r="V73" s="3">
        <f>AVERAGE(V38:V71)</f>
        <v>17208.823529411766</v>
      </c>
      <c r="AA73" t="s">
        <v>5</v>
      </c>
      <c r="AC73" s="3">
        <f>AVERAGE(AC4:AC72)</f>
        <v>38644.043478260872</v>
      </c>
      <c r="AD73" s="3">
        <f>AVERAGE(AD4:AD72)</f>
        <v>14024.91304347826</v>
      </c>
      <c r="AH73" s="7"/>
      <c r="AI73" s="6">
        <v>71</v>
      </c>
      <c r="AJ73" s="3">
        <v>3907</v>
      </c>
      <c r="AK73" s="6">
        <v>27977</v>
      </c>
      <c r="AL73" s="6">
        <v>10105</v>
      </c>
      <c r="AM73" s="7">
        <f t="shared" si="20"/>
        <v>0.87310726458986443</v>
      </c>
      <c r="AN73" s="7">
        <f t="shared" si="21"/>
        <v>0.88429001101668803</v>
      </c>
    </row>
    <row r="74" spans="3:40" x14ac:dyDescent="0.25">
      <c r="C74">
        <v>72</v>
      </c>
      <c r="D74" s="4">
        <v>19780</v>
      </c>
      <c r="E74" s="45">
        <v>42814</v>
      </c>
      <c r="F74" s="46">
        <v>19703</v>
      </c>
      <c r="G74">
        <f t="shared" si="14"/>
        <v>1.122663476441031</v>
      </c>
      <c r="H74">
        <f t="shared" si="15"/>
        <v>1.3330941428834171</v>
      </c>
      <c r="K74" t="s">
        <v>15</v>
      </c>
      <c r="L74">
        <f>(COUNT(N55,N50,N32:N36,N27:N30,N25,N16:N23,N13:N14,N11,N5:N8,N3)/K64)*100</f>
        <v>45.161290322580641</v>
      </c>
      <c r="M74">
        <f>(COUNT(N32:N36,N27:N30,N25,N16:N22,N14,N11,N5:N8,N3)/L68)*100</f>
        <v>70.588235294117652</v>
      </c>
      <c r="S74" s="5" t="s">
        <v>30</v>
      </c>
      <c r="U74" s="3">
        <f>AVERAGE(U3:U37)</f>
        <v>30642.742857142857</v>
      </c>
      <c r="V74" s="3">
        <f>AVERAGE(V3:V37)</f>
        <v>11503.085714285715</v>
      </c>
      <c r="AA74" t="s">
        <v>8</v>
      </c>
      <c r="AC74" s="3">
        <f>AVERAGE(AC39:AC72,AC3)</f>
        <v>46382.2</v>
      </c>
      <c r="AD74" s="3">
        <f>AVERAGE(AD39:AD72,AD3)</f>
        <v>16426.914285714287</v>
      </c>
      <c r="AH74" s="7"/>
      <c r="AI74" s="6">
        <v>72</v>
      </c>
      <c r="AJ74" s="3">
        <v>3146</v>
      </c>
      <c r="AK74" s="6">
        <v>33910</v>
      </c>
      <c r="AL74" s="6">
        <v>9966</v>
      </c>
      <c r="AM74" s="7">
        <f t="shared" si="20"/>
        <v>1.058264550961229</v>
      </c>
      <c r="AN74" s="7">
        <f t="shared" si="21"/>
        <v>0.87212610091957576</v>
      </c>
    </row>
    <row r="75" spans="3:40" x14ac:dyDescent="0.25">
      <c r="C75">
        <v>73</v>
      </c>
      <c r="D75" s="4">
        <v>17553</v>
      </c>
      <c r="E75" s="6">
        <v>20579</v>
      </c>
      <c r="F75" s="38">
        <v>6447</v>
      </c>
      <c r="G75">
        <f t="shared" si="14"/>
        <v>0.53962002339608484</v>
      </c>
      <c r="H75">
        <f t="shared" si="15"/>
        <v>0.43620047399732986</v>
      </c>
      <c r="K75" t="s">
        <v>11</v>
      </c>
      <c r="L75">
        <f>SUM(L71:L74)</f>
        <v>100</v>
      </c>
      <c r="M75">
        <f>SUM(M71:M74)</f>
        <v>100</v>
      </c>
      <c r="S75" t="s">
        <v>31</v>
      </c>
      <c r="T75">
        <f>COUNT(T3:T37)</f>
        <v>35</v>
      </c>
      <c r="AA75" s="5" t="s">
        <v>30</v>
      </c>
      <c r="AC75" s="3">
        <f>AVERAGE(AC4:AC38)</f>
        <v>30294.742857142857</v>
      </c>
      <c r="AD75" s="3">
        <f>AVERAGE(AD4:AD38)</f>
        <v>11431.057142857142</v>
      </c>
      <c r="AH75" s="7"/>
      <c r="AI75" s="6">
        <v>73</v>
      </c>
      <c r="AJ75" s="3">
        <v>5837</v>
      </c>
      <c r="AK75" s="6">
        <v>21922</v>
      </c>
      <c r="AL75" s="6">
        <v>9271</v>
      </c>
      <c r="AM75" s="7">
        <f t="shared" si="20"/>
        <v>0.68414259764588792</v>
      </c>
      <c r="AN75" s="7">
        <f t="shared" si="21"/>
        <v>0.81130655043401434</v>
      </c>
    </row>
    <row r="76" spans="3:40" x14ac:dyDescent="0.25">
      <c r="C76">
        <v>74</v>
      </c>
      <c r="D76" s="3">
        <v>5268</v>
      </c>
      <c r="E76" s="40">
        <v>50420</v>
      </c>
      <c r="F76" s="37">
        <v>17268</v>
      </c>
      <c r="G76">
        <f t="shared" si="14"/>
        <v>1.3221070790432286</v>
      </c>
      <c r="H76">
        <f t="shared" si="15"/>
        <v>1.1683433821910798</v>
      </c>
      <c r="K76" s="3"/>
      <c r="L76" s="3"/>
      <c r="M76" s="3"/>
      <c r="N76" s="3"/>
      <c r="O76" s="3"/>
      <c r="P76" s="3"/>
      <c r="Q76" s="3"/>
      <c r="R76" s="3"/>
      <c r="S76" s="3" t="s">
        <v>32</v>
      </c>
      <c r="T76" s="3">
        <f>(T75/S71)*100</f>
        <v>50.724637681159422</v>
      </c>
      <c r="U76" s="3"/>
      <c r="V76" s="3"/>
      <c r="W76" s="3"/>
      <c r="X76" s="3"/>
      <c r="Y76" s="3"/>
      <c r="AA76" t="s">
        <v>31</v>
      </c>
      <c r="AB76">
        <f>COUNT(AB4:AB38)</f>
        <v>35</v>
      </c>
      <c r="AH76" s="7"/>
      <c r="AI76" t="s">
        <v>5</v>
      </c>
      <c r="AK76" s="3">
        <f>AVERAGE(AK3:AK75)</f>
        <v>32043.027397260274</v>
      </c>
      <c r="AL76" s="3">
        <f>AVERAGE(AL3:AL75)</f>
        <v>11427.246575342466</v>
      </c>
    </row>
    <row r="77" spans="3:40" x14ac:dyDescent="0.25">
      <c r="C77">
        <v>75</v>
      </c>
      <c r="D77" s="4">
        <v>12273</v>
      </c>
      <c r="E77" s="6">
        <v>28051</v>
      </c>
      <c r="F77" s="38">
        <v>14838</v>
      </c>
      <c r="G77">
        <f t="shared" si="14"/>
        <v>0.73554989437210638</v>
      </c>
      <c r="H77">
        <f t="shared" si="15"/>
        <v>1.0039309187486243</v>
      </c>
      <c r="K77" t="s">
        <v>16</v>
      </c>
      <c r="L77" s="3">
        <f>AVERAGE(M63:M64,M59:M61,M56:M58,M53:M54,M52,M37:M49,M31,M24,M15,M12:M13,M9:M10,M4)</f>
        <v>53041.65625</v>
      </c>
      <c r="T77" t="s">
        <v>11</v>
      </c>
      <c r="U77" t="s">
        <v>0</v>
      </c>
      <c r="AA77" s="3" t="s">
        <v>32</v>
      </c>
      <c r="AB77" s="3">
        <f>(AB76/AA72)*100</f>
        <v>50</v>
      </c>
      <c r="AC77" s="3"/>
      <c r="AD77" s="3"/>
      <c r="AE77" s="3"/>
      <c r="AF77" s="3"/>
      <c r="AG77" s="3"/>
      <c r="AH77" s="7"/>
      <c r="AI77" t="s">
        <v>8</v>
      </c>
      <c r="AK77" s="3">
        <f>AVERAGE(AK40:AK75,AK3)</f>
        <v>39586.91891891892</v>
      </c>
      <c r="AL77" s="3">
        <f>AVERAGE(AL40:AL75,AL3)</f>
        <v>13737.621621621622</v>
      </c>
    </row>
    <row r="78" spans="3:40" x14ac:dyDescent="0.25">
      <c r="C78">
        <v>76</v>
      </c>
      <c r="D78" s="4">
        <v>19763</v>
      </c>
      <c r="E78" s="6">
        <v>31323</v>
      </c>
      <c r="F78" s="38">
        <v>13419</v>
      </c>
      <c r="G78">
        <f t="shared" si="14"/>
        <v>0.82134787855753755</v>
      </c>
      <c r="H78">
        <f t="shared" si="15"/>
        <v>0.9079221592322273</v>
      </c>
      <c r="K78" t="s">
        <v>19</v>
      </c>
      <c r="L78" s="3">
        <f>AVERAGE(M62,M55,M50:M51,M32:M36,M25:M30,M16:M23,M14,M11,M3:M8)</f>
        <v>29573.258064516129</v>
      </c>
      <c r="S78" s="29" t="s">
        <v>10</v>
      </c>
      <c r="T78">
        <f>(COUNT(U61:U68,U53:U59,U48:U51,U46,U44,U41,U27,U20)/S71)*100</f>
        <v>34.782608695652172</v>
      </c>
      <c r="U78">
        <f>(COUNT(V20,V27)/T75)*100</f>
        <v>5.7142857142857144</v>
      </c>
      <c r="AB78" t="s">
        <v>11</v>
      </c>
      <c r="AC78" t="s">
        <v>0</v>
      </c>
      <c r="AH78" s="7"/>
      <c r="AI78" s="5" t="s">
        <v>30</v>
      </c>
      <c r="AK78" s="3">
        <f>AVERAGE(AK4:AK39)</f>
        <v>24289.583333333332</v>
      </c>
      <c r="AL78" s="3">
        <f>AVERAGE(AL4:AL39)</f>
        <v>9052.6944444444453</v>
      </c>
    </row>
    <row r="79" spans="3:40" x14ac:dyDescent="0.25">
      <c r="C79">
        <v>77</v>
      </c>
      <c r="D79" s="3">
        <v>3981</v>
      </c>
      <c r="E79" s="40">
        <v>49676</v>
      </c>
      <c r="F79" s="37">
        <v>14933</v>
      </c>
      <c r="G79">
        <f t="shared" si="14"/>
        <v>1.3025980019546097</v>
      </c>
      <c r="H79">
        <f t="shared" si="15"/>
        <v>1.0103585664963746</v>
      </c>
      <c r="S79" s="20" t="s">
        <v>12</v>
      </c>
      <c r="T79">
        <f>(COUNT(U60,U47,U45,U25,U18,U9)/S71)*100</f>
        <v>8.695652173913043</v>
      </c>
      <c r="U79">
        <f>(COUNT(U25,U18,U9)/T75)*100</f>
        <v>8.5714285714285712</v>
      </c>
      <c r="V79" s="3"/>
      <c r="W79" s="3"/>
      <c r="X79" s="3"/>
      <c r="Y79" s="3"/>
      <c r="AA79" s="29" t="s">
        <v>10</v>
      </c>
      <c r="AB79">
        <f>(COUNT(AC70,AC63:AC64,AC61,AC58,AC42:AC56,AC40,AC22:AC24,AC19:AC20,AC11)/AA72)*100</f>
        <v>38.571428571428577</v>
      </c>
      <c r="AC79">
        <f>(COUNT(AC7,AC11,AC19:AC20,AC22:AC24)/AB76)*100</f>
        <v>20</v>
      </c>
      <c r="AH79" s="7"/>
      <c r="AI79" t="s">
        <v>31</v>
      </c>
      <c r="AJ79">
        <f>COUNT(AJ4:AJ39)</f>
        <v>36</v>
      </c>
    </row>
    <row r="80" spans="3:40" x14ac:dyDescent="0.25">
      <c r="C80">
        <v>78</v>
      </c>
      <c r="D80" s="4">
        <v>15993</v>
      </c>
      <c r="E80" s="6">
        <v>35376</v>
      </c>
      <c r="F80" s="38">
        <v>15128</v>
      </c>
      <c r="G80">
        <f t="shared" si="14"/>
        <v>0.92762514931045714</v>
      </c>
      <c r="H80">
        <f t="shared" si="15"/>
        <v>1.0235521592417567</v>
      </c>
      <c r="K80" t="s">
        <v>17</v>
      </c>
      <c r="M80" s="3">
        <f>AVERAGE(N64,N56:N62,N51:N54,N37:N49,N26,N24:N24,N15,N4)</f>
        <v>20193.206896551725</v>
      </c>
      <c r="R80" s="3"/>
      <c r="S80" s="9" t="s">
        <v>13</v>
      </c>
      <c r="T80">
        <f>(COUNT(V71,V52,V28,V11)/S71)*100</f>
        <v>5.7971014492753623</v>
      </c>
      <c r="U80">
        <f>(COUNT(V11,V28)/T75)*100</f>
        <v>5.7142857142857144</v>
      </c>
      <c r="AA80" s="20" t="s">
        <v>12</v>
      </c>
      <c r="AB80">
        <f>(COUNT(AC65,AC59:AC60,AC57,AC27)/AA72)*100</f>
        <v>7.1428571428571423</v>
      </c>
      <c r="AC80">
        <f>(COUNT(AC27,AC12)/AB76)*100</f>
        <v>5.7142857142857144</v>
      </c>
      <c r="AD80" s="3"/>
      <c r="AE80" s="3"/>
      <c r="AF80" s="3"/>
      <c r="AG80" s="3"/>
      <c r="AH80" s="7"/>
      <c r="AI80" s="3" t="s">
        <v>32</v>
      </c>
      <c r="AJ80" s="3">
        <f>(AJ79/AI75)*100</f>
        <v>49.315068493150683</v>
      </c>
      <c r="AK80" s="3"/>
      <c r="AL80" s="3"/>
      <c r="AM80" s="3"/>
    </row>
    <row r="81" spans="3:105" x14ac:dyDescent="0.25">
      <c r="C81">
        <v>79</v>
      </c>
      <c r="D81" s="4">
        <v>20347</v>
      </c>
      <c r="E81" s="6">
        <v>35560</v>
      </c>
      <c r="F81" s="38">
        <v>13760</v>
      </c>
      <c r="G81">
        <f t="shared" si="14"/>
        <v>0.93244997482699732</v>
      </c>
      <c r="H81">
        <f t="shared" si="15"/>
        <v>0.93099403167415218</v>
      </c>
      <c r="K81" t="s">
        <v>18</v>
      </c>
      <c r="M81" s="3">
        <f>AVERAGE(N63,N55,N50,N27:N36,N25,N16:N23,N5:N14,N3)</f>
        <v>11863.181818181818</v>
      </c>
      <c r="S81" t="s">
        <v>15</v>
      </c>
      <c r="T81">
        <f>(COUNT(U69:U70,U42:U43,U29:U40,U26,U21:U24,U19,U12:U17,U10,U3:U8)/S71)*100</f>
        <v>50.724637681159422</v>
      </c>
      <c r="U81">
        <f>(COUNT(V29:V37,V26,V21:V24,V19:V19,V13:V17,V12,V10,V3:V8)/T75)*100</f>
        <v>80</v>
      </c>
      <c r="AA81" s="9" t="s">
        <v>13</v>
      </c>
      <c r="AB81">
        <f>(COUNT(AD72,AD41,AD39,AD18,AD7)/AA72)*100</f>
        <v>7.1428571428571423</v>
      </c>
      <c r="AC81">
        <f>(COUNT(AD18)/AB76)*100</f>
        <v>2.8571428571428572</v>
      </c>
      <c r="AJ81" t="s">
        <v>11</v>
      </c>
      <c r="AK81" t="s">
        <v>0</v>
      </c>
    </row>
    <row r="82" spans="3:105" x14ac:dyDescent="0.25">
      <c r="C82">
        <v>80</v>
      </c>
      <c r="D82" s="4">
        <v>23911</v>
      </c>
      <c r="E82" s="6">
        <v>31756</v>
      </c>
      <c r="F82" s="38">
        <v>8111</v>
      </c>
      <c r="G82">
        <f t="shared" si="14"/>
        <v>0.83270195164809124</v>
      </c>
      <c r="H82">
        <f t="shared" si="15"/>
        <v>0.54878579875792499</v>
      </c>
      <c r="S82" t="s">
        <v>11</v>
      </c>
      <c r="T82">
        <f>SUM(T78:T81)</f>
        <v>100</v>
      </c>
      <c r="U82">
        <f>SUM(U78:U81)</f>
        <v>100</v>
      </c>
      <c r="AA82" t="s">
        <v>15</v>
      </c>
      <c r="AB82">
        <f>(COUNT(AC71,AC66:AC69,AC62,AC28:AC38,AC25:AC26,AC21:AC21,AC12:AC17,AC8:AC10,AC3:AC6)/AA72)*100</f>
        <v>47.142857142857139</v>
      </c>
      <c r="AC82">
        <f>(COUNT(AC28:AC38,AC25:AC26,AC21,#REF!,AC13:AC17,AC8:AC10,AC4:AC6)/AB76)*100</f>
        <v>71.428571428571431</v>
      </c>
      <c r="AI82" s="29" t="s">
        <v>10</v>
      </c>
      <c r="AJ82">
        <f>(COUNT(AK71:AK72,AK69,AK58:AK66,AK56,AK54,AK50:AK52,AK47:AK48,AK42:AK44,AK31,AK21,AK8,AK40)/AI75)*100</f>
        <v>35.61643835616438</v>
      </c>
      <c r="AK82">
        <f>(COUNT(AK8,AK21,AK31)/AJ79)*100</f>
        <v>8.3333333333333321</v>
      </c>
    </row>
    <row r="83" spans="3:105" x14ac:dyDescent="0.25">
      <c r="C83">
        <v>81</v>
      </c>
      <c r="D83" s="4">
        <v>21304</v>
      </c>
      <c r="E83" s="6">
        <v>26594</v>
      </c>
      <c r="F83" s="38">
        <v>10855</v>
      </c>
      <c r="G83">
        <f t="shared" si="14"/>
        <v>0.69734461840689443</v>
      </c>
      <c r="H83">
        <f t="shared" si="15"/>
        <v>0.73444332949294489</v>
      </c>
      <c r="S83" s="3"/>
      <c r="T83" s="3"/>
      <c r="U83" s="3"/>
      <c r="V83" s="3"/>
      <c r="W83" s="3"/>
      <c r="X83" s="3"/>
      <c r="Y83" s="3"/>
      <c r="AA83" t="s">
        <v>11</v>
      </c>
      <c r="AB83">
        <f>SUM(AB79:AB82)</f>
        <v>100</v>
      </c>
      <c r="AC83">
        <f>SUM(AC79:AC82)</f>
        <v>100</v>
      </c>
      <c r="AI83" s="20" t="s">
        <v>12</v>
      </c>
      <c r="AJ83">
        <f>(COUNT(AK74,AK53,AK49,AK45,AK30,AK16)/AI75)*100</f>
        <v>8.2191780821917799</v>
      </c>
      <c r="AK83">
        <f>(COUNT(AK30,#REF!,AK16)/AJ79)*100</f>
        <v>5.5555555555555554</v>
      </c>
      <c r="AL83" s="3"/>
      <c r="AM83" s="3"/>
    </row>
    <row r="84" spans="3:105" x14ac:dyDescent="0.25">
      <c r="C84">
        <v>82</v>
      </c>
      <c r="D84" s="3">
        <v>4908</v>
      </c>
      <c r="E84" s="6">
        <v>52732</v>
      </c>
      <c r="F84" s="38">
        <v>14310</v>
      </c>
      <c r="G84">
        <f t="shared" si="14"/>
        <v>1.3827320605336677</v>
      </c>
      <c r="H84">
        <f t="shared" si="15"/>
        <v>0.96820672916112771</v>
      </c>
      <c r="K84" s="3"/>
      <c r="L84" s="3"/>
      <c r="M84" s="3" t="s">
        <v>27</v>
      </c>
      <c r="N84" s="3" t="s">
        <v>28</v>
      </c>
      <c r="O84" s="3" t="s">
        <v>29</v>
      </c>
      <c r="P84" s="3"/>
      <c r="Q84" s="3"/>
      <c r="S84" t="s">
        <v>16</v>
      </c>
      <c r="T84" s="3">
        <f>AVERAGE(U61:U68,U53:U59,U52,U48:U51,U46,U44,U41,U27:U28,U20,U11,U71)</f>
        <v>52123.25</v>
      </c>
      <c r="AA84" s="3"/>
      <c r="AB84" s="3"/>
      <c r="AC84" s="3"/>
      <c r="AD84" s="3"/>
      <c r="AE84" s="3"/>
      <c r="AF84" s="3"/>
      <c r="AG84" s="3"/>
      <c r="AI84" s="9" t="s">
        <v>13</v>
      </c>
      <c r="AJ84">
        <f>(COUNT(AL33,AL6,AL46)/AI75)*100</f>
        <v>4.10958904109589</v>
      </c>
      <c r="AK84">
        <f>(COUNT(AL33,AL6)/AJ79)*100</f>
        <v>5.5555555555555554</v>
      </c>
    </row>
    <row r="85" spans="3:105" x14ac:dyDescent="0.25">
      <c r="C85">
        <v>83</v>
      </c>
      <c r="D85" s="4">
        <v>10467</v>
      </c>
      <c r="E85" s="6">
        <v>31240</v>
      </c>
      <c r="F85" s="38">
        <v>8307</v>
      </c>
      <c r="G85">
        <f t="shared" si="14"/>
        <v>0.81917146269953311</v>
      </c>
      <c r="H85">
        <f t="shared" si="15"/>
        <v>0.56204705095328356</v>
      </c>
      <c r="K85" s="10" t="s">
        <v>20</v>
      </c>
      <c r="L85" s="10">
        <f>COUNT(M64,M56:M62,M51:M54,M37:M49,M26,M24:M24,M15,M4)</f>
        <v>29</v>
      </c>
      <c r="M85" s="10">
        <f t="shared" ref="M85:M91" si="22">(L85/$K$64)*100</f>
        <v>46.774193548387096</v>
      </c>
      <c r="N85" s="10">
        <f>(L85/$L$85)*100</f>
        <v>100</v>
      </c>
      <c r="O85" s="10"/>
      <c r="P85" s="10"/>
      <c r="Q85" s="10"/>
      <c r="S85" t="s">
        <v>19</v>
      </c>
      <c r="T85" s="3">
        <f>AVERAGE(U70,U69,U60,U47,U45,U42:U43,U29:U40,U21:U26,U12:U19,U3:U10)</f>
        <v>30204.585365853658</v>
      </c>
      <c r="AA85" t="s">
        <v>16</v>
      </c>
      <c r="AB85" s="3">
        <f>AVERAGE(AC70,AC72,AC63:AC64,AC61,AC58,AC39:AC56,AC27,AC22:AC24,AC18:AC20,AC11,AC7)</f>
        <v>49776.36363636364</v>
      </c>
      <c r="AI85" t="s">
        <v>15</v>
      </c>
      <c r="AJ85">
        <f>(COUNT(AK73,AK70,AK67:AK68,AK57,AK41,AK34:AK39,AK32,AK28:AK29,AK22:AK27,AK17:AK20,AK9:AK15,AK7,AK3:AK5,AK75,AK55)/AI75)*100</f>
        <v>52.054794520547944</v>
      </c>
      <c r="AK85">
        <f>(COUNT(AL34:AL39,AL32,AL28:AL29,AL22:AL27,AL17:AL20,AL9:AL15,AL7,AL4:AL5)/AJ79)*100</f>
        <v>80.555555555555557</v>
      </c>
    </row>
    <row r="86" spans="3:105" x14ac:dyDescent="0.25">
      <c r="C86">
        <v>84</v>
      </c>
      <c r="D86" s="4">
        <v>21667</v>
      </c>
      <c r="E86" s="6">
        <v>25927</v>
      </c>
      <c r="F86" s="38">
        <v>8583</v>
      </c>
      <c r="G86">
        <f t="shared" si="14"/>
        <v>0.67985462590943646</v>
      </c>
      <c r="H86">
        <f t="shared" si="15"/>
        <v>0.58072105914674765</v>
      </c>
      <c r="K86" s="9" t="s">
        <v>21</v>
      </c>
      <c r="L86" s="9">
        <f>COUNT(N63:N64,N59:N61,N56:N58,N52:N54,N37:N49,N31,N24,N23,N15,N12:N13,N9:N10)</f>
        <v>32</v>
      </c>
      <c r="M86" s="8">
        <f t="shared" si="22"/>
        <v>51.612903225806448</v>
      </c>
      <c r="N86" s="8"/>
      <c r="O86" s="9">
        <f>(L86/$L$86)*100</f>
        <v>100</v>
      </c>
      <c r="P86" s="9"/>
      <c r="Q86" s="9"/>
      <c r="AA86" t="s">
        <v>19</v>
      </c>
      <c r="AB86" s="3">
        <f>AVERAGE(AC71,AC66:AC69,AC62,AC59:AC60,AC57,AC25:AC38,AC21:AC21,AC13:AC17,AC12,AC8:AC10,AC3:AC6)</f>
        <v>28270.945945945947</v>
      </c>
      <c r="AI86" t="s">
        <v>11</v>
      </c>
      <c r="AJ86">
        <f>SUM(AJ82:AJ85)</f>
        <v>100</v>
      </c>
      <c r="AK86">
        <f>SUM(AK82:AK85)</f>
        <v>100</v>
      </c>
    </row>
    <row r="87" spans="3:105" x14ac:dyDescent="0.25">
      <c r="C87">
        <v>85</v>
      </c>
      <c r="D87" s="3">
        <v>3506</v>
      </c>
      <c r="E87" s="6">
        <v>41506</v>
      </c>
      <c r="F87" s="38">
        <v>13811</v>
      </c>
      <c r="G87">
        <f t="shared" si="14"/>
        <v>1.0883652602691043</v>
      </c>
      <c r="H87">
        <f t="shared" si="15"/>
        <v>0.93444466362294443</v>
      </c>
      <c r="K87" s="20" t="s">
        <v>22</v>
      </c>
      <c r="L87" s="20">
        <f>COUNT(M62,#REF!,M51,M26,#REF!,#REF!,M4)</f>
        <v>4</v>
      </c>
      <c r="M87" s="10">
        <f t="shared" si="22"/>
        <v>6.4516129032258061</v>
      </c>
      <c r="N87" s="10">
        <f>(L87/$L$85)*100</f>
        <v>13.793103448275861</v>
      </c>
      <c r="O87" s="20"/>
      <c r="P87" s="20"/>
      <c r="Q87" s="20"/>
      <c r="R87" s="7"/>
      <c r="S87" t="s">
        <v>17</v>
      </c>
      <c r="U87" s="3">
        <f>AVERAGE(V53:V68,V44:V51,V41,V27,V25,V20,V18,V9)</f>
        <v>18363.099999999999</v>
      </c>
      <c r="AI87" s="3"/>
      <c r="AJ87" s="3"/>
      <c r="AK87" s="3"/>
      <c r="AL87" s="3"/>
      <c r="AM87" s="3"/>
    </row>
    <row r="88" spans="3:105" x14ac:dyDescent="0.25">
      <c r="C88" t="s">
        <v>5</v>
      </c>
      <c r="E88" s="3">
        <f>AVERAGE(E3:E87)</f>
        <v>38136.094117647059</v>
      </c>
      <c r="F88" s="3">
        <f>AVERAGE(F17:F87)</f>
        <v>14779.901408450703</v>
      </c>
      <c r="K88" s="9" t="s">
        <v>23</v>
      </c>
      <c r="L88" s="9">
        <f>COUNT(N63,N31,N23,N12:N13,N10,N9)</f>
        <v>7</v>
      </c>
      <c r="M88" s="8">
        <f t="shared" si="22"/>
        <v>11.29032258064516</v>
      </c>
      <c r="N88" s="8"/>
      <c r="O88" s="9">
        <f>(L88/$L$86)*100</f>
        <v>21.875</v>
      </c>
      <c r="P88" s="9"/>
      <c r="Q88" s="9"/>
      <c r="R88" s="6"/>
      <c r="S88" t="s">
        <v>18</v>
      </c>
      <c r="U88" s="3">
        <f>AVERAGE(V69:V70,V52,V42:V43,V28:V40,V26,V21:V24,V19:V19,V10:V17,V3:V8)</f>
        <v>11115.052631578947</v>
      </c>
      <c r="AA88" t="s">
        <v>17</v>
      </c>
      <c r="AC88" s="3">
        <f>AVERAGE(AD70,AD63:AD65,AD42:AD61,AD40,AD27,AD22:AD24,AD19:AD20,AD11,AD7)</f>
        <v>17947.727272727272</v>
      </c>
      <c r="AI88" t="s">
        <v>16</v>
      </c>
      <c r="AJ88" s="3">
        <f>AVERAGE(AK71:AK72,AK69,AK58:AK66,AK56,AK50:AK55,AK46:AK48,AK42:AK44,AK40,AK33,AK31,AK21,AK8,AK6)</f>
        <v>41727.354838709674</v>
      </c>
    </row>
    <row r="89" spans="3:105" x14ac:dyDescent="0.25">
      <c r="C89" t="s">
        <v>8</v>
      </c>
      <c r="E89" s="3">
        <f>AVERAGE(E84,,E79,E76,E70:E71,E68,E63:E66,E57,E53:E55,E50,E47,E44,E42,E40,E35:E36,E32,E29:E30,E26,E25,E22:E23,E20,E14:E17,E9:E10,E6:E7,E87)</f>
        <v>45992.794871794875</v>
      </c>
      <c r="F89" s="3">
        <f>AVERAGE(F84,,F79,F76,F70:F71,F68,F63:F66,F57,F53:F55,F50,F47,F44,F42,F40,F35:F36,F32,F29:F30,F26,F25,F22:F23,F20,F14:F17,F9:F10,F6:F7,F87)</f>
        <v>17074.025641025641</v>
      </c>
      <c r="K89" s="7" t="s">
        <v>24</v>
      </c>
      <c r="L89" s="38">
        <f>K64-L85</f>
        <v>33</v>
      </c>
      <c r="M89" s="38">
        <f t="shared" si="22"/>
        <v>53.225806451612897</v>
      </c>
      <c r="N89" s="38"/>
      <c r="O89" s="39"/>
      <c r="P89" s="39"/>
      <c r="Q89" s="39"/>
      <c r="R89" s="6"/>
      <c r="AA89" t="s">
        <v>18</v>
      </c>
      <c r="AC89" s="3">
        <f>AVERAGE(AD71:AD72,AD66:AD69,AD62,AD41,AD28:AD39,AD25:AD26,AD21:AD21,AD12:AD18,AD8:AD10,AD3:AD6)</f>
        <v>10344.702702702703</v>
      </c>
      <c r="AI89" t="s">
        <v>19</v>
      </c>
      <c r="AJ89" s="3">
        <f>AVERAGE(AK73:AK75,AK70,AK67:AK68,AK57,AK45,AK49,AK53,AK41,AK34:AK39,AK32,AK22:AK30,AK9:AK20,AK7,AK3:AK5)</f>
        <v>25093.883720930233</v>
      </c>
    </row>
    <row r="90" spans="3:105" x14ac:dyDescent="0.25">
      <c r="C90" s="5" t="s">
        <v>30</v>
      </c>
      <c r="E90" s="3">
        <f>AVERAGE(E85:E86,E82:E83,E80:E81,E77:E78,E72:E75,E69,E67,E58:E62,E56,E51:E52,E48:E49,E45:E46,E43,E41,E37:E39,E33:E34,E31,E27:E28,E24,E21,E18:E19,E11:E13,E8,E5,E4)</f>
        <v>30738.021739130436</v>
      </c>
      <c r="F90" s="3">
        <f>AVERAGE(F85:F86,F82:F83,F80:F81,F77:F78,F72:F75,F69,F67,F58:F62,F56,F51:F52,F48:F49,F45:F46,F43,F41,F37:F39,F33:F34,F31,F27:F28,F24,F21,F18:F19,F11:F13,F8,F5,F4)</f>
        <v>11794.021739130434</v>
      </c>
      <c r="K90" s="7" t="s">
        <v>25</v>
      </c>
      <c r="L90" s="39">
        <f>K64-L86</f>
        <v>30</v>
      </c>
      <c r="M90" s="38">
        <f t="shared" si="22"/>
        <v>48.387096774193552</v>
      </c>
      <c r="N90" s="38"/>
      <c r="O90" s="39"/>
      <c r="P90" s="39"/>
      <c r="Q90" s="39"/>
      <c r="R90" s="7"/>
    </row>
    <row r="91" spans="3:105" x14ac:dyDescent="0.25">
      <c r="C91" t="s">
        <v>31</v>
      </c>
      <c r="D91">
        <f>COUNT(D85:D86,D82:D83,D80:D81,D77:D78,D72:D75,D69,D67,D58:D62,D56,D51:D52,D48:D49,D45:D46,D43,D41,D37:D39,D33:D34,D31,D27:D28,D24,D21,D18:D19,D11:D13,D8,D4:D5)</f>
        <v>46</v>
      </c>
      <c r="K91" s="36" t="s">
        <v>26</v>
      </c>
      <c r="L91" s="33">
        <f>L85-L87</f>
        <v>25</v>
      </c>
      <c r="M91" s="33">
        <f t="shared" si="22"/>
        <v>40.322580645161288</v>
      </c>
      <c r="N91" s="33">
        <f>(L91/$L$85)*100</f>
        <v>86.206896551724128</v>
      </c>
      <c r="O91" s="35">
        <f>(L91/$L$86)*100</f>
        <v>78.125</v>
      </c>
      <c r="P91" s="39"/>
      <c r="Q91" s="39"/>
      <c r="R91" s="7"/>
      <c r="S91" s="3"/>
      <c r="T91" s="3"/>
      <c r="U91" s="3" t="s">
        <v>27</v>
      </c>
      <c r="V91" s="3" t="s">
        <v>28</v>
      </c>
      <c r="W91" s="3" t="s">
        <v>29</v>
      </c>
      <c r="X91" s="3"/>
      <c r="Y91" s="3"/>
      <c r="AI91" t="s">
        <v>17</v>
      </c>
      <c r="AK91" s="3">
        <f>AVERAGE(AL74,AL71:AL72,AL69,AL58:AL66,AL56,AL47:AL54,AL40,AL30:AL31,AL21,AL16,AL8,AL42:AL45)</f>
        <v>14830.90625</v>
      </c>
    </row>
    <row r="92" spans="3:105" x14ac:dyDescent="0.25">
      <c r="C92" s="3" t="s">
        <v>32</v>
      </c>
      <c r="D92" s="3">
        <f>(D91/C87)*100</f>
        <v>54.117647058823529</v>
      </c>
      <c r="E92" s="3"/>
      <c r="F92" s="3"/>
      <c r="G92" s="3"/>
      <c r="H92" s="3"/>
      <c r="I92" s="3"/>
      <c r="R92" s="7"/>
      <c r="S92" s="10" t="s">
        <v>20</v>
      </c>
      <c r="T92" s="10">
        <f>COUNT(U53:U68,U44:U51,U41,U27,U25,U20,U18,U9)</f>
        <v>30</v>
      </c>
      <c r="U92" s="10">
        <f t="shared" ref="U92:U98" si="23">(T92/$S$71)*100</f>
        <v>43.478260869565219</v>
      </c>
      <c r="V92" s="10">
        <f>(T92/$T$92)*100</f>
        <v>100</v>
      </c>
      <c r="W92" s="10"/>
      <c r="X92" s="10"/>
      <c r="Y92" s="10"/>
      <c r="AA92" s="3"/>
      <c r="AB92" s="3"/>
      <c r="AC92" s="3" t="s">
        <v>27</v>
      </c>
      <c r="AD92" s="3" t="s">
        <v>28</v>
      </c>
      <c r="AE92" s="3" t="s">
        <v>29</v>
      </c>
      <c r="AF92" s="3"/>
      <c r="AG92" s="3"/>
      <c r="AI92" t="s">
        <v>18</v>
      </c>
      <c r="AK92" s="3">
        <f>AVERAGE(AL75,AL73,AL70,AL67:AL68,AL57,AL55,AL41,AL32:AL39,AL28:AL29,AL22:AL27,AL17:AL20,AL9:AL15,AL3:AL7,AL46)</f>
        <v>8770.7317073170725</v>
      </c>
    </row>
    <row r="93" spans="3:105" x14ac:dyDescent="0.25">
      <c r="D93" t="s">
        <v>11</v>
      </c>
      <c r="E93" t="s">
        <v>0</v>
      </c>
      <c r="R93" s="7"/>
      <c r="S93" s="9" t="s">
        <v>21</v>
      </c>
      <c r="T93" s="9">
        <f>COUNT(V71,V61:V68,V48:V59,V46,V44,V41,V27:V28,V20,V11)</f>
        <v>28</v>
      </c>
      <c r="U93" s="8">
        <f t="shared" si="23"/>
        <v>40.579710144927539</v>
      </c>
      <c r="V93" s="8"/>
      <c r="W93" s="9">
        <f>(T93/$T$93)*100</f>
        <v>100</v>
      </c>
      <c r="X93" s="9"/>
      <c r="Y93" s="9"/>
      <c r="AA93" s="10" t="s">
        <v>20</v>
      </c>
      <c r="AB93" s="10">
        <f>COUNT(AC70,AC63:AC65,AC42:AC61,AC40,AC27,AC22:AC24,AC19:AC20,AC11)</f>
        <v>32</v>
      </c>
      <c r="AC93" s="10">
        <f t="shared" ref="AC93:AC99" si="24">(AB93/$AA$72)*100</f>
        <v>45.714285714285715</v>
      </c>
      <c r="AD93" s="10">
        <f>(AB93/$AB$93)*100</f>
        <v>100</v>
      </c>
      <c r="AE93" s="10"/>
      <c r="AF93" s="10"/>
      <c r="AG93" s="10"/>
    </row>
    <row r="94" spans="3:105" x14ac:dyDescent="0.25">
      <c r="C94" s="29" t="s">
        <v>10</v>
      </c>
      <c r="D94">
        <f>(COUNT(E79,E76,E70:E74,E68,E66,E54:E56,E53,E47,E44,E42,E34:E36,E32,E29:E30,E23,E20,E15:E18,E7)/C87)*100</f>
        <v>34.117647058823529</v>
      </c>
      <c r="E94">
        <f>(COUNT(E72:E74,E56,E34,E18)/D91)*100</f>
        <v>13.043478260869565</v>
      </c>
      <c r="K94" s="58"/>
      <c r="L94" s="59" t="s">
        <v>1</v>
      </c>
      <c r="M94" s="59" t="s">
        <v>2</v>
      </c>
      <c r="N94" s="59" t="s">
        <v>39</v>
      </c>
      <c r="O94" s="60" t="s">
        <v>40</v>
      </c>
      <c r="P94" s="39"/>
      <c r="Q94" s="39"/>
      <c r="R94" s="7"/>
      <c r="S94" s="20" t="s">
        <v>22</v>
      </c>
      <c r="T94" s="20">
        <f>COUNT(U60,U47,U45,U25,U18,U9)</f>
        <v>6</v>
      </c>
      <c r="U94" s="10">
        <f t="shared" si="23"/>
        <v>8.695652173913043</v>
      </c>
      <c r="V94" s="10">
        <f>(T94/$T$92)*100</f>
        <v>20</v>
      </c>
      <c r="W94" s="20"/>
      <c r="X94" s="20"/>
      <c r="Y94" s="20"/>
      <c r="AA94" s="9" t="s">
        <v>21</v>
      </c>
      <c r="AB94" s="9">
        <f>COUNT(AD72,AD70,AD63:AD64,AD61,AD58,AD39:AD56,AD22:AD24,AD18:AD20,AD11,AD7)</f>
        <v>32</v>
      </c>
      <c r="AC94" s="8">
        <f t="shared" si="24"/>
        <v>45.714285714285715</v>
      </c>
      <c r="AD94" s="8"/>
      <c r="AE94" s="9">
        <f>(AB94/$AB$94)*100</f>
        <v>100</v>
      </c>
      <c r="AF94" s="9"/>
      <c r="AG94" s="9"/>
    </row>
    <row r="95" spans="3:105" x14ac:dyDescent="0.25">
      <c r="C95" s="20" t="s">
        <v>12</v>
      </c>
      <c r="D95">
        <f>(COUNT(E87,E84,E63,E57,E50,E41,E26,E21,E9)/C87)*100</f>
        <v>10.588235294117647</v>
      </c>
      <c r="E95">
        <f>(COUNT(E60,E41,E21)/D91)*100</f>
        <v>6.5217391304347823</v>
      </c>
      <c r="F95" s="3"/>
      <c r="G95" s="3"/>
      <c r="H95" s="3"/>
      <c r="I95" s="3"/>
      <c r="K95" s="61" t="s">
        <v>37</v>
      </c>
      <c r="L95" s="38">
        <v>15292</v>
      </c>
      <c r="M95" s="38">
        <v>6197</v>
      </c>
      <c r="N95" s="39">
        <f>L95/$L$97</f>
        <v>0.36864067386966481</v>
      </c>
      <c r="O95" s="62">
        <f>M95/$M$97</f>
        <v>0.39322353769568347</v>
      </c>
      <c r="P95" s="39"/>
      <c r="Q95" s="39"/>
      <c r="R95" s="39"/>
      <c r="S95" s="9" t="s">
        <v>23</v>
      </c>
      <c r="T95" s="9">
        <f>COUNT(V71,V52,V28,V11)</f>
        <v>4</v>
      </c>
      <c r="U95" s="8">
        <f t="shared" si="23"/>
        <v>5.7971014492753623</v>
      </c>
      <c r="V95" s="8"/>
      <c r="W95" s="9">
        <f>(T95/$T$93)*100</f>
        <v>14.285714285714285</v>
      </c>
      <c r="X95" s="9"/>
      <c r="Y95" s="9"/>
      <c r="Z95" s="3"/>
      <c r="AA95" s="20" t="s">
        <v>22</v>
      </c>
      <c r="AB95" s="20">
        <f>COUNT(AC65,AC59,AC60,AC57,AC27)</f>
        <v>5</v>
      </c>
      <c r="AC95" s="10">
        <f t="shared" si="24"/>
        <v>7.1428571428571423</v>
      </c>
      <c r="AD95" s="10">
        <f>(AB95/$AB$93)*100</f>
        <v>15.625</v>
      </c>
      <c r="AE95" s="20"/>
      <c r="AF95" s="20"/>
      <c r="AG95" s="20"/>
      <c r="AH95" s="3"/>
      <c r="AI95" s="3"/>
      <c r="AJ95" s="3"/>
      <c r="AK95" s="3" t="s">
        <v>27</v>
      </c>
      <c r="AL95" s="3" t="s">
        <v>28</v>
      </c>
      <c r="AM95" s="3" t="s">
        <v>29</v>
      </c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DA95" s="3"/>
    </row>
    <row r="96" spans="3:105" x14ac:dyDescent="0.25">
      <c r="C96" s="9" t="s">
        <v>13</v>
      </c>
      <c r="D96">
        <f>(COUNT(F80,F77,F64:F65,F62,F14)/C87)*100</f>
        <v>7.0588235294117645</v>
      </c>
      <c r="E96">
        <f>(COUNT(F77,F62,F80)/D91)*100</f>
        <v>6.5217391304347823</v>
      </c>
      <c r="J96" s="3"/>
      <c r="K96" s="61" t="s">
        <v>38</v>
      </c>
      <c r="L96" s="38">
        <v>68472</v>
      </c>
      <c r="M96" s="38">
        <v>30150</v>
      </c>
      <c r="N96" s="39">
        <f>L96/$L$97</f>
        <v>1.6506385182581538</v>
      </c>
      <c r="O96" s="62">
        <f>M96/$M$97</f>
        <v>1.9131337197877776</v>
      </c>
      <c r="P96" s="39"/>
      <c r="Q96" s="39"/>
      <c r="S96" s="7" t="s">
        <v>24</v>
      </c>
      <c r="T96" s="6">
        <f>S71-T92</f>
        <v>39</v>
      </c>
      <c r="U96" s="6">
        <f t="shared" si="23"/>
        <v>56.521739130434781</v>
      </c>
      <c r="V96" s="6"/>
      <c r="W96" s="7"/>
      <c r="X96" s="7"/>
      <c r="Y96" s="7"/>
      <c r="AA96" s="9" t="s">
        <v>23</v>
      </c>
      <c r="AB96" s="9">
        <f>COUNT(AD72,AD18,AD39,AD41,AD7)</f>
        <v>5</v>
      </c>
      <c r="AC96" s="8">
        <f t="shared" si="24"/>
        <v>7.1428571428571423</v>
      </c>
      <c r="AD96" s="8"/>
      <c r="AE96" s="9">
        <f>(AB96/$AB$94)*100</f>
        <v>15.625</v>
      </c>
      <c r="AF96" s="9"/>
      <c r="AG96" s="9"/>
      <c r="AI96" s="10" t="s">
        <v>20</v>
      </c>
      <c r="AJ96" s="10">
        <f>COUNT(AK74,AK71:AK72,AK69,AK58:AK66,AK56,AK42:AK54,AK40,AK30:AK31,AK21,AK16,AK8)</f>
        <v>33</v>
      </c>
      <c r="AK96" s="10">
        <f t="shared" ref="AK96:AK102" si="25">(AJ96/$AI$75)*100</f>
        <v>45.205479452054789</v>
      </c>
      <c r="AL96" s="10">
        <f>(AJ96/$AJ$96)*100</f>
        <v>100</v>
      </c>
      <c r="AM96" s="10"/>
    </row>
    <row r="97" spans="3:93" x14ac:dyDescent="0.25">
      <c r="C97" t="s">
        <v>15</v>
      </c>
      <c r="D97">
        <f>(COUNT(F85:F87,F82:F83,F81,F78,F75,F69,F67,F61,F58:F59,F51:F52,F48:F49,F45:F46,F43,F37:F40,F33,F31,F27:F28,F24:F25,F22,F19,F10:F13,F8,F3:F6)/C87)*100</f>
        <v>48.235294117647058</v>
      </c>
      <c r="E97">
        <f>(COUNT(E85:E86,E82:E83,E81,E78,E75,E69,E67,E61,E58:E59,E51:E52,E48:E49,E45:E46,E43,E38:E39,E37,E33,E31,E27:E28,#REF!,E24,E19,E11:E13,E8,E4:E5)/D91)*100</f>
        <v>73.91304347826086</v>
      </c>
      <c r="K97" s="63" t="s">
        <v>4</v>
      </c>
      <c r="L97" s="64">
        <v>41482.129032258068</v>
      </c>
      <c r="M97" s="65">
        <v>15759.483870967742</v>
      </c>
      <c r="N97" s="65"/>
      <c r="O97" s="66"/>
      <c r="P97" s="39"/>
      <c r="Q97" s="39"/>
      <c r="S97" s="7" t="s">
        <v>25</v>
      </c>
      <c r="T97" s="7">
        <f>S71-T93</f>
        <v>41</v>
      </c>
      <c r="U97" s="6">
        <f t="shared" si="23"/>
        <v>59.420289855072461</v>
      </c>
      <c r="V97" s="6"/>
      <c r="W97" s="7"/>
      <c r="X97" s="7"/>
      <c r="Y97" s="7"/>
      <c r="AA97" s="7" t="s">
        <v>24</v>
      </c>
      <c r="AB97" s="6">
        <f>AA72-AB93</f>
        <v>38</v>
      </c>
      <c r="AC97" s="6">
        <f t="shared" si="24"/>
        <v>54.285714285714285</v>
      </c>
      <c r="AD97" s="6"/>
      <c r="AE97" s="7"/>
      <c r="AF97" s="7"/>
      <c r="AG97" s="7"/>
      <c r="AI97" s="9" t="s">
        <v>21</v>
      </c>
      <c r="AJ97" s="9">
        <f>COUNT(AL71:AL72,AL69,AL58:AL66,AL54:AL56,AL50:AL52,AL46:AL48,AL42:AL44,AL40,AL33,AL31,AL21,AL8,AL6)</f>
        <v>30</v>
      </c>
      <c r="AK97" s="8">
        <f t="shared" si="25"/>
        <v>41.095890410958901</v>
      </c>
      <c r="AL97" s="8"/>
      <c r="AM97" s="9">
        <f>(AJ97/$AJ$97)*100</f>
        <v>100</v>
      </c>
    </row>
    <row r="98" spans="3:93" x14ac:dyDescent="0.25">
      <c r="C98" t="s">
        <v>11</v>
      </c>
      <c r="D98">
        <f>SUM(D94:D97)</f>
        <v>100</v>
      </c>
      <c r="E98">
        <f>SUM(E94:E97)</f>
        <v>99.999999999999986</v>
      </c>
      <c r="S98" s="36" t="s">
        <v>26</v>
      </c>
      <c r="T98" s="33">
        <f>T92-T94</f>
        <v>24</v>
      </c>
      <c r="U98" s="33">
        <f t="shared" si="23"/>
        <v>34.782608695652172</v>
      </c>
      <c r="V98" s="33">
        <f>(T98/$T$92)*100</f>
        <v>80</v>
      </c>
      <c r="W98" s="35">
        <f>(T98/$T$93)*100</f>
        <v>85.714285714285708</v>
      </c>
      <c r="X98" s="39"/>
      <c r="Y98" s="39"/>
      <c r="AA98" s="7" t="s">
        <v>25</v>
      </c>
      <c r="AB98" s="7">
        <f>AA72-AB94</f>
        <v>38</v>
      </c>
      <c r="AC98" s="6">
        <f t="shared" si="24"/>
        <v>54.285714285714285</v>
      </c>
      <c r="AD98" s="6"/>
      <c r="AE98" s="7"/>
      <c r="AF98" s="7"/>
      <c r="AG98" s="7"/>
      <c r="AI98" s="20" t="s">
        <v>22</v>
      </c>
      <c r="AJ98" s="20">
        <f>COUNT(AK74,AK53,AK49,AK45,AK30,AK16)</f>
        <v>6</v>
      </c>
      <c r="AK98" s="10">
        <f t="shared" si="25"/>
        <v>8.2191780821917799</v>
      </c>
      <c r="AL98" s="10">
        <f>(AJ98/$AJ$96)*100</f>
        <v>18.181818181818183</v>
      </c>
      <c r="AM98" s="20"/>
    </row>
    <row r="99" spans="3:93" x14ac:dyDescent="0.25">
      <c r="C99" s="3"/>
      <c r="D99" s="3"/>
      <c r="E99" s="3"/>
      <c r="F99" s="3"/>
      <c r="G99" s="3"/>
      <c r="H99" s="3"/>
      <c r="I99" s="3"/>
      <c r="J99" s="3"/>
      <c r="T99" s="7"/>
      <c r="U99" s="7"/>
      <c r="V99" s="7"/>
      <c r="W99" s="6"/>
      <c r="X99" s="6"/>
      <c r="Y99" s="6"/>
      <c r="AA99" s="36" t="s">
        <v>26</v>
      </c>
      <c r="AB99" s="33">
        <f>AB93-AB95</f>
        <v>27</v>
      </c>
      <c r="AC99" s="33">
        <f t="shared" si="24"/>
        <v>38.571428571428577</v>
      </c>
      <c r="AD99" s="33">
        <f>(AB99/$AB$93)*100</f>
        <v>84.375</v>
      </c>
      <c r="AE99" s="35">
        <f>(AB99/$AB$94)*100</f>
        <v>84.375</v>
      </c>
      <c r="AF99" s="39"/>
      <c r="AG99" s="39"/>
      <c r="AI99" s="9" t="s">
        <v>23</v>
      </c>
      <c r="AJ99" s="9">
        <f>COUNT(AL33,AL6,AL46)</f>
        <v>3</v>
      </c>
      <c r="AK99" s="8">
        <f t="shared" si="25"/>
        <v>4.10958904109589</v>
      </c>
      <c r="AL99" s="8"/>
      <c r="AM99" s="9">
        <f>(AJ99/$AJ$97)*100</f>
        <v>10</v>
      </c>
    </row>
    <row r="100" spans="3:93" x14ac:dyDescent="0.25">
      <c r="C100" t="s">
        <v>16</v>
      </c>
      <c r="D100" s="3">
        <f>AVERAGE(E80,E79,E76:E77,E70:E74,E68,E64:E66,E62,E54:E56,E53,E47,E44,E42,E34:E36,E32,E29:E30,E23,E20,E14:E18,E7)</f>
        <v>48007.914285714287</v>
      </c>
      <c r="K100" s="3"/>
      <c r="L100" s="3"/>
      <c r="M100" s="3"/>
      <c r="N100" s="3"/>
      <c r="O100" s="3"/>
      <c r="P100" s="3"/>
      <c r="Q100" s="3"/>
      <c r="R100" s="3"/>
      <c r="S100" s="58"/>
      <c r="T100" s="59" t="s">
        <v>1</v>
      </c>
      <c r="U100" s="59" t="s">
        <v>2</v>
      </c>
      <c r="V100" s="59" t="s">
        <v>39</v>
      </c>
      <c r="W100" s="60" t="s">
        <v>40</v>
      </c>
      <c r="X100" s="39"/>
      <c r="Y100" s="39"/>
      <c r="Z100" s="3"/>
      <c r="AH100" s="3"/>
      <c r="AI100" s="7" t="s">
        <v>24</v>
      </c>
      <c r="AJ100" s="6">
        <f>AI75-AJ96</f>
        <v>40</v>
      </c>
      <c r="AK100" s="6">
        <f t="shared" si="25"/>
        <v>54.794520547945204</v>
      </c>
      <c r="AL100" s="6"/>
      <c r="AM100" s="7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spans="3:93" x14ac:dyDescent="0.25">
      <c r="C101" t="s">
        <v>19</v>
      </c>
      <c r="D101" s="3">
        <f>AVERAGE(E82:E87,E81,E78,E75,E69,E67,E63,E57:E61,E48:E52,E45:E46,E43,E37:E41,E33,E31,E24:E28,E21:E22,E19,E8:E13,E3:E6)</f>
        <v>31225.82</v>
      </c>
      <c r="S101" s="61" t="s">
        <v>37</v>
      </c>
      <c r="T101" s="38">
        <v>7636</v>
      </c>
      <c r="U101" s="38">
        <v>4463</v>
      </c>
      <c r="V101" s="39">
        <f>T101/$T$103</f>
        <v>0.19529853338171774</v>
      </c>
      <c r="W101" s="62">
        <f>U101/$U$103</f>
        <v>0.31177939229002904</v>
      </c>
      <c r="X101" s="39"/>
      <c r="Y101" s="39"/>
      <c r="AA101" s="58"/>
      <c r="AB101" s="59" t="s">
        <v>1</v>
      </c>
      <c r="AC101" s="59" t="s">
        <v>2</v>
      </c>
      <c r="AD101" s="59" t="s">
        <v>39</v>
      </c>
      <c r="AE101" s="60" t="s">
        <v>40</v>
      </c>
      <c r="AF101" s="39"/>
      <c r="AG101" s="39"/>
      <c r="AI101" s="7" t="s">
        <v>25</v>
      </c>
      <c r="AJ101" s="7">
        <f>AI75-AJ97</f>
        <v>43</v>
      </c>
      <c r="AK101" s="6">
        <f t="shared" si="25"/>
        <v>58.904109589041099</v>
      </c>
      <c r="AL101" s="6"/>
      <c r="AM101" s="7"/>
    </row>
    <row r="102" spans="3:93" x14ac:dyDescent="0.25">
      <c r="K102" s="3"/>
      <c r="L102" s="3"/>
      <c r="M102" s="3"/>
      <c r="N102" s="3"/>
      <c r="O102" s="3"/>
      <c r="P102" s="3"/>
      <c r="Q102" s="3"/>
      <c r="R102" s="3"/>
      <c r="S102" s="61" t="s">
        <v>38</v>
      </c>
      <c r="T102" s="38">
        <v>82771</v>
      </c>
      <c r="U102" s="38">
        <v>30175</v>
      </c>
      <c r="V102" s="39">
        <f>T102/$T$103</f>
        <v>2.1169532355340701</v>
      </c>
      <c r="W102" s="62">
        <f>U102/$U$103</f>
        <v>2.1079863684408751</v>
      </c>
      <c r="X102" s="39"/>
      <c r="Y102" s="39"/>
      <c r="Z102" s="3"/>
      <c r="AA102" s="61" t="s">
        <v>37</v>
      </c>
      <c r="AB102" s="38">
        <v>14417</v>
      </c>
      <c r="AC102" s="38">
        <v>5246</v>
      </c>
      <c r="AD102" s="39">
        <f>AB102/$AB$104</f>
        <v>0.37307172599860711</v>
      </c>
      <c r="AE102" s="62">
        <f>AC102/$AC$104</f>
        <v>0.37404866495335942</v>
      </c>
      <c r="AF102" s="39"/>
      <c r="AG102" s="39"/>
      <c r="AH102" s="3"/>
      <c r="AI102" s="36" t="s">
        <v>26</v>
      </c>
      <c r="AJ102" s="33">
        <f>AJ96-AJ98</f>
        <v>27</v>
      </c>
      <c r="AK102" s="33">
        <f t="shared" si="25"/>
        <v>36.986301369863014</v>
      </c>
      <c r="AL102" s="33">
        <f>(AJ102/$AJ$96)*100</f>
        <v>81.818181818181827</v>
      </c>
      <c r="AM102" s="35">
        <f>(AJ102/$AJ$97)*100</f>
        <v>90</v>
      </c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X102" s="3"/>
      <c r="BY102" s="3"/>
      <c r="BZ102" s="3"/>
      <c r="CA102" s="3"/>
      <c r="CB102" s="3"/>
      <c r="CC102" s="3"/>
    </row>
    <row r="103" spans="3:93" x14ac:dyDescent="0.25">
      <c r="C103" t="s">
        <v>17</v>
      </c>
      <c r="E103" s="3">
        <f>AVERAGE(F87,F84,F79,F76,F70:F74,F68,F66,F63,F60,F53:F57,F50,F47,F44,F41:F42,F34:F36,F32,F29:F30,F26,F23,F21,F20,F18,F15:F17,F9,F7)</f>
        <v>17885.871794871793</v>
      </c>
      <c r="J103" s="3"/>
      <c r="K103" s="3"/>
      <c r="L103" s="3"/>
      <c r="M103" s="3"/>
      <c r="N103" s="3"/>
      <c r="O103" s="3"/>
      <c r="P103" s="3"/>
      <c r="Q103" s="3"/>
      <c r="R103" s="3"/>
      <c r="S103" s="63" t="s">
        <v>4</v>
      </c>
      <c r="T103" s="64">
        <v>39099.115942028984</v>
      </c>
      <c r="U103" s="65">
        <v>14314.608695652174</v>
      </c>
      <c r="V103" s="65"/>
      <c r="W103" s="66"/>
      <c r="X103" s="39"/>
      <c r="Y103" s="39"/>
      <c r="Z103" s="3"/>
      <c r="AA103" s="61" t="s">
        <v>38</v>
      </c>
      <c r="AB103" s="38">
        <v>74487</v>
      </c>
      <c r="AC103" s="38">
        <v>30565</v>
      </c>
      <c r="AD103" s="39">
        <f>AB103/$AB$104</f>
        <v>1.9275156866517478</v>
      </c>
      <c r="AE103" s="62">
        <f>AC103/$AC$104</f>
        <v>2.1793361502667614</v>
      </c>
      <c r="AF103" s="39"/>
      <c r="AG103" s="39"/>
      <c r="AH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3:93" x14ac:dyDescent="0.25">
      <c r="C104" t="s">
        <v>18</v>
      </c>
      <c r="E104" s="3">
        <f>AVERAGE(F85:F87,F82:F83,F81,F80,F77:F78,F75,F69,F67,F64:F65,F61:F62,F58:F59,F51:F52,F48:F49,F45:F46,F43,F37:F40,F33,F31,F27:F28,F24:F25,F22,F19,F10:F14,F8,F3:F6)</f>
        <v>11397.531914893618</v>
      </c>
      <c r="AA104" s="63" t="s">
        <v>4</v>
      </c>
      <c r="AB104" s="64">
        <v>38644.043478260872</v>
      </c>
      <c r="AC104" s="65">
        <v>14024.91304347826</v>
      </c>
      <c r="AD104" s="65"/>
      <c r="AE104" s="66"/>
      <c r="AF104" s="39"/>
      <c r="AG104" s="39"/>
      <c r="AI104" s="58"/>
      <c r="AJ104" s="59" t="s">
        <v>1</v>
      </c>
      <c r="AK104" s="59" t="s">
        <v>2</v>
      </c>
      <c r="AL104" s="59" t="s">
        <v>39</v>
      </c>
      <c r="AM104" s="60" t="s">
        <v>40</v>
      </c>
    </row>
    <row r="105" spans="3:93" x14ac:dyDescent="0.25"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61" t="s">
        <v>37</v>
      </c>
      <c r="AJ105" s="38">
        <v>11682</v>
      </c>
      <c r="AK105" s="38">
        <v>5060</v>
      </c>
      <c r="AL105" s="39">
        <f>AJ105/$AJ$107</f>
        <v>0.36457229384633077</v>
      </c>
      <c r="AM105" s="62">
        <f>AK105/$AK$107</f>
        <v>0.44280133159272062</v>
      </c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</row>
    <row r="106" spans="3:93" x14ac:dyDescent="0.25"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61" t="s">
        <v>38</v>
      </c>
      <c r="AJ106" s="38">
        <v>57243</v>
      </c>
      <c r="AK106" s="38">
        <v>22202</v>
      </c>
      <c r="AL106" s="39">
        <f>AJ106/$AJ$107</f>
        <v>1.7864416894919972</v>
      </c>
      <c r="AM106" s="62">
        <f>AK106/$AK$107</f>
        <v>1.942900230043791</v>
      </c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</row>
    <row r="107" spans="3:93" x14ac:dyDescent="0.25">
      <c r="C107" s="3"/>
      <c r="D107" s="3"/>
      <c r="E107" s="3" t="s">
        <v>27</v>
      </c>
      <c r="F107" s="3" t="s">
        <v>28</v>
      </c>
      <c r="G107" s="3" t="s">
        <v>29</v>
      </c>
      <c r="H107" s="3"/>
      <c r="I107" s="3"/>
      <c r="AI107" s="63" t="s">
        <v>4</v>
      </c>
      <c r="AJ107" s="64">
        <v>32043.027397260274</v>
      </c>
      <c r="AK107" s="65">
        <v>11427.246575342466</v>
      </c>
      <c r="AL107" s="65"/>
      <c r="AM107" s="66"/>
    </row>
    <row r="108" spans="3:93" x14ac:dyDescent="0.25">
      <c r="C108" s="10" t="s">
        <v>20</v>
      </c>
      <c r="D108" s="10">
        <f>COUNT(E87,E84,E79,E76,E70:E74,E68,E66,E63,E60,E53:E57,E50,E47,E44,E41:E42,E34:E36,E32,E29:E30,E26,E23,E20:E21,E15:E18,E9,E7)</f>
        <v>39</v>
      </c>
      <c r="E108" s="10">
        <f t="shared" ref="E108:E114" si="26">(D108/$C$86)*100</f>
        <v>46.428571428571431</v>
      </c>
      <c r="F108" s="10">
        <f>(D108/$D$108)*100</f>
        <v>100</v>
      </c>
      <c r="G108" s="10"/>
      <c r="H108" s="10"/>
      <c r="I108" s="10"/>
      <c r="J108" s="7"/>
      <c r="K108" s="7"/>
      <c r="U108">
        <v>0.19529853338171774</v>
      </c>
      <c r="V108">
        <v>0.31177939229002904</v>
      </c>
    </row>
    <row r="109" spans="3:93" x14ac:dyDescent="0.25">
      <c r="C109" s="9" t="s">
        <v>21</v>
      </c>
      <c r="D109" s="9">
        <f>COUNT(#REF!,F79:F80,F76:F77,F70:F74,F68,F64:F66,F62,F54:F56,F53,F47,F44,F42,F34:F36,F32,F29:F30,F23,F20,F14:F18,F7)</f>
        <v>35</v>
      </c>
      <c r="E109" s="8">
        <f t="shared" si="26"/>
        <v>41.666666666666671</v>
      </c>
      <c r="F109" s="8"/>
      <c r="G109" s="9">
        <f>(D109/$D$109)*100</f>
        <v>100</v>
      </c>
      <c r="H109" s="9"/>
      <c r="I109" s="9"/>
      <c r="J109" s="7"/>
      <c r="K109" s="7"/>
      <c r="U109">
        <v>2.1169532355340701</v>
      </c>
      <c r="V109">
        <v>2.212937630375472</v>
      </c>
    </row>
    <row r="110" spans="3:93" x14ac:dyDescent="0.25">
      <c r="C110" s="20" t="s">
        <v>22</v>
      </c>
      <c r="D110" s="20">
        <f>COUNT(E87,E84,E63,E60,E57,#REF!,E50,E41,E26,E21,E9)</f>
        <v>10</v>
      </c>
      <c r="E110" s="10">
        <f t="shared" si="26"/>
        <v>11.904761904761903</v>
      </c>
      <c r="F110" s="10">
        <f>(D110/$D$108)*100</f>
        <v>25.641025641025639</v>
      </c>
      <c r="G110" s="20"/>
      <c r="H110" s="20"/>
      <c r="I110" s="20"/>
      <c r="J110" s="7"/>
      <c r="K110" s="7"/>
    </row>
    <row r="111" spans="3:93" x14ac:dyDescent="0.25">
      <c r="C111" s="9" t="s">
        <v>23</v>
      </c>
      <c r="D111" s="9">
        <f>COUNT(#REF!,F80,F77,F64:F65,F62,F14)</f>
        <v>6</v>
      </c>
      <c r="E111" s="8">
        <f t="shared" si="26"/>
        <v>7.1428571428571423</v>
      </c>
      <c r="F111" s="8"/>
      <c r="G111" s="9">
        <f>(D111/$D$109)*100</f>
        <v>17.142857142857142</v>
      </c>
      <c r="H111" s="9"/>
      <c r="I111" s="9"/>
      <c r="J111" s="6"/>
      <c r="K111" s="7"/>
    </row>
    <row r="112" spans="3:93" x14ac:dyDescent="0.25">
      <c r="C112" s="7" t="s">
        <v>24</v>
      </c>
      <c r="D112" s="38">
        <f>C87-D108</f>
        <v>46</v>
      </c>
      <c r="E112" s="38">
        <f t="shared" si="26"/>
        <v>54.761904761904766</v>
      </c>
      <c r="F112" s="38"/>
      <c r="G112" s="39"/>
      <c r="H112" s="39"/>
      <c r="I112" s="39"/>
      <c r="J112" s="6"/>
      <c r="K112" s="7"/>
    </row>
    <row r="113" spans="3:11" x14ac:dyDescent="0.25">
      <c r="C113" s="7" t="s">
        <v>25</v>
      </c>
      <c r="D113" s="39">
        <f>C87-D109</f>
        <v>50</v>
      </c>
      <c r="E113" s="38">
        <f t="shared" si="26"/>
        <v>59.523809523809526</v>
      </c>
      <c r="F113" s="38"/>
      <c r="G113" s="39"/>
      <c r="H113" s="39"/>
      <c r="I113" s="39"/>
      <c r="J113" s="7"/>
      <c r="K113" s="7"/>
    </row>
    <row r="114" spans="3:11" x14ac:dyDescent="0.25">
      <c r="C114" s="36" t="s">
        <v>26</v>
      </c>
      <c r="D114" s="33">
        <f>D108-D110</f>
        <v>29</v>
      </c>
      <c r="E114" s="33">
        <f t="shared" si="26"/>
        <v>34.523809523809526</v>
      </c>
      <c r="F114" s="33">
        <f>(D114/$D$108)*100</f>
        <v>74.358974358974365</v>
      </c>
      <c r="G114" s="35">
        <f>(D114/$D$109)*100</f>
        <v>82.857142857142861</v>
      </c>
      <c r="H114" s="39"/>
      <c r="I114" s="39"/>
      <c r="J114" s="7"/>
      <c r="K114" s="7"/>
    </row>
    <row r="115" spans="3:11" x14ac:dyDescent="0.25">
      <c r="J115" s="7"/>
      <c r="K115" s="7"/>
    </row>
    <row r="116" spans="3:11" x14ac:dyDescent="0.25">
      <c r="J116" s="7"/>
      <c r="K116" s="7"/>
    </row>
    <row r="117" spans="3:11" x14ac:dyDescent="0.25">
      <c r="C117" s="58"/>
      <c r="D117" s="59" t="s">
        <v>1</v>
      </c>
      <c r="E117" s="59" t="s">
        <v>2</v>
      </c>
      <c r="F117" s="59" t="s">
        <v>39</v>
      </c>
      <c r="G117" s="60" t="s">
        <v>40</v>
      </c>
      <c r="H117" s="39"/>
      <c r="I117" s="39"/>
      <c r="J117" s="7"/>
      <c r="K117" s="7"/>
    </row>
    <row r="118" spans="3:11" x14ac:dyDescent="0.25">
      <c r="C118" s="61" t="s">
        <v>37</v>
      </c>
      <c r="D118" s="38">
        <v>18668</v>
      </c>
      <c r="E118" s="38">
        <v>5203</v>
      </c>
      <c r="F118" s="39">
        <f>D118/$D$120</f>
        <v>0.48951001490636631</v>
      </c>
      <c r="G118" s="62">
        <f>E118/$E$120</f>
        <v>0.35203211822678876</v>
      </c>
      <c r="H118" s="39"/>
      <c r="I118" s="39"/>
      <c r="J118" s="39"/>
      <c r="K118" s="7"/>
    </row>
    <row r="119" spans="3:11" x14ac:dyDescent="0.25">
      <c r="C119" s="61" t="s">
        <v>38</v>
      </c>
      <c r="D119" s="38">
        <v>70578</v>
      </c>
      <c r="E119" s="38">
        <v>32707</v>
      </c>
      <c r="F119" s="39">
        <f>D119/$D$120</f>
        <v>1.8506876918824471</v>
      </c>
      <c r="G119" s="62">
        <f>E119/$E$120</f>
        <v>2.212937630375472</v>
      </c>
      <c r="H119" s="39"/>
      <c r="I119" s="39"/>
    </row>
    <row r="120" spans="3:11" x14ac:dyDescent="0.25">
      <c r="C120" s="63" t="s">
        <v>4</v>
      </c>
      <c r="D120" s="64">
        <v>38136.094117647059</v>
      </c>
      <c r="E120" s="65">
        <v>14779.901408450703</v>
      </c>
      <c r="F120" s="65"/>
      <c r="G120" s="66"/>
      <c r="H120" s="39"/>
      <c r="I120" s="39"/>
    </row>
  </sheetData>
  <mergeCells count="5">
    <mergeCell ref="S1:X1"/>
    <mergeCell ref="C1:H1"/>
    <mergeCell ref="K1:P1"/>
    <mergeCell ref="AA1:AF1"/>
    <mergeCell ref="AI1:AN1"/>
  </mergeCells>
  <conditionalFormatting sqref="E3:E87">
    <cfRule type="top10" dxfId="181" priority="19" bottom="1" rank="1"/>
    <cfRule type="top10" dxfId="180" priority="20" rank="1"/>
    <cfRule type="cellIs" dxfId="179" priority="34" operator="greaterThan">
      <formula>$E$88</formula>
    </cfRule>
  </conditionalFormatting>
  <conditionalFormatting sqref="F3:F87">
    <cfRule type="top10" dxfId="178" priority="17" bottom="1" rank="1"/>
    <cfRule type="top10" dxfId="177" priority="18" rank="1"/>
    <cfRule type="cellIs" dxfId="176" priority="35" operator="greaterThan">
      <formula>$F$88</formula>
    </cfRule>
  </conditionalFormatting>
  <conditionalFormatting sqref="M3:M64">
    <cfRule type="top10" dxfId="175" priority="15" bottom="1" rank="1"/>
    <cfRule type="top10" dxfId="174" priority="16" rank="1"/>
    <cfRule type="cellIs" dxfId="173" priority="38" operator="greaterThan">
      <formula>$M$65</formula>
    </cfRule>
  </conditionalFormatting>
  <conditionalFormatting sqref="N3:N64">
    <cfRule type="top10" dxfId="172" priority="13" bottom="1" rank="1"/>
    <cfRule type="top10" dxfId="171" priority="14" rank="1"/>
    <cfRule type="cellIs" dxfId="170" priority="39" operator="greaterThan">
      <formula>$N$65</formula>
    </cfRule>
  </conditionalFormatting>
  <conditionalFormatting sqref="U3:U71">
    <cfRule type="top10" dxfId="169" priority="11" bottom="1" rank="1"/>
    <cfRule type="top10" dxfId="168" priority="12" rank="1"/>
    <cfRule type="cellIs" dxfId="167" priority="40" operator="greaterThan">
      <formula>$U$72</formula>
    </cfRule>
  </conditionalFormatting>
  <conditionalFormatting sqref="V3:V71">
    <cfRule type="top10" dxfId="166" priority="9" bottom="1" rank="1"/>
    <cfRule type="top10" dxfId="165" priority="10" rank="1"/>
    <cfRule type="cellIs" dxfId="164" priority="41" operator="greaterThan">
      <formula>$V$72</formula>
    </cfRule>
  </conditionalFormatting>
  <conditionalFormatting sqref="AC3:AC72">
    <cfRule type="top10" dxfId="163" priority="7" bottom="1" rank="1"/>
    <cfRule type="top10" dxfId="162" priority="8" rank="1"/>
    <cfRule type="cellIs" dxfId="161" priority="42" operator="greaterThan">
      <formula>$AC$73</formula>
    </cfRule>
  </conditionalFormatting>
  <conditionalFormatting sqref="AD3:AD72">
    <cfRule type="top10" dxfId="160" priority="5" bottom="1" rank="1"/>
    <cfRule type="top10" dxfId="159" priority="6" rank="1"/>
    <cfRule type="cellIs" dxfId="158" priority="43" operator="greaterThan">
      <formula>$AD$73</formula>
    </cfRule>
  </conditionalFormatting>
  <conditionalFormatting sqref="AK3:AK75">
    <cfRule type="top10" dxfId="157" priority="3" bottom="1" rank="1"/>
    <cfRule type="top10" dxfId="156" priority="4" rank="1"/>
    <cfRule type="cellIs" dxfId="155" priority="44" operator="greaterThan">
      <formula>$AK$76</formula>
    </cfRule>
  </conditionalFormatting>
  <conditionalFormatting sqref="AL3:AL75">
    <cfRule type="top10" dxfId="154" priority="1" bottom="1" rank="1"/>
    <cfRule type="top10" dxfId="153" priority="2" rank="1"/>
    <cfRule type="cellIs" dxfId="152" priority="45" operator="greaterThan">
      <formula>$AL$76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7" workbookViewId="0">
      <selection activeCell="Z28" sqref="Z28"/>
    </sheetView>
  </sheetViews>
  <sheetFormatPr defaultColWidth="8.85546875" defaultRowHeight="15" x14ac:dyDescent="0.25"/>
  <sheetData>
    <row r="2" spans="2:13" x14ac:dyDescent="0.25">
      <c r="B2" s="122">
        <v>1</v>
      </c>
      <c r="C2" s="122"/>
      <c r="D2" s="122"/>
      <c r="E2" s="122"/>
      <c r="F2" s="122">
        <v>2</v>
      </c>
      <c r="G2" s="122"/>
      <c r="H2" s="122"/>
      <c r="I2" s="122"/>
      <c r="J2" s="122">
        <v>3</v>
      </c>
      <c r="K2" s="122"/>
      <c r="L2" s="122"/>
      <c r="M2" s="122"/>
    </row>
    <row r="3" spans="2:13" x14ac:dyDescent="0.25">
      <c r="B3" s="122" t="s">
        <v>50</v>
      </c>
      <c r="C3" s="122"/>
      <c r="D3" s="122" t="s">
        <v>51</v>
      </c>
      <c r="E3" s="122"/>
      <c r="F3" s="122" t="s">
        <v>50</v>
      </c>
      <c r="G3" s="122"/>
      <c r="H3" s="122" t="s">
        <v>51</v>
      </c>
      <c r="I3" s="122"/>
      <c r="J3" s="122" t="s">
        <v>50</v>
      </c>
      <c r="K3" s="122"/>
      <c r="L3" s="122" t="s">
        <v>51</v>
      </c>
      <c r="M3" s="122"/>
    </row>
    <row r="4" spans="2:13" x14ac:dyDescent="0.25">
      <c r="B4" t="s">
        <v>1</v>
      </c>
      <c r="C4" t="s">
        <v>2</v>
      </c>
      <c r="D4" t="s">
        <v>1</v>
      </c>
      <c r="E4" t="s">
        <v>2</v>
      </c>
      <c r="F4" t="s">
        <v>1</v>
      </c>
      <c r="G4" t="s">
        <v>2</v>
      </c>
      <c r="H4" t="s">
        <v>1</v>
      </c>
      <c r="I4" t="s">
        <v>2</v>
      </c>
      <c r="J4" t="s">
        <v>1</v>
      </c>
      <c r="K4" t="s">
        <v>2</v>
      </c>
      <c r="L4" t="s">
        <v>1</v>
      </c>
      <c r="M4" t="s">
        <v>2</v>
      </c>
    </row>
    <row r="5" spans="2:13" x14ac:dyDescent="0.25">
      <c r="B5">
        <v>0.19529853338171774</v>
      </c>
      <c r="C5">
        <v>0.31177939229002904</v>
      </c>
      <c r="D5">
        <v>0.48788826909241062</v>
      </c>
      <c r="E5">
        <v>0.66917651775625997</v>
      </c>
      <c r="F5">
        <v>1.2735608298823109</v>
      </c>
      <c r="G5">
        <v>1.1290647412778312</v>
      </c>
      <c r="H5">
        <v>0.8400145050932657</v>
      </c>
      <c r="I5">
        <v>0.68195757775631327</v>
      </c>
      <c r="J5">
        <v>0.503108361195717</v>
      </c>
      <c r="K5">
        <v>0.58058343578853244</v>
      </c>
      <c r="L5">
        <v>0.732896394456936</v>
      </c>
      <c r="M5">
        <v>0.80056033679818195</v>
      </c>
    </row>
    <row r="6" spans="2:13" x14ac:dyDescent="0.25">
      <c r="B6">
        <v>0.5649744110008047</v>
      </c>
      <c r="C6">
        <v>0.60616396748836698</v>
      </c>
      <c r="D6">
        <v>0.47356569461706205</v>
      </c>
      <c r="E6">
        <v>0.63843868835728779</v>
      </c>
      <c r="F6">
        <v>1.8315453949170788</v>
      </c>
      <c r="G6">
        <v>1.8327064161501689</v>
      </c>
      <c r="H6">
        <v>0.95946281137353906</v>
      </c>
      <c r="I6">
        <v>0.94067505190404821</v>
      </c>
      <c r="J6">
        <v>0.41466668792889905</v>
      </c>
      <c r="K6">
        <v>0.41203531910137475</v>
      </c>
      <c r="L6">
        <v>0.99443957184951293</v>
      </c>
      <c r="M6">
        <v>0.90186207667374541</v>
      </c>
    </row>
    <row r="7" spans="2:13" x14ac:dyDescent="0.25">
      <c r="B7">
        <v>0.67310984828968667</v>
      </c>
      <c r="C7">
        <v>0.76327619093902244</v>
      </c>
      <c r="D7">
        <v>0.4929267461846315</v>
      </c>
      <c r="E7">
        <v>0.76264746261040717</v>
      </c>
      <c r="F7">
        <v>1.0704958900341142</v>
      </c>
      <c r="G7">
        <v>0.84207789891004425</v>
      </c>
      <c r="H7">
        <v>0.74982920139003351</v>
      </c>
      <c r="I7">
        <v>0.79234272985365928</v>
      </c>
      <c r="J7">
        <v>1.7337486556067621</v>
      </c>
      <c r="K7">
        <v>0.76866584702507357</v>
      </c>
      <c r="L7">
        <v>0.69600287748878853</v>
      </c>
      <c r="M7">
        <v>0.73927797026936404</v>
      </c>
    </row>
    <row r="8" spans="2:13" x14ac:dyDescent="0.25">
      <c r="B8">
        <v>1.0796152031310986</v>
      </c>
      <c r="C8">
        <v>1.1216513382497661</v>
      </c>
      <c r="D8">
        <v>0.65932437035716362</v>
      </c>
      <c r="E8">
        <v>0.7071796522858983</v>
      </c>
      <c r="F8">
        <v>1.4592596718620514</v>
      </c>
      <c r="G8">
        <v>1.5123202429895792</v>
      </c>
      <c r="H8">
        <v>0.64437808275860498</v>
      </c>
      <c r="I8">
        <v>0.64426508679624384</v>
      </c>
      <c r="J8">
        <v>2.1184689066428528</v>
      </c>
      <c r="K8">
        <v>2.0534346708393874</v>
      </c>
      <c r="L8">
        <v>0.98105924898251351</v>
      </c>
      <c r="M8">
        <v>1.0557162549830483</v>
      </c>
    </row>
    <row r="9" spans="2:13" x14ac:dyDescent="0.25">
      <c r="B9">
        <v>0.74666649863094126</v>
      </c>
      <c r="C9">
        <v>0.76194887557861235</v>
      </c>
      <c r="D9">
        <v>0.71060430218408144</v>
      </c>
      <c r="E9">
        <v>0.70054307548384742</v>
      </c>
      <c r="F9">
        <v>1.6055746847472576</v>
      </c>
      <c r="G9">
        <v>1.6699301569268579</v>
      </c>
      <c r="H9">
        <v>0.75325449504428255</v>
      </c>
      <c r="I9">
        <v>1.1128380511540947</v>
      </c>
      <c r="J9">
        <v>1.8085839176017617</v>
      </c>
      <c r="K9">
        <v>1.7602473827353675</v>
      </c>
      <c r="L9">
        <v>1.0024759869662514</v>
      </c>
      <c r="M9">
        <v>1.2506270258187102</v>
      </c>
    </row>
    <row r="10" spans="2:13" x14ac:dyDescent="0.25">
      <c r="B10">
        <v>0.8145452712337542</v>
      </c>
      <c r="C10">
        <v>0.95273299396177813</v>
      </c>
      <c r="D10">
        <v>0.71781674147345342</v>
      </c>
      <c r="E10">
        <v>0.8485038088179907</v>
      </c>
      <c r="F10">
        <v>1.1209590640349849</v>
      </c>
      <c r="G10">
        <v>0.93383510180704721</v>
      </c>
      <c r="H10">
        <v>0.60013118242655661</v>
      </c>
      <c r="I10">
        <v>0.49615106102554651</v>
      </c>
      <c r="J10">
        <v>1.6877293884804767</v>
      </c>
      <c r="K10">
        <v>1.3391363958123765</v>
      </c>
      <c r="L10">
        <v>0.88316296969600316</v>
      </c>
      <c r="M10">
        <v>1.0280570768600277</v>
      </c>
    </row>
    <row r="11" spans="2:13" x14ac:dyDescent="0.25">
      <c r="B11">
        <v>1.4232035343843721</v>
      </c>
      <c r="C11">
        <v>1.1520398741328408</v>
      </c>
      <c r="D11">
        <v>1.4956604156141267</v>
      </c>
      <c r="E11">
        <v>0.74825656975543375</v>
      </c>
      <c r="F11">
        <v>1.5538146917497166</v>
      </c>
      <c r="G11">
        <v>1.6923055255952386</v>
      </c>
      <c r="H11">
        <v>0.50288385353493437</v>
      </c>
      <c r="I11">
        <v>0.68974347839864414</v>
      </c>
      <c r="J11">
        <v>1.6646683711889663</v>
      </c>
      <c r="K11">
        <v>1.3139838307067546</v>
      </c>
      <c r="L11">
        <v>0.61600868916565221</v>
      </c>
      <c r="M11">
        <v>0.59916694608993704</v>
      </c>
    </row>
    <row r="12" spans="2:13" x14ac:dyDescent="0.25">
      <c r="B12">
        <v>1.0413790444870876</v>
      </c>
      <c r="C12">
        <v>0.96251321240690568</v>
      </c>
      <c r="D12">
        <v>0.66413266321674502</v>
      </c>
      <c r="E12">
        <v>0.77298655068097044</v>
      </c>
      <c r="F12">
        <v>1.5872641643486178</v>
      </c>
      <c r="G12">
        <v>1.1883321812140792</v>
      </c>
      <c r="H12">
        <v>0.81655899628392237</v>
      </c>
      <c r="I12">
        <v>0.78673979200824362</v>
      </c>
      <c r="J12">
        <v>1.3754807479344626</v>
      </c>
      <c r="K12">
        <v>1.7584322491710442</v>
      </c>
      <c r="L12">
        <v>1.0033186801114848</v>
      </c>
      <c r="M12">
        <v>0.93038560411311055</v>
      </c>
    </row>
    <row r="13" spans="2:13" x14ac:dyDescent="0.25">
      <c r="B13">
        <v>1.2499771113102005</v>
      </c>
      <c r="C13">
        <v>1.1257031430341762</v>
      </c>
      <c r="D13">
        <v>0.6895552329104887</v>
      </c>
      <c r="E13">
        <v>1.1748836700725316</v>
      </c>
      <c r="F13">
        <v>0.9961120438881379</v>
      </c>
      <c r="G13">
        <v>1.0015797139379827</v>
      </c>
      <c r="H13">
        <v>0.72127099174596532</v>
      </c>
      <c r="I13">
        <v>0.5493789705569958</v>
      </c>
      <c r="J13">
        <v>1.806528568467046</v>
      </c>
      <c r="K13">
        <v>1.6779613278193808</v>
      </c>
      <c r="L13">
        <v>1.0665206660039936</v>
      </c>
      <c r="M13">
        <v>0.94361014865317983</v>
      </c>
    </row>
    <row r="14" spans="2:13" x14ac:dyDescent="0.25">
      <c r="B14">
        <v>1.1349872990938303</v>
      </c>
      <c r="C14">
        <v>0.91298339185265276</v>
      </c>
      <c r="D14">
        <v>0.58546080770572306</v>
      </c>
      <c r="E14">
        <v>0.75195908102394637</v>
      </c>
      <c r="F14">
        <v>0.94149059158272619</v>
      </c>
      <c r="G14">
        <v>0.96155872932787045</v>
      </c>
      <c r="H14">
        <v>0.66140588001923395</v>
      </c>
      <c r="I14">
        <v>0.80016501320927214</v>
      </c>
      <c r="J14">
        <v>1.6474034384573542</v>
      </c>
      <c r="K14">
        <v>1.4838284713684289</v>
      </c>
      <c r="L14">
        <v>1.2141563943506248</v>
      </c>
      <c r="M14">
        <v>1.3366297827949778</v>
      </c>
    </row>
    <row r="15" spans="2:13" x14ac:dyDescent="0.25">
      <c r="B15">
        <v>1.1119944518557261</v>
      </c>
      <c r="C15">
        <v>1.3111081412725218</v>
      </c>
      <c r="D15">
        <v>0.60351748195500177</v>
      </c>
      <c r="E15">
        <v>0.6239080780959555</v>
      </c>
      <c r="F15">
        <v>0.86964399999545283</v>
      </c>
      <c r="G15">
        <v>1.1446365425624931</v>
      </c>
      <c r="H15">
        <v>0.66481707781482358</v>
      </c>
      <c r="I15">
        <v>0.58688954795065562</v>
      </c>
      <c r="J15">
        <v>1.0887184366589235</v>
      </c>
      <c r="K15">
        <v>1.3406922245817965</v>
      </c>
      <c r="L15">
        <v>0.82398946810753726</v>
      </c>
      <c r="M15">
        <v>0.98259230282031218</v>
      </c>
    </row>
    <row r="16" spans="2:13" x14ac:dyDescent="0.25">
      <c r="B16">
        <v>1.5193182395243008</v>
      </c>
      <c r="C16">
        <v>1.5402446877012235</v>
      </c>
      <c r="D16">
        <v>0.72525936499546495</v>
      </c>
      <c r="E16">
        <v>0.95741352707480343</v>
      </c>
      <c r="F16">
        <v>1.2067323639778058</v>
      </c>
      <c r="G16">
        <v>1.4109943864994312</v>
      </c>
      <c r="H16">
        <v>0.79187714777120599</v>
      </c>
      <c r="I16">
        <v>0.61992505161063927</v>
      </c>
      <c r="J16">
        <v>1.6915934448537424</v>
      </c>
      <c r="K16">
        <v>1.3072419060392684</v>
      </c>
      <c r="L16">
        <v>1.0801270772758118</v>
      </c>
      <c r="M16">
        <v>0.81179687791065913</v>
      </c>
    </row>
    <row r="17" spans="2:13" x14ac:dyDescent="0.25">
      <c r="B17">
        <v>1.8387628023762723</v>
      </c>
      <c r="C17">
        <v>1.6564895697918818</v>
      </c>
      <c r="D17">
        <v>0.69423564564082585</v>
      </c>
      <c r="E17">
        <v>0.93170552430475406</v>
      </c>
      <c r="F17">
        <v>1.3362169216236155</v>
      </c>
      <c r="G17">
        <v>1.8553728465248054</v>
      </c>
      <c r="H17">
        <v>0.6028093955718542</v>
      </c>
      <c r="I17">
        <v>0.7766253977158698</v>
      </c>
      <c r="J17">
        <v>0.84503624324702631</v>
      </c>
      <c r="K17">
        <v>0.71896576133527068</v>
      </c>
      <c r="L17">
        <v>1.052462077922538</v>
      </c>
      <c r="M17">
        <v>1.040330837152118</v>
      </c>
    </row>
    <row r="18" spans="2:13" x14ac:dyDescent="0.25">
      <c r="B18">
        <v>1.0054191521436231</v>
      </c>
      <c r="C18">
        <v>1.07526515933859</v>
      </c>
      <c r="D18">
        <v>0.80866278528852165</v>
      </c>
      <c r="E18">
        <v>0.77857524693532909</v>
      </c>
      <c r="F18">
        <v>1.0948112462216846</v>
      </c>
      <c r="G18">
        <v>1.214527734777062</v>
      </c>
      <c r="H18">
        <v>0.6984497965762978</v>
      </c>
      <c r="I18">
        <v>0.69854809501286885</v>
      </c>
      <c r="J18">
        <v>1.5633191053561335</v>
      </c>
      <c r="K18">
        <v>1.4331776014306472</v>
      </c>
      <c r="L18">
        <v>0.84579672242687121</v>
      </c>
      <c r="M18">
        <v>0.64532319958272788</v>
      </c>
    </row>
    <row r="19" spans="2:13" x14ac:dyDescent="0.25">
      <c r="B19">
        <v>0.79940426393124275</v>
      </c>
      <c r="C19">
        <v>1.1591654618571481</v>
      </c>
      <c r="D19">
        <v>0.84687336790668388</v>
      </c>
      <c r="E19">
        <v>0.78821574797409766</v>
      </c>
      <c r="F19">
        <v>0.98280555331360664</v>
      </c>
      <c r="G19">
        <v>1.34048468815907</v>
      </c>
      <c r="H19">
        <v>0.7676604625942518</v>
      </c>
      <c r="I19">
        <v>0.68923412041269727</v>
      </c>
      <c r="J19">
        <v>1.9560141110349214</v>
      </c>
      <c r="K19">
        <v>0.92200141574456984</v>
      </c>
      <c r="L19">
        <v>0.77663422404368676</v>
      </c>
      <c r="M19">
        <v>0.82173689504861969</v>
      </c>
    </row>
    <row r="20" spans="2:13" x14ac:dyDescent="0.25">
      <c r="B20">
        <v>2.1169532355340701</v>
      </c>
      <c r="C20">
        <v>1.5012635313270724</v>
      </c>
      <c r="D20">
        <v>1.0093322840984951</v>
      </c>
      <c r="E20">
        <v>0.90236486896937151</v>
      </c>
      <c r="F20">
        <v>1.2604657771876715</v>
      </c>
      <c r="G20">
        <v>1.3381198117957451</v>
      </c>
      <c r="H20">
        <v>0.68216907982462016</v>
      </c>
      <c r="I20">
        <v>0.51143180060395299</v>
      </c>
      <c r="J20">
        <v>1.2508238229139534</v>
      </c>
      <c r="K20">
        <v>1.1990253716329495</v>
      </c>
      <c r="L20">
        <v>0.96030022272188464</v>
      </c>
      <c r="M20">
        <v>0.74774859356953916</v>
      </c>
    </row>
    <row r="21" spans="2:13" x14ac:dyDescent="0.25">
      <c r="B21">
        <v>1.2051423379971897</v>
      </c>
      <c r="C21">
        <v>1.4158263373385656</v>
      </c>
      <c r="D21">
        <v>0.74988907788789472</v>
      </c>
      <c r="E21">
        <v>0.62299991495462226</v>
      </c>
      <c r="F21">
        <v>1.2982144866777083</v>
      </c>
      <c r="G21">
        <v>0.63964448220944004</v>
      </c>
      <c r="H21">
        <v>0.69464391473824327</v>
      </c>
      <c r="I21">
        <v>0.87696892094740586</v>
      </c>
      <c r="J21">
        <v>1.6329337805489552</v>
      </c>
      <c r="K21">
        <v>1.4288558548489252</v>
      </c>
      <c r="L21">
        <v>0.77322234448005867</v>
      </c>
      <c r="M21">
        <v>0.72622629559256369</v>
      </c>
    </row>
    <row r="22" spans="2:13" x14ac:dyDescent="0.25">
      <c r="B22">
        <v>1.1899757546688294</v>
      </c>
      <c r="C22">
        <v>1.0563334507769502</v>
      </c>
      <c r="D22">
        <v>1.254146003523561</v>
      </c>
      <c r="E22">
        <v>1.2886136388487286</v>
      </c>
      <c r="F22">
        <v>0.92484338250590259</v>
      </c>
      <c r="G22">
        <v>1.0689968816493809</v>
      </c>
      <c r="H22">
        <v>0.63176228925838729</v>
      </c>
      <c r="I22">
        <v>0.59787712736179555</v>
      </c>
      <c r="J22">
        <v>1.270884030468779</v>
      </c>
      <c r="K22">
        <v>1.2353280429194144</v>
      </c>
      <c r="L22">
        <v>0.8085332426144749</v>
      </c>
      <c r="M22">
        <v>0.88958831638165492</v>
      </c>
    </row>
    <row r="23" spans="2:13" x14ac:dyDescent="0.25">
      <c r="B23">
        <v>1.3881643789714657</v>
      </c>
      <c r="C23">
        <v>1.9648458856261162</v>
      </c>
      <c r="D23">
        <v>0.95713161534101932</v>
      </c>
      <c r="E23">
        <v>0.74022281888979335</v>
      </c>
      <c r="F23">
        <v>1.2308785698614626</v>
      </c>
      <c r="G23">
        <v>1.4205994228058583</v>
      </c>
      <c r="H23">
        <v>0.65086217774195709</v>
      </c>
      <c r="I23">
        <v>0.69687449020190051</v>
      </c>
      <c r="J23">
        <v>1.2594151822970652</v>
      </c>
      <c r="K23">
        <v>0.59484519950821502</v>
      </c>
      <c r="L23">
        <v>0.5430026879005494</v>
      </c>
      <c r="M23">
        <v>0.59925338102157144</v>
      </c>
    </row>
    <row r="24" spans="2:13" x14ac:dyDescent="0.25">
      <c r="B24">
        <v>1.4850719409127084</v>
      </c>
      <c r="C24">
        <v>1.4381811223559999</v>
      </c>
      <c r="D24">
        <v>0.82339457617745171</v>
      </c>
      <c r="E24">
        <v>0.6327801333997497</v>
      </c>
      <c r="F24">
        <v>1.609648387899842</v>
      </c>
      <c r="G24">
        <v>1.9931177990101554</v>
      </c>
      <c r="H24">
        <v>0.72208855154821405</v>
      </c>
      <c r="I24">
        <v>1.0357794644229876</v>
      </c>
      <c r="J24">
        <v>0.89600890178797654</v>
      </c>
      <c r="K24">
        <v>1.1255556797436757</v>
      </c>
      <c r="L24">
        <v>0.57895074426672755</v>
      </c>
      <c r="M24">
        <v>0.75786148057076863</v>
      </c>
    </row>
    <row r="25" spans="2:13" x14ac:dyDescent="0.25">
      <c r="B25">
        <v>1.8457706334588535</v>
      </c>
      <c r="C25">
        <v>1.4128224131018479</v>
      </c>
      <c r="D25">
        <v>0.94741272551846134</v>
      </c>
      <c r="E25">
        <v>0.79338529200937924</v>
      </c>
      <c r="F25">
        <v>1.3558101651602663</v>
      </c>
      <c r="G25">
        <v>0.51950876295253934</v>
      </c>
      <c r="H25">
        <v>0.86120058065843563</v>
      </c>
      <c r="I25">
        <v>0.76385506535391579</v>
      </c>
      <c r="J25">
        <v>0.82976499917608848</v>
      </c>
      <c r="K25">
        <v>1.1321247345478931</v>
      </c>
      <c r="L25">
        <v>0.53952914786287987</v>
      </c>
      <c r="M25">
        <v>0.9474997205767296</v>
      </c>
    </row>
    <row r="26" spans="2:13" x14ac:dyDescent="0.25">
      <c r="B26">
        <v>1.464764576388732</v>
      </c>
      <c r="C26">
        <v>1.320259631389034</v>
      </c>
      <c r="D26">
        <v>0.9425277045813335</v>
      </c>
      <c r="E26">
        <v>0.96768275644218738</v>
      </c>
      <c r="F26">
        <v>1.0960093942077387</v>
      </c>
      <c r="G26">
        <v>0.66500323336693845</v>
      </c>
      <c r="H26">
        <v>0.88579785401919531</v>
      </c>
      <c r="I26">
        <v>0.77484264476505571</v>
      </c>
      <c r="J26">
        <v>1.1750842072996788</v>
      </c>
      <c r="K26">
        <v>1.1981610223166053</v>
      </c>
      <c r="L26">
        <v>0.53591173338578013</v>
      </c>
      <c r="M26">
        <v>1.0539011214187251</v>
      </c>
    </row>
    <row r="27" spans="2:13" x14ac:dyDescent="0.25">
      <c r="B27">
        <v>1.4147890218801049</v>
      </c>
      <c r="C27">
        <v>0.94204461237531745</v>
      </c>
      <c r="D27">
        <v>1.0599983913050408</v>
      </c>
      <c r="E27">
        <v>0.90383190173614059</v>
      </c>
      <c r="F27">
        <v>0.97644832105818968</v>
      </c>
      <c r="G27">
        <v>0.64957696293540423</v>
      </c>
      <c r="H27">
        <v>0.85131938373815341</v>
      </c>
      <c r="I27">
        <v>0.73121977154003326</v>
      </c>
      <c r="J27">
        <v>1.1361558946881627</v>
      </c>
      <c r="K27">
        <v>1.1762065496814575</v>
      </c>
      <c r="L27">
        <v>0.67386676730790007</v>
      </c>
      <c r="M27">
        <v>0.87930255951715663</v>
      </c>
    </row>
    <row r="28" spans="2:13" x14ac:dyDescent="0.25">
      <c r="B28">
        <v>1.1085672643919819</v>
      </c>
      <c r="C28">
        <v>1.5099958692245077</v>
      </c>
      <c r="D28">
        <v>0.757050365125569</v>
      </c>
      <c r="E28">
        <v>0.83166786135173554</v>
      </c>
      <c r="F28">
        <v>1.3669458935012406</v>
      </c>
      <c r="G28">
        <v>1.5105011073254833</v>
      </c>
      <c r="H28">
        <v>0.8341083403149514</v>
      </c>
      <c r="I28">
        <v>0.70818951403257779</v>
      </c>
      <c r="J28">
        <v>0.89048001261559118</v>
      </c>
      <c r="K28">
        <v>0.9692813233486085</v>
      </c>
      <c r="L28">
        <v>0.44241390124756147</v>
      </c>
      <c r="M28">
        <v>0.88915614172348278</v>
      </c>
    </row>
    <row r="29" spans="2:13" x14ac:dyDescent="0.25">
      <c r="B29">
        <v>1.9953136565970024</v>
      </c>
      <c r="C29">
        <v>2.1079863684408751</v>
      </c>
      <c r="D29">
        <v>1.2743766399699907</v>
      </c>
      <c r="E29">
        <v>1.0901450631158196</v>
      </c>
      <c r="F29">
        <v>1.4520566880870669</v>
      </c>
      <c r="G29">
        <v>1.4031721031438185</v>
      </c>
      <c r="H29">
        <v>0.9310032727400871</v>
      </c>
      <c r="I29">
        <v>0.89064882114140786</v>
      </c>
      <c r="J29">
        <v>0.88248470448154703</v>
      </c>
      <c r="K29">
        <v>0.86227487798517199</v>
      </c>
      <c r="L29">
        <v>0.49375652263276049</v>
      </c>
      <c r="M29">
        <v>0.98907492269289521</v>
      </c>
    </row>
    <row r="30" spans="2:13" x14ac:dyDescent="0.25">
      <c r="B30">
        <v>1.3074208653666879</v>
      </c>
      <c r="C30">
        <v>1.6191850222940383</v>
      </c>
      <c r="D30">
        <v>0.82441761721140516</v>
      </c>
      <c r="E30">
        <v>1.1345751983379704</v>
      </c>
      <c r="F30">
        <v>1.477711150847286</v>
      </c>
      <c r="G30">
        <v>1.4575278767870072</v>
      </c>
      <c r="H30">
        <v>1.3400791868963078</v>
      </c>
      <c r="I30">
        <v>0.95897555668485401</v>
      </c>
      <c r="J30">
        <v>0.95530572432452543</v>
      </c>
      <c r="K30">
        <v>0.98967996721433626</v>
      </c>
      <c r="L30">
        <v>0.40586979363231573</v>
      </c>
      <c r="M30">
        <v>0.59493163443984953</v>
      </c>
    </row>
    <row r="31" spans="2:13" x14ac:dyDescent="0.25">
      <c r="B31">
        <v>1.4742788580044992</v>
      </c>
      <c r="C31">
        <v>1.7148914456499289</v>
      </c>
      <c r="D31">
        <v>0.77132178754921998</v>
      </c>
      <c r="E31">
        <v>0.8621961146411693</v>
      </c>
      <c r="F31">
        <v>1.5523346265904732</v>
      </c>
      <c r="G31">
        <v>1.3194554798821199</v>
      </c>
      <c r="H31">
        <v>0.92468832806064849</v>
      </c>
      <c r="I31">
        <v>0.97552969122812783</v>
      </c>
      <c r="J31">
        <v>0.89960576277372906</v>
      </c>
      <c r="K31">
        <v>0.90272642599008979</v>
      </c>
      <c r="L31">
        <v>0.54754500948827123</v>
      </c>
      <c r="M31">
        <v>0.72812786408852126</v>
      </c>
    </row>
    <row r="32" spans="2:13" x14ac:dyDescent="0.25">
      <c r="B32">
        <v>1.4061699011690467</v>
      </c>
      <c r="C32">
        <v>1.3222156750780596</v>
      </c>
      <c r="D32">
        <v>0.90968808739142704</v>
      </c>
      <c r="E32">
        <v>0.83488136169799176</v>
      </c>
      <c r="F32">
        <v>0.93284983022447643</v>
      </c>
      <c r="G32">
        <v>1.1603902574135645</v>
      </c>
      <c r="H32">
        <v>0.78743695229347577</v>
      </c>
      <c r="I32">
        <v>0.84600723194449168</v>
      </c>
      <c r="J32">
        <v>0.60770507866140067</v>
      </c>
      <c r="K32">
        <v>0.82554003204053505</v>
      </c>
      <c r="L32">
        <v>0.37499844962888546</v>
      </c>
      <c r="M32">
        <v>0.55534443575127601</v>
      </c>
    </row>
    <row r="33" spans="2:13" x14ac:dyDescent="0.25">
      <c r="B33">
        <v>1.8597095675464697</v>
      </c>
      <c r="C33">
        <v>1.3164174027141624</v>
      </c>
      <c r="D33">
        <v>0.40655650689310963</v>
      </c>
      <c r="E33">
        <v>0.43431155766684082</v>
      </c>
      <c r="F33">
        <v>0.77706240032011231</v>
      </c>
      <c r="G33">
        <v>0.88668310539367856</v>
      </c>
      <c r="H33">
        <v>0.66796045429588335</v>
      </c>
      <c r="I33">
        <v>0.72336110547113852</v>
      </c>
      <c r="J33">
        <v>0.50337555658323008</v>
      </c>
      <c r="K33">
        <v>0.68508326813457021</v>
      </c>
      <c r="L33">
        <v>0.45795234070601243</v>
      </c>
      <c r="M33">
        <v>0.55923400767482578</v>
      </c>
    </row>
    <row r="34" spans="2:13" x14ac:dyDescent="0.25">
      <c r="B34">
        <v>1.356296650763815</v>
      </c>
      <c r="C34">
        <v>1.0226615558444399</v>
      </c>
      <c r="D34">
        <v>0.90301274464488057</v>
      </c>
      <c r="E34">
        <v>0.82300538215747976</v>
      </c>
      <c r="F34">
        <v>1.4509994986876071</v>
      </c>
      <c r="G34">
        <v>1.5781365713165729</v>
      </c>
      <c r="H34">
        <v>0.80597300643066705</v>
      </c>
      <c r="I34">
        <v>0.79994671692958064</v>
      </c>
    </row>
    <row r="35" spans="2:13" x14ac:dyDescent="0.25">
      <c r="B35">
        <v>1.1140916859753307</v>
      </c>
      <c r="C35">
        <v>1.0285296869115164</v>
      </c>
      <c r="D35">
        <v>0.93751480351496141</v>
      </c>
      <c r="E35">
        <v>0.97459876805695611</v>
      </c>
      <c r="F35">
        <v>1.0832385462622671</v>
      </c>
      <c r="G35">
        <v>1.3423038238231659</v>
      </c>
      <c r="H35">
        <v>0.63207239814889538</v>
      </c>
      <c r="I35">
        <v>0.64026298833523265</v>
      </c>
    </row>
    <row r="36" spans="2:13" x14ac:dyDescent="0.25">
      <c r="B36">
        <v>0.98674865327397232</v>
      </c>
      <c r="C36">
        <v>0.88783425870803923</v>
      </c>
      <c r="D36">
        <v>0.63392737668926868</v>
      </c>
      <c r="E36">
        <v>0.68894653075605339</v>
      </c>
      <c r="F36">
        <v>1.2930835941256644</v>
      </c>
      <c r="G36">
        <v>1.0464032167013084</v>
      </c>
      <c r="H36">
        <v>0.56007075211636814</v>
      </c>
      <c r="I36">
        <v>0.72874574703686268</v>
      </c>
    </row>
    <row r="37" spans="2:13" x14ac:dyDescent="0.25">
      <c r="B37">
        <v>0.71285499245877904</v>
      </c>
      <c r="C37">
        <v>0.87099831124178395</v>
      </c>
      <c r="D37">
        <v>0.60914420764174593</v>
      </c>
      <c r="E37">
        <v>0.59044575927298348</v>
      </c>
      <c r="F37">
        <v>0.89449499881208283</v>
      </c>
      <c r="G37">
        <v>0.81300811099779002</v>
      </c>
      <c r="H37">
        <v>0.74865924512129822</v>
      </c>
      <c r="I37">
        <v>0.85797714461424346</v>
      </c>
    </row>
    <row r="38" spans="2:13" x14ac:dyDescent="0.25">
      <c r="B38">
        <v>0.9390749410917405</v>
      </c>
      <c r="C38">
        <v>1.0089692500212613</v>
      </c>
      <c r="D38">
        <v>0.46903873804181795</v>
      </c>
      <c r="E38">
        <v>0.48782332430232417</v>
      </c>
      <c r="F38">
        <v>0.68827258662416679</v>
      </c>
      <c r="G38">
        <v>1.0736902516627487</v>
      </c>
      <c r="H38">
        <v>0.50019154453097736</v>
      </c>
      <c r="I38">
        <v>0.47035571730866504</v>
      </c>
    </row>
    <row r="39" spans="2:13" x14ac:dyDescent="0.25">
      <c r="D39">
        <v>0.53482027652502617</v>
      </c>
      <c r="E39">
        <v>0.66680132184815755</v>
      </c>
      <c r="F39">
        <v>0.62195157163140236</v>
      </c>
      <c r="G39">
        <v>0.64084511174774339</v>
      </c>
      <c r="H39">
        <v>0.68016746789497673</v>
      </c>
      <c r="I39">
        <v>0.69574662609016102</v>
      </c>
    </row>
    <row r="40" spans="2:13" x14ac:dyDescent="0.25">
      <c r="F40">
        <v>0.81591058678558714</v>
      </c>
      <c r="G40">
        <v>0.88853862377105641</v>
      </c>
      <c r="H40">
        <v>0.51421692389714113</v>
      </c>
      <c r="I40">
        <v>0.50299101112254752</v>
      </c>
    </row>
    <row r="41" spans="2:13" x14ac:dyDescent="0.25">
      <c r="H41">
        <v>0.44184878553946783</v>
      </c>
      <c r="I41">
        <v>0.45300116307318911</v>
      </c>
    </row>
    <row r="42" spans="2:13" x14ac:dyDescent="0.25">
      <c r="H42">
        <v>0.493242286211863</v>
      </c>
      <c r="I42">
        <v>0.45005416329735354</v>
      </c>
    </row>
  </sheetData>
  <mergeCells count="9"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1"/>
  <sheetViews>
    <sheetView workbookViewId="0">
      <selection activeCell="N26" sqref="N26"/>
    </sheetView>
  </sheetViews>
  <sheetFormatPr defaultColWidth="8.85546875" defaultRowHeight="15" x14ac:dyDescent="0.25"/>
  <sheetData>
    <row r="1" spans="2:7" x14ac:dyDescent="0.25">
      <c r="B1" s="122">
        <v>1</v>
      </c>
      <c r="C1" s="122"/>
      <c r="D1" s="122">
        <v>2</v>
      </c>
      <c r="E1" s="122"/>
      <c r="F1" s="122">
        <v>3</v>
      </c>
      <c r="G1" s="122"/>
    </row>
    <row r="2" spans="2:7" x14ac:dyDescent="0.2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2:7" x14ac:dyDescent="0.25">
      <c r="B3">
        <v>0.88892165766690689</v>
      </c>
      <c r="C3">
        <v>0.74493054423927429</v>
      </c>
      <c r="D3">
        <v>0.5434755361432978</v>
      </c>
      <c r="E3">
        <v>0.68835185284689482</v>
      </c>
      <c r="F3">
        <v>0.732896394456936</v>
      </c>
      <c r="G3">
        <v>0.80056033679818195</v>
      </c>
    </row>
    <row r="4" spans="2:7" x14ac:dyDescent="0.25">
      <c r="B4">
        <v>0.72548069329410947</v>
      </c>
      <c r="C4">
        <v>0.64005839677597964</v>
      </c>
      <c r="D4">
        <v>0.40562945449149107</v>
      </c>
      <c r="E4">
        <v>0.49608876307514838</v>
      </c>
      <c r="F4">
        <v>0.99443957184951293</v>
      </c>
      <c r="G4">
        <v>0.90186207667374541</v>
      </c>
    </row>
    <row r="5" spans="2:7" x14ac:dyDescent="0.25">
      <c r="B5">
        <v>0.56749387950522712</v>
      </c>
      <c r="C5">
        <v>0.66603962556688612</v>
      </c>
      <c r="D5">
        <v>0.63112398576969198</v>
      </c>
      <c r="E5">
        <v>0.69273885887511721</v>
      </c>
      <c r="F5">
        <v>0.69600287748878853</v>
      </c>
      <c r="G5">
        <v>0.73927797026936404</v>
      </c>
    </row>
    <row r="6" spans="2:7" x14ac:dyDescent="0.25">
      <c r="B6">
        <v>0.92248566126022957</v>
      </c>
      <c r="C6">
        <v>0.63782563492676103</v>
      </c>
      <c r="D6">
        <v>0.67608251412803266</v>
      </c>
      <c r="E6">
        <v>0.5648015202846316</v>
      </c>
      <c r="F6">
        <v>0.98105924898251351</v>
      </c>
      <c r="G6">
        <v>1.0557162549830483</v>
      </c>
    </row>
    <row r="7" spans="2:7" x14ac:dyDescent="0.25">
      <c r="B7">
        <v>1.1614718555958103</v>
      </c>
      <c r="C7">
        <v>1.0836337508207283</v>
      </c>
      <c r="D7">
        <v>0.82527163123127456</v>
      </c>
      <c r="E7">
        <v>0.73609880217731527</v>
      </c>
      <c r="F7">
        <v>1.0024759869662514</v>
      </c>
      <c r="G7">
        <v>1.2506270258187102</v>
      </c>
    </row>
    <row r="8" spans="2:7" x14ac:dyDescent="0.25">
      <c r="B8">
        <v>0.6421213437447556</v>
      </c>
      <c r="C8">
        <v>0.64357668817474822</v>
      </c>
      <c r="D8">
        <v>0.91424865738568228</v>
      </c>
      <c r="E8">
        <v>0.52919535507882665</v>
      </c>
      <c r="F8">
        <v>0.88316296969600316</v>
      </c>
      <c r="G8">
        <v>1.0280570768600277</v>
      </c>
    </row>
    <row r="9" spans="2:7" x14ac:dyDescent="0.25">
      <c r="B9">
        <v>1.0971495893345442</v>
      </c>
      <c r="C9">
        <v>0.88024944419191276</v>
      </c>
      <c r="D9">
        <v>0.9488668495590129</v>
      </c>
      <c r="E9">
        <v>0.57510588328115397</v>
      </c>
      <c r="F9">
        <v>0.61600868916565221</v>
      </c>
      <c r="G9">
        <v>0.59916694608993704</v>
      </c>
    </row>
    <row r="10" spans="2:7" x14ac:dyDescent="0.25">
      <c r="B10">
        <v>0.48951001490636631</v>
      </c>
      <c r="C10">
        <v>0.35203211822678876</v>
      </c>
      <c r="D10">
        <v>0.96741678598787939</v>
      </c>
      <c r="E10">
        <v>0.67473172948020432</v>
      </c>
      <c r="F10">
        <v>1.0033186801114848</v>
      </c>
      <c r="G10">
        <v>0.93038560411311055</v>
      </c>
    </row>
    <row r="11" spans="2:7" x14ac:dyDescent="0.25">
      <c r="B11">
        <v>0.50605601980276216</v>
      </c>
      <c r="C11">
        <v>0.54337304275981946</v>
      </c>
      <c r="D11">
        <v>0.96474709919102219</v>
      </c>
      <c r="E11">
        <v>0.65187848877504584</v>
      </c>
      <c r="F11">
        <v>1.0665206660039936</v>
      </c>
      <c r="G11">
        <v>0.94361014865317983</v>
      </c>
    </row>
    <row r="12" spans="2:7" x14ac:dyDescent="0.25">
      <c r="B12">
        <v>0.78560745910621033</v>
      </c>
      <c r="C12">
        <v>0.79195386197281614</v>
      </c>
      <c r="D12">
        <v>0.77425930605189175</v>
      </c>
      <c r="E12">
        <v>0.65703067027330697</v>
      </c>
      <c r="F12">
        <v>1.2141563943506248</v>
      </c>
      <c r="G12">
        <v>1.3366297827949778</v>
      </c>
    </row>
    <row r="13" spans="2:7" x14ac:dyDescent="0.25">
      <c r="B13">
        <v>0.56062374751971888</v>
      </c>
      <c r="C13">
        <v>0.57070746055025245</v>
      </c>
      <c r="D13">
        <v>0.82252674198943554</v>
      </c>
      <c r="E13">
        <v>0.75558527081430304</v>
      </c>
      <c r="F13">
        <v>0.82398946810753726</v>
      </c>
      <c r="G13">
        <v>0.98259230282031218</v>
      </c>
    </row>
    <row r="14" spans="2:7" x14ac:dyDescent="0.25">
      <c r="B14">
        <v>0.97002592572483437</v>
      </c>
      <c r="C14">
        <v>1.3374243476819014</v>
      </c>
      <c r="D14">
        <v>0.94735026691854474</v>
      </c>
      <c r="E14">
        <v>0.72462117012673344</v>
      </c>
      <c r="F14">
        <v>1.0801270772758118</v>
      </c>
      <c r="G14">
        <v>0.81179687791065913</v>
      </c>
    </row>
    <row r="15" spans="2:7" x14ac:dyDescent="0.25">
      <c r="B15">
        <v>1.1160031194779809</v>
      </c>
      <c r="C15">
        <v>1.2498730194125445</v>
      </c>
      <c r="D15">
        <v>1.2621351678719113</v>
      </c>
      <c r="E15">
        <v>0.99809488311859673</v>
      </c>
      <c r="F15">
        <v>1.052462077922538</v>
      </c>
      <c r="G15">
        <v>1.040330837152118</v>
      </c>
    </row>
    <row r="16" spans="2:7" x14ac:dyDescent="0.25">
      <c r="B16">
        <v>1.1961109561792318</v>
      </c>
      <c r="C16">
        <v>1.3637438737226897</v>
      </c>
      <c r="D16">
        <v>1.1349302321850421</v>
      </c>
      <c r="E16">
        <v>0.71804066108439979</v>
      </c>
      <c r="F16">
        <v>0.84579672242687121</v>
      </c>
      <c r="G16">
        <v>0.64532319958272788</v>
      </c>
    </row>
    <row r="17" spans="2:7" x14ac:dyDescent="0.25">
      <c r="B17">
        <v>1.7518049906711815</v>
      </c>
      <c r="C17">
        <v>1.8919611996878136</v>
      </c>
      <c r="D17">
        <v>0.94861617474240656</v>
      </c>
      <c r="E17">
        <v>0.86954540415208004</v>
      </c>
      <c r="F17">
        <v>0.77663422404368676</v>
      </c>
      <c r="G17">
        <v>0.82173689504861969</v>
      </c>
    </row>
    <row r="18" spans="2:7" x14ac:dyDescent="0.25">
      <c r="B18">
        <v>1.01051250505928</v>
      </c>
      <c r="C18">
        <v>1.0864077882697574</v>
      </c>
      <c r="D18">
        <v>1.1511238253378093</v>
      </c>
      <c r="E18">
        <v>1.2647330285781135</v>
      </c>
      <c r="F18">
        <v>0.96030022272188464</v>
      </c>
      <c r="G18">
        <v>0.74774859356953916</v>
      </c>
    </row>
    <row r="19" spans="2:7" x14ac:dyDescent="0.25">
      <c r="B19">
        <v>0.85674741359737017</v>
      </c>
      <c r="C19">
        <v>0.74980202463756929</v>
      </c>
      <c r="D19">
        <v>0.91715648525831539</v>
      </c>
      <c r="E19">
        <v>0.56026147916240143</v>
      </c>
      <c r="F19">
        <v>0.77322234448005867</v>
      </c>
      <c r="G19">
        <v>0.72622629559256369</v>
      </c>
    </row>
    <row r="20" spans="2:7" x14ac:dyDescent="0.25">
      <c r="B20">
        <v>1.0708752677716462</v>
      </c>
      <c r="C20">
        <v>1.0556227385305321</v>
      </c>
      <c r="D20">
        <v>1.2790807854744974</v>
      </c>
      <c r="E20">
        <v>0.92213846479274619</v>
      </c>
      <c r="F20">
        <v>0.8085332426144749</v>
      </c>
      <c r="G20">
        <v>0.88958831638165492</v>
      </c>
    </row>
    <row r="21" spans="2:7" x14ac:dyDescent="0.25">
      <c r="B21">
        <v>1.0273731724893631</v>
      </c>
      <c r="C21">
        <v>0.90508046233322192</v>
      </c>
      <c r="D21">
        <v>1.0602166030955331</v>
      </c>
      <c r="E21">
        <v>0.98773950842407177</v>
      </c>
      <c r="F21">
        <v>0.5430026879005494</v>
      </c>
      <c r="G21">
        <v>0.59925338102157144</v>
      </c>
    </row>
    <row r="22" spans="2:7" x14ac:dyDescent="0.25">
      <c r="B22">
        <v>0.72485136822673468</v>
      </c>
      <c r="C22">
        <v>0.86719117034648319</v>
      </c>
      <c r="D22">
        <v>0.88553385714343014</v>
      </c>
      <c r="E22">
        <v>0.89867308371155663</v>
      </c>
      <c r="F22">
        <v>0.57895074426672755</v>
      </c>
      <c r="G22">
        <v>0.75786148057076863</v>
      </c>
    </row>
    <row r="23" spans="2:7" x14ac:dyDescent="0.25">
      <c r="B23">
        <v>1.5562160041066546</v>
      </c>
      <c r="C23">
        <v>1.8987271446854457</v>
      </c>
      <c r="D23">
        <v>0.9291136740104361</v>
      </c>
      <c r="E23">
        <v>0.66412129629566652</v>
      </c>
      <c r="F23">
        <v>0.53952914786287987</v>
      </c>
      <c r="G23">
        <v>0.9474997205767296</v>
      </c>
    </row>
    <row r="24" spans="2:7" x14ac:dyDescent="0.25">
      <c r="B24">
        <v>0.78350970888162763</v>
      </c>
      <c r="C24">
        <v>0.66035623176887537</v>
      </c>
      <c r="D24">
        <v>0.89487149406201494</v>
      </c>
      <c r="E24">
        <v>0.82251261859369584</v>
      </c>
      <c r="F24">
        <v>0.53591173338578013</v>
      </c>
      <c r="G24">
        <v>1.0539011214187251</v>
      </c>
    </row>
    <row r="25" spans="2:7" x14ac:dyDescent="0.25">
      <c r="B25">
        <v>0.96609264405374184</v>
      </c>
      <c r="C25">
        <v>0.86827372154610427</v>
      </c>
      <c r="D25">
        <v>0.58923622391477859</v>
      </c>
      <c r="E25">
        <v>0.40936887647075226</v>
      </c>
      <c r="F25">
        <v>0.67386676730790007</v>
      </c>
      <c r="G25">
        <v>0.87930255951715663</v>
      </c>
    </row>
    <row r="26" spans="2:7" x14ac:dyDescent="0.25">
      <c r="B26">
        <v>1.043919177385759</v>
      </c>
      <c r="C26">
        <v>0.61258866008559398</v>
      </c>
      <c r="D26">
        <v>1.1917206118872004</v>
      </c>
      <c r="E26">
        <v>0.89596946371741959</v>
      </c>
      <c r="F26">
        <v>0.44241390124756147</v>
      </c>
      <c r="G26">
        <v>0.88915614172348278</v>
      </c>
    </row>
    <row r="27" spans="2:7" x14ac:dyDescent="0.25">
      <c r="B27">
        <v>0.57208270812150175</v>
      </c>
      <c r="C27">
        <v>0.62544395558109467</v>
      </c>
      <c r="D27">
        <v>0.78491298575765966</v>
      </c>
      <c r="E27">
        <v>0.85903699436354741</v>
      </c>
      <c r="F27">
        <v>0.49375652263276049</v>
      </c>
      <c r="G27">
        <v>0.98907492269289521</v>
      </c>
    </row>
    <row r="28" spans="2:7" x14ac:dyDescent="0.25">
      <c r="B28">
        <v>0.79195315353557294</v>
      </c>
      <c r="C28">
        <v>0.75507946173572227</v>
      </c>
      <c r="D28">
        <v>0.77432197475604325</v>
      </c>
      <c r="E28">
        <v>0.60535582019668743</v>
      </c>
      <c r="F28">
        <v>0.40586979363231573</v>
      </c>
      <c r="G28">
        <v>0.59493163443984953</v>
      </c>
    </row>
    <row r="29" spans="2:7" x14ac:dyDescent="0.25">
      <c r="B29">
        <v>1.35249823542187</v>
      </c>
      <c r="C29">
        <v>1.227071784770525</v>
      </c>
      <c r="D29">
        <v>0.93180842828895383</v>
      </c>
      <c r="E29">
        <v>1.0670626988180929</v>
      </c>
      <c r="F29">
        <v>0.54754500948827123</v>
      </c>
      <c r="G29">
        <v>0.72812786408852126</v>
      </c>
    </row>
    <row r="30" spans="2:7" x14ac:dyDescent="0.25">
      <c r="B30">
        <v>1.705602041974748</v>
      </c>
      <c r="C30">
        <v>1.5761268871983556</v>
      </c>
      <c r="D30">
        <v>0.50831839311426363</v>
      </c>
      <c r="E30">
        <v>0.48986533591883286</v>
      </c>
      <c r="F30">
        <v>0.37499844962888546</v>
      </c>
      <c r="G30">
        <v>0.55534443575127601</v>
      </c>
    </row>
    <row r="31" spans="2:7" x14ac:dyDescent="0.25">
      <c r="B31">
        <v>0.55317673422245039</v>
      </c>
      <c r="C31">
        <v>0.58403637219558735</v>
      </c>
      <c r="D31">
        <v>0.67066793808933645</v>
      </c>
      <c r="E31">
        <v>0.81139206842913214</v>
      </c>
      <c r="F31">
        <v>0.45795234070601243</v>
      </c>
      <c r="G31">
        <v>0.55923400767482578</v>
      </c>
    </row>
    <row r="32" spans="2:7" x14ac:dyDescent="0.25">
      <c r="B32">
        <v>1.1886639428819632</v>
      </c>
      <c r="C32">
        <v>1.3885072324140226</v>
      </c>
      <c r="D32">
        <v>0.47809954397237364</v>
      </c>
      <c r="E32">
        <v>0.49965958193532939</v>
      </c>
      <c r="F32">
        <v>0.503108361195717</v>
      </c>
      <c r="G32">
        <v>0.58058343578853244</v>
      </c>
    </row>
    <row r="33" spans="2:7" x14ac:dyDescent="0.25">
      <c r="B33">
        <v>0.66624547132745637</v>
      </c>
      <c r="C33">
        <v>0.56272364545304676</v>
      </c>
      <c r="D33">
        <v>0.62519552635695297</v>
      </c>
      <c r="E33">
        <v>0.57444273120712042</v>
      </c>
      <c r="F33">
        <v>0.41466668792889905</v>
      </c>
      <c r="G33">
        <v>0.41203531910137475</v>
      </c>
    </row>
    <row r="34" spans="2:7" x14ac:dyDescent="0.25">
      <c r="B34">
        <v>1.1557554862338226</v>
      </c>
      <c r="C34">
        <v>1.0947975600668209</v>
      </c>
      <c r="D34">
        <v>0.51309374837061372</v>
      </c>
      <c r="E34">
        <v>0.67008966496196898</v>
      </c>
      <c r="F34">
        <v>1.7337486556067621</v>
      </c>
      <c r="G34">
        <v>0.76866584702507357</v>
      </c>
    </row>
    <row r="35" spans="2:7" x14ac:dyDescent="0.25">
      <c r="B35">
        <v>1.5855845072508119</v>
      </c>
      <c r="C35">
        <v>1.8565753073501987</v>
      </c>
      <c r="D35">
        <v>0.4792150469062717</v>
      </c>
      <c r="E35">
        <v>0.5764321874292212</v>
      </c>
      <c r="F35">
        <v>2.1184689066428528</v>
      </c>
      <c r="G35">
        <v>2.0534346708393874</v>
      </c>
    </row>
    <row r="36" spans="2:7" x14ac:dyDescent="0.25">
      <c r="B36">
        <v>1.8506876918824471</v>
      </c>
      <c r="C36">
        <v>1.2528500352115026</v>
      </c>
      <c r="D36">
        <v>0.69547221119253033</v>
      </c>
      <c r="E36">
        <v>0.66284600384560177</v>
      </c>
      <c r="F36">
        <v>1.8085839176017617</v>
      </c>
      <c r="G36">
        <v>1.7602473827353675</v>
      </c>
    </row>
    <row r="37" spans="2:7" x14ac:dyDescent="0.25">
      <c r="B37">
        <v>0.92117456736986547</v>
      </c>
      <c r="C37">
        <v>0.72720376834547873</v>
      </c>
      <c r="D37">
        <v>0.5537782711058169</v>
      </c>
      <c r="E37">
        <v>0.56796424556079195</v>
      </c>
      <c r="F37">
        <v>1.6877293884804767</v>
      </c>
      <c r="G37">
        <v>1.3391363958123765</v>
      </c>
    </row>
    <row r="38" spans="2:7" x14ac:dyDescent="0.25">
      <c r="B38">
        <v>0.71021956041027057</v>
      </c>
      <c r="C38">
        <v>0.74858415453799554</v>
      </c>
      <c r="D38">
        <v>0.65904916033963434</v>
      </c>
      <c r="E38">
        <v>0.72171350334058604</v>
      </c>
      <c r="F38">
        <v>1.6646683711889663</v>
      </c>
      <c r="G38">
        <v>1.3139838307067546</v>
      </c>
    </row>
    <row r="39" spans="2:7" x14ac:dyDescent="0.25">
      <c r="B39">
        <v>0.94160141018173926</v>
      </c>
      <c r="C39">
        <v>0.93383572857315755</v>
      </c>
      <c r="D39">
        <v>0.91284487841268691</v>
      </c>
      <c r="E39">
        <v>0.81674829671940363</v>
      </c>
      <c r="F39">
        <v>1.3754807479344626</v>
      </c>
      <c r="G39">
        <v>1.7584322491710442</v>
      </c>
    </row>
    <row r="40" spans="2:7" x14ac:dyDescent="0.25">
      <c r="B40">
        <v>0.8886069951332195</v>
      </c>
      <c r="C40">
        <v>0.75697392633505911</v>
      </c>
      <c r="D40">
        <v>0.84380903391931084</v>
      </c>
      <c r="E40">
        <v>0.80353626693673386</v>
      </c>
      <c r="F40">
        <v>1.806528568467046</v>
      </c>
      <c r="G40">
        <v>1.6779613278193808</v>
      </c>
    </row>
    <row r="41" spans="2:7" x14ac:dyDescent="0.25">
      <c r="B41">
        <v>1.0331419856069655</v>
      </c>
      <c r="C41">
        <v>0.63978775897607432</v>
      </c>
      <c r="D41">
        <v>1.2950989062556402</v>
      </c>
      <c r="E41">
        <v>1.7447020950844447</v>
      </c>
      <c r="F41">
        <v>1.6474034384573542</v>
      </c>
      <c r="G41">
        <v>1.4838284713684289</v>
      </c>
    </row>
    <row r="42" spans="2:7" x14ac:dyDescent="0.25">
      <c r="B42">
        <v>1.2225163871311662</v>
      </c>
      <c r="C42">
        <v>1.2883035869990938</v>
      </c>
      <c r="D42">
        <v>0.8591628664364469</v>
      </c>
      <c r="E42">
        <v>1.0671137105160955</v>
      </c>
      <c r="F42">
        <v>1.0887184366589235</v>
      </c>
      <c r="G42">
        <v>1.3406922245817965</v>
      </c>
    </row>
    <row r="43" spans="2:7" x14ac:dyDescent="0.25">
      <c r="B43">
        <v>0.75015548031076318</v>
      </c>
      <c r="C43">
        <v>0.72767738449531294</v>
      </c>
      <c r="D43">
        <v>0.91595324613860518</v>
      </c>
      <c r="E43">
        <v>0.97646592316550018</v>
      </c>
      <c r="F43">
        <v>1.6915934448537424</v>
      </c>
      <c r="G43">
        <v>1.3072419060392684</v>
      </c>
    </row>
    <row r="44" spans="2:7" x14ac:dyDescent="0.25">
      <c r="B44">
        <v>1.5335603016811616</v>
      </c>
      <c r="C44">
        <v>1.5635422295027603</v>
      </c>
      <c r="D44">
        <v>1.0176520192357827</v>
      </c>
      <c r="E44">
        <v>0.88918490788307569</v>
      </c>
      <c r="F44">
        <v>0.84503624324702631</v>
      </c>
      <c r="G44">
        <v>0.71896576133527068</v>
      </c>
    </row>
    <row r="45" spans="2:7" x14ac:dyDescent="0.25">
      <c r="B45">
        <v>0.79732863848606605</v>
      </c>
      <c r="C45">
        <v>0.79269811592255568</v>
      </c>
      <c r="D45">
        <v>0.86915225787820816</v>
      </c>
      <c r="E45">
        <v>1.0056446144229794</v>
      </c>
      <c r="F45">
        <v>1.5633191053561335</v>
      </c>
      <c r="G45">
        <v>1.4331776014306472</v>
      </c>
    </row>
    <row r="46" spans="2:7" x14ac:dyDescent="0.25">
      <c r="B46">
        <v>0.66042421445423938</v>
      </c>
      <c r="C46">
        <v>0.57909723234731603</v>
      </c>
      <c r="D46">
        <v>1.3680076766655838</v>
      </c>
      <c r="E46">
        <v>1.4931634122336934</v>
      </c>
      <c r="F46">
        <v>1.9560141110349214</v>
      </c>
      <c r="G46">
        <v>0.92200141574456984</v>
      </c>
    </row>
    <row r="47" spans="2:7" x14ac:dyDescent="0.25">
      <c r="B47">
        <v>1.513684118303241</v>
      </c>
      <c r="C47">
        <v>2.212937630375472</v>
      </c>
      <c r="D47">
        <v>1.2802965583350379</v>
      </c>
      <c r="E47">
        <v>1.4441921821512107</v>
      </c>
      <c r="F47">
        <v>1.2508238229139534</v>
      </c>
      <c r="G47">
        <v>1.1990253716329495</v>
      </c>
    </row>
    <row r="48" spans="2:7" x14ac:dyDescent="0.25">
      <c r="B48">
        <v>0.78364081827066412</v>
      </c>
      <c r="C48">
        <v>0.86008692809896958</v>
      </c>
      <c r="D48">
        <v>1.2875786617574512</v>
      </c>
      <c r="E48">
        <v>1.8628451876584338</v>
      </c>
      <c r="F48">
        <v>1.6329337805489552</v>
      </c>
      <c r="G48">
        <v>1.4288558548489252</v>
      </c>
    </row>
    <row r="49" spans="2:7" x14ac:dyDescent="0.25">
      <c r="B49">
        <v>0.84237782455897892</v>
      </c>
      <c r="C49">
        <v>0.92443106502644923</v>
      </c>
      <c r="D49">
        <v>1.3051008314382317</v>
      </c>
      <c r="E49">
        <v>1.4618422296601055</v>
      </c>
      <c r="F49">
        <v>1.270884030468779</v>
      </c>
      <c r="G49">
        <v>1.2353280429194144</v>
      </c>
    </row>
    <row r="50" spans="2:7" x14ac:dyDescent="0.25">
      <c r="B50">
        <v>1.0463053682662218</v>
      </c>
      <c r="C50">
        <v>0.95880206561441927</v>
      </c>
      <c r="D50">
        <v>1.172782129492594</v>
      </c>
      <c r="E50">
        <v>1.0275286328660889</v>
      </c>
      <c r="F50">
        <v>1.2594151822970652</v>
      </c>
      <c r="G50">
        <v>0.59484519950821502</v>
      </c>
    </row>
    <row r="51" spans="2:7" x14ac:dyDescent="0.25">
      <c r="B51">
        <v>0.56106951944244265</v>
      </c>
      <c r="C51">
        <v>0.5570402516550359</v>
      </c>
      <c r="D51">
        <v>1.3399696984281686</v>
      </c>
      <c r="E51">
        <v>1.6683375831745735</v>
      </c>
      <c r="F51">
        <v>0.89600890178797654</v>
      </c>
      <c r="G51">
        <v>1.1255556797436757</v>
      </c>
    </row>
    <row r="52" spans="2:7" x14ac:dyDescent="0.25">
      <c r="B52">
        <v>0.77608891746216646</v>
      </c>
      <c r="C52">
        <v>0.82382146291166258</v>
      </c>
      <c r="D52">
        <v>1.7415006196681466</v>
      </c>
      <c r="E52">
        <v>1.8679973691566949</v>
      </c>
      <c r="F52">
        <v>0.82976499917608848</v>
      </c>
      <c r="G52">
        <v>1.1321247345478931</v>
      </c>
    </row>
    <row r="53" spans="2:7" x14ac:dyDescent="0.25">
      <c r="B53">
        <v>1.4330256221680373</v>
      </c>
      <c r="C53">
        <v>1.3702391809204164</v>
      </c>
      <c r="D53">
        <v>1.405872107713966</v>
      </c>
      <c r="E53">
        <v>1.6662971152544701</v>
      </c>
      <c r="F53">
        <v>1.1750842072996788</v>
      </c>
      <c r="G53">
        <v>1.1981610223166053</v>
      </c>
    </row>
    <row r="54" spans="2:7" x14ac:dyDescent="0.25">
      <c r="B54">
        <v>1.3263550232480084</v>
      </c>
      <c r="C54">
        <v>1.1395204565011678</v>
      </c>
      <c r="D54">
        <v>1.6023384952291568</v>
      </c>
      <c r="E54">
        <v>1.462403358338134</v>
      </c>
      <c r="F54">
        <v>1.1361558946881627</v>
      </c>
      <c r="G54">
        <v>1.1762065496814575</v>
      </c>
    </row>
    <row r="55" spans="2:7" x14ac:dyDescent="0.25">
      <c r="B55">
        <v>1.6184929638989527</v>
      </c>
      <c r="C55">
        <v>1.4006859334097599</v>
      </c>
      <c r="D55">
        <v>1.4134550209163068</v>
      </c>
      <c r="E55">
        <v>1.152660328066432</v>
      </c>
      <c r="F55">
        <v>0.89048001261559118</v>
      </c>
      <c r="G55">
        <v>0.9692813233486085</v>
      </c>
    </row>
    <row r="56" spans="2:7" x14ac:dyDescent="0.25">
      <c r="B56">
        <v>1.0466462526777165</v>
      </c>
      <c r="C56">
        <v>1.0177334465437933</v>
      </c>
      <c r="D56">
        <v>1.6580008382565867</v>
      </c>
      <c r="E56">
        <v>1.5447872506123104</v>
      </c>
      <c r="F56">
        <v>0.88248470448154703</v>
      </c>
      <c r="G56">
        <v>0.86227487798517199</v>
      </c>
    </row>
    <row r="57" spans="2:7" x14ac:dyDescent="0.25">
      <c r="B57">
        <v>1.1455289538889821</v>
      </c>
      <c r="C57">
        <v>0.44492854304427504</v>
      </c>
      <c r="D57">
        <v>1.2795570676260493</v>
      </c>
      <c r="E57">
        <v>1.5756493279038748</v>
      </c>
      <c r="F57">
        <v>0.95530572432452543</v>
      </c>
      <c r="G57">
        <v>0.98967996721433626</v>
      </c>
    </row>
    <row r="58" spans="2:7" x14ac:dyDescent="0.25">
      <c r="B58">
        <v>0.61183507487734334</v>
      </c>
      <c r="C58">
        <v>0.67862428326248159</v>
      </c>
      <c r="D58">
        <v>1.3833615091827198</v>
      </c>
      <c r="E58">
        <v>1.587331006746467</v>
      </c>
      <c r="F58">
        <v>0.89960576277372906</v>
      </c>
      <c r="G58">
        <v>0.90272642599008979</v>
      </c>
    </row>
    <row r="59" spans="2:7" x14ac:dyDescent="0.25">
      <c r="B59">
        <v>0.96312957186151882</v>
      </c>
      <c r="C59">
        <v>0.90751620253236942</v>
      </c>
      <c r="D59">
        <v>1.2778524788731265</v>
      </c>
      <c r="E59">
        <v>1.7047599355484198</v>
      </c>
      <c r="F59">
        <v>0.60770507866140067</v>
      </c>
      <c r="G59">
        <v>0.82554003204053505</v>
      </c>
    </row>
    <row r="60" spans="2:7" x14ac:dyDescent="0.25">
      <c r="B60">
        <v>0.98185199261591927</v>
      </c>
      <c r="C60">
        <v>0.96353822711276171</v>
      </c>
      <c r="D60">
        <v>2.0050350543663544</v>
      </c>
      <c r="E60">
        <v>1.4961731024158458</v>
      </c>
      <c r="F60">
        <v>0.50337555658323008</v>
      </c>
      <c r="G60">
        <v>0.68508326813457021</v>
      </c>
    </row>
    <row r="61" spans="2:7" x14ac:dyDescent="0.25">
      <c r="B61">
        <v>0.87352941539403151</v>
      </c>
      <c r="C61">
        <v>0.79073599187324239</v>
      </c>
      <c r="D61">
        <v>1.874596413545264</v>
      </c>
      <c r="E61">
        <v>1.9055929905846007</v>
      </c>
      <c r="F61">
        <v>0.70353997437869531</v>
      </c>
      <c r="G61">
        <v>0.74749645410861143</v>
      </c>
    </row>
    <row r="62" spans="2:7" x14ac:dyDescent="0.25">
      <c r="B62">
        <v>0.6812181635554152</v>
      </c>
      <c r="C62">
        <v>0.97612288480835707</v>
      </c>
      <c r="D62">
        <v>1.1999928808352085</v>
      </c>
      <c r="E62">
        <v>1.4977544650539261</v>
      </c>
      <c r="F62">
        <v>0.5438001107625029</v>
      </c>
      <c r="G62">
        <v>0.61761873944406742</v>
      </c>
    </row>
    <row r="63" spans="2:7" x14ac:dyDescent="0.25">
      <c r="B63">
        <v>1.1614718555958103</v>
      </c>
      <c r="C63">
        <v>0.92294255712697015</v>
      </c>
      <c r="D63">
        <v>0.98317169821158557</v>
      </c>
      <c r="E63">
        <v>1.1964283649526508</v>
      </c>
      <c r="F63">
        <v>0.82147189730426073</v>
      </c>
      <c r="G63">
        <v>0.52198001673164651</v>
      </c>
    </row>
    <row r="64" spans="2:7" x14ac:dyDescent="0.25">
      <c r="B64">
        <v>0.9687672755900848</v>
      </c>
      <c r="C64">
        <v>1.1029166940639792</v>
      </c>
      <c r="D64">
        <v>1.0766984722873978</v>
      </c>
      <c r="E64">
        <v>1.3965982679147981</v>
      </c>
      <c r="F64">
        <v>0.61704259332578171</v>
      </c>
      <c r="G64">
        <v>0.5161363426244332</v>
      </c>
    </row>
    <row r="65" spans="2:7" x14ac:dyDescent="0.25">
      <c r="B65">
        <v>0.91419954787312807</v>
      </c>
      <c r="C65">
        <v>1.44094330614567</v>
      </c>
      <c r="D65">
        <v>0.95977120408138705</v>
      </c>
      <c r="E65">
        <v>0.31040618234573553</v>
      </c>
      <c r="F65">
        <v>0.58347748805953903</v>
      </c>
      <c r="G65">
        <v>0.98939164003959679</v>
      </c>
    </row>
    <row r="66" spans="2:7" x14ac:dyDescent="0.25">
      <c r="B66">
        <v>1.275799242835566</v>
      </c>
      <c r="C66">
        <v>1.4147590990048344</v>
      </c>
      <c r="D66">
        <v>1.4102213157820853</v>
      </c>
      <c r="E66">
        <v>1.0649712191999869</v>
      </c>
      <c r="F66">
        <v>0.71995579068996907</v>
      </c>
      <c r="G66">
        <v>0.98667556615877927</v>
      </c>
    </row>
    <row r="67" spans="2:7" x14ac:dyDescent="0.25">
      <c r="B67">
        <v>0.55962731616304207</v>
      </c>
      <c r="C67">
        <v>0.76861135173098605</v>
      </c>
      <c r="D67">
        <v>0.82653753905513638</v>
      </c>
      <c r="E67">
        <v>0.73859837537944195</v>
      </c>
      <c r="F67">
        <v>0.56208453595176211</v>
      </c>
      <c r="G67">
        <v>0.85515174611192168</v>
      </c>
    </row>
    <row r="68" spans="2:7" x14ac:dyDescent="0.25">
      <c r="B68">
        <v>1.1277242988578366</v>
      </c>
      <c r="C68">
        <v>1.0993307432152344</v>
      </c>
      <c r="D68">
        <v>0.91491294564968895</v>
      </c>
      <c r="E68">
        <v>1.4512828081735702</v>
      </c>
      <c r="F68">
        <v>0.84651474899613999</v>
      </c>
      <c r="G68">
        <v>1.3336745807504888</v>
      </c>
    </row>
    <row r="69" spans="2:7" x14ac:dyDescent="0.25">
      <c r="B69">
        <v>0.96588286903128362</v>
      </c>
      <c r="C69">
        <v>0.88329411944084713</v>
      </c>
      <c r="D69">
        <v>0.83008458771011562</v>
      </c>
      <c r="E69">
        <v>0.99697262576253975</v>
      </c>
      <c r="F69">
        <v>0.65032828044204527</v>
      </c>
      <c r="G69">
        <v>0.99935057760259405</v>
      </c>
    </row>
    <row r="70" spans="2:7" x14ac:dyDescent="0.25">
      <c r="B70">
        <v>1.5562422259844619</v>
      </c>
      <c r="C70">
        <v>1.2844469983504436</v>
      </c>
      <c r="D70">
        <v>1.6518217040272414</v>
      </c>
      <c r="E70">
        <v>1.9480347233227522</v>
      </c>
      <c r="F70">
        <v>0.67622685021823559</v>
      </c>
      <c r="G70">
        <v>0.93111950950569489</v>
      </c>
    </row>
    <row r="71" spans="2:7" x14ac:dyDescent="0.25">
      <c r="B71">
        <v>1.4570448622395087</v>
      </c>
      <c r="C71">
        <v>1.1706438034902746</v>
      </c>
      <c r="D71">
        <v>0.84106414467747181</v>
      </c>
      <c r="E71">
        <v>1.0320176622903163</v>
      </c>
      <c r="F71">
        <v>0.76915084872066919</v>
      </c>
      <c r="G71">
        <v>0.71391590430941365</v>
      </c>
    </row>
    <row r="72" spans="2:7" x14ac:dyDescent="0.25">
      <c r="B72">
        <v>1.1340175495315847</v>
      </c>
      <c r="C72">
        <v>1.0260555588908806</v>
      </c>
      <c r="D72">
        <v>0.86584335029900494</v>
      </c>
      <c r="E72">
        <v>0.8692903456620672</v>
      </c>
      <c r="F72">
        <v>1.0788684043381582</v>
      </c>
      <c r="G72">
        <v>1.1774591799689269</v>
      </c>
    </row>
    <row r="73" spans="2:7" x14ac:dyDescent="0.25">
      <c r="B73">
        <v>1.1683682094591259</v>
      </c>
      <c r="C73">
        <v>1.4393194793462383</v>
      </c>
      <c r="D73">
        <v>0.846917401645229</v>
      </c>
      <c r="E73">
        <v>0.88979704825910666</v>
      </c>
      <c r="F73">
        <v>1.0057307035811216</v>
      </c>
      <c r="G73">
        <v>0.99301307188068666</v>
      </c>
    </row>
    <row r="74" spans="2:7" x14ac:dyDescent="0.25">
      <c r="B74">
        <v>1.122663476441031</v>
      </c>
      <c r="C74">
        <v>1.3330941428834171</v>
      </c>
      <c r="D74">
        <v>0.77580095617402045</v>
      </c>
      <c r="E74">
        <v>0.89913218899357994</v>
      </c>
      <c r="F74">
        <v>0.64739438986726439</v>
      </c>
      <c r="G74">
        <v>0.65687835281224705</v>
      </c>
    </row>
    <row r="75" spans="2:7" x14ac:dyDescent="0.25">
      <c r="B75">
        <v>0.53962002339608484</v>
      </c>
      <c r="C75">
        <v>0.43620047399732986</v>
      </c>
      <c r="D75">
        <v>0.98530243415273921</v>
      </c>
      <c r="E75">
        <v>0.93300395646729706</v>
      </c>
      <c r="F75">
        <v>0.75886476807456249</v>
      </c>
      <c r="G75">
        <v>0.72552094725472471</v>
      </c>
    </row>
    <row r="76" spans="2:7" x14ac:dyDescent="0.25">
      <c r="B76">
        <v>1.3221070790432286</v>
      </c>
      <c r="C76">
        <v>1.1683433821910798</v>
      </c>
      <c r="D76">
        <v>0.79697044443642284</v>
      </c>
      <c r="E76">
        <v>1.0195197962796827</v>
      </c>
      <c r="F76">
        <v>1.0918962755809349</v>
      </c>
      <c r="G76">
        <v>0.90930861319003953</v>
      </c>
    </row>
    <row r="77" spans="2:7" x14ac:dyDescent="0.25">
      <c r="B77">
        <v>0.73554989437210638</v>
      </c>
      <c r="C77">
        <v>1.0039309187486243</v>
      </c>
      <c r="D77">
        <v>0.58724335912275849</v>
      </c>
      <c r="E77">
        <v>0.66794717364586043</v>
      </c>
      <c r="F77">
        <v>1.1309624256748916</v>
      </c>
      <c r="G77">
        <v>1.1288990711906755</v>
      </c>
    </row>
    <row r="78" spans="2:7" x14ac:dyDescent="0.25">
      <c r="B78">
        <v>0.82134787855753755</v>
      </c>
      <c r="C78">
        <v>0.9079221592322273</v>
      </c>
      <c r="D78">
        <v>0.81274723280531569</v>
      </c>
      <c r="E78">
        <v>0.75939395414604138</v>
      </c>
      <c r="F78">
        <v>0.72861775333932199</v>
      </c>
      <c r="G78">
        <v>0.5775360733847309</v>
      </c>
    </row>
    <row r="79" spans="2:7" x14ac:dyDescent="0.25">
      <c r="B79">
        <v>1.3025980019546097</v>
      </c>
      <c r="C79">
        <v>1.0103585664963746</v>
      </c>
      <c r="D79">
        <v>0.71985198571762821</v>
      </c>
      <c r="E79">
        <v>0.77829139679540082</v>
      </c>
      <c r="F79">
        <v>0.70292874717561593</v>
      </c>
      <c r="G79">
        <v>0.8054393635660505</v>
      </c>
    </row>
    <row r="80" spans="2:7" x14ac:dyDescent="0.25">
      <c r="B80">
        <v>0.92762514931045714</v>
      </c>
      <c r="C80">
        <v>1.0235521592417567</v>
      </c>
      <c r="D80">
        <v>0.69179916637956773</v>
      </c>
      <c r="E80">
        <v>0.47823364231610949</v>
      </c>
      <c r="F80">
        <v>0.64652120814857961</v>
      </c>
      <c r="G80">
        <v>0.57959370511262298</v>
      </c>
    </row>
    <row r="81" spans="2:7" x14ac:dyDescent="0.25">
      <c r="B81">
        <v>0.93244997482699732</v>
      </c>
      <c r="C81">
        <v>0.93099403167415218</v>
      </c>
      <c r="D81">
        <v>0.94069661727772358</v>
      </c>
      <c r="E81">
        <v>0.56887055694348243</v>
      </c>
      <c r="F81">
        <v>1.0745024957447342</v>
      </c>
      <c r="G81">
        <v>1.3981196064680668</v>
      </c>
    </row>
    <row r="82" spans="2:7" x14ac:dyDescent="0.25">
      <c r="B82">
        <v>0.83270195164809124</v>
      </c>
      <c r="C82">
        <v>0.54878579875792499</v>
      </c>
      <c r="D82">
        <v>1.0424950684688887</v>
      </c>
      <c r="E82">
        <v>0.78240723325064776</v>
      </c>
      <c r="F82">
        <v>0.98748120566060982</v>
      </c>
      <c r="G82">
        <v>0.96708691210924724</v>
      </c>
    </row>
    <row r="83" spans="2:7" x14ac:dyDescent="0.25">
      <c r="B83">
        <v>0.69734461840689443</v>
      </c>
      <c r="C83">
        <v>0.73444332949294489</v>
      </c>
      <c r="D83">
        <v>0.87206230420231634</v>
      </c>
      <c r="E83">
        <v>0.683538645712781</v>
      </c>
      <c r="F83">
        <v>1.0132575299961843</v>
      </c>
      <c r="G83">
        <v>0.9298849304689597</v>
      </c>
    </row>
    <row r="84" spans="2:7" x14ac:dyDescent="0.25">
      <c r="B84">
        <v>1.3827320605336677</v>
      </c>
      <c r="C84">
        <v>0.96820672916112771</v>
      </c>
      <c r="D84">
        <v>0.76869479701427668</v>
      </c>
      <c r="E84">
        <v>0.60732928683175735</v>
      </c>
      <c r="F84">
        <v>0.98082756096423185</v>
      </c>
      <c r="G84">
        <v>0.64198109910230883</v>
      </c>
    </row>
    <row r="85" spans="2:7" x14ac:dyDescent="0.25">
      <c r="B85">
        <v>0.81917146269953311</v>
      </c>
      <c r="C85">
        <v>0.56204705095328356</v>
      </c>
      <c r="D85">
        <v>0.98766131609326457</v>
      </c>
      <c r="E85">
        <v>0.93779112351271143</v>
      </c>
      <c r="F85">
        <v>0.54914398288085375</v>
      </c>
      <c r="G85">
        <v>0.58288591587725014</v>
      </c>
    </row>
    <row r="86" spans="2:7" x14ac:dyDescent="0.25">
      <c r="B86">
        <v>0.67985462590943646</v>
      </c>
      <c r="C86">
        <v>0.58072105914674765</v>
      </c>
      <c r="D86">
        <v>0.746763673421598</v>
      </c>
      <c r="E86">
        <v>0.85259773451969734</v>
      </c>
      <c r="F86">
        <v>0.55682798200527972</v>
      </c>
      <c r="G86">
        <v>0.73317533728248296</v>
      </c>
    </row>
    <row r="87" spans="2:7" x14ac:dyDescent="0.25">
      <c r="B87">
        <v>1.0883652602691043</v>
      </c>
      <c r="C87">
        <v>0.93444466362294443</v>
      </c>
      <c r="D87">
        <v>0.96391151395875407</v>
      </c>
      <c r="E87">
        <v>0.69539933571284729</v>
      </c>
      <c r="F87">
        <v>0.70898862830328824</v>
      </c>
      <c r="G87">
        <v>0.63514976176570737</v>
      </c>
    </row>
    <row r="88" spans="2:7" x14ac:dyDescent="0.25">
      <c r="B88">
        <v>0.43770655999552077</v>
      </c>
      <c r="C88">
        <v>0.43732396672561735</v>
      </c>
      <c r="D88">
        <v>1.1018101398658893</v>
      </c>
      <c r="E88">
        <v>1.1187994149316349</v>
      </c>
      <c r="F88">
        <v>0.54018513844714799</v>
      </c>
      <c r="G88">
        <v>0.66889492210313639</v>
      </c>
    </row>
    <row r="89" spans="2:7" x14ac:dyDescent="0.25">
      <c r="B89">
        <v>1.0175948290208141</v>
      </c>
      <c r="C89">
        <v>0.85751539267701571</v>
      </c>
      <c r="D89">
        <v>1.0254850750482258</v>
      </c>
      <c r="E89">
        <v>1.1687647843722131</v>
      </c>
      <c r="F89">
        <v>0.41296256203477655</v>
      </c>
      <c r="G89">
        <v>0.81819668027898107</v>
      </c>
    </row>
    <row r="90" spans="2:7" x14ac:dyDescent="0.25">
      <c r="B90">
        <v>0.54030495837305759</v>
      </c>
      <c r="C90">
        <v>0.59246864151437739</v>
      </c>
      <c r="D90">
        <v>0.96091604341926629</v>
      </c>
      <c r="E90">
        <v>0.84821636022862801</v>
      </c>
      <c r="F90">
        <v>0.39083613728330441</v>
      </c>
      <c r="G90">
        <v>0.57720685230826818</v>
      </c>
    </row>
    <row r="91" spans="2:7" x14ac:dyDescent="0.25">
      <c r="B91">
        <v>0.55315386493678576</v>
      </c>
      <c r="C91">
        <v>0.5862501637518831</v>
      </c>
      <c r="D91">
        <v>0.72808952970121965</v>
      </c>
      <c r="E91">
        <v>0.45437949339806555</v>
      </c>
      <c r="F91">
        <v>0.44181248602012146</v>
      </c>
      <c r="G91">
        <v>0.66124053207537814</v>
      </c>
    </row>
    <row r="92" spans="2:7" x14ac:dyDescent="0.25">
      <c r="B92">
        <v>0.70444793171719489</v>
      </c>
      <c r="C92">
        <v>0.72147032815877377</v>
      </c>
      <c r="D92">
        <v>1.198925196642141</v>
      </c>
      <c r="E92">
        <v>0.82254770276579781</v>
      </c>
      <c r="F92">
        <v>0.47408528234271063</v>
      </c>
      <c r="G92">
        <v>0.53802954420920424</v>
      </c>
    </row>
    <row r="93" spans="2:7" x14ac:dyDescent="0.25">
      <c r="B93">
        <v>0.62352151645558984</v>
      </c>
      <c r="C93">
        <v>0.88480055020632731</v>
      </c>
      <c r="D93">
        <v>1.1190697558315097</v>
      </c>
      <c r="E93">
        <v>0.81055424384782027</v>
      </c>
      <c r="F93">
        <v>0.69445888450437365</v>
      </c>
      <c r="G93">
        <v>0.97992653409129349</v>
      </c>
    </row>
    <row r="94" spans="2:7" x14ac:dyDescent="0.25">
      <c r="B94">
        <v>0.87478634406110356</v>
      </c>
      <c r="C94">
        <v>1.0921677474290954</v>
      </c>
      <c r="D94">
        <v>0.85685910253563025</v>
      </c>
      <c r="E94">
        <v>0.8521994277659638</v>
      </c>
      <c r="F94">
        <v>0.3428111427556419</v>
      </c>
      <c r="G94">
        <v>0.55514904018526579</v>
      </c>
    </row>
    <row r="95" spans="2:7" x14ac:dyDescent="0.25">
      <c r="B95">
        <v>0.8981940143676328</v>
      </c>
      <c r="C95">
        <v>1.361719722276806</v>
      </c>
      <c r="D95">
        <v>0.68439369754583401</v>
      </c>
      <c r="E95">
        <v>0.68398120877248492</v>
      </c>
      <c r="F95">
        <v>0.40613428099466159</v>
      </c>
      <c r="G95">
        <v>0.56881171485846882</v>
      </c>
    </row>
    <row r="96" spans="2:7" x14ac:dyDescent="0.25">
      <c r="B96">
        <v>0.6775929937960069</v>
      </c>
      <c r="C96">
        <v>0.7990109386257942</v>
      </c>
      <c r="D96">
        <v>0.81327025147094045</v>
      </c>
      <c r="E96">
        <v>0.80869547899706351</v>
      </c>
      <c r="F96">
        <v>0.49278883475693847</v>
      </c>
      <c r="G96">
        <v>0.59078722171235554</v>
      </c>
    </row>
    <row r="97" spans="2:7" x14ac:dyDescent="0.25">
      <c r="B97">
        <v>0.81931667426159416</v>
      </c>
      <c r="C97">
        <v>1.0493998493482675</v>
      </c>
      <c r="D97">
        <v>0.70808406574106897</v>
      </c>
      <c r="E97">
        <v>0.58462580186894375</v>
      </c>
      <c r="F97">
        <v>0.63101350082473806</v>
      </c>
      <c r="G97">
        <v>0.89984350724173623</v>
      </c>
    </row>
    <row r="98" spans="2:7" x14ac:dyDescent="0.25">
      <c r="B98">
        <v>0.82211305917977884</v>
      </c>
      <c r="C98">
        <v>0.96646566123010413</v>
      </c>
      <c r="D98">
        <v>0.88772909059535177</v>
      </c>
      <c r="E98">
        <v>0.92367336190815486</v>
      </c>
      <c r="F98">
        <v>0.80975379863951114</v>
      </c>
      <c r="G98">
        <v>0.85984314645151549</v>
      </c>
    </row>
    <row r="99" spans="2:7" x14ac:dyDescent="0.25">
      <c r="B99">
        <v>0.88739418295947103</v>
      </c>
      <c r="C99">
        <v>0.92052507041330978</v>
      </c>
      <c r="D99">
        <v>0.81985553194267169</v>
      </c>
      <c r="E99">
        <v>0.68318459526501774</v>
      </c>
      <c r="F99">
        <v>1.2067022079536089</v>
      </c>
      <c r="G99">
        <v>1.3669259094732238</v>
      </c>
    </row>
    <row r="100" spans="2:7" x14ac:dyDescent="0.25">
      <c r="B100">
        <v>1.1923688864073607</v>
      </c>
      <c r="C100">
        <v>1.1870947140892121</v>
      </c>
      <c r="D100">
        <v>0.68823313002303466</v>
      </c>
      <c r="E100">
        <v>0.61848187593629744</v>
      </c>
      <c r="F100">
        <v>1.4329086639960862</v>
      </c>
      <c r="G100">
        <v>1.1786937590056621</v>
      </c>
    </row>
    <row r="101" spans="2:7" x14ac:dyDescent="0.25">
      <c r="B101">
        <v>0.89002182051190326</v>
      </c>
      <c r="C101">
        <v>0.78016514377415336</v>
      </c>
      <c r="D101">
        <v>0.99768187825512256</v>
      </c>
      <c r="E101">
        <v>0.83520500627333127</v>
      </c>
      <c r="F101">
        <v>1.0933981481370727</v>
      </c>
      <c r="G101">
        <v>0.85227106169287281</v>
      </c>
    </row>
    <row r="102" spans="2:7" x14ac:dyDescent="0.25">
      <c r="B102">
        <v>0.81018020974442151</v>
      </c>
      <c r="C102">
        <v>0.6135987751359141</v>
      </c>
      <c r="D102">
        <v>0.75239801086492031</v>
      </c>
      <c r="E102">
        <v>0.57555325914501243</v>
      </c>
      <c r="F102">
        <v>1.7933406138347867</v>
      </c>
      <c r="G102">
        <v>1.8509631971425415</v>
      </c>
    </row>
    <row r="103" spans="2:7" x14ac:dyDescent="0.25">
      <c r="B103">
        <v>0.72966360951392972</v>
      </c>
      <c r="C103">
        <v>0.65662048863561928</v>
      </c>
      <c r="D103">
        <v>0.90807927140330069</v>
      </c>
      <c r="E103">
        <v>0.79232064578801664</v>
      </c>
      <c r="F103">
        <v>1.9620742491534322</v>
      </c>
      <c r="G103">
        <v>1.9774663957733427</v>
      </c>
    </row>
    <row r="104" spans="2:7" x14ac:dyDescent="0.25">
      <c r="B104">
        <v>0.66187538201448581</v>
      </c>
      <c r="C104">
        <v>0.6715321444946617</v>
      </c>
      <c r="D104">
        <v>0.65901540547517334</v>
      </c>
      <c r="E104">
        <v>0.64729273112302588</v>
      </c>
      <c r="F104">
        <v>1.5601836313115787</v>
      </c>
      <c r="G104">
        <v>1.4368853882215522</v>
      </c>
    </row>
    <row r="105" spans="2:7" x14ac:dyDescent="0.25">
      <c r="B105">
        <v>0.95091551278202968</v>
      </c>
      <c r="C105">
        <v>0.84628406039169446</v>
      </c>
      <c r="D105">
        <v>0.90651021540642618</v>
      </c>
      <c r="E105">
        <v>0.6168443926153927</v>
      </c>
      <c r="F105">
        <v>0.88287403576217394</v>
      </c>
      <c r="G105">
        <v>0.93902081534080017</v>
      </c>
    </row>
    <row r="106" spans="2:7" x14ac:dyDescent="0.25">
      <c r="B106">
        <v>0.6924668687487654</v>
      </c>
      <c r="C106">
        <v>0.71677474290954346</v>
      </c>
      <c r="D106">
        <v>0.9845469776752257</v>
      </c>
      <c r="E106">
        <v>0.72257270757867109</v>
      </c>
      <c r="F106">
        <v>1.1117175005950792</v>
      </c>
      <c r="G106">
        <v>1.2902173986574095</v>
      </c>
    </row>
    <row r="107" spans="2:7" x14ac:dyDescent="0.25">
      <c r="B107">
        <v>0.67002346910367927</v>
      </c>
      <c r="C107">
        <v>0.61258351346040474</v>
      </c>
      <c r="D107">
        <v>0.73214292435981232</v>
      </c>
      <c r="E107">
        <v>0.45544164474135507</v>
      </c>
      <c r="F107">
        <v>1.5539840411089167</v>
      </c>
      <c r="G107">
        <v>1.1660187475618473</v>
      </c>
    </row>
    <row r="108" spans="2:7" x14ac:dyDescent="0.25">
      <c r="B108">
        <v>0.76789694124014529</v>
      </c>
      <c r="C108">
        <v>0.98861105652714998</v>
      </c>
      <c r="D108">
        <v>0.67531219162452971</v>
      </c>
      <c r="E108">
        <v>0.71385421530250281</v>
      </c>
      <c r="F108">
        <v>1.613901770645066</v>
      </c>
      <c r="G108">
        <v>1.4043748069208584</v>
      </c>
    </row>
    <row r="109" spans="2:7" x14ac:dyDescent="0.25">
      <c r="B109">
        <v>1.0443051263427856</v>
      </c>
      <c r="C109">
        <v>1.0853781849741271</v>
      </c>
      <c r="D109">
        <v>0.49567905355810193</v>
      </c>
      <c r="E109">
        <v>0.56696753578675541</v>
      </c>
      <c r="F109">
        <v>2.1702058436191347</v>
      </c>
      <c r="G109">
        <v>0.9660992488798591</v>
      </c>
    </row>
    <row r="110" spans="2:7" x14ac:dyDescent="0.25">
      <c r="B110">
        <v>0.45687143939170072</v>
      </c>
      <c r="C110">
        <v>0.52844370210257419</v>
      </c>
      <c r="D110">
        <v>0.56464619669345228</v>
      </c>
      <c r="E110">
        <v>0.68048496060082353</v>
      </c>
      <c r="F110">
        <v>1.5764248112791155</v>
      </c>
      <c r="G110">
        <v>1.3245386958786483</v>
      </c>
    </row>
    <row r="111" spans="2:7" x14ac:dyDescent="0.25">
      <c r="B111">
        <v>1.0018772172392929</v>
      </c>
      <c r="C111">
        <v>0.78346474421955847</v>
      </c>
      <c r="D111">
        <v>0.64994578634172417</v>
      </c>
      <c r="E111">
        <v>0.75257848302660024</v>
      </c>
      <c r="F111">
        <v>1.4904688028917865</v>
      </c>
      <c r="G111">
        <v>1.2149903826856774</v>
      </c>
    </row>
    <row r="112" spans="2:7" x14ac:dyDescent="0.25">
      <c r="B112">
        <v>0.36864067386966481</v>
      </c>
      <c r="C112">
        <v>0.4502685530883605</v>
      </c>
      <c r="D112">
        <v>0.5545067666530431</v>
      </c>
      <c r="E112">
        <v>0.56621517858525861</v>
      </c>
      <c r="F112">
        <v>2.0864327895285175</v>
      </c>
      <c r="G112">
        <v>2.1676738726996807</v>
      </c>
    </row>
    <row r="113" spans="2:7" x14ac:dyDescent="0.25">
      <c r="B113">
        <v>0.53977460950926393</v>
      </c>
      <c r="C113">
        <v>0.54627423527870567</v>
      </c>
      <c r="D113">
        <v>1.2574557400407045</v>
      </c>
      <c r="E113">
        <v>1.2603753377309348</v>
      </c>
      <c r="F113">
        <v>1.0842646673596301</v>
      </c>
      <c r="G113">
        <v>1.0233837161843728</v>
      </c>
    </row>
    <row r="114" spans="2:7" x14ac:dyDescent="0.25">
      <c r="B114">
        <v>0.80899897818415389</v>
      </c>
      <c r="C114">
        <v>0.86589130149996718</v>
      </c>
      <c r="D114">
        <v>0.75142329426080134</v>
      </c>
      <c r="E114">
        <v>0.81431602985530394</v>
      </c>
      <c r="F114">
        <v>1.0667835693515608</v>
      </c>
      <c r="G114">
        <v>1.2251962360560218</v>
      </c>
    </row>
    <row r="115" spans="2:7" x14ac:dyDescent="0.25">
      <c r="B115">
        <v>0.55549222129078513</v>
      </c>
      <c r="C115">
        <v>0.3995054693128971</v>
      </c>
      <c r="D115">
        <v>1.4022487029038038</v>
      </c>
      <c r="E115">
        <v>1.9309911421003598</v>
      </c>
      <c r="F115">
        <v>1.75347113655964</v>
      </c>
      <c r="G115">
        <v>1.2882420721986332</v>
      </c>
    </row>
    <row r="116" spans="2:7" x14ac:dyDescent="0.25">
      <c r="B116">
        <v>0.83105666956466284</v>
      </c>
      <c r="C116">
        <v>1.0559355963843584</v>
      </c>
      <c r="D116">
        <v>0.65641219893490421</v>
      </c>
      <c r="E116">
        <v>0.9887301316846383</v>
      </c>
      <c r="F116">
        <v>1.3915373141648015</v>
      </c>
      <c r="G116">
        <v>1.2390235212674561</v>
      </c>
    </row>
    <row r="117" spans="2:7" x14ac:dyDescent="0.25">
      <c r="B117">
        <v>0.50691708672059321</v>
      </c>
      <c r="C117">
        <v>0.52247903975895726</v>
      </c>
      <c r="D117">
        <v>1.2860078044686796</v>
      </c>
      <c r="E117">
        <v>1.567646870083401</v>
      </c>
      <c r="F117">
        <v>0.80020119063709971</v>
      </c>
      <c r="G117">
        <v>0.74708492776303304</v>
      </c>
    </row>
    <row r="118" spans="2:7" x14ac:dyDescent="0.25">
      <c r="B118">
        <v>0.51373930165030257</v>
      </c>
      <c r="C118">
        <v>0.70427433352983559</v>
      </c>
      <c r="D118">
        <v>1.2922127077290471</v>
      </c>
      <c r="E118">
        <v>1.1758015370215062</v>
      </c>
      <c r="F118">
        <v>1.085696685378273</v>
      </c>
      <c r="G118">
        <v>1.1675002424059295</v>
      </c>
    </row>
    <row r="119" spans="2:7" x14ac:dyDescent="0.25">
      <c r="B119">
        <v>0.44247969976966367</v>
      </c>
      <c r="C119">
        <v>0.39322353769568347</v>
      </c>
      <c r="D119">
        <v>1.8309813672619242</v>
      </c>
      <c r="E119">
        <v>2.2456977338558528</v>
      </c>
      <c r="F119">
        <v>1.5584547315085828</v>
      </c>
      <c r="G119">
        <v>1.0808327940271178</v>
      </c>
    </row>
    <row r="120" spans="2:7" x14ac:dyDescent="0.25">
      <c r="B120">
        <v>0.70828090759643092</v>
      </c>
      <c r="C120">
        <v>0.60712648195454244</v>
      </c>
      <c r="D120">
        <v>1.536070160576636</v>
      </c>
      <c r="E120">
        <v>1.1198615662749245</v>
      </c>
      <c r="F120">
        <v>1.4549128433069425</v>
      </c>
      <c r="G120">
        <v>1.4865154654983077</v>
      </c>
    </row>
    <row r="121" spans="2:7" x14ac:dyDescent="0.25">
      <c r="B121">
        <v>0.54944142289023024</v>
      </c>
      <c r="C121">
        <v>0.62349757647212944</v>
      </c>
      <c r="D121">
        <v>1.3721038089032438</v>
      </c>
      <c r="E121">
        <v>1.9501983788915123</v>
      </c>
      <c r="F121">
        <v>1.8081847030524278</v>
      </c>
      <c r="G121">
        <v>1.2850321667031215</v>
      </c>
    </row>
    <row r="122" spans="2:7" x14ac:dyDescent="0.25">
      <c r="B122">
        <v>1.4556147769813039</v>
      </c>
      <c r="C122">
        <v>1.4334225781096481</v>
      </c>
      <c r="D122">
        <v>1.3121587377499222</v>
      </c>
      <c r="E122">
        <v>1.400535058739182</v>
      </c>
      <c r="F122">
        <v>1.001696604040798</v>
      </c>
      <c r="G122">
        <v>0.90132500208581845</v>
      </c>
    </row>
    <row r="123" spans="2:7" x14ac:dyDescent="0.25">
      <c r="B123">
        <v>1.5948795672602114</v>
      </c>
      <c r="C123">
        <v>1.4944017324949237</v>
      </c>
      <c r="D123">
        <v>1.1719897353624609</v>
      </c>
      <c r="E123">
        <v>1.384824070119691</v>
      </c>
      <c r="F123">
        <v>0.99680678641616316</v>
      </c>
      <c r="G123">
        <v>0.94708673171413693</v>
      </c>
    </row>
    <row r="124" spans="2:7" x14ac:dyDescent="0.25">
      <c r="B124">
        <v>1.535914416312971</v>
      </c>
      <c r="C124">
        <v>1.7208685399882098</v>
      </c>
      <c r="D124">
        <v>1.7882245913470922</v>
      </c>
      <c r="E124">
        <v>1.6647009490764815</v>
      </c>
      <c r="F124">
        <v>1.9160575725787448</v>
      </c>
      <c r="G124">
        <v>2.3852890042415402</v>
      </c>
    </row>
    <row r="125" spans="2:7" x14ac:dyDescent="0.25">
      <c r="B125">
        <v>1.5949759943263557</v>
      </c>
      <c r="C125">
        <v>1.9131337197877776</v>
      </c>
      <c r="D125">
        <v>0.97437188727125124</v>
      </c>
      <c r="E125">
        <v>0.80471241145972783</v>
      </c>
      <c r="F125">
        <v>0.9385481021455151</v>
      </c>
      <c r="G125">
        <v>1.1058535958382849</v>
      </c>
    </row>
    <row r="126" spans="2:7" x14ac:dyDescent="0.25">
      <c r="B126">
        <v>1.3273667790093828</v>
      </c>
      <c r="C126">
        <v>1.4246024923036615</v>
      </c>
      <c r="D126">
        <v>1.4256775617662261</v>
      </c>
      <c r="E126">
        <v>1.5000232345606344</v>
      </c>
      <c r="F126">
        <v>1.4993577927879973</v>
      </c>
      <c r="G126">
        <v>1.6923609435566249</v>
      </c>
    </row>
    <row r="127" spans="2:7" x14ac:dyDescent="0.25">
      <c r="B127">
        <v>1.5517284551606365</v>
      </c>
      <c r="C127">
        <v>1.2505485688085414</v>
      </c>
      <c r="D127">
        <v>1.1176433412888964</v>
      </c>
      <c r="E127">
        <v>1.5493247594116566</v>
      </c>
      <c r="F127">
        <v>1.1081374555484718</v>
      </c>
      <c r="G127">
        <v>1.0877464366328351</v>
      </c>
    </row>
    <row r="128" spans="2:7" x14ac:dyDescent="0.25">
      <c r="B128">
        <v>1.469379740673403</v>
      </c>
      <c r="C128">
        <v>1.6534170924215628</v>
      </c>
      <c r="D128">
        <v>1.6970767020741058</v>
      </c>
      <c r="E128">
        <v>1.6060613436657054</v>
      </c>
      <c r="F128">
        <v>0.92056055874060883</v>
      </c>
      <c r="G128">
        <v>0.90000811777996759</v>
      </c>
    </row>
    <row r="129" spans="2:7" x14ac:dyDescent="0.25">
      <c r="B129">
        <v>1.309166170274646</v>
      </c>
      <c r="C129">
        <v>1.5223214285714286</v>
      </c>
      <c r="D129">
        <v>1.13958635166943</v>
      </c>
      <c r="E129">
        <v>0.98209168578907879</v>
      </c>
      <c r="F129">
        <v>0.92976389405554627</v>
      </c>
      <c r="G129">
        <v>0.71696119926669388</v>
      </c>
    </row>
    <row r="130" spans="2:7" x14ac:dyDescent="0.25">
      <c r="B130">
        <v>1.3027055568429777</v>
      </c>
      <c r="C130">
        <v>1.1847469214645967</v>
      </c>
      <c r="D130">
        <v>0.7149189687577574</v>
      </c>
      <c r="E130">
        <v>0.71500487925773315</v>
      </c>
      <c r="F130">
        <v>0.99670200460992098</v>
      </c>
      <c r="G130">
        <v>1.0367994750502287</v>
      </c>
    </row>
    <row r="131" spans="2:7" x14ac:dyDescent="0.25">
      <c r="B131">
        <v>1.4913168982212315</v>
      </c>
      <c r="C131">
        <v>1.1172320200432304</v>
      </c>
      <c r="D131">
        <v>0.98193188434710144</v>
      </c>
      <c r="E131">
        <v>0.76505876131025219</v>
      </c>
      <c r="F131">
        <v>0.92695224892138128</v>
      </c>
      <c r="G131">
        <v>1.0884871840548762</v>
      </c>
    </row>
    <row r="132" spans="2:7" x14ac:dyDescent="0.25">
      <c r="B132">
        <v>1.2676543182995241</v>
      </c>
      <c r="C132">
        <v>1.1384256075194865</v>
      </c>
      <c r="D132">
        <v>1.1241216406699315</v>
      </c>
      <c r="E132">
        <v>1.1890784288126253</v>
      </c>
      <c r="F132">
        <v>0.65479897084171124</v>
      </c>
      <c r="G132">
        <v>0.48930482489272131</v>
      </c>
    </row>
    <row r="133" spans="2:7" x14ac:dyDescent="0.25">
      <c r="B133">
        <v>1.3845480292329537</v>
      </c>
      <c r="C133">
        <v>1.3746643086395494</v>
      </c>
      <c r="D133">
        <v>1.2218666972025041</v>
      </c>
      <c r="E133">
        <v>1.3097211188879274</v>
      </c>
      <c r="F133">
        <v>0.77924482938866513</v>
      </c>
      <c r="G133">
        <v>0.59745394851072564</v>
      </c>
    </row>
    <row r="134" spans="2:7" x14ac:dyDescent="0.25">
      <c r="B134">
        <v>1.4645824941327239</v>
      </c>
      <c r="C134">
        <v>1.3748546702037072</v>
      </c>
      <c r="D134">
        <v>1.1459814435354794</v>
      </c>
      <c r="E134">
        <v>1.2202348682157849</v>
      </c>
      <c r="F134">
        <v>0.72583793237145378</v>
      </c>
      <c r="G134">
        <v>0.77151097725477713</v>
      </c>
    </row>
    <row r="135" spans="2:7" x14ac:dyDescent="0.25">
      <c r="B135">
        <v>0.90347339623903333</v>
      </c>
      <c r="C135">
        <v>0.88143749590620291</v>
      </c>
      <c r="D135">
        <v>1.4180937911146658</v>
      </c>
      <c r="E135">
        <v>1.3179970481043917</v>
      </c>
      <c r="F135">
        <v>0.62144677902343659</v>
      </c>
      <c r="G135">
        <v>0.67899932237492666</v>
      </c>
    </row>
    <row r="136" spans="2:7" x14ac:dyDescent="0.25">
      <c r="B136">
        <v>1.102908675791985</v>
      </c>
      <c r="C136">
        <v>0.46308623174166502</v>
      </c>
      <c r="D136">
        <v>1.0615495894006306</v>
      </c>
      <c r="E136">
        <v>1.3671658040375028</v>
      </c>
      <c r="F136">
        <v>0.71692693510200378</v>
      </c>
      <c r="G136">
        <v>0.73849100405217993</v>
      </c>
    </row>
    <row r="137" spans="2:7" x14ac:dyDescent="0.25">
      <c r="B137">
        <v>1.4462372447987706</v>
      </c>
      <c r="C137">
        <v>1.8379409019453723</v>
      </c>
      <c r="D137">
        <v>0.89490871045983844</v>
      </c>
      <c r="E137">
        <v>1.0205504156773537</v>
      </c>
      <c r="F137">
        <v>0.65961343331600963</v>
      </c>
      <c r="G137">
        <v>0.68464197602347177</v>
      </c>
    </row>
    <row r="138" spans="2:7" x14ac:dyDescent="0.25">
      <c r="B138">
        <v>1.3684447091868552</v>
      </c>
      <c r="C138">
        <v>1.2793566188511167</v>
      </c>
      <c r="D138">
        <v>0.74628820190739364</v>
      </c>
      <c r="E138">
        <v>0.8751684505645998</v>
      </c>
      <c r="F138">
        <v>0.41486046147119726</v>
      </c>
      <c r="G138">
        <v>0.5359824342210614</v>
      </c>
    </row>
    <row r="139" spans="2:7" x14ac:dyDescent="0.25">
      <c r="B139">
        <v>1.3601037679653731</v>
      </c>
      <c r="C139">
        <v>1.2874787122551909</v>
      </c>
      <c r="D139">
        <v>0.66429313928284239</v>
      </c>
      <c r="E139">
        <v>0.81068701276573141</v>
      </c>
      <c r="F139">
        <v>0.75206276140272732</v>
      </c>
      <c r="G139">
        <v>0.61059085468515772</v>
      </c>
    </row>
    <row r="140" spans="2:7" x14ac:dyDescent="0.25">
      <c r="B140">
        <v>0.97155090493691021</v>
      </c>
      <c r="C140">
        <v>0.87433066417763805</v>
      </c>
      <c r="D140">
        <v>1.0136339475566807</v>
      </c>
      <c r="E140">
        <v>1.0466616361998879</v>
      </c>
      <c r="F140">
        <v>0.54631128269854234</v>
      </c>
      <c r="G140">
        <v>0.8028590530800277</v>
      </c>
    </row>
    <row r="141" spans="2:7" x14ac:dyDescent="0.25">
      <c r="B141">
        <v>1.6211559427845337</v>
      </c>
      <c r="C141">
        <v>1.3449679046309033</v>
      </c>
      <c r="D141">
        <v>0.71261293191386599</v>
      </c>
      <c r="E141">
        <v>0.43468543724123887</v>
      </c>
      <c r="F141">
        <v>0.67725394114881088</v>
      </c>
      <c r="G141">
        <v>0.67454092936866883</v>
      </c>
    </row>
    <row r="142" spans="2:7" x14ac:dyDescent="0.25">
      <c r="B142">
        <v>1.6506385182581538</v>
      </c>
      <c r="C142">
        <v>1.4621037204427851</v>
      </c>
      <c r="D142">
        <v>0.85897495077383978</v>
      </c>
      <c r="E142">
        <v>0.94876668739336989</v>
      </c>
      <c r="F142">
        <v>0.70326098613276578</v>
      </c>
      <c r="G142">
        <v>0.68283075386467951</v>
      </c>
    </row>
    <row r="143" spans="2:7" x14ac:dyDescent="0.25">
      <c r="B143">
        <v>1.1773744776219217</v>
      </c>
      <c r="C143">
        <v>1.1695179963319577</v>
      </c>
      <c r="D143">
        <v>1.4889628203068337</v>
      </c>
      <c r="E143">
        <v>1.636775220009161</v>
      </c>
      <c r="F143">
        <v>0.68498527482861882</v>
      </c>
      <c r="G143">
        <v>0.77325253702284658</v>
      </c>
    </row>
    <row r="144" spans="2:7" x14ac:dyDescent="0.25">
      <c r="B144">
        <v>1.4823973946028837</v>
      </c>
      <c r="C144">
        <v>1.3615928145673675</v>
      </c>
      <c r="D144">
        <v>0.5403128326204516</v>
      </c>
      <c r="E144">
        <v>0.61794616835247729</v>
      </c>
      <c r="F144">
        <v>0.4925549203520842</v>
      </c>
      <c r="G144">
        <v>0.50595794381954362</v>
      </c>
    </row>
    <row r="145" spans="2:7" x14ac:dyDescent="0.25">
      <c r="B145">
        <v>1.3167356949669735</v>
      </c>
      <c r="C145">
        <v>1.0669131132508023</v>
      </c>
      <c r="D145">
        <v>0.87580603533105927</v>
      </c>
      <c r="E145">
        <v>0.8270136994841264</v>
      </c>
      <c r="F145">
        <v>0.47672927958027078</v>
      </c>
      <c r="G145">
        <v>0.58962247507760124</v>
      </c>
    </row>
    <row r="146" spans="2:7" x14ac:dyDescent="0.25">
      <c r="B146">
        <v>1.1217360604566597</v>
      </c>
      <c r="C146">
        <v>1.3181903779393462</v>
      </c>
      <c r="D146">
        <v>0.37590580018563752</v>
      </c>
      <c r="E146">
        <v>0.40281408288265824</v>
      </c>
      <c r="F146">
        <v>0.57926926852608052</v>
      </c>
      <c r="G146">
        <v>0.62069190133996066</v>
      </c>
    </row>
    <row r="147" spans="2:7" x14ac:dyDescent="0.25">
      <c r="B147">
        <v>1.0551772780505557</v>
      </c>
      <c r="C147">
        <v>0.86842945568874041</v>
      </c>
      <c r="D147">
        <v>0.64741874612262018</v>
      </c>
      <c r="E147">
        <v>0.55746021850599259</v>
      </c>
      <c r="F147">
        <v>0.46320851997591178</v>
      </c>
      <c r="G147">
        <v>0.5106949863886926</v>
      </c>
    </row>
    <row r="148" spans="2:7" x14ac:dyDescent="0.25">
      <c r="B148">
        <v>0.93963354604314642</v>
      </c>
      <c r="C148">
        <v>1.0907717626252702</v>
      </c>
      <c r="D148">
        <v>0.86374436226423312</v>
      </c>
      <c r="E148">
        <v>0.72060470987952563</v>
      </c>
      <c r="F148">
        <v>0.95888501167289497</v>
      </c>
      <c r="G148">
        <v>1.1515193186475363</v>
      </c>
    </row>
    <row r="149" spans="2:7" x14ac:dyDescent="0.25">
      <c r="B149">
        <v>1.183184208357116</v>
      </c>
      <c r="C149">
        <v>1.1830971212418941</v>
      </c>
      <c r="D149">
        <v>1.0178439486997541</v>
      </c>
      <c r="E149">
        <v>0.85869301622430372</v>
      </c>
      <c r="F149">
        <v>0.60888789896140105</v>
      </c>
      <c r="G149">
        <v>0.58049670189291713</v>
      </c>
    </row>
    <row r="150" spans="2:7" x14ac:dyDescent="0.25">
      <c r="B150">
        <v>0.48788826909241062</v>
      </c>
      <c r="C150">
        <v>0.66917651775625997</v>
      </c>
      <c r="D150">
        <v>1.1469267317374134</v>
      </c>
      <c r="E150">
        <v>0.9092841668874585</v>
      </c>
      <c r="F150">
        <v>0.80295163379282475</v>
      </c>
      <c r="G150">
        <v>0.94009396280390223</v>
      </c>
    </row>
    <row r="151" spans="2:7" x14ac:dyDescent="0.25">
      <c r="B151">
        <v>0.47356569461706205</v>
      </c>
      <c r="C151">
        <v>0.63843868835728779</v>
      </c>
      <c r="D151">
        <v>0.89970056923851149</v>
      </c>
      <c r="E151">
        <v>0.80099995324408146</v>
      </c>
      <c r="F151">
        <v>0.52778149000585706</v>
      </c>
      <c r="G151">
        <v>0.61560654681719773</v>
      </c>
    </row>
    <row r="152" spans="2:7" x14ac:dyDescent="0.25">
      <c r="B152">
        <v>0.4929267461846315</v>
      </c>
      <c r="C152">
        <v>0.76264746261040717</v>
      </c>
      <c r="D152">
        <v>0.65232186525547631</v>
      </c>
      <c r="E152">
        <v>0.63218989137041592</v>
      </c>
      <c r="F152">
        <v>1.0441293175274911</v>
      </c>
      <c r="G152">
        <v>1.125465584517217</v>
      </c>
    </row>
    <row r="153" spans="2:7" x14ac:dyDescent="0.25">
      <c r="B153">
        <v>0.65932437035716362</v>
      </c>
      <c r="C153">
        <v>0.7071796522858983</v>
      </c>
      <c r="D153">
        <v>1.1094560057420972</v>
      </c>
      <c r="E153">
        <v>0.98209871732930198</v>
      </c>
      <c r="F153">
        <v>0.76088301531912794</v>
      </c>
      <c r="G153">
        <v>0.72330460287461407</v>
      </c>
    </row>
    <row r="154" spans="2:7" x14ac:dyDescent="0.25">
      <c r="B154">
        <v>0.71060430218408144</v>
      </c>
      <c r="C154">
        <v>0.70054307548384742</v>
      </c>
      <c r="D154">
        <v>1.0461512898267769</v>
      </c>
      <c r="E154">
        <v>0.88542493337281614</v>
      </c>
      <c r="F154">
        <v>0.68839722490327582</v>
      </c>
      <c r="G154">
        <v>0.85635976915512191</v>
      </c>
    </row>
    <row r="155" spans="2:7" x14ac:dyDescent="0.25">
      <c r="B155">
        <v>0.71781674147345342</v>
      </c>
      <c r="C155">
        <v>0.8485038088179907</v>
      </c>
      <c r="D155">
        <v>0.91150074261825198</v>
      </c>
      <c r="E155">
        <v>0.98916073126256565</v>
      </c>
      <c r="F155">
        <v>0.60139249799952155</v>
      </c>
      <c r="G155">
        <v>0.86012153825415194</v>
      </c>
    </row>
    <row r="156" spans="2:7" x14ac:dyDescent="0.25">
      <c r="B156">
        <v>1.4956604156141267</v>
      </c>
      <c r="C156">
        <v>0.74825656975543375</v>
      </c>
      <c r="D156">
        <v>0.91255763718688987</v>
      </c>
      <c r="E156">
        <v>0.79561367143057526</v>
      </c>
      <c r="F156">
        <v>0.34212058966680692</v>
      </c>
      <c r="G156">
        <v>0.6856172494935906</v>
      </c>
    </row>
    <row r="157" spans="2:7" x14ac:dyDescent="0.25">
      <c r="B157">
        <v>0.66413266321674502</v>
      </c>
      <c r="C157">
        <v>0.77298655068097044</v>
      </c>
      <c r="D157">
        <v>0.98022068122030459</v>
      </c>
      <c r="E157">
        <v>0.83471408755825005</v>
      </c>
      <c r="F157">
        <v>0.42917976258239082</v>
      </c>
      <c r="G157">
        <v>0.60160440628191925</v>
      </c>
    </row>
    <row r="158" spans="2:7" x14ac:dyDescent="0.25">
      <c r="B158">
        <v>0.6895552329104887</v>
      </c>
      <c r="C158">
        <v>1.1748836700725316</v>
      </c>
      <c r="D158">
        <v>0.94011316671354139</v>
      </c>
      <c r="E158">
        <v>0.75926624378535912</v>
      </c>
      <c r="F158">
        <v>0.4338984169409591</v>
      </c>
      <c r="G158">
        <v>0.68039257018938226</v>
      </c>
    </row>
    <row r="159" spans="2:7" x14ac:dyDescent="0.25">
      <c r="B159">
        <v>0.58546080770572306</v>
      </c>
      <c r="C159">
        <v>0.75195908102394637</v>
      </c>
      <c r="D159">
        <v>0.91397409382527051</v>
      </c>
      <c r="E159">
        <v>0.95911724825834199</v>
      </c>
      <c r="F159">
        <v>0.95805017282484062</v>
      </c>
      <c r="G159">
        <v>1.0257787033929204</v>
      </c>
    </row>
    <row r="160" spans="2:7" x14ac:dyDescent="0.25">
      <c r="B160">
        <v>0.60351748195500177</v>
      </c>
      <c r="C160">
        <v>0.6239080780959555</v>
      </c>
      <c r="D160">
        <v>0.77858263083666956</v>
      </c>
      <c r="E160">
        <v>0.66438788710004204</v>
      </c>
      <c r="F160">
        <v>0.64068436986990707</v>
      </c>
      <c r="G160">
        <v>0.72685738480147577</v>
      </c>
    </row>
    <row r="161" spans="2:7" x14ac:dyDescent="0.25">
      <c r="B161">
        <v>0.72525936499546495</v>
      </c>
      <c r="C161">
        <v>0.95741352707480343</v>
      </c>
      <c r="D161">
        <v>0.88919699847390421</v>
      </c>
      <c r="E161">
        <v>0.78049218396895403</v>
      </c>
      <c r="F161">
        <v>0.52674701578109406</v>
      </c>
      <c r="G161">
        <v>0.67537687805734214</v>
      </c>
    </row>
    <row r="162" spans="2:7" x14ac:dyDescent="0.25">
      <c r="B162">
        <v>0.69423564564082585</v>
      </c>
      <c r="C162">
        <v>0.93170552430475406</v>
      </c>
      <c r="D162">
        <v>1.0441900421736345</v>
      </c>
      <c r="E162">
        <v>1.1199875317550614</v>
      </c>
      <c r="F162">
        <v>0.44021415431319655</v>
      </c>
      <c r="G162">
        <v>0.58850787682603678</v>
      </c>
    </row>
    <row r="163" spans="2:7" x14ac:dyDescent="0.25">
      <c r="B163">
        <v>0.80866278528852165</v>
      </c>
      <c r="C163">
        <v>0.77857524693532909</v>
      </c>
      <c r="D163">
        <v>1.0031999662229572</v>
      </c>
      <c r="E163">
        <v>0.92931315555694094</v>
      </c>
      <c r="F163">
        <v>0.48268204354031069</v>
      </c>
      <c r="G163">
        <v>0.83128130849492143</v>
      </c>
    </row>
    <row r="164" spans="2:7" x14ac:dyDescent="0.25">
      <c r="B164">
        <v>0.84687336790668388</v>
      </c>
      <c r="C164">
        <v>0.78821574797409766</v>
      </c>
      <c r="D164">
        <v>0.71409027050916851</v>
      </c>
      <c r="E164">
        <v>0.58758349827782363</v>
      </c>
      <c r="F164">
        <v>0.56015871837387909</v>
      </c>
      <c r="G164">
        <v>0.80021188223256201</v>
      </c>
    </row>
    <row r="165" spans="2:7" x14ac:dyDescent="0.25">
      <c r="B165">
        <v>1.0093322840984951</v>
      </c>
      <c r="C165">
        <v>0.90236486896937151</v>
      </c>
      <c r="D165">
        <v>1.0249807109931335</v>
      </c>
      <c r="E165">
        <v>1.3395483378270967</v>
      </c>
      <c r="F165">
        <v>0.51248216068173003</v>
      </c>
      <c r="G165">
        <v>0.87607422572966831</v>
      </c>
    </row>
    <row r="166" spans="2:7" x14ac:dyDescent="0.25">
      <c r="B166">
        <v>0.74988907788789472</v>
      </c>
      <c r="C166">
        <v>0.62299991495462226</v>
      </c>
      <c r="D166">
        <v>0.92435781056663036</v>
      </c>
      <c r="E166">
        <v>0.81927341302619894</v>
      </c>
      <c r="F166">
        <v>0.5053860304732678</v>
      </c>
      <c r="G166">
        <v>0.82104093705867298</v>
      </c>
    </row>
    <row r="167" spans="2:7" x14ac:dyDescent="0.25">
      <c r="B167">
        <v>1.254146003523561</v>
      </c>
      <c r="C167">
        <v>1.2886136388487286</v>
      </c>
      <c r="D167">
        <v>0.99570364185983484</v>
      </c>
      <c r="E167">
        <v>1.1639156523229899</v>
      </c>
      <c r="F167">
        <v>0.32291929616155618</v>
      </c>
      <c r="G167">
        <v>0.47321662017983757</v>
      </c>
    </row>
    <row r="168" spans="2:7" x14ac:dyDescent="0.25">
      <c r="B168">
        <v>0.95713161534101932</v>
      </c>
      <c r="C168">
        <v>0.74022281888979335</v>
      </c>
      <c r="D168">
        <v>0.77766738193186979</v>
      </c>
      <c r="E168">
        <v>0.69259604444929324</v>
      </c>
      <c r="F168">
        <v>0.48671104841570356</v>
      </c>
      <c r="G168">
        <v>0.72943489325821864</v>
      </c>
    </row>
    <row r="169" spans="2:7" x14ac:dyDescent="0.25">
      <c r="B169">
        <v>0.82339457617745171</v>
      </c>
      <c r="C169">
        <v>0.6327801333997497</v>
      </c>
      <c r="D169">
        <v>0.6572794634898087</v>
      </c>
      <c r="E169">
        <v>0.73109798481991184</v>
      </c>
      <c r="F169">
        <v>0.46698344346276638</v>
      </c>
      <c r="G169">
        <v>0.72205067984160409</v>
      </c>
    </row>
    <row r="170" spans="2:7" x14ac:dyDescent="0.25">
      <c r="B170">
        <v>0.94741272551846134</v>
      </c>
      <c r="C170">
        <v>0.79338529200937924</v>
      </c>
      <c r="D170">
        <v>0.60095896838373442</v>
      </c>
      <c r="E170">
        <v>0.65174009943425337</v>
      </c>
      <c r="F170">
        <v>0.47876193068857709</v>
      </c>
      <c r="G170">
        <v>0.63615695208041756</v>
      </c>
    </row>
    <row r="171" spans="2:7" x14ac:dyDescent="0.25">
      <c r="B171">
        <v>0.9425277045813335</v>
      </c>
      <c r="C171">
        <v>0.96768275644218738</v>
      </c>
      <c r="D171">
        <v>0.697114582489191</v>
      </c>
      <c r="E171">
        <v>0.96793479107897074</v>
      </c>
      <c r="F171">
        <v>1.0045652155979574</v>
      </c>
      <c r="G171">
        <v>1.2344175636076433</v>
      </c>
    </row>
    <row r="172" spans="2:7" x14ac:dyDescent="0.25">
      <c r="B172">
        <v>1.0599983913050408</v>
      </c>
      <c r="C172">
        <v>0.90383190173614059</v>
      </c>
      <c r="D172">
        <v>1.2280896971166255</v>
      </c>
      <c r="E172">
        <v>0.96083287876190326</v>
      </c>
      <c r="F172">
        <v>1.1948177296013067</v>
      </c>
      <c r="G172">
        <v>1.2345568883890889</v>
      </c>
    </row>
    <row r="173" spans="2:7" x14ac:dyDescent="0.25">
      <c r="B173">
        <v>0.757050365125569</v>
      </c>
      <c r="C173">
        <v>0.83166786135173554</v>
      </c>
      <c r="D173">
        <v>0.83506656324717232</v>
      </c>
      <c r="E173">
        <v>0.77626295528575662</v>
      </c>
      <c r="F173">
        <v>0.86839574001204412</v>
      </c>
      <c r="G173">
        <v>0.84869690617561622</v>
      </c>
    </row>
    <row r="174" spans="2:7" x14ac:dyDescent="0.25">
      <c r="B174">
        <v>1.2743766399699907</v>
      </c>
      <c r="C174">
        <v>1.0901450631158196</v>
      </c>
      <c r="D174">
        <v>0.8535349786475972</v>
      </c>
      <c r="E174">
        <v>0.70991194302012062</v>
      </c>
      <c r="F174">
        <v>1.0502635681936299</v>
      </c>
      <c r="G174">
        <v>0.71933384660341571</v>
      </c>
    </row>
    <row r="175" spans="2:7" x14ac:dyDescent="0.25">
      <c r="B175">
        <v>0.82441761721140516</v>
      </c>
      <c r="C175">
        <v>1.1345751983379704</v>
      </c>
      <c r="D175">
        <v>0.8849149410978765</v>
      </c>
      <c r="E175">
        <v>0.95033960382151705</v>
      </c>
      <c r="F175">
        <v>1.4128921556495988</v>
      </c>
      <c r="G175">
        <v>1.5035930413604612</v>
      </c>
    </row>
    <row r="176" spans="2:7" x14ac:dyDescent="0.25">
      <c r="B176">
        <v>0.77132178754921998</v>
      </c>
      <c r="C176">
        <v>0.8621961146411693</v>
      </c>
      <c r="D176">
        <v>0.71016777520288354</v>
      </c>
      <c r="E176">
        <v>0.62133753097579603</v>
      </c>
      <c r="F176">
        <v>2.3207249568969073</v>
      </c>
      <c r="G176">
        <v>1.9232392830744818</v>
      </c>
    </row>
    <row r="177" spans="2:7" x14ac:dyDescent="0.25">
      <c r="B177">
        <v>0.90968808739142704</v>
      </c>
      <c r="C177">
        <v>0.83488136169799176</v>
      </c>
      <c r="D177">
        <v>0.72804781630736559</v>
      </c>
      <c r="E177">
        <v>0.65397440892726333</v>
      </c>
      <c r="F177">
        <v>0.99445640606825547</v>
      </c>
      <c r="G177">
        <v>1.3212169024482261</v>
      </c>
    </row>
    <row r="178" spans="2:7" x14ac:dyDescent="0.25">
      <c r="B178">
        <v>0.40655650689310963</v>
      </c>
      <c r="C178">
        <v>0.43431155766684082</v>
      </c>
      <c r="D178">
        <v>0.75312999462699859</v>
      </c>
      <c r="E178">
        <v>0.56284650031949879</v>
      </c>
      <c r="F178">
        <v>1.1995726813010947</v>
      </c>
      <c r="G178">
        <v>1.9002506941359647</v>
      </c>
    </row>
    <row r="179" spans="2:7" x14ac:dyDescent="0.25">
      <c r="B179">
        <v>0.90301274464488057</v>
      </c>
      <c r="C179">
        <v>0.82300538215747976</v>
      </c>
      <c r="D179">
        <v>0.86395138284984263</v>
      </c>
      <c r="E179">
        <v>0.87102161681966239</v>
      </c>
      <c r="F179">
        <v>1.7389330231560538</v>
      </c>
      <c r="G179">
        <v>2.0702269274995455</v>
      </c>
    </row>
    <row r="180" spans="2:7" x14ac:dyDescent="0.25">
      <c r="B180">
        <v>0.93751480351496141</v>
      </c>
      <c r="C180">
        <v>0.97459876805695611</v>
      </c>
      <c r="D180">
        <v>0.61521070132990296</v>
      </c>
      <c r="E180">
        <v>0.69195767030843325</v>
      </c>
      <c r="F180">
        <v>1.0012803062175697</v>
      </c>
      <c r="G180">
        <v>0.60508752581805814</v>
      </c>
    </row>
    <row r="181" spans="2:7" x14ac:dyDescent="0.25">
      <c r="B181">
        <v>0.63392737668926868</v>
      </c>
      <c r="C181">
        <v>0.68894653075605339</v>
      </c>
      <c r="D181">
        <v>0.72175003217671929</v>
      </c>
      <c r="E181">
        <v>0.66498636285709833</v>
      </c>
      <c r="F181">
        <v>1.3517129870237006</v>
      </c>
      <c r="G181">
        <v>1.0639536935090033</v>
      </c>
    </row>
    <row r="182" spans="2:7" x14ac:dyDescent="0.25">
      <c r="B182">
        <v>0.60914420764174593</v>
      </c>
      <c r="C182">
        <v>0.59044575927298348</v>
      </c>
      <c r="D182">
        <v>0.99022304425133112</v>
      </c>
      <c r="E182">
        <v>1.3484057790315291</v>
      </c>
      <c r="F182">
        <v>1.8945578736357562</v>
      </c>
      <c r="G182">
        <v>1.1016410468900266</v>
      </c>
    </row>
    <row r="183" spans="2:7" x14ac:dyDescent="0.25">
      <c r="B183">
        <v>0.46903873804181795</v>
      </c>
      <c r="C183">
        <v>0.48782332430232417</v>
      </c>
      <c r="D183">
        <v>1.2496634213011926</v>
      </c>
      <c r="E183">
        <v>1.1390589592132538</v>
      </c>
      <c r="F183">
        <v>1.613398668547529</v>
      </c>
      <c r="G183">
        <v>1.1586945448919825</v>
      </c>
    </row>
    <row r="184" spans="2:7" x14ac:dyDescent="0.25">
      <c r="B184">
        <v>0.53482027652502617</v>
      </c>
      <c r="C184">
        <v>0.66680132184815755</v>
      </c>
      <c r="D184">
        <v>0.94258651792055992</v>
      </c>
      <c r="E184">
        <v>0.95169614887084453</v>
      </c>
      <c r="F184">
        <v>1.8672078270266703</v>
      </c>
      <c r="G184">
        <v>1.5528443516014661</v>
      </c>
    </row>
    <row r="185" spans="2:7" x14ac:dyDescent="0.25">
      <c r="B185">
        <v>0.19529853338171774</v>
      </c>
      <c r="C185">
        <v>0.31177939229002904</v>
      </c>
      <c r="D185">
        <v>0.99587797498455854</v>
      </c>
      <c r="E185">
        <v>0.9369337468634571</v>
      </c>
      <c r="F185">
        <v>1.3698616576335785</v>
      </c>
      <c r="G185">
        <v>0.91989186949429635</v>
      </c>
    </row>
    <row r="186" spans="2:7" x14ac:dyDescent="0.25">
      <c r="B186">
        <v>0.5649744110008047</v>
      </c>
      <c r="C186">
        <v>0.60616396748836698</v>
      </c>
      <c r="D186">
        <v>1.1156775191306769</v>
      </c>
      <c r="E186">
        <v>0.97782959026230065</v>
      </c>
      <c r="F186">
        <v>1.6907301540162183</v>
      </c>
      <c r="G186">
        <v>1.3821018319399347</v>
      </c>
    </row>
    <row r="187" spans="2:7" x14ac:dyDescent="0.25">
      <c r="B187">
        <v>0.67310984828968667</v>
      </c>
      <c r="C187">
        <v>0.76327619093902244</v>
      </c>
      <c r="D187">
        <v>1.4597457324136354</v>
      </c>
      <c r="E187">
        <v>1.3395483378270967</v>
      </c>
      <c r="F187">
        <v>1.6183169582828059</v>
      </c>
      <c r="G187">
        <v>1.379524323483192</v>
      </c>
    </row>
    <row r="188" spans="2:7" x14ac:dyDescent="0.25">
      <c r="B188">
        <v>1.0796152031310986</v>
      </c>
      <c r="C188">
        <v>1.1216513382497661</v>
      </c>
      <c r="D188">
        <v>1.1583673430474111</v>
      </c>
      <c r="E188">
        <v>0.9587581628041083</v>
      </c>
      <c r="F188">
        <v>1.1786654127585154</v>
      </c>
      <c r="G188">
        <v>1.3450414400754165</v>
      </c>
    </row>
    <row r="189" spans="2:7" x14ac:dyDescent="0.25">
      <c r="B189">
        <v>0.74666649863094126</v>
      </c>
      <c r="C189">
        <v>0.76194887557861235</v>
      </c>
      <c r="D189">
        <v>1.0111430192181841</v>
      </c>
      <c r="E189">
        <v>0.87912098873182365</v>
      </c>
      <c r="F189">
        <v>1.9574974633108124</v>
      </c>
      <c r="G189">
        <v>1.6361605709059097</v>
      </c>
    </row>
    <row r="190" spans="2:7" x14ac:dyDescent="0.25">
      <c r="B190">
        <v>0.8145452712337542</v>
      </c>
      <c r="C190">
        <v>0.95273299396177813</v>
      </c>
      <c r="D190">
        <v>1.2789186987939007</v>
      </c>
      <c r="E190">
        <v>1.3939298349516076</v>
      </c>
      <c r="F190">
        <v>2.6172016399798714</v>
      </c>
      <c r="G190">
        <v>1.2650690155256661</v>
      </c>
    </row>
    <row r="191" spans="2:7" x14ac:dyDescent="0.25">
      <c r="B191">
        <v>1.4232035343843721</v>
      </c>
      <c r="C191">
        <v>1.1520398741328408</v>
      </c>
      <c r="D191">
        <v>1.0744913184146854</v>
      </c>
      <c r="E191">
        <v>1.2500562629552858</v>
      </c>
      <c r="F191">
        <v>1.6138705339833856</v>
      </c>
      <c r="G191">
        <v>1.3745782937418747</v>
      </c>
    </row>
    <row r="192" spans="2:7" x14ac:dyDescent="0.25">
      <c r="B192">
        <v>1.0413790444870876</v>
      </c>
      <c r="C192">
        <v>0.96251321240690568</v>
      </c>
      <c r="D192">
        <v>1.3160298627194742</v>
      </c>
      <c r="E192">
        <v>1.5893122204385706</v>
      </c>
      <c r="F192">
        <v>2.2700901658953483</v>
      </c>
      <c r="G192">
        <v>1.473777538131112</v>
      </c>
    </row>
    <row r="193" spans="2:7" x14ac:dyDescent="0.25">
      <c r="B193">
        <v>1.2499771113102005</v>
      </c>
      <c r="C193">
        <v>1.1257031430341762</v>
      </c>
      <c r="D193">
        <v>1.3832679697613748</v>
      </c>
      <c r="E193">
        <v>1.5752280909558469</v>
      </c>
      <c r="F193">
        <v>2.2566057036322089</v>
      </c>
      <c r="G193">
        <v>2.0977435718350432</v>
      </c>
    </row>
    <row r="194" spans="2:7" x14ac:dyDescent="0.25">
      <c r="B194">
        <v>1.1349872990938303</v>
      </c>
      <c r="C194">
        <v>0.91298339185265276</v>
      </c>
      <c r="D194">
        <v>1.1199813681472952</v>
      </c>
      <c r="E194">
        <v>1.3797260103174727</v>
      </c>
      <c r="F194">
        <v>1.2040191056005147</v>
      </c>
      <c r="G194">
        <v>1.1664967326529339</v>
      </c>
    </row>
    <row r="195" spans="2:7" x14ac:dyDescent="0.25">
      <c r="B195">
        <v>1.1119944518557261</v>
      </c>
      <c r="C195">
        <v>1.3111081412725218</v>
      </c>
      <c r="D195">
        <v>1.5342404557721629</v>
      </c>
      <c r="E195">
        <v>2.0091629132054298</v>
      </c>
      <c r="F195">
        <v>2.0362082477458525</v>
      </c>
      <c r="G195">
        <v>2.5488075517650368</v>
      </c>
    </row>
    <row r="196" spans="2:7" x14ac:dyDescent="0.25">
      <c r="B196">
        <v>1.5193182395243008</v>
      </c>
      <c r="C196">
        <v>1.5402446877012235</v>
      </c>
      <c r="D196">
        <v>1.3134911365906843</v>
      </c>
      <c r="E196">
        <v>1.5594283309695618</v>
      </c>
      <c r="F196">
        <v>1.201314953679643</v>
      </c>
      <c r="G196">
        <v>1.1545844638393388</v>
      </c>
    </row>
    <row r="197" spans="2:7" x14ac:dyDescent="0.25">
      <c r="B197">
        <v>1.8387628023762723</v>
      </c>
      <c r="C197">
        <v>1.6564895697918818</v>
      </c>
      <c r="D197">
        <v>1.6050850793317866</v>
      </c>
      <c r="E197">
        <v>1.3961242460608139</v>
      </c>
      <c r="F197">
        <v>1.732218015030399</v>
      </c>
      <c r="G197">
        <v>1.3180820948657008</v>
      </c>
    </row>
    <row r="198" spans="2:7" x14ac:dyDescent="0.25">
      <c r="B198">
        <v>1.0054191521436231</v>
      </c>
      <c r="C198">
        <v>1.07526515933859</v>
      </c>
      <c r="D198">
        <v>1.0911728192866914</v>
      </c>
      <c r="E198">
        <v>1.2598712653710082</v>
      </c>
      <c r="F198">
        <v>1.3773026125836283</v>
      </c>
      <c r="G198">
        <v>1.1804292107974896</v>
      </c>
    </row>
    <row r="199" spans="2:7" x14ac:dyDescent="0.25">
      <c r="B199">
        <v>0.79940426393124275</v>
      </c>
      <c r="C199">
        <v>1.1591654618571481</v>
      </c>
      <c r="D199">
        <v>1.0273777914580855</v>
      </c>
      <c r="E199">
        <v>1.1505097953649299</v>
      </c>
      <c r="F199">
        <v>1.3206787602808094</v>
      </c>
      <c r="G199">
        <v>1.4178386383807204</v>
      </c>
    </row>
    <row r="200" spans="2:7" x14ac:dyDescent="0.25">
      <c r="B200">
        <v>2.1169532355340701</v>
      </c>
      <c r="C200">
        <v>1.5012635313270724</v>
      </c>
      <c r="D200">
        <v>1.3853054881565838</v>
      </c>
      <c r="E200">
        <v>1.4431644405654349</v>
      </c>
      <c r="F200">
        <v>1.1923313617277536</v>
      </c>
      <c r="G200">
        <v>1.1244903110470981</v>
      </c>
    </row>
    <row r="201" spans="2:7" x14ac:dyDescent="0.25">
      <c r="B201">
        <v>1.2051423379971897</v>
      </c>
      <c r="C201">
        <v>1.4158263373385656</v>
      </c>
      <c r="D201">
        <v>1.1693067466238278</v>
      </c>
      <c r="E201">
        <v>1.7284777831460498</v>
      </c>
      <c r="F201">
        <v>1.5072833914915733</v>
      </c>
      <c r="G201">
        <v>1.364407584696349</v>
      </c>
    </row>
    <row r="202" spans="2:7" x14ac:dyDescent="0.25">
      <c r="B202">
        <v>1.1899757546688294</v>
      </c>
      <c r="C202">
        <v>1.0563334507769502</v>
      </c>
      <c r="D202">
        <v>1.4658147043180816</v>
      </c>
      <c r="E202">
        <v>1.3622904165952341</v>
      </c>
      <c r="F202">
        <v>1.2549079779906123</v>
      </c>
      <c r="G202">
        <v>1.094605145427026</v>
      </c>
    </row>
    <row r="203" spans="2:7" x14ac:dyDescent="0.25">
      <c r="B203">
        <v>1.3881643789714657</v>
      </c>
      <c r="C203">
        <v>1.9648458856261162</v>
      </c>
      <c r="D203">
        <v>1.1242743213436182</v>
      </c>
      <c r="E203">
        <v>1.4320726898679925</v>
      </c>
      <c r="F203">
        <v>0.86961170094290596</v>
      </c>
      <c r="G203">
        <v>0.77631768221464892</v>
      </c>
    </row>
    <row r="204" spans="2:7" x14ac:dyDescent="0.25">
      <c r="B204">
        <v>1.4850719409127084</v>
      </c>
      <c r="C204">
        <v>1.4381811223559999</v>
      </c>
      <c r="D204">
        <v>1.3712171925148438</v>
      </c>
      <c r="E204">
        <v>1.3895410127331951</v>
      </c>
      <c r="F204">
        <v>0.79801519538693788</v>
      </c>
      <c r="G204">
        <v>0.79129509622004635</v>
      </c>
    </row>
    <row r="205" spans="2:7" x14ac:dyDescent="0.25">
      <c r="B205">
        <v>1.8457706334588535</v>
      </c>
      <c r="C205">
        <v>1.4128224131018479</v>
      </c>
      <c r="D205">
        <v>1.014607890072069</v>
      </c>
      <c r="E205">
        <v>0.96278789956828703</v>
      </c>
      <c r="F205">
        <v>0.76081042063668836</v>
      </c>
      <c r="G205">
        <v>0.7052620436774143</v>
      </c>
    </row>
    <row r="206" spans="2:7" x14ac:dyDescent="0.25">
      <c r="B206">
        <v>1.464764576388732</v>
      </c>
      <c r="C206">
        <v>1.320259631389034</v>
      </c>
      <c r="D206">
        <v>1.1905971794807189</v>
      </c>
      <c r="E206">
        <v>1.0001726851924007</v>
      </c>
      <c r="F206">
        <v>0.69712673546662707</v>
      </c>
      <c r="G206">
        <v>0.58655732988579889</v>
      </c>
    </row>
    <row r="207" spans="2:7" x14ac:dyDescent="0.25">
      <c r="B207">
        <v>1.4147890218801049</v>
      </c>
      <c r="C207">
        <v>0.94204461237531745</v>
      </c>
      <c r="D207">
        <v>0.96017237187707061</v>
      </c>
      <c r="E207">
        <v>0.92444555273288342</v>
      </c>
      <c r="F207">
        <v>0.80607320513772374</v>
      </c>
      <c r="G207">
        <v>1.1917841804853027</v>
      </c>
    </row>
    <row r="208" spans="2:7" x14ac:dyDescent="0.25">
      <c r="B208">
        <v>1.1085672643919819</v>
      </c>
      <c r="C208">
        <v>1.5099958692245077</v>
      </c>
      <c r="D208">
        <v>1.0565350065681367</v>
      </c>
      <c r="E208">
        <v>0.83654941321322263</v>
      </c>
      <c r="F208">
        <v>0.69758045223187404</v>
      </c>
      <c r="G208">
        <v>0.80000289506039368</v>
      </c>
    </row>
    <row r="209" spans="2:7" x14ac:dyDescent="0.25">
      <c r="B209">
        <v>1.9953136565970024</v>
      </c>
      <c r="C209">
        <v>2.1079863684408751</v>
      </c>
      <c r="D209">
        <v>0.8400145050932657</v>
      </c>
      <c r="E209">
        <v>0.68195757775631327</v>
      </c>
      <c r="F209">
        <v>0.76877768703442473</v>
      </c>
      <c r="G209">
        <v>0.78161202390958007</v>
      </c>
    </row>
    <row r="210" spans="2:7" x14ac:dyDescent="0.25">
      <c r="B210">
        <v>1.3074208653666879</v>
      </c>
      <c r="C210">
        <v>1.6191850222940383</v>
      </c>
      <c r="D210">
        <v>0.95946281137353906</v>
      </c>
      <c r="E210">
        <v>0.94067505190404821</v>
      </c>
      <c r="F210">
        <v>0.59551232872192117</v>
      </c>
      <c r="G210">
        <v>0.9785476024828762</v>
      </c>
    </row>
    <row r="211" spans="2:7" x14ac:dyDescent="0.25">
      <c r="B211">
        <v>1.4742788580044992</v>
      </c>
      <c r="C211">
        <v>1.7148914456499289</v>
      </c>
      <c r="D211">
        <v>0.74982920139003351</v>
      </c>
      <c r="E211">
        <v>0.79234272985365928</v>
      </c>
      <c r="F211">
        <v>0.70508052843504954</v>
      </c>
      <c r="G211">
        <v>0.8870825197176514</v>
      </c>
    </row>
    <row r="212" spans="2:7" x14ac:dyDescent="0.25">
      <c r="B212">
        <v>1.4061699011690467</v>
      </c>
      <c r="C212">
        <v>1.3222156750780596</v>
      </c>
      <c r="D212">
        <v>0.64437808275860498</v>
      </c>
      <c r="E212">
        <v>0.64426508679624384</v>
      </c>
      <c r="F212">
        <v>0.53482651235026613</v>
      </c>
      <c r="G212">
        <v>0.78730456227912093</v>
      </c>
    </row>
    <row r="213" spans="2:7" x14ac:dyDescent="0.25">
      <c r="B213">
        <v>1.8597095675464697</v>
      </c>
      <c r="C213">
        <v>1.3164174027141624</v>
      </c>
      <c r="D213">
        <v>0.75325449504428255</v>
      </c>
      <c r="E213">
        <v>1.1128380511540947</v>
      </c>
      <c r="F213">
        <v>0.46225271959914616</v>
      </c>
      <c r="G213">
        <v>0.69535823319802992</v>
      </c>
    </row>
    <row r="214" spans="2:7" x14ac:dyDescent="0.25">
      <c r="B214">
        <v>1.356296650763815</v>
      </c>
      <c r="C214">
        <v>1.0226615558444399</v>
      </c>
      <c r="D214">
        <v>0.60013118242655661</v>
      </c>
      <c r="E214">
        <v>0.49615106102554651</v>
      </c>
      <c r="F214">
        <v>1.1109512837022522</v>
      </c>
      <c r="G214">
        <v>1.3941804558618505</v>
      </c>
    </row>
    <row r="215" spans="2:7" x14ac:dyDescent="0.25">
      <c r="B215">
        <v>1.1140916859753307</v>
      </c>
      <c r="C215">
        <v>1.0285296869115164</v>
      </c>
      <c r="D215">
        <v>0.50288385353493437</v>
      </c>
      <c r="E215">
        <v>0.68974347839864414</v>
      </c>
      <c r="F215">
        <v>0.6239725339839346</v>
      </c>
      <c r="G215">
        <v>1.0184882070612253</v>
      </c>
    </row>
    <row r="216" spans="2:7" x14ac:dyDescent="0.25">
      <c r="B216">
        <v>0.98674865327397232</v>
      </c>
      <c r="C216">
        <v>0.88783425870803923</v>
      </c>
      <c r="D216">
        <v>0.81655899628392237</v>
      </c>
      <c r="E216">
        <v>0.78673979200824362</v>
      </c>
      <c r="F216">
        <v>0.7801682720745402</v>
      </c>
      <c r="G216">
        <v>1.1102086237858517</v>
      </c>
    </row>
    <row r="217" spans="2:7" x14ac:dyDescent="0.25">
      <c r="B217">
        <v>0.71285499245877904</v>
      </c>
      <c r="C217">
        <v>0.87099831124178395</v>
      </c>
      <c r="D217">
        <v>0.72127099174596532</v>
      </c>
      <c r="E217">
        <v>0.5493789705569958</v>
      </c>
      <c r="F217">
        <v>0.87788157370936626</v>
      </c>
      <c r="G217">
        <v>1.146429904939009</v>
      </c>
    </row>
    <row r="218" spans="2:7" x14ac:dyDescent="0.25">
      <c r="B218">
        <v>0.9390749410917405</v>
      </c>
      <c r="C218">
        <v>1.0089692500212613</v>
      </c>
      <c r="D218">
        <v>0.66140588001923395</v>
      </c>
      <c r="E218">
        <v>0.80016501320927214</v>
      </c>
      <c r="F218">
        <v>0.72434863886236378</v>
      </c>
      <c r="G218">
        <v>1.0740626467515162</v>
      </c>
    </row>
    <row r="219" spans="2:7" x14ac:dyDescent="0.25">
      <c r="B219">
        <v>0.44648536868835176</v>
      </c>
      <c r="C219">
        <v>0.52121535280386144</v>
      </c>
      <c r="D219">
        <v>0.66481707781482358</v>
      </c>
      <c r="E219">
        <v>0.58688954795065562</v>
      </c>
      <c r="F219">
        <v>0.82905800119311601</v>
      </c>
      <c r="G219">
        <v>0.86750344882405295</v>
      </c>
    </row>
    <row r="220" spans="2:7" x14ac:dyDescent="0.25">
      <c r="B220">
        <v>0.57576790618499052</v>
      </c>
      <c r="C220">
        <v>0.65711637365805575</v>
      </c>
      <c r="D220">
        <v>0.79187714777120599</v>
      </c>
      <c r="E220">
        <v>0.61992505161063927</v>
      </c>
      <c r="F220">
        <v>0.62286441089498168</v>
      </c>
      <c r="G220">
        <v>0.63782588641837923</v>
      </c>
    </row>
    <row r="221" spans="2:7" x14ac:dyDescent="0.25">
      <c r="B221">
        <v>0.64532584469399068</v>
      </c>
      <c r="C221">
        <v>0.74232189302886487</v>
      </c>
      <c r="D221">
        <v>0.6028093955718542</v>
      </c>
      <c r="E221">
        <v>0.7766253977158698</v>
      </c>
      <c r="F221">
        <v>0.65839050634379803</v>
      </c>
      <c r="G221">
        <v>0.66229972503537726</v>
      </c>
    </row>
    <row r="222" spans="2:7" x14ac:dyDescent="0.25">
      <c r="B222">
        <v>0.51873453696109306</v>
      </c>
      <c r="C222">
        <v>0.58545817535875599</v>
      </c>
      <c r="D222">
        <v>0.6984497965762978</v>
      </c>
      <c r="E222">
        <v>0.69854809501286885</v>
      </c>
      <c r="F222">
        <v>0.54564311683049238</v>
      </c>
      <c r="G222">
        <v>0.54527712438671594</v>
      </c>
    </row>
    <row r="223" spans="2:7" x14ac:dyDescent="0.25">
      <c r="B223">
        <v>0.99394360793552738</v>
      </c>
      <c r="C223">
        <v>1.0956217662358598</v>
      </c>
      <c r="D223">
        <v>0.7676604625942518</v>
      </c>
      <c r="E223">
        <v>0.68923412041269727</v>
      </c>
      <c r="F223">
        <v>1.0568682613011213</v>
      </c>
      <c r="G223">
        <v>1.1431165237108614</v>
      </c>
    </row>
    <row r="224" spans="2:7" x14ac:dyDescent="0.25">
      <c r="B224">
        <v>0.78045663148491295</v>
      </c>
      <c r="C224">
        <v>0.89505011268767076</v>
      </c>
      <c r="D224">
        <v>0.68216907982462016</v>
      </c>
      <c r="E224">
        <v>0.51143180060395299</v>
      </c>
      <c r="F224">
        <v>0.4991515645462174</v>
      </c>
      <c r="G224">
        <v>0.52938795531537264</v>
      </c>
    </row>
    <row r="225" spans="2:7" x14ac:dyDescent="0.25">
      <c r="B225">
        <v>0.81352770492780813</v>
      </c>
      <c r="C225">
        <v>0.68271368031422353</v>
      </c>
      <c r="D225">
        <v>0.69464391473824327</v>
      </c>
      <c r="E225">
        <v>0.87696892094740586</v>
      </c>
      <c r="F225">
        <v>0.64754082356240905</v>
      </c>
      <c r="G225">
        <v>0.83060443060150213</v>
      </c>
    </row>
    <row r="226" spans="2:7" x14ac:dyDescent="0.25">
      <c r="B226">
        <v>0.46317616866539979</v>
      </c>
      <c r="C226">
        <v>0.52007452576626068</v>
      </c>
      <c r="D226">
        <v>0.63176228925838729</v>
      </c>
      <c r="E226">
        <v>0.59787712736179555</v>
      </c>
      <c r="F226">
        <v>0.55229185536420933</v>
      </c>
      <c r="G226">
        <v>0.61990350613885448</v>
      </c>
    </row>
    <row r="227" spans="2:7" x14ac:dyDescent="0.25">
      <c r="B227">
        <v>1.3388609302519201</v>
      </c>
      <c r="C227">
        <v>1.0298103065042643</v>
      </c>
      <c r="D227">
        <v>0.65086217774195709</v>
      </c>
      <c r="E227">
        <v>0.69687449020190051</v>
      </c>
      <c r="F227">
        <v>0.34272427834747243</v>
      </c>
      <c r="G227">
        <v>0.46643371198057154</v>
      </c>
    </row>
    <row r="228" spans="2:7" x14ac:dyDescent="0.25">
      <c r="B228">
        <v>0.98830237631537787</v>
      </c>
      <c r="C228">
        <v>0.73590474094236036</v>
      </c>
      <c r="D228">
        <v>0.72208855154821405</v>
      </c>
      <c r="E228">
        <v>1.0357794644229876</v>
      </c>
      <c r="F228">
        <v>0.47993307157064735</v>
      </c>
      <c r="G228">
        <v>0.71998268005267108</v>
      </c>
    </row>
    <row r="229" spans="2:7" x14ac:dyDescent="0.25">
      <c r="B229">
        <v>0.6402539116777094</v>
      </c>
      <c r="C229">
        <v>0.79658247900475243</v>
      </c>
      <c r="D229">
        <v>0.86120058065843563</v>
      </c>
      <c r="E229">
        <v>0.76385506535391579</v>
      </c>
      <c r="F229">
        <v>0.36427479155501785</v>
      </c>
      <c r="G229">
        <v>0.44625220813640087</v>
      </c>
    </row>
    <row r="230" spans="2:7" x14ac:dyDescent="0.25">
      <c r="B230">
        <v>0.56220824852921814</v>
      </c>
      <c r="C230">
        <v>0.59116231054675994</v>
      </c>
      <c r="D230">
        <v>0.88579785401919531</v>
      </c>
      <c r="E230">
        <v>0.77484264476505571</v>
      </c>
      <c r="F230">
        <v>0.78150794327163242</v>
      </c>
      <c r="G230">
        <v>1.022102804764659</v>
      </c>
    </row>
    <row r="231" spans="2:7" x14ac:dyDescent="0.25">
      <c r="B231">
        <v>0.6915942948629239</v>
      </c>
      <c r="C231">
        <v>0.61019986173672325</v>
      </c>
      <c r="D231">
        <v>0.85131938373815341</v>
      </c>
      <c r="E231">
        <v>0.73121977154003326</v>
      </c>
      <c r="F231">
        <v>0.44619320438462073</v>
      </c>
      <c r="G231">
        <v>0.59565557987832107</v>
      </c>
    </row>
    <row r="232" spans="2:7" x14ac:dyDescent="0.25">
      <c r="B232">
        <v>0.37307172599860711</v>
      </c>
      <c r="C232">
        <v>0.51173222805380492</v>
      </c>
      <c r="D232">
        <v>0.8341083403149514</v>
      </c>
      <c r="E232">
        <v>0.70818951403257779</v>
      </c>
      <c r="F232">
        <v>0.94082958082211987</v>
      </c>
      <c r="G232">
        <v>0.97774867877877636</v>
      </c>
    </row>
    <row r="233" spans="2:7" x14ac:dyDescent="0.25">
      <c r="B233">
        <v>0.67500700372294276</v>
      </c>
      <c r="C233">
        <v>0.82802652422862422</v>
      </c>
      <c r="D233">
        <v>0.9310032727400871</v>
      </c>
      <c r="E233">
        <v>0.89064882114140786</v>
      </c>
      <c r="F233">
        <v>0.54096253721596022</v>
      </c>
      <c r="G233">
        <v>0.74784520401663801</v>
      </c>
    </row>
    <row r="234" spans="2:7" x14ac:dyDescent="0.25">
      <c r="B234">
        <v>0.88254222204220678</v>
      </c>
      <c r="C234">
        <v>1.2054976702947862</v>
      </c>
      <c r="D234">
        <v>1.3400791868963078</v>
      </c>
      <c r="E234">
        <v>0.95897555668485401</v>
      </c>
      <c r="F234">
        <v>0.65519845028159052</v>
      </c>
      <c r="G234">
        <v>1.0346785926078548</v>
      </c>
    </row>
    <row r="235" spans="2:7" x14ac:dyDescent="0.25">
      <c r="B235">
        <v>1.2000038253265872</v>
      </c>
      <c r="C235">
        <v>1.2872094068629427</v>
      </c>
      <c r="D235">
        <v>0.92468832806064849</v>
      </c>
      <c r="E235">
        <v>0.97552969122812783</v>
      </c>
      <c r="F235">
        <v>0.4316552910235828</v>
      </c>
      <c r="G235">
        <v>0.6960359702674237</v>
      </c>
    </row>
    <row r="236" spans="2:7" x14ac:dyDescent="0.25">
      <c r="B236">
        <v>1.2767297508024746</v>
      </c>
      <c r="C236">
        <v>1.0941957324388589</v>
      </c>
      <c r="D236">
        <v>0.78743695229347577</v>
      </c>
      <c r="E236">
        <v>0.84600723194449168</v>
      </c>
      <c r="F236">
        <v>0.49141124207412895</v>
      </c>
      <c r="G236">
        <v>0.71282878876462541</v>
      </c>
    </row>
    <row r="237" spans="2:7" x14ac:dyDescent="0.25">
      <c r="B237">
        <v>0.88174002855493783</v>
      </c>
      <c r="C237">
        <v>0.90175247153357541</v>
      </c>
      <c r="D237">
        <v>0.66796045429588335</v>
      </c>
      <c r="E237">
        <v>0.72336110547113852</v>
      </c>
      <c r="F237">
        <v>0.61133662293975599</v>
      </c>
      <c r="G237">
        <v>0.94499138709140973</v>
      </c>
    </row>
    <row r="238" spans="2:7" x14ac:dyDescent="0.25">
      <c r="B238">
        <v>1.3330644353761703</v>
      </c>
      <c r="C238">
        <v>1.7758398874053316</v>
      </c>
      <c r="D238">
        <v>0.80597300643066705</v>
      </c>
      <c r="E238">
        <v>0.79994671692958064</v>
      </c>
      <c r="F238">
        <v>0.55981716887873978</v>
      </c>
      <c r="G238">
        <v>0.8446109967023071</v>
      </c>
    </row>
    <row r="239" spans="2:7" x14ac:dyDescent="0.25">
      <c r="B239">
        <v>1.1757310030343839</v>
      </c>
      <c r="C239">
        <v>1.1103812160348201</v>
      </c>
      <c r="D239">
        <v>0.63207239814889538</v>
      </c>
      <c r="E239">
        <v>0.64026298833523265</v>
      </c>
      <c r="F239">
        <v>0.43567430461485951</v>
      </c>
      <c r="G239">
        <v>0.53571350129638129</v>
      </c>
    </row>
    <row r="240" spans="2:7" x14ac:dyDescent="0.25">
      <c r="B240">
        <v>1.0154475688361893</v>
      </c>
      <c r="C240">
        <v>1.0966199898937605</v>
      </c>
      <c r="D240">
        <v>0.56007075211636814</v>
      </c>
      <c r="E240">
        <v>0.72874574703686268</v>
      </c>
      <c r="F240">
        <v>0.30757858336202804</v>
      </c>
      <c r="G240">
        <v>0.42095002421236599</v>
      </c>
    </row>
    <row r="241" spans="2:7" x14ac:dyDescent="0.25">
      <c r="B241">
        <v>0.79572418495229025</v>
      </c>
      <c r="C241">
        <v>0.8051386817867584</v>
      </c>
      <c r="D241">
        <v>0.74865924512129822</v>
      </c>
      <c r="E241">
        <v>0.85797714461424346</v>
      </c>
      <c r="F241">
        <v>0.47301970662762816</v>
      </c>
      <c r="G241">
        <v>0.82352584343227808</v>
      </c>
    </row>
    <row r="242" spans="2:7" x14ac:dyDescent="0.25">
      <c r="B242">
        <v>0.75882328453791736</v>
      </c>
      <c r="C242">
        <v>0.80906027472851116</v>
      </c>
      <c r="D242">
        <v>0.50019154453097736</v>
      </c>
      <c r="E242">
        <v>0.47035571730866504</v>
      </c>
      <c r="F242">
        <v>0.49291630477703507</v>
      </c>
      <c r="G242">
        <v>0.70846114987297659</v>
      </c>
    </row>
    <row r="243" spans="2:7" x14ac:dyDescent="0.25">
      <c r="B243">
        <v>1.1683042439748292</v>
      </c>
      <c r="C243">
        <v>0.8919128383342686</v>
      </c>
      <c r="D243">
        <v>0.68016746789497673</v>
      </c>
      <c r="E243">
        <v>0.69574662609016102</v>
      </c>
      <c r="F243">
        <v>0.42750396422765502</v>
      </c>
      <c r="G243">
        <v>0.63074729924915518</v>
      </c>
    </row>
    <row r="244" spans="2:7" x14ac:dyDescent="0.25">
      <c r="B244">
        <v>0.7243807190038849</v>
      </c>
      <c r="C244">
        <v>0.74203668626946462</v>
      </c>
      <c r="D244">
        <v>0.51421692389714113</v>
      </c>
      <c r="E244">
        <v>0.50299101112254752</v>
      </c>
      <c r="F244">
        <v>0.85542140721984461</v>
      </c>
      <c r="G244">
        <v>0.87797072134024601</v>
      </c>
    </row>
    <row r="245" spans="2:7" x14ac:dyDescent="0.25">
      <c r="B245">
        <v>0.8252759579349086</v>
      </c>
      <c r="C245">
        <v>0.89747437014257248</v>
      </c>
      <c r="D245">
        <v>0.44184878553946783</v>
      </c>
      <c r="E245">
        <v>0.45300116307318911</v>
      </c>
      <c r="F245">
        <v>0.48907922184215358</v>
      </c>
      <c r="G245">
        <v>0.71900372650799116</v>
      </c>
    </row>
    <row r="246" spans="2:7" x14ac:dyDescent="0.25">
      <c r="B246">
        <v>0.7784899635806406</v>
      </c>
      <c r="C246">
        <v>0.8770820868454583</v>
      </c>
      <c r="D246">
        <v>0.493242286211863</v>
      </c>
      <c r="E246">
        <v>0.45005416329735354</v>
      </c>
      <c r="F246">
        <v>0.61305669460022005</v>
      </c>
      <c r="G246">
        <v>0.89227850391633712</v>
      </c>
    </row>
    <row r="247" spans="2:7" x14ac:dyDescent="0.25">
      <c r="B247">
        <v>0.44959063380036068</v>
      </c>
      <c r="C247">
        <v>0.53576089753327161</v>
      </c>
      <c r="D247">
        <v>1.2735608298823109</v>
      </c>
      <c r="E247">
        <v>1.1290647412778312</v>
      </c>
      <c r="F247">
        <v>0.50444409273226076</v>
      </c>
      <c r="G247">
        <v>0.98972203367139999</v>
      </c>
    </row>
    <row r="248" spans="2:7" x14ac:dyDescent="0.25">
      <c r="B248">
        <v>0.76487855150633477</v>
      </c>
      <c r="C248">
        <v>0.72463907394605254</v>
      </c>
      <c r="D248">
        <v>1.8315453949170788</v>
      </c>
      <c r="E248">
        <v>1.8327064161501689</v>
      </c>
      <c r="F248">
        <v>0.71252314619667301</v>
      </c>
      <c r="G248">
        <v>0.89679675104562906</v>
      </c>
    </row>
    <row r="249" spans="2:7" x14ac:dyDescent="0.25">
      <c r="B249">
        <v>0.62498635821033222</v>
      </c>
      <c r="C249">
        <v>0.81490701329621518</v>
      </c>
      <c r="D249">
        <v>1.0704958900341142</v>
      </c>
      <c r="E249">
        <v>0.84207789891004425</v>
      </c>
      <c r="F249">
        <v>0.76217367624199261</v>
      </c>
      <c r="G249">
        <v>0.64942272071689522</v>
      </c>
    </row>
    <row r="250" spans="2:7" x14ac:dyDescent="0.25">
      <c r="B250">
        <v>0.57742404757806198</v>
      </c>
      <c r="C250">
        <v>0.69198289999472995</v>
      </c>
      <c r="D250">
        <v>1.4592596718620514</v>
      </c>
      <c r="E250">
        <v>1.5123202429895792</v>
      </c>
      <c r="F250">
        <v>1.3140851311428301</v>
      </c>
      <c r="G250">
        <v>1.2498977641997944</v>
      </c>
    </row>
    <row r="251" spans="2:7" x14ac:dyDescent="0.25">
      <c r="B251">
        <v>0.82825183700058391</v>
      </c>
      <c r="C251">
        <v>0.67087759979911532</v>
      </c>
      <c r="D251">
        <v>1.6055746847472576</v>
      </c>
      <c r="E251">
        <v>1.6699301569268579</v>
      </c>
      <c r="F251">
        <v>1.9835899466773192</v>
      </c>
      <c r="G251">
        <v>1.0928886764568995</v>
      </c>
    </row>
    <row r="252" spans="2:7" x14ac:dyDescent="0.25">
      <c r="B252">
        <v>0.38515638272617525</v>
      </c>
      <c r="C252">
        <v>0.46788168879602449</v>
      </c>
      <c r="D252">
        <v>1.1209590640349849</v>
      </c>
      <c r="E252">
        <v>0.93383510180704721</v>
      </c>
      <c r="F252">
        <v>1.2415278775422915</v>
      </c>
      <c r="G252">
        <v>0.89687205516445057</v>
      </c>
    </row>
    <row r="253" spans="2:7" x14ac:dyDescent="0.25">
      <c r="B253">
        <v>0.38158532784736493</v>
      </c>
      <c r="C253">
        <v>0.37404866495335942</v>
      </c>
      <c r="D253">
        <v>1.5538146917497166</v>
      </c>
      <c r="E253">
        <v>1.6923055255952386</v>
      </c>
      <c r="F253">
        <v>1.0838270767487799</v>
      </c>
      <c r="G253">
        <v>0.58707091033266634</v>
      </c>
    </row>
    <row r="254" spans="2:7" x14ac:dyDescent="0.25">
      <c r="B254">
        <v>0.54965780203484871</v>
      </c>
      <c r="C254">
        <v>0.47080505807987649</v>
      </c>
      <c r="D254">
        <v>1.5872641643486178</v>
      </c>
      <c r="E254">
        <v>1.1883321812140792</v>
      </c>
      <c r="F254">
        <v>1.1666882211615217</v>
      </c>
      <c r="G254">
        <v>1.2238425390875443</v>
      </c>
    </row>
    <row r="255" spans="2:7" x14ac:dyDescent="0.25">
      <c r="B255">
        <v>0.9496159484615998</v>
      </c>
      <c r="C255">
        <v>1.2246778248644494</v>
      </c>
      <c r="D255">
        <v>0.9961120438881379</v>
      </c>
      <c r="E255">
        <v>1.0015797139379827</v>
      </c>
      <c r="F255">
        <v>0.84864035548147654</v>
      </c>
      <c r="G255">
        <v>0.92375562558373769</v>
      </c>
    </row>
    <row r="256" spans="2:7" x14ac:dyDescent="0.25">
      <c r="B256">
        <v>1.1222686886892967</v>
      </c>
      <c r="C256">
        <v>1.0233218527279098</v>
      </c>
      <c r="D256">
        <v>0.94149059158272619</v>
      </c>
      <c r="E256">
        <v>0.96155872932787045</v>
      </c>
      <c r="F256">
        <v>2.1578960546545423</v>
      </c>
      <c r="G256">
        <v>2.2142423098283381</v>
      </c>
    </row>
    <row r="257" spans="2:7" x14ac:dyDescent="0.25">
      <c r="B257">
        <v>0.95670630380068689</v>
      </c>
      <c r="C257">
        <v>1.2179041643286947</v>
      </c>
      <c r="D257">
        <v>0.86964399999545283</v>
      </c>
      <c r="E257">
        <v>1.1446365425624931</v>
      </c>
      <c r="F257">
        <v>1.9992525222778914</v>
      </c>
      <c r="G257">
        <v>2.0512841966985418</v>
      </c>
    </row>
    <row r="258" spans="2:7" x14ac:dyDescent="0.25">
      <c r="B258">
        <v>1.3739504260176212</v>
      </c>
      <c r="C258">
        <v>1.4263903054502391</v>
      </c>
      <c r="D258">
        <v>1.2067323639778058</v>
      </c>
      <c r="E258">
        <v>1.4109943864994312</v>
      </c>
      <c r="F258">
        <v>2.153083161835359</v>
      </c>
      <c r="G258">
        <v>1.5742326039641343</v>
      </c>
    </row>
    <row r="259" spans="2:7" x14ac:dyDescent="0.25">
      <c r="B259">
        <v>1.2611257936146298</v>
      </c>
      <c r="C259">
        <v>1.2541967244623697</v>
      </c>
      <c r="D259">
        <v>1.3362169216236155</v>
      </c>
      <c r="E259">
        <v>1.8553728465248054</v>
      </c>
      <c r="F259">
        <v>1.8829657545401692</v>
      </c>
      <c r="G259">
        <v>1.8174649077576839</v>
      </c>
    </row>
    <row r="260" spans="2:7" x14ac:dyDescent="0.25">
      <c r="B260">
        <v>1.1582121323608003</v>
      </c>
      <c r="C260">
        <v>1.1294900689146334</v>
      </c>
      <c r="D260">
        <v>1.0948112462216846</v>
      </c>
      <c r="E260">
        <v>1.214527734777062</v>
      </c>
      <c r="F260">
        <v>1.6211840791379979</v>
      </c>
      <c r="G260">
        <v>0.31514773726811302</v>
      </c>
    </row>
    <row r="261" spans="2:7" x14ac:dyDescent="0.25">
      <c r="B261">
        <v>1.2616174605906978</v>
      </c>
      <c r="C261">
        <v>1.3112380763424094</v>
      </c>
      <c r="D261">
        <v>0.98280555331360664</v>
      </c>
      <c r="E261">
        <v>1.34048468815907</v>
      </c>
      <c r="F261">
        <v>1.4483995730142625</v>
      </c>
      <c r="G261">
        <v>1.4104461455273014</v>
      </c>
    </row>
    <row r="262" spans="2:7" x14ac:dyDescent="0.25">
      <c r="B262">
        <v>1.5795966080604131</v>
      </c>
      <c r="C262">
        <v>2.1793361502667614</v>
      </c>
      <c r="D262">
        <v>1.2604657771876715</v>
      </c>
      <c r="E262">
        <v>1.3381198117957451</v>
      </c>
      <c r="F262">
        <v>2.1539431976655909</v>
      </c>
      <c r="G262">
        <v>1.6785288085319567</v>
      </c>
    </row>
    <row r="263" spans="2:7" x14ac:dyDescent="0.25">
      <c r="B263">
        <v>1.2883486177632415</v>
      </c>
      <c r="C263">
        <v>1.3315590579496734</v>
      </c>
      <c r="D263">
        <v>1.2982144866777083</v>
      </c>
      <c r="E263">
        <v>0.63964448220944004</v>
      </c>
      <c r="F263">
        <v>1.7309544215466541</v>
      </c>
      <c r="G263">
        <v>1.6271713994956716</v>
      </c>
    </row>
    <row r="264" spans="2:7" x14ac:dyDescent="0.25">
      <c r="B264">
        <v>1.1847621490684765</v>
      </c>
      <c r="C264">
        <v>1.0579744739950336</v>
      </c>
      <c r="D264">
        <v>0.92484338250590259</v>
      </c>
      <c r="E264">
        <v>1.0689968816493809</v>
      </c>
      <c r="F264">
        <v>1.4187944934735823</v>
      </c>
      <c r="G264">
        <v>1.029332000171526</v>
      </c>
    </row>
    <row r="265" spans="2:7" x14ac:dyDescent="0.25">
      <c r="B265">
        <v>1.4962978714307733</v>
      </c>
      <c r="C265">
        <v>1.4963372631931378</v>
      </c>
      <c r="D265">
        <v>1.2308785698614626</v>
      </c>
      <c r="E265">
        <v>1.4205994228058583</v>
      </c>
      <c r="F265">
        <v>2.0952457522522532</v>
      </c>
      <c r="G265">
        <v>0.99536984258301497</v>
      </c>
    </row>
    <row r="266" spans="2:7" x14ac:dyDescent="0.25">
      <c r="B266">
        <v>1.7131488850860641</v>
      </c>
      <c r="C266">
        <v>2.0009393222619378</v>
      </c>
      <c r="D266">
        <v>1.609648387899842</v>
      </c>
      <c r="E266">
        <v>1.9931177990101554</v>
      </c>
      <c r="F266">
        <v>2.1012163856121338</v>
      </c>
      <c r="G266">
        <v>1.6128636169195805</v>
      </c>
    </row>
    <row r="267" spans="2:7" x14ac:dyDescent="0.25">
      <c r="B267">
        <v>1.3544648874397651</v>
      </c>
      <c r="C267">
        <v>1.9698517854873161</v>
      </c>
      <c r="D267">
        <v>1.3558101651602663</v>
      </c>
      <c r="E267">
        <v>0.51950876295253934</v>
      </c>
      <c r="F267">
        <v>1.4552137030537935</v>
      </c>
      <c r="G267">
        <v>1.17007539824897</v>
      </c>
    </row>
    <row r="268" spans="2:7" x14ac:dyDescent="0.25">
      <c r="B268">
        <v>1.8245761481886515</v>
      </c>
      <c r="C268">
        <v>1.5366940196482657</v>
      </c>
      <c r="D268">
        <v>1.0960093942077387</v>
      </c>
      <c r="E268">
        <v>0.66500323336693845</v>
      </c>
      <c r="F268">
        <v>1.9406708509186237</v>
      </c>
      <c r="G268">
        <v>2.2541534928037503</v>
      </c>
    </row>
    <row r="269" spans="2:7" x14ac:dyDescent="0.25">
      <c r="B269">
        <v>1.3984302659839583</v>
      </c>
      <c r="C269">
        <v>1.4118447607208291</v>
      </c>
      <c r="D269">
        <v>0.97644832105818968</v>
      </c>
      <c r="E269">
        <v>0.64957696293540423</v>
      </c>
      <c r="F269">
        <v>2.1438708549615271</v>
      </c>
      <c r="G269">
        <v>1.5304056068100025</v>
      </c>
    </row>
    <row r="270" spans="2:7" x14ac:dyDescent="0.25">
      <c r="B270">
        <v>1.5971154787339967</v>
      </c>
      <c r="C270">
        <v>1.3150883675943121</v>
      </c>
      <c r="D270">
        <v>1.3669458935012406</v>
      </c>
      <c r="E270">
        <v>1.5105011073254833</v>
      </c>
      <c r="F270">
        <v>1.8748450316047089</v>
      </c>
      <c r="G270">
        <v>1.5195618136997018</v>
      </c>
    </row>
    <row r="271" spans="2:7" x14ac:dyDescent="0.25">
      <c r="B271">
        <v>1.9275156866517478</v>
      </c>
      <c r="C271">
        <v>1.7830413580801867</v>
      </c>
      <c r="D271">
        <v>1.4520566880870669</v>
      </c>
      <c r="E271">
        <v>1.4031721031438185</v>
      </c>
      <c r="F271">
        <v>0.98733767225697622</v>
      </c>
      <c r="G271">
        <v>1.0643484154235385</v>
      </c>
    </row>
    <row r="272" spans="2:7" x14ac:dyDescent="0.25">
      <c r="B272">
        <v>1.6867023772154546</v>
      </c>
      <c r="C272">
        <v>1.334981539062476</v>
      </c>
      <c r="D272">
        <v>1.477711150847286</v>
      </c>
      <c r="E272">
        <v>1.4575278767870072</v>
      </c>
      <c r="F272">
        <v>1.7475431895797839</v>
      </c>
      <c r="G272">
        <v>1.523703540234886</v>
      </c>
    </row>
    <row r="273" spans="2:7" x14ac:dyDescent="0.25">
      <c r="B273">
        <v>1.2385091127154979</v>
      </c>
      <c r="C273">
        <v>0.95045152570115921</v>
      </c>
      <c r="D273">
        <v>1.5523346265904732</v>
      </c>
      <c r="E273">
        <v>1.3194554798821199</v>
      </c>
      <c r="F273">
        <v>0.96998810329710272</v>
      </c>
      <c r="G273">
        <v>1.223541322612258</v>
      </c>
    </row>
    <row r="274" spans="2:7" x14ac:dyDescent="0.25">
      <c r="B274">
        <v>1.3602355051062485</v>
      </c>
      <c r="C274">
        <v>1.143465200125243</v>
      </c>
      <c r="D274">
        <v>0.93284983022447643</v>
      </c>
      <c r="E274">
        <v>1.1603902574135645</v>
      </c>
      <c r="F274">
        <v>1.3959704656712701</v>
      </c>
      <c r="G274">
        <v>1.0473296845698723</v>
      </c>
    </row>
    <row r="275" spans="2:7" x14ac:dyDescent="0.25">
      <c r="B275">
        <v>1.513739110476557</v>
      </c>
      <c r="C275">
        <v>0.95815210820496455</v>
      </c>
      <c r="D275">
        <v>0.77706240032011231</v>
      </c>
      <c r="E275">
        <v>0.88668310539367856</v>
      </c>
      <c r="F275">
        <v>1.1079907757481842</v>
      </c>
      <c r="G275">
        <v>1.0169068205659733</v>
      </c>
    </row>
    <row r="276" spans="2:7" x14ac:dyDescent="0.25">
      <c r="B276">
        <v>1.3115087200569748</v>
      </c>
      <c r="C276">
        <v>0.9875284044231849</v>
      </c>
      <c r="D276">
        <v>1.4509994986876071</v>
      </c>
      <c r="E276">
        <v>1.5781365713165729</v>
      </c>
      <c r="F276">
        <v>1.0184808928017253</v>
      </c>
      <c r="G276">
        <v>0.64829315893457218</v>
      </c>
    </row>
    <row r="277" spans="2:7" x14ac:dyDescent="0.25">
      <c r="B277">
        <v>1.2141586587954947</v>
      </c>
      <c r="C277">
        <v>1.2286707194960522</v>
      </c>
      <c r="D277">
        <v>1.0832385462622671</v>
      </c>
      <c r="E277">
        <v>1.3423038238231659</v>
      </c>
      <c r="F277">
        <v>0.93299002344654314</v>
      </c>
      <c r="G277">
        <v>1.0614115547894989</v>
      </c>
    </row>
    <row r="278" spans="2:7" x14ac:dyDescent="0.25">
      <c r="B278">
        <v>0.51327444580581061</v>
      </c>
      <c r="C278">
        <v>0.42602759685404545</v>
      </c>
      <c r="D278">
        <v>1.2930835941256644</v>
      </c>
      <c r="E278">
        <v>1.0464032167013084</v>
      </c>
      <c r="F278">
        <v>1.0723819845464611</v>
      </c>
      <c r="G278">
        <v>1.1927419380142512</v>
      </c>
    </row>
    <row r="279" spans="2:7" x14ac:dyDescent="0.25">
      <c r="B279">
        <v>1.2156595369329657</v>
      </c>
      <c r="C279">
        <v>1.1295613706044834</v>
      </c>
      <c r="D279">
        <v>0.89449499881208283</v>
      </c>
      <c r="E279">
        <v>0.81300811099779002</v>
      </c>
      <c r="F279">
        <v>0.68582895715831671</v>
      </c>
      <c r="G279">
        <v>0.68752660484059058</v>
      </c>
    </row>
    <row r="280" spans="2:7" x14ac:dyDescent="0.25">
      <c r="B280">
        <v>1.1727810011779756</v>
      </c>
      <c r="C280">
        <v>1.1114507413825709</v>
      </c>
      <c r="D280">
        <v>0.68827258662416679</v>
      </c>
      <c r="E280">
        <v>1.0736902516627487</v>
      </c>
      <c r="F280">
        <v>0.83868378683148237</v>
      </c>
      <c r="G280">
        <v>0.60311068764165277</v>
      </c>
    </row>
    <row r="281" spans="2:7" x14ac:dyDescent="0.25">
      <c r="B281">
        <v>1.040160303685927</v>
      </c>
      <c r="C281">
        <v>0.7626428746361289</v>
      </c>
      <c r="D281">
        <v>0.62195157163140236</v>
      </c>
      <c r="E281">
        <v>0.64084511174774339</v>
      </c>
      <c r="F281">
        <v>0.87961818452041174</v>
      </c>
      <c r="G281">
        <v>1.0035026874157404</v>
      </c>
    </row>
    <row r="282" spans="2:7" x14ac:dyDescent="0.25">
      <c r="B282">
        <v>0.59188940755817021</v>
      </c>
      <c r="C282">
        <v>0.79686768576415268</v>
      </c>
      <c r="D282">
        <v>0.81591058678558714</v>
      </c>
      <c r="E282">
        <v>0.88853862377105641</v>
      </c>
      <c r="F282">
        <v>0.59676563127755522</v>
      </c>
      <c r="G282">
        <v>0.85018350149510047</v>
      </c>
    </row>
    <row r="283" spans="2:7" x14ac:dyDescent="0.25">
      <c r="B283">
        <v>0.69413026137106448</v>
      </c>
      <c r="C283">
        <v>0.61583269523487705</v>
      </c>
      <c r="D283">
        <v>0.75854835927180064</v>
      </c>
      <c r="E283">
        <v>0.68607893763087879</v>
      </c>
      <c r="F283">
        <v>0.59592847657200254</v>
      </c>
      <c r="G283">
        <v>0.47401828992952516</v>
      </c>
    </row>
    <row r="284" spans="2:7" x14ac:dyDescent="0.25">
      <c r="B284">
        <v>0.80889568446906146</v>
      </c>
      <c r="C284">
        <v>0.60478093330811944</v>
      </c>
      <c r="D284">
        <v>0.86913119992061416</v>
      </c>
      <c r="E284">
        <v>1.0047979427347653</v>
      </c>
      <c r="F284">
        <v>0.67787831877765625</v>
      </c>
      <c r="G284">
        <v>0.71760990049818218</v>
      </c>
    </row>
    <row r="285" spans="2:7" x14ac:dyDescent="0.25">
      <c r="B285">
        <v>0.76700048266620757</v>
      </c>
      <c r="C285">
        <v>0.83636882194108009</v>
      </c>
      <c r="D285">
        <v>0.56890452248370715</v>
      </c>
      <c r="E285">
        <v>0.5320941231919859</v>
      </c>
      <c r="F285">
        <v>0.60079003909846684</v>
      </c>
      <c r="G285">
        <v>1.1123963038335918</v>
      </c>
    </row>
    <row r="286" spans="2:7" x14ac:dyDescent="0.25">
      <c r="B286">
        <v>1.2362319183000248</v>
      </c>
      <c r="C286">
        <v>1.0144091414966536</v>
      </c>
      <c r="D286">
        <v>0.767940141711285</v>
      </c>
      <c r="E286">
        <v>0.60062139663337799</v>
      </c>
      <c r="F286">
        <v>0.81555033783918507</v>
      </c>
      <c r="G286">
        <v>0.81630650133203453</v>
      </c>
    </row>
    <row r="287" spans="2:7" x14ac:dyDescent="0.25">
      <c r="B287">
        <v>0.96107955216676622</v>
      </c>
      <c r="C287">
        <v>0.84107473347118333</v>
      </c>
      <c r="D287">
        <v>0.72600097530048413</v>
      </c>
      <c r="E287">
        <v>0.64318220812859561</v>
      </c>
      <c r="F287">
        <v>0.97641541634225359</v>
      </c>
      <c r="G287">
        <v>0.98930823536322265</v>
      </c>
    </row>
    <row r="288" spans="2:7" x14ac:dyDescent="0.25">
      <c r="B288">
        <v>0.78827154868346883</v>
      </c>
      <c r="C288">
        <v>1.0609691449687357</v>
      </c>
      <c r="D288">
        <v>0.98022681030031911</v>
      </c>
      <c r="E288">
        <v>0.67949494469239213</v>
      </c>
      <c r="F288">
        <v>0.9354327538978241</v>
      </c>
      <c r="G288">
        <v>0.69071467293871169</v>
      </c>
    </row>
    <row r="289" spans="2:7" x14ac:dyDescent="0.25">
      <c r="B289">
        <v>0.75679490890031853</v>
      </c>
      <c r="C289">
        <v>0.84141004017075272</v>
      </c>
      <c r="D289">
        <v>0.80983882630122594</v>
      </c>
      <c r="E289">
        <v>0.54744557611488598</v>
      </c>
      <c r="F289">
        <v>0.93374514142844645</v>
      </c>
      <c r="G289">
        <v>0.67536904760447936</v>
      </c>
    </row>
    <row r="290" spans="2:7" x14ac:dyDescent="0.25">
      <c r="B290">
        <v>0.88452940630770016</v>
      </c>
      <c r="C290">
        <v>0.98457663670942674</v>
      </c>
      <c r="D290">
        <v>0.8976708836268058</v>
      </c>
      <c r="E290">
        <v>1.0049659017382981</v>
      </c>
      <c r="F290">
        <v>0.6961633676431157</v>
      </c>
      <c r="G290">
        <v>0.90256506900024591</v>
      </c>
    </row>
    <row r="291" spans="2:7" x14ac:dyDescent="0.25">
      <c r="B291">
        <v>0.75551537936362112</v>
      </c>
      <c r="C291">
        <v>0.99052732654110753</v>
      </c>
      <c r="D291">
        <v>0.9522808599667385</v>
      </c>
      <c r="E291">
        <v>1.0902218919315596</v>
      </c>
      <c r="F291">
        <v>0.45909252240355991</v>
      </c>
      <c r="G291">
        <v>0.61148278634459619</v>
      </c>
    </row>
    <row r="292" spans="2:7" x14ac:dyDescent="0.25">
      <c r="B292">
        <v>0.91005758096668821</v>
      </c>
      <c r="C292">
        <v>1.199326531517438</v>
      </c>
      <c r="D292">
        <v>0.5974846880107586</v>
      </c>
      <c r="E292">
        <v>0.61745088878736698</v>
      </c>
      <c r="F292">
        <v>0.47547320123476744</v>
      </c>
      <c r="G292">
        <v>0.87058155514574065</v>
      </c>
    </row>
    <row r="293" spans="2:7" x14ac:dyDescent="0.25">
      <c r="B293">
        <v>0.60646579235710885</v>
      </c>
      <c r="C293">
        <v>0.87658911829333641</v>
      </c>
      <c r="D293">
        <v>0.75447318930524276</v>
      </c>
      <c r="E293">
        <v>0.65866802825432191</v>
      </c>
      <c r="F293">
        <v>0.46455790957503085</v>
      </c>
      <c r="G293">
        <v>0.67133072514810244</v>
      </c>
    </row>
    <row r="294" spans="2:7" x14ac:dyDescent="0.25">
      <c r="B294">
        <v>1.1049517750319455</v>
      </c>
      <c r="C294">
        <v>1.4419046523030152</v>
      </c>
      <c r="D294">
        <v>0.59876661233798711</v>
      </c>
      <c r="E294">
        <v>0.57428542487943124</v>
      </c>
      <c r="F294">
        <v>0.28294603557686016</v>
      </c>
      <c r="G294">
        <v>0.51682450796712076</v>
      </c>
    </row>
    <row r="295" spans="2:7" x14ac:dyDescent="0.25">
      <c r="B295">
        <v>0.83181903100326149</v>
      </c>
      <c r="C295">
        <v>0.73035966669423835</v>
      </c>
      <c r="D295">
        <v>0.38726259228557663</v>
      </c>
      <c r="E295">
        <v>0.36437026226410801</v>
      </c>
      <c r="F295">
        <v>0.72567336183241782</v>
      </c>
      <c r="G295">
        <v>0.98421994906818766</v>
      </c>
    </row>
    <row r="296" spans="2:7" x14ac:dyDescent="0.25">
      <c r="B296">
        <v>0.69506541076403694</v>
      </c>
      <c r="C296">
        <v>0.64153686994194359</v>
      </c>
      <c r="D296">
        <v>0.60556755824244135</v>
      </c>
      <c r="E296">
        <v>0.58936814339667887</v>
      </c>
      <c r="F296">
        <v>0.47276373167383989</v>
      </c>
      <c r="G296">
        <v>0.80992595185095895</v>
      </c>
    </row>
    <row r="297" spans="2:7" x14ac:dyDescent="0.25">
      <c r="B297">
        <v>0.71325969661512501</v>
      </c>
      <c r="C297">
        <v>0.75993809556347547</v>
      </c>
      <c r="D297">
        <v>0.71704099895017148</v>
      </c>
      <c r="E297">
        <v>0.75460621107227088</v>
      </c>
      <c r="F297">
        <v>0.57985745140490097</v>
      </c>
      <c r="G297">
        <v>0.96015154722818108</v>
      </c>
    </row>
    <row r="298" spans="2:7" x14ac:dyDescent="0.25">
      <c r="B298">
        <v>0.45217325505388517</v>
      </c>
      <c r="C298">
        <v>0.48891917778824701</v>
      </c>
      <c r="D298">
        <v>0.67048690496134822</v>
      </c>
      <c r="E298">
        <v>0.72403767242929695</v>
      </c>
      <c r="F298">
        <v>0.71325624990176706</v>
      </c>
      <c r="G298">
        <v>1.0115997753224233</v>
      </c>
    </row>
    <row r="299" spans="2:7" x14ac:dyDescent="0.25">
      <c r="B299">
        <v>0.46740277734433283</v>
      </c>
      <c r="C299">
        <v>0.64039923806235755</v>
      </c>
      <c r="D299">
        <v>0.60688996439052967</v>
      </c>
      <c r="E299">
        <v>0.52796233170507845</v>
      </c>
      <c r="F299">
        <v>0.68978450216253206</v>
      </c>
      <c r="G299">
        <v>0.79579182325363973</v>
      </c>
    </row>
    <row r="300" spans="2:7" x14ac:dyDescent="0.25">
      <c r="B300">
        <v>0.94073508180994647</v>
      </c>
      <c r="C300">
        <v>0.85077362564119163</v>
      </c>
      <c r="D300">
        <v>0.62611882929895668</v>
      </c>
      <c r="E300">
        <v>0.68500400000826878</v>
      </c>
      <c r="F300">
        <v>0.38657163426993402</v>
      </c>
      <c r="G300">
        <v>0.5343508274277966</v>
      </c>
    </row>
    <row r="301" spans="2:7" x14ac:dyDescent="0.25">
      <c r="B301">
        <v>0.83472137848894101</v>
      </c>
      <c r="C301">
        <v>0.65107547570154967</v>
      </c>
      <c r="D301">
        <v>0.8605355599580401</v>
      </c>
      <c r="E301">
        <v>0.79793963398373946</v>
      </c>
      <c r="F301">
        <v>0.46268450490718954</v>
      </c>
      <c r="G301">
        <v>0.57917620669358061</v>
      </c>
    </row>
    <row r="302" spans="2:7" x14ac:dyDescent="0.25">
      <c r="B302">
        <v>1.0793611842979967</v>
      </c>
      <c r="C302">
        <v>0.90861783121091266</v>
      </c>
      <c r="D302">
        <v>0.69562611571531274</v>
      </c>
      <c r="E302">
        <v>0.60082294743761744</v>
      </c>
      <c r="F302">
        <v>0.51527917975559412</v>
      </c>
      <c r="G302">
        <v>0.73949760821174515</v>
      </c>
    </row>
    <row r="303" spans="2:7" x14ac:dyDescent="0.25">
      <c r="B303">
        <v>0.36457229384633077</v>
      </c>
      <c r="C303">
        <v>0.49486986761992785</v>
      </c>
      <c r="D303">
        <v>0.7475777858187822</v>
      </c>
      <c r="E303">
        <v>0.60421571930898044</v>
      </c>
      <c r="F303">
        <v>0.6054038786936462</v>
      </c>
      <c r="G303">
        <v>0.86702783138412887</v>
      </c>
    </row>
    <row r="304" spans="2:7" x14ac:dyDescent="0.25">
      <c r="B304">
        <v>0.42205749888527455</v>
      </c>
      <c r="C304">
        <v>0.51788503564539934</v>
      </c>
      <c r="D304">
        <v>0.69979574326387695</v>
      </c>
      <c r="E304">
        <v>0.58678157474227333</v>
      </c>
      <c r="F304">
        <v>0.47747046736825116</v>
      </c>
      <c r="G304">
        <v>0.44728459526830983</v>
      </c>
    </row>
    <row r="305" spans="2:7" x14ac:dyDescent="0.25">
      <c r="B305">
        <v>0.85166734284081214</v>
      </c>
      <c r="C305">
        <v>0.75748781151513622</v>
      </c>
      <c r="D305">
        <v>1.1192413831330315</v>
      </c>
      <c r="E305">
        <v>0.77177162123332554</v>
      </c>
      <c r="F305">
        <v>0.51506242219071996</v>
      </c>
      <c r="G305">
        <v>0.53919681437544897</v>
      </c>
    </row>
    <row r="306" spans="2:7" x14ac:dyDescent="0.25">
      <c r="B306">
        <v>0.756389204413073</v>
      </c>
      <c r="C306">
        <v>0.71810824645254256</v>
      </c>
      <c r="D306">
        <v>1.0831990686274815</v>
      </c>
      <c r="E306">
        <v>0.78221867125306721</v>
      </c>
      <c r="F306">
        <v>0.66083188456862074</v>
      </c>
      <c r="G306">
        <v>0.90313043414413874</v>
      </c>
    </row>
    <row r="307" spans="2:7" x14ac:dyDescent="0.25">
      <c r="B307">
        <v>1.4563854850990172</v>
      </c>
      <c r="C307">
        <v>1.701809781716134</v>
      </c>
      <c r="D307">
        <v>0.71289835928218059</v>
      </c>
      <c r="E307">
        <v>0.60179710965810784</v>
      </c>
      <c r="F307">
        <v>0.68331274058271663</v>
      </c>
      <c r="G307">
        <v>1.0240378084880644</v>
      </c>
    </row>
    <row r="308" spans="2:7" x14ac:dyDescent="0.25">
      <c r="B308">
        <v>0.70062044143555269</v>
      </c>
      <c r="C308">
        <v>0.67181537996784901</v>
      </c>
      <c r="D308">
        <v>0.9172370970423982</v>
      </c>
      <c r="E308">
        <v>0.82780274481187555</v>
      </c>
      <c r="F308">
        <v>0.58427001611841156</v>
      </c>
      <c r="G308">
        <v>0.92033368780830449</v>
      </c>
    </row>
    <row r="309" spans="2:7" x14ac:dyDescent="0.25">
      <c r="B309">
        <v>0.44518265465826984</v>
      </c>
      <c r="C309">
        <v>0.44280133159272062</v>
      </c>
      <c r="D309">
        <v>0.51391671581574916</v>
      </c>
      <c r="E309">
        <v>0.40390781169573475</v>
      </c>
      <c r="F309">
        <v>0.53919992530778282</v>
      </c>
      <c r="G309">
        <v>0.60267924338969447</v>
      </c>
    </row>
    <row r="310" spans="2:7" x14ac:dyDescent="0.25">
      <c r="B310">
        <v>0.58970707623012042</v>
      </c>
      <c r="C310">
        <v>0.67190289011243254</v>
      </c>
      <c r="D310">
        <v>1.0768704106330589</v>
      </c>
      <c r="E310">
        <v>1.3651035971133789</v>
      </c>
      <c r="F310">
        <v>0.64386286377561186</v>
      </c>
      <c r="G310">
        <v>0.82276781726223769</v>
      </c>
    </row>
    <row r="311" spans="2:7" x14ac:dyDescent="0.25">
      <c r="B311">
        <v>0.53256515960346129</v>
      </c>
      <c r="C311">
        <v>0.60845803528936493</v>
      </c>
      <c r="D311">
        <v>0.74591803116352851</v>
      </c>
      <c r="E311">
        <v>0.60152837525245528</v>
      </c>
      <c r="F311">
        <v>0.84439457665065931</v>
      </c>
      <c r="G311">
        <v>0.77681170770866803</v>
      </c>
    </row>
    <row r="312" spans="2:7" x14ac:dyDescent="0.25">
      <c r="B312">
        <v>0.54476750225830761</v>
      </c>
      <c r="C312">
        <v>0.66131416261782405</v>
      </c>
      <c r="D312">
        <v>1.0345399199539462</v>
      </c>
      <c r="E312">
        <v>1.1123924803978922</v>
      </c>
      <c r="F312">
        <v>0.54867532742942648</v>
      </c>
      <c r="G312">
        <v>0.55211944623585518</v>
      </c>
    </row>
    <row r="313" spans="2:7" x14ac:dyDescent="0.25">
      <c r="B313">
        <v>0.75713819731260323</v>
      </c>
      <c r="C313">
        <v>0.83012123151947581</v>
      </c>
      <c r="D313">
        <v>0.60027793365008808</v>
      </c>
      <c r="E313">
        <v>0.72477669204484141</v>
      </c>
      <c r="F313">
        <v>1.0086813281420992</v>
      </c>
      <c r="G313">
        <v>0.99520418614953299</v>
      </c>
    </row>
    <row r="314" spans="2:7" x14ac:dyDescent="0.25">
      <c r="B314">
        <v>0.51153094234165453</v>
      </c>
      <c r="C314">
        <v>0.557264600707993</v>
      </c>
      <c r="D314">
        <v>0.73911708525907438</v>
      </c>
      <c r="E314">
        <v>0.68483604100473594</v>
      </c>
      <c r="F314">
        <v>1.3623987086503861</v>
      </c>
      <c r="G314">
        <v>1.483760436922015</v>
      </c>
    </row>
    <row r="315" spans="2:7" x14ac:dyDescent="0.25">
      <c r="B315">
        <v>0.97659311687495542</v>
      </c>
      <c r="C315">
        <v>0.83624694164032376</v>
      </c>
      <c r="D315">
        <v>0.7295903634167239</v>
      </c>
      <c r="E315">
        <v>0.70008671852551629</v>
      </c>
      <c r="F315">
        <v>1.2723669058115659</v>
      </c>
      <c r="G315">
        <v>1.7233944914834227</v>
      </c>
    </row>
    <row r="316" spans="2:7" x14ac:dyDescent="0.25">
      <c r="B316">
        <v>1.0025582040586694</v>
      </c>
      <c r="C316">
        <v>0.8151569967956902</v>
      </c>
      <c r="D316">
        <v>0.86852397260771652</v>
      </c>
      <c r="E316">
        <v>0.70112806434741981</v>
      </c>
      <c r="F316">
        <v>0.88424700322110183</v>
      </c>
      <c r="G316">
        <v>0.67948813650998385</v>
      </c>
    </row>
    <row r="317" spans="2:7" x14ac:dyDescent="0.25">
      <c r="B317">
        <v>1.2557490121373616</v>
      </c>
      <c r="C317">
        <v>1.060885482786275</v>
      </c>
      <c r="D317">
        <v>0.82940503971681834</v>
      </c>
      <c r="E317">
        <v>0.76619538231603579</v>
      </c>
      <c r="F317">
        <v>1.5177519519323679</v>
      </c>
      <c r="G317">
        <v>1.1976856741122728</v>
      </c>
    </row>
    <row r="318" spans="2:7" x14ac:dyDescent="0.25">
      <c r="B318">
        <v>0.88777504220566439</v>
      </c>
      <c r="C318">
        <v>0.94738482526142154</v>
      </c>
      <c r="D318">
        <v>0.73618890021687877</v>
      </c>
      <c r="E318">
        <v>0.70804797529297214</v>
      </c>
      <c r="F318">
        <v>1.3784697338174878</v>
      </c>
      <c r="G318">
        <v>1.127418863371314</v>
      </c>
    </row>
    <row r="319" spans="2:7" x14ac:dyDescent="0.25">
      <c r="B319">
        <v>0.84776633815575886</v>
      </c>
      <c r="C319">
        <v>1.0224685293141003</v>
      </c>
      <c r="D319">
        <v>0.76735990227896045</v>
      </c>
      <c r="E319">
        <v>0.69988516772127696</v>
      </c>
      <c r="F319">
        <v>1.601528750756247</v>
      </c>
      <c r="G319">
        <v>0.96007078077905361</v>
      </c>
    </row>
    <row r="320" spans="2:7" x14ac:dyDescent="0.25">
      <c r="B320">
        <v>0.74952343616737938</v>
      </c>
      <c r="C320">
        <v>0.74987442893636813</v>
      </c>
      <c r="D320">
        <v>0.90752146003603507</v>
      </c>
      <c r="E320">
        <v>0.95820611515475995</v>
      </c>
      <c r="F320">
        <v>1.5377400959504104</v>
      </c>
      <c r="G320">
        <v>1.4082438069877663</v>
      </c>
    </row>
    <row r="321" spans="2:7" x14ac:dyDescent="0.25">
      <c r="B321">
        <v>0.82407943770811598</v>
      </c>
      <c r="C321">
        <v>0.79581725484272747</v>
      </c>
      <c r="D321">
        <v>1.2433856337698934</v>
      </c>
      <c r="E321">
        <v>1.4381993554508639</v>
      </c>
      <c r="F321">
        <v>1.1041940008355957</v>
      </c>
      <c r="G321">
        <v>1.0418064272961229</v>
      </c>
    </row>
    <row r="322" spans="2:7" x14ac:dyDescent="0.25">
      <c r="B322">
        <v>0.53631012410111234</v>
      </c>
      <c r="C322">
        <v>0.50353337193369851</v>
      </c>
      <c r="D322">
        <v>0.86168254488240248</v>
      </c>
      <c r="E322">
        <v>0.91218534818676622</v>
      </c>
      <c r="F322">
        <v>1.113081060995438</v>
      </c>
      <c r="G322">
        <v>1.4041247180822618</v>
      </c>
    </row>
    <row r="323" spans="2:7" x14ac:dyDescent="0.25">
      <c r="B323">
        <v>0.50457154998351961</v>
      </c>
      <c r="C323">
        <v>0.51403458928372348</v>
      </c>
      <c r="D323">
        <v>1.2173423290167258</v>
      </c>
      <c r="E323">
        <v>1.5168713527056386</v>
      </c>
      <c r="F323">
        <v>0.83570879137248588</v>
      </c>
      <c r="G323">
        <v>1.1083579813772149</v>
      </c>
    </row>
    <row r="324" spans="2:7" x14ac:dyDescent="0.25">
      <c r="B324">
        <v>0.87710189338735889</v>
      </c>
      <c r="C324">
        <v>0.82723339674821894</v>
      </c>
      <c r="D324">
        <v>1.4278208096073535</v>
      </c>
      <c r="E324">
        <v>1.1941885151183775</v>
      </c>
      <c r="F324">
        <v>1.4063850116366439</v>
      </c>
      <c r="G324">
        <v>1.2474378067748366</v>
      </c>
    </row>
    <row r="325" spans="2:7" x14ac:dyDescent="0.25">
      <c r="B325">
        <v>0.61841847071211187</v>
      </c>
      <c r="C325">
        <v>0.64827515107487632</v>
      </c>
      <c r="D325">
        <v>0.9618480636299489</v>
      </c>
      <c r="E325">
        <v>0.83690612280335464</v>
      </c>
      <c r="F325">
        <v>2.2471101923676469</v>
      </c>
      <c r="G325">
        <v>1.5131594244044393</v>
      </c>
    </row>
    <row r="326" spans="2:7" x14ac:dyDescent="0.25">
      <c r="B326">
        <v>1.43678683756131</v>
      </c>
      <c r="C326">
        <v>1.3636705830453291</v>
      </c>
      <c r="D326">
        <v>1.1233165530995892</v>
      </c>
      <c r="E326">
        <v>1.4956077428583832</v>
      </c>
      <c r="F326">
        <v>1.4507119336534182</v>
      </c>
      <c r="G326">
        <v>1.1093271787667454</v>
      </c>
    </row>
    <row r="327" spans="2:7" x14ac:dyDescent="0.25">
      <c r="B327">
        <v>0.79911300772377558</v>
      </c>
      <c r="C327">
        <v>0.942921807887661</v>
      </c>
      <c r="D327">
        <v>1.2104469255302652</v>
      </c>
      <c r="E327">
        <v>1.5834838935067566</v>
      </c>
      <c r="F327">
        <v>2.0040630314108454</v>
      </c>
      <c r="G327">
        <v>2.2037933308940234</v>
      </c>
    </row>
    <row r="328" spans="2:7" x14ac:dyDescent="0.25">
      <c r="B328">
        <v>1.0937480895764728</v>
      </c>
      <c r="C328">
        <v>1.1998515923849391</v>
      </c>
      <c r="D328">
        <v>0.89261065601932499</v>
      </c>
      <c r="E328">
        <v>1.2826021345780558</v>
      </c>
      <c r="F328">
        <v>1.9527843846348913</v>
      </c>
      <c r="G328">
        <v>1.4489500973480458</v>
      </c>
    </row>
    <row r="329" spans="2:7" x14ac:dyDescent="0.25">
      <c r="B329">
        <v>1.6733125536254549</v>
      </c>
      <c r="C329">
        <v>1.912534209873302</v>
      </c>
      <c r="D329">
        <v>1.2953373038733629</v>
      </c>
      <c r="E329">
        <v>1.220625262274444</v>
      </c>
      <c r="F329">
        <v>1.9239401458234171</v>
      </c>
      <c r="G329">
        <v>2.2422381606787321</v>
      </c>
    </row>
    <row r="330" spans="2:7" x14ac:dyDescent="0.25">
      <c r="B330">
        <v>1.2102164854534208</v>
      </c>
      <c r="C330">
        <v>1.6899959121973558</v>
      </c>
      <c r="D330">
        <v>1.2679446050915337</v>
      </c>
      <c r="E330">
        <v>1.1138033360275679</v>
      </c>
      <c r="F330">
        <v>1.3701555329362416</v>
      </c>
      <c r="G330">
        <v>1.2092352763375107</v>
      </c>
    </row>
    <row r="331" spans="2:7" x14ac:dyDescent="0.25">
      <c r="B331">
        <v>1.7083591797159727</v>
      </c>
      <c r="C331">
        <v>0.65728869596698114</v>
      </c>
      <c r="D331">
        <v>0.90228581120482831</v>
      </c>
      <c r="E331">
        <v>0.9135290202150288</v>
      </c>
      <c r="F331">
        <v>1.6849184824999934</v>
      </c>
      <c r="G331">
        <v>2.0130229780547766</v>
      </c>
    </row>
    <row r="332" spans="2:7" x14ac:dyDescent="0.25">
      <c r="B332">
        <v>0.99728404572447749</v>
      </c>
      <c r="C332">
        <v>1.1588968447198416</v>
      </c>
      <c r="D332">
        <v>1.1011460092086802</v>
      </c>
      <c r="E332">
        <v>1.0016403134683483</v>
      </c>
      <c r="F332">
        <v>1.711409353464262</v>
      </c>
      <c r="G332">
        <v>1.1883167660134781</v>
      </c>
    </row>
    <row r="333" spans="2:7" x14ac:dyDescent="0.25">
      <c r="B333">
        <v>1.2431721730327501</v>
      </c>
      <c r="C333">
        <v>1.0658735610275369</v>
      </c>
      <c r="D333">
        <v>1.2140498075867916</v>
      </c>
      <c r="E333">
        <v>1.5382693297557204</v>
      </c>
      <c r="F333">
        <v>1.6916224843278884</v>
      </c>
      <c r="G333">
        <v>1.7431822715196696</v>
      </c>
    </row>
    <row r="334" spans="2:7" x14ac:dyDescent="0.25">
      <c r="B334">
        <v>1.6365494854735136</v>
      </c>
      <c r="C334">
        <v>1.2950626296918324</v>
      </c>
      <c r="D334">
        <v>0.66521077430928155</v>
      </c>
      <c r="E334">
        <v>0.90560135524827956</v>
      </c>
      <c r="F334">
        <v>0.77743197178773615</v>
      </c>
      <c r="G334">
        <v>0.83189442601364949</v>
      </c>
    </row>
    <row r="335" spans="2:7" x14ac:dyDescent="0.25">
      <c r="B335">
        <v>1.6526216247759327</v>
      </c>
      <c r="C335">
        <v>0.53101155733293059</v>
      </c>
      <c r="D335">
        <v>1.3984040197825318</v>
      </c>
      <c r="E335">
        <v>1.9541022307022855</v>
      </c>
      <c r="F335">
        <v>1.4679131946945068</v>
      </c>
      <c r="G335">
        <v>1.2019662959160322</v>
      </c>
    </row>
    <row r="336" spans="2:7" x14ac:dyDescent="0.25">
      <c r="B336">
        <v>1.7864416894919972</v>
      </c>
      <c r="C336">
        <v>1.9095588649574617</v>
      </c>
      <c r="D336">
        <v>1.4000637744377855</v>
      </c>
      <c r="E336">
        <v>1.4034990253209825</v>
      </c>
      <c r="F336">
        <v>1.0984499253664293</v>
      </c>
      <c r="G336">
        <v>0.80120317534518481</v>
      </c>
    </row>
    <row r="337" spans="2:7" x14ac:dyDescent="0.25">
      <c r="B337">
        <v>1.241486939008807</v>
      </c>
      <c r="C337">
        <v>1.5010615100414895</v>
      </c>
      <c r="D337">
        <v>1.1657010195398485</v>
      </c>
      <c r="E337">
        <v>1.3173360565086438</v>
      </c>
      <c r="F337">
        <v>1.383532571225621</v>
      </c>
      <c r="G337">
        <v>1.0577174177742479</v>
      </c>
    </row>
    <row r="338" spans="2:7" x14ac:dyDescent="0.25">
      <c r="B338">
        <v>1.2088745398417624</v>
      </c>
      <c r="C338">
        <v>1.1996765720957721</v>
      </c>
      <c r="D338">
        <v>1.2245345991894918</v>
      </c>
      <c r="E338">
        <v>0.69330117478279019</v>
      </c>
      <c r="F338">
        <v>1.5134168006348838</v>
      </c>
      <c r="G338">
        <v>1.3501727300650659</v>
      </c>
    </row>
    <row r="339" spans="2:7" x14ac:dyDescent="0.25">
      <c r="B339">
        <v>1.0437216054953506</v>
      </c>
      <c r="C339">
        <v>0.8775517298837554</v>
      </c>
      <c r="D339">
        <v>1.506369036015742</v>
      </c>
      <c r="E339">
        <v>1.931528540627474</v>
      </c>
      <c r="F339">
        <v>1.7499457519622541</v>
      </c>
      <c r="G339">
        <v>1.4669610155034871</v>
      </c>
    </row>
    <row r="340" spans="2:7" x14ac:dyDescent="0.25">
      <c r="B340">
        <v>1.3705009659528862</v>
      </c>
      <c r="C340">
        <v>1.32761640347691</v>
      </c>
      <c r="D340">
        <v>1.4068242385213798</v>
      </c>
      <c r="E340">
        <v>1.8100605892725359</v>
      </c>
      <c r="F340">
        <v>1.4373039299976282</v>
      </c>
      <c r="G340">
        <v>1.387809895358499</v>
      </c>
    </row>
    <row r="341" spans="2:7" x14ac:dyDescent="0.25">
      <c r="B341">
        <v>0.95371762540180349</v>
      </c>
      <c r="C341">
        <v>0.99525287434861887</v>
      </c>
      <c r="D341">
        <v>1.1975332246759742</v>
      </c>
      <c r="E341">
        <v>1.0634828185691338</v>
      </c>
      <c r="F341">
        <v>0.94096007180211627</v>
      </c>
      <c r="G341">
        <v>0.85741662393795182</v>
      </c>
    </row>
    <row r="342" spans="2:7" x14ac:dyDescent="0.25">
      <c r="B342">
        <v>1.6441954546562179</v>
      </c>
      <c r="C342">
        <v>1.6262885269405374</v>
      </c>
      <c r="D342">
        <v>0.78827550972321447</v>
      </c>
      <c r="E342">
        <v>0.86938939408660276</v>
      </c>
      <c r="F342">
        <v>0.85622334661950861</v>
      </c>
      <c r="G342">
        <v>0.75831619085846169</v>
      </c>
    </row>
    <row r="343" spans="2:7" x14ac:dyDescent="0.25">
      <c r="B343">
        <v>0.76163215470978451</v>
      </c>
      <c r="C343">
        <v>0.85322390968953077</v>
      </c>
      <c r="D343">
        <v>1.1760373777993958</v>
      </c>
      <c r="E343">
        <v>1.6494245982937432</v>
      </c>
      <c r="F343">
        <v>1.0861876402678317</v>
      </c>
      <c r="G343">
        <v>1.0047346271465825</v>
      </c>
    </row>
    <row r="344" spans="2:7" x14ac:dyDescent="0.25">
      <c r="B344">
        <v>1.4556052841620064</v>
      </c>
      <c r="C344">
        <v>1.1833996852032334</v>
      </c>
      <c r="D344">
        <v>1.5622204548620433</v>
      </c>
      <c r="E344">
        <v>1.4171372964078479</v>
      </c>
      <c r="F344">
        <v>0.75111141033872586</v>
      </c>
      <c r="G344">
        <v>0.55535010420095676</v>
      </c>
    </row>
    <row r="345" spans="2:7" x14ac:dyDescent="0.25">
      <c r="B345">
        <v>1.1609077862343484</v>
      </c>
      <c r="C345">
        <v>1.1157543434401556</v>
      </c>
      <c r="D345">
        <v>0.97889091021194419</v>
      </c>
      <c r="E345">
        <v>1.2377906724354986</v>
      </c>
      <c r="F345">
        <v>0.91575426354388767</v>
      </c>
      <c r="G345">
        <v>0.62230549052768636</v>
      </c>
    </row>
    <row r="346" spans="2:7" x14ac:dyDescent="0.25">
      <c r="B346">
        <v>1.1606581219345051</v>
      </c>
      <c r="C346">
        <v>1.3681336004190896</v>
      </c>
      <c r="D346">
        <v>1.4682486547060534</v>
      </c>
      <c r="E346">
        <v>1.3553619749084753</v>
      </c>
      <c r="F346">
        <v>0.90312039404836275</v>
      </c>
      <c r="G346">
        <v>0.55236174558323781</v>
      </c>
    </row>
    <row r="347" spans="2:7" x14ac:dyDescent="0.25">
      <c r="B347">
        <v>1.0117957831528754</v>
      </c>
      <c r="C347">
        <v>1.0332322770978759</v>
      </c>
      <c r="D347">
        <v>1.2867281699705024</v>
      </c>
      <c r="E347">
        <v>0.98551624912919711</v>
      </c>
      <c r="F347">
        <v>0.69289652148679737</v>
      </c>
      <c r="G347">
        <v>0.77455024713309695</v>
      </c>
    </row>
    <row r="348" spans="2:7" x14ac:dyDescent="0.25">
      <c r="B348">
        <v>1.4927428487637129</v>
      </c>
      <c r="C348">
        <v>1.942900230043791</v>
      </c>
      <c r="D348">
        <v>0.95676084814189488</v>
      </c>
      <c r="E348">
        <v>0.70085932994176725</v>
      </c>
      <c r="F348">
        <v>0.8041550830000842</v>
      </c>
      <c r="G348">
        <v>0.8104105505457242</v>
      </c>
    </row>
    <row r="349" spans="2:7" x14ac:dyDescent="0.25">
      <c r="B349">
        <v>1.7807306186330794</v>
      </c>
      <c r="C349">
        <v>1.7015472512823833</v>
      </c>
      <c r="D349">
        <v>1.3695674693900346</v>
      </c>
      <c r="E349">
        <v>1.2034598521133892</v>
      </c>
    </row>
    <row r="350" spans="2:7" x14ac:dyDescent="0.25">
      <c r="B350">
        <v>1.5369022217985149</v>
      </c>
      <c r="C350">
        <v>1.2738851747026154</v>
      </c>
      <c r="D350">
        <v>1.6840977235307539</v>
      </c>
      <c r="E350">
        <v>1.3289252277524088</v>
      </c>
    </row>
    <row r="351" spans="2:7" x14ac:dyDescent="0.25">
      <c r="B351">
        <v>1.6948460994869485</v>
      </c>
      <c r="C351">
        <v>1.4689452869793296</v>
      </c>
      <c r="D351">
        <v>1.2051842888184852</v>
      </c>
      <c r="E351">
        <v>1.0942529080163472</v>
      </c>
    </row>
    <row r="352" spans="2:7" x14ac:dyDescent="0.25">
      <c r="B352">
        <v>1.0816081629965872</v>
      </c>
      <c r="C352">
        <v>1.3029385427043512</v>
      </c>
      <c r="D352">
        <v>0.83380406425025488</v>
      </c>
      <c r="E352">
        <v>0.99038706023164902</v>
      </c>
    </row>
    <row r="353" spans="2:5" x14ac:dyDescent="0.25">
      <c r="B353">
        <v>0.99628538852510384</v>
      </c>
      <c r="C353">
        <v>0.91430599060884288</v>
      </c>
      <c r="D353">
        <v>0.87703864892857086</v>
      </c>
      <c r="E353">
        <v>0.4690759050664704</v>
      </c>
    </row>
    <row r="354" spans="2:5" x14ac:dyDescent="0.25">
      <c r="B354">
        <v>0.72549324730745179</v>
      </c>
      <c r="C354">
        <v>0.6113458700606218</v>
      </c>
      <c r="D354">
        <v>1.2151293228097209</v>
      </c>
      <c r="E354">
        <v>1.2393694870687071</v>
      </c>
    </row>
    <row r="355" spans="2:5" x14ac:dyDescent="0.25">
      <c r="B355">
        <v>1.2187050716480965</v>
      </c>
      <c r="C355">
        <v>1.3657708265153341</v>
      </c>
      <c r="D355">
        <v>1.3493535468406845</v>
      </c>
      <c r="E355">
        <v>1.2946279992310061</v>
      </c>
    </row>
    <row r="356" spans="2:5" x14ac:dyDescent="0.25">
      <c r="B356">
        <v>0.90091362598492353</v>
      </c>
      <c r="C356">
        <v>0.86477524877455825</v>
      </c>
      <c r="D356">
        <v>1.0202093553695606</v>
      </c>
      <c r="E356">
        <v>0.69195750275452761</v>
      </c>
    </row>
    <row r="357" spans="2:5" x14ac:dyDescent="0.25">
      <c r="B357">
        <v>1.2765959811742857</v>
      </c>
      <c r="C357">
        <v>1.0306069727603697</v>
      </c>
      <c r="D357">
        <v>1.0331635380447115</v>
      </c>
      <c r="E357">
        <v>1.0766508044461074</v>
      </c>
    </row>
    <row r="358" spans="2:5" x14ac:dyDescent="0.25">
      <c r="B358">
        <v>1.3830778050574977</v>
      </c>
      <c r="C358">
        <v>1.7866946219621693</v>
      </c>
      <c r="D358">
        <v>0.91395806955275072</v>
      </c>
      <c r="E358">
        <v>1.0499117310836819</v>
      </c>
    </row>
    <row r="359" spans="2:5" x14ac:dyDescent="0.25">
      <c r="B359">
        <v>0.87310726458986443</v>
      </c>
      <c r="C359">
        <v>0.88429001101668803</v>
      </c>
    </row>
    <row r="360" spans="2:5" x14ac:dyDescent="0.25">
      <c r="B360">
        <v>1.058264550961229</v>
      </c>
      <c r="C360">
        <v>0.87212610091957576</v>
      </c>
    </row>
    <row r="361" spans="2:5" x14ac:dyDescent="0.25">
      <c r="B361">
        <v>0.68414259764588792</v>
      </c>
      <c r="C361">
        <v>0.81130655043401434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A2" sqref="A2"/>
    </sheetView>
  </sheetViews>
  <sheetFormatPr defaultColWidth="8.85546875" defaultRowHeight="15" x14ac:dyDescent="0.25"/>
  <cols>
    <col min="1" max="1" width="11" bestFit="1" customWidth="1"/>
    <col min="7" max="7" width="13.42578125" bestFit="1" customWidth="1"/>
    <col min="20" max="20" width="23.140625" bestFit="1" customWidth="1"/>
  </cols>
  <sheetData>
    <row r="1" spans="1:13" x14ac:dyDescent="0.25">
      <c r="A1" s="2" t="s">
        <v>108</v>
      </c>
    </row>
    <row r="2" spans="1:13" x14ac:dyDescent="0.25">
      <c r="C2" s="140" t="s">
        <v>109</v>
      </c>
      <c r="D2" s="140"/>
      <c r="E2" s="140"/>
      <c r="G2" s="141" t="s">
        <v>73</v>
      </c>
      <c r="H2" s="141"/>
      <c r="I2" s="141"/>
      <c r="K2" s="142" t="s">
        <v>89</v>
      </c>
      <c r="L2" s="142"/>
      <c r="M2" s="142"/>
    </row>
    <row r="3" spans="1:13" x14ac:dyDescent="0.25">
      <c r="A3" s="134" t="s">
        <v>110</v>
      </c>
      <c r="B3" s="133" t="s">
        <v>111</v>
      </c>
      <c r="C3" t="s">
        <v>63</v>
      </c>
      <c r="D3" t="s">
        <v>71</v>
      </c>
      <c r="E3" t="s">
        <v>72</v>
      </c>
      <c r="G3" t="s">
        <v>76</v>
      </c>
      <c r="H3" t="s">
        <v>74</v>
      </c>
      <c r="I3" t="s">
        <v>75</v>
      </c>
      <c r="K3" t="s">
        <v>79</v>
      </c>
      <c r="L3" t="s">
        <v>78</v>
      </c>
      <c r="M3" t="s">
        <v>80</v>
      </c>
    </row>
    <row r="4" spans="1:13" x14ac:dyDescent="0.25">
      <c r="A4" s="134"/>
      <c r="B4">
        <v>1</v>
      </c>
      <c r="C4">
        <v>184</v>
      </c>
      <c r="D4">
        <v>463</v>
      </c>
      <c r="E4">
        <v>386</v>
      </c>
      <c r="G4">
        <v>537</v>
      </c>
      <c r="H4">
        <v>608</v>
      </c>
      <c r="I4">
        <v>705</v>
      </c>
      <c r="K4">
        <v>1273</v>
      </c>
      <c r="L4">
        <v>1521</v>
      </c>
      <c r="M4">
        <v>1099</v>
      </c>
    </row>
    <row r="5" spans="1:13" x14ac:dyDescent="0.25">
      <c r="A5" s="134"/>
      <c r="B5">
        <v>2</v>
      </c>
      <c r="C5">
        <v>496</v>
      </c>
      <c r="D5">
        <v>395</v>
      </c>
      <c r="E5">
        <v>394</v>
      </c>
      <c r="G5" s="126" t="s">
        <v>112</v>
      </c>
      <c r="H5">
        <v>827</v>
      </c>
      <c r="I5">
        <v>871</v>
      </c>
      <c r="K5">
        <v>1487</v>
      </c>
      <c r="L5">
        <v>1369</v>
      </c>
      <c r="M5">
        <v>1304</v>
      </c>
    </row>
    <row r="6" spans="1:13" x14ac:dyDescent="0.25">
      <c r="A6" s="134"/>
      <c r="B6">
        <v>3</v>
      </c>
      <c r="C6">
        <v>204</v>
      </c>
      <c r="D6">
        <v>257</v>
      </c>
      <c r="E6">
        <v>178</v>
      </c>
      <c r="G6">
        <v>943</v>
      </c>
      <c r="H6">
        <v>1090</v>
      </c>
      <c r="I6">
        <v>1133</v>
      </c>
      <c r="K6">
        <v>1290</v>
      </c>
      <c r="L6">
        <v>1231</v>
      </c>
      <c r="M6">
        <v>1039</v>
      </c>
    </row>
    <row r="7" spans="1:13" x14ac:dyDescent="0.25">
      <c r="A7" s="134"/>
      <c r="B7">
        <v>4</v>
      </c>
      <c r="C7">
        <v>348</v>
      </c>
      <c r="D7">
        <v>588</v>
      </c>
      <c r="E7">
        <v>183</v>
      </c>
      <c r="G7">
        <v>1011</v>
      </c>
      <c r="H7">
        <v>910</v>
      </c>
      <c r="I7">
        <v>1161</v>
      </c>
      <c r="K7">
        <v>1684</v>
      </c>
      <c r="L7">
        <v>1379</v>
      </c>
      <c r="M7">
        <v>1149</v>
      </c>
    </row>
    <row r="8" spans="1:13" x14ac:dyDescent="0.25">
      <c r="A8" s="134"/>
      <c r="B8">
        <v>5</v>
      </c>
      <c r="C8">
        <v>358</v>
      </c>
      <c r="D8">
        <v>447</v>
      </c>
      <c r="E8">
        <v>220</v>
      </c>
      <c r="G8">
        <v>924</v>
      </c>
      <c r="H8">
        <v>763</v>
      </c>
      <c r="I8">
        <v>833</v>
      </c>
      <c r="K8">
        <v>1402</v>
      </c>
      <c r="L8">
        <v>1056</v>
      </c>
      <c r="M8">
        <v>1134</v>
      </c>
    </row>
    <row r="9" spans="1:13" x14ac:dyDescent="0.25">
      <c r="A9" s="134"/>
      <c r="C9">
        <f>AVERAGE(C4:C8)</f>
        <v>318</v>
      </c>
      <c r="D9">
        <f t="shared" ref="D9:M9" si="0">AVERAGE(D4:D8)</f>
        <v>430</v>
      </c>
      <c r="E9">
        <f>AVERAGE(E4:E8)</f>
        <v>272.2</v>
      </c>
      <c r="G9">
        <f>AVERAGE(G4,G6:G8)</f>
        <v>853.75</v>
      </c>
      <c r="H9">
        <f>AVERAGE(H4:H8)</f>
        <v>839.6</v>
      </c>
      <c r="I9">
        <f>AVERAGE(I4:I8)</f>
        <v>940.6</v>
      </c>
      <c r="K9">
        <f>AVERAGE(K4:K8)</f>
        <v>1427.2</v>
      </c>
      <c r="L9">
        <f t="shared" si="0"/>
        <v>1311.2</v>
      </c>
      <c r="M9">
        <f t="shared" si="0"/>
        <v>1145</v>
      </c>
    </row>
    <row r="10" spans="1:13" x14ac:dyDescent="0.25">
      <c r="A10" s="134"/>
    </row>
    <row r="11" spans="1:13" x14ac:dyDescent="0.25">
      <c r="A11" s="134"/>
    </row>
    <row r="13" spans="1:13" ht="15" customHeight="1" x14ac:dyDescent="0.25">
      <c r="A13" s="143" t="s">
        <v>113</v>
      </c>
      <c r="C13" t="s">
        <v>63</v>
      </c>
      <c r="D13" t="s">
        <v>71</v>
      </c>
      <c r="E13" t="s">
        <v>72</v>
      </c>
      <c r="G13" t="s">
        <v>76</v>
      </c>
      <c r="H13" t="s">
        <v>74</v>
      </c>
      <c r="I13" t="s">
        <v>75</v>
      </c>
      <c r="K13" t="s">
        <v>79</v>
      </c>
      <c r="L13" t="s">
        <v>78</v>
      </c>
      <c r="M13" t="s">
        <v>80</v>
      </c>
    </row>
    <row r="14" spans="1:13" x14ac:dyDescent="0.25">
      <c r="A14" s="143"/>
      <c r="B14">
        <v>1</v>
      </c>
      <c r="C14" s="53">
        <v>19.843</v>
      </c>
      <c r="D14" s="53">
        <v>20.9</v>
      </c>
      <c r="E14">
        <v>20.94</v>
      </c>
      <c r="G14">
        <v>18.192</v>
      </c>
      <c r="H14">
        <v>40.219000000000001</v>
      </c>
      <c r="I14">
        <v>40.436</v>
      </c>
      <c r="K14">
        <v>35.338000000000001</v>
      </c>
      <c r="L14">
        <v>57.277999999999999</v>
      </c>
      <c r="M14" s="144">
        <v>39.283999999999999</v>
      </c>
    </row>
    <row r="15" spans="1:13" x14ac:dyDescent="0.25">
      <c r="A15" s="143"/>
      <c r="B15">
        <v>2</v>
      </c>
      <c r="C15" s="53">
        <v>20.673999999999999</v>
      </c>
      <c r="D15" s="53">
        <v>11.563000000000001</v>
      </c>
      <c r="E15">
        <v>19.454999999999998</v>
      </c>
      <c r="G15">
        <v>18.623000000000001</v>
      </c>
      <c r="H15">
        <v>43.805999999999997</v>
      </c>
      <c r="I15">
        <v>59.890999999999998</v>
      </c>
      <c r="K15">
        <v>35.04</v>
      </c>
      <c r="L15">
        <v>68.341999999999999</v>
      </c>
      <c r="M15" s="144">
        <v>47.765999999999998</v>
      </c>
    </row>
    <row r="16" spans="1:13" x14ac:dyDescent="0.25">
      <c r="A16" s="143"/>
      <c r="B16">
        <v>3</v>
      </c>
      <c r="C16" s="53">
        <v>21.140999999999998</v>
      </c>
      <c r="D16" s="53">
        <v>15.757</v>
      </c>
      <c r="E16">
        <v>16.577000000000002</v>
      </c>
      <c r="G16">
        <v>23.17</v>
      </c>
      <c r="H16">
        <v>43.805999999999997</v>
      </c>
      <c r="I16">
        <v>43.762</v>
      </c>
      <c r="K16">
        <v>43.399000000000001</v>
      </c>
      <c r="L16">
        <v>66.209000000000003</v>
      </c>
      <c r="M16" s="144">
        <v>45.319000000000003</v>
      </c>
    </row>
    <row r="17" spans="1:13" x14ac:dyDescent="0.25">
      <c r="A17" s="143"/>
      <c r="B17">
        <v>4</v>
      </c>
      <c r="C17" s="53">
        <v>27.603000000000002</v>
      </c>
      <c r="D17" s="53">
        <v>20.358000000000001</v>
      </c>
      <c r="E17">
        <v>21.285</v>
      </c>
      <c r="G17">
        <v>20.727</v>
      </c>
      <c r="H17">
        <v>47.585000000000001</v>
      </c>
      <c r="I17">
        <v>42.298000000000002</v>
      </c>
      <c r="K17">
        <v>45.843000000000004</v>
      </c>
      <c r="L17">
        <v>57.661999999999999</v>
      </c>
      <c r="M17" s="144">
        <v>27.538</v>
      </c>
    </row>
    <row r="18" spans="1:13" x14ac:dyDescent="0.25">
      <c r="A18" s="143"/>
      <c r="B18">
        <v>5</v>
      </c>
      <c r="C18" s="53">
        <v>25.166</v>
      </c>
      <c r="D18" s="53">
        <v>21.626000000000001</v>
      </c>
      <c r="E18">
        <v>16.472999999999999</v>
      </c>
      <c r="G18">
        <v>20.228999999999999</v>
      </c>
      <c r="H18">
        <v>41.615000000000002</v>
      </c>
      <c r="I18">
        <v>45.216999999999999</v>
      </c>
      <c r="K18">
        <v>49.167999999999999</v>
      </c>
      <c r="L18">
        <v>62.045000000000002</v>
      </c>
      <c r="M18" s="144">
        <v>25.576000000000001</v>
      </c>
    </row>
    <row r="19" spans="1:13" x14ac:dyDescent="0.25">
      <c r="A19" s="143"/>
      <c r="B19" t="s">
        <v>114</v>
      </c>
      <c r="C19">
        <f>AVERAGE(C14:C18)</f>
        <v>22.885399999999997</v>
      </c>
      <c r="D19">
        <f t="shared" ref="D19:E19" si="1">AVERAGE(D14:D18)</f>
        <v>18.040800000000001</v>
      </c>
      <c r="E19">
        <f t="shared" si="1"/>
        <v>18.945999999999998</v>
      </c>
      <c r="G19">
        <f>AVERAGE(G14:G18)</f>
        <v>20.188200000000002</v>
      </c>
      <c r="H19">
        <f>AVERAGE(H14:H18)</f>
        <v>43.406199999999998</v>
      </c>
      <c r="I19">
        <f>AVERAGE(I14:I18)</f>
        <v>46.320799999999998</v>
      </c>
      <c r="K19">
        <f t="shared" ref="K19" si="2">AVERAGE(K14:K18)</f>
        <v>41.757600000000004</v>
      </c>
      <c r="L19">
        <f>AVERAGE(L14:L18)</f>
        <v>62.307200000000002</v>
      </c>
      <c r="M19">
        <f>AVERAGE(M14:M18)</f>
        <v>37.096600000000002</v>
      </c>
    </row>
    <row r="20" spans="1:13" x14ac:dyDescent="0.25">
      <c r="A20" s="145"/>
    </row>
    <row r="21" spans="1:13" x14ac:dyDescent="0.25">
      <c r="A21" s="145"/>
    </row>
    <row r="23" spans="1:13" x14ac:dyDescent="0.25">
      <c r="A23" s="146"/>
    </row>
    <row r="24" spans="1:13" x14ac:dyDescent="0.25">
      <c r="A24" s="146"/>
      <c r="C24" s="53"/>
      <c r="D24" s="53"/>
      <c r="E24" s="53"/>
      <c r="M24" s="53"/>
    </row>
    <row r="25" spans="1:13" x14ac:dyDescent="0.25">
      <c r="A25" s="146"/>
      <c r="C25" s="53"/>
      <c r="D25" s="53"/>
      <c r="E25" s="53"/>
      <c r="M25" s="53"/>
    </row>
    <row r="26" spans="1:13" x14ac:dyDescent="0.25">
      <c r="A26" s="146"/>
      <c r="C26" s="53"/>
      <c r="D26" s="53"/>
      <c r="E26" s="53"/>
      <c r="M26" s="53"/>
    </row>
    <row r="27" spans="1:13" x14ac:dyDescent="0.25">
      <c r="A27" s="146"/>
      <c r="C27" s="53"/>
      <c r="D27" s="53"/>
      <c r="E27" s="53"/>
      <c r="M27" s="53"/>
    </row>
    <row r="28" spans="1:13" x14ac:dyDescent="0.25">
      <c r="A28" s="146"/>
      <c r="C28" s="53"/>
      <c r="D28" s="53"/>
      <c r="E28" s="53"/>
      <c r="M28" s="53"/>
    </row>
    <row r="29" spans="1:13" x14ac:dyDescent="0.25">
      <c r="A29" s="146"/>
      <c r="C29" s="53"/>
      <c r="D29" s="53"/>
      <c r="E29" s="53"/>
      <c r="G29" s="53"/>
      <c r="H29" s="53"/>
      <c r="I29" s="53"/>
      <c r="K29" s="53"/>
      <c r="L29" s="53"/>
      <c r="M29" s="53"/>
    </row>
    <row r="30" spans="1:13" x14ac:dyDescent="0.25">
      <c r="A30" s="146"/>
      <c r="H30" s="3"/>
      <c r="K30" s="3"/>
    </row>
    <row r="31" spans="1:13" x14ac:dyDescent="0.25">
      <c r="A31" s="146"/>
      <c r="H31" s="3"/>
      <c r="I31" s="3"/>
      <c r="K31" s="3"/>
    </row>
    <row r="32" spans="1:13" x14ac:dyDescent="0.25">
      <c r="H32" s="3"/>
      <c r="I32" s="3"/>
      <c r="K32" s="3"/>
    </row>
    <row r="33" spans="1:11" x14ac:dyDescent="0.25">
      <c r="A33" s="146"/>
    </row>
    <row r="34" spans="1:11" x14ac:dyDescent="0.25">
      <c r="A34" s="146"/>
      <c r="H34" s="53"/>
      <c r="I34" s="53"/>
      <c r="K34" s="53"/>
    </row>
    <row r="35" spans="1:11" x14ac:dyDescent="0.25">
      <c r="A35" s="146"/>
      <c r="H35" s="53"/>
      <c r="I35" s="53"/>
      <c r="K35" s="53"/>
    </row>
    <row r="36" spans="1:11" x14ac:dyDescent="0.25">
      <c r="A36" s="146"/>
      <c r="G36" s="53"/>
      <c r="H36" s="53"/>
      <c r="K36" s="53"/>
    </row>
    <row r="37" spans="1:11" x14ac:dyDescent="0.25">
      <c r="A37" s="146"/>
      <c r="G37" s="53"/>
      <c r="H37" s="53"/>
    </row>
    <row r="38" spans="1:11" x14ac:dyDescent="0.25">
      <c r="A38" s="146"/>
      <c r="G38" s="53"/>
      <c r="H38" s="53"/>
    </row>
    <row r="39" spans="1:11" x14ac:dyDescent="0.25">
      <c r="A39" s="146"/>
    </row>
    <row r="40" spans="1:11" x14ac:dyDescent="0.25">
      <c r="A40" s="146"/>
      <c r="G40" s="3"/>
      <c r="H40" s="3"/>
    </row>
    <row r="41" spans="1:11" x14ac:dyDescent="0.25">
      <c r="A41" s="146"/>
      <c r="G41" s="3"/>
      <c r="H41" s="3"/>
    </row>
    <row r="42" spans="1:11" x14ac:dyDescent="0.25">
      <c r="G42" s="3"/>
      <c r="H42" s="3"/>
    </row>
    <row r="43" spans="1:11" x14ac:dyDescent="0.25">
      <c r="A43" s="146"/>
    </row>
    <row r="44" spans="1:11" x14ac:dyDescent="0.25">
      <c r="A44" s="146"/>
      <c r="H44" s="53"/>
      <c r="I44" s="53"/>
      <c r="K44" s="53"/>
    </row>
    <row r="45" spans="1:11" x14ac:dyDescent="0.25">
      <c r="A45" s="146"/>
      <c r="H45" s="53"/>
      <c r="I45" s="53"/>
      <c r="K45" s="53"/>
    </row>
    <row r="46" spans="1:11" x14ac:dyDescent="0.25">
      <c r="A46" s="146"/>
      <c r="G46" s="53"/>
      <c r="H46" s="53"/>
      <c r="K46" s="53"/>
    </row>
    <row r="47" spans="1:11" x14ac:dyDescent="0.25">
      <c r="A47" s="146"/>
      <c r="G47" s="53"/>
      <c r="H47" s="53"/>
    </row>
    <row r="48" spans="1:11" x14ac:dyDescent="0.25">
      <c r="A48" s="146"/>
      <c r="G48" s="53"/>
      <c r="H48" s="53"/>
    </row>
    <row r="49" spans="1:11" x14ac:dyDescent="0.25">
      <c r="A49" s="146"/>
    </row>
    <row r="50" spans="1:11" x14ac:dyDescent="0.25">
      <c r="A50" s="146"/>
      <c r="G50" s="3"/>
      <c r="H50" s="3"/>
      <c r="I50" s="3"/>
    </row>
    <row r="51" spans="1:11" x14ac:dyDescent="0.25">
      <c r="A51" s="146"/>
      <c r="G51" s="3"/>
      <c r="H51" s="3"/>
      <c r="I51" s="3"/>
    </row>
    <row r="52" spans="1:11" x14ac:dyDescent="0.25">
      <c r="G52" s="3"/>
      <c r="H52" s="3"/>
      <c r="I52" s="3"/>
    </row>
    <row r="53" spans="1:11" x14ac:dyDescent="0.25">
      <c r="G53" s="3"/>
      <c r="H53" s="3"/>
      <c r="I53" s="3"/>
    </row>
    <row r="54" spans="1:11" x14ac:dyDescent="0.25">
      <c r="G54" s="3"/>
      <c r="H54" s="3"/>
      <c r="I54" s="3"/>
    </row>
    <row r="55" spans="1:11" x14ac:dyDescent="0.25">
      <c r="G55" s="3"/>
      <c r="H55" s="3"/>
      <c r="I55" s="3"/>
    </row>
    <row r="56" spans="1:11" x14ac:dyDescent="0.25">
      <c r="G56" s="3"/>
      <c r="I56" s="3"/>
    </row>
    <row r="57" spans="1:11" x14ac:dyDescent="0.25">
      <c r="G57" s="3"/>
      <c r="I57" s="3"/>
      <c r="K57" s="3"/>
    </row>
    <row r="58" spans="1:11" x14ac:dyDescent="0.25">
      <c r="G58" s="3"/>
      <c r="I58" s="3"/>
      <c r="J58" s="3"/>
      <c r="K58" s="3"/>
    </row>
    <row r="59" spans="1:11" x14ac:dyDescent="0.25">
      <c r="G59" s="3"/>
      <c r="I59" s="3"/>
      <c r="J59" s="3"/>
      <c r="K59" s="3"/>
    </row>
    <row r="60" spans="1:11" x14ac:dyDescent="0.25">
      <c r="I60" s="3"/>
      <c r="J60" s="3"/>
      <c r="K60" s="3"/>
    </row>
    <row r="61" spans="1:11" x14ac:dyDescent="0.25">
      <c r="I61" s="3"/>
      <c r="J61" s="3"/>
      <c r="K61" s="3"/>
    </row>
    <row r="62" spans="1:11" x14ac:dyDescent="0.25">
      <c r="J62" s="3"/>
      <c r="K62" s="3"/>
    </row>
    <row r="63" spans="1:11" x14ac:dyDescent="0.25">
      <c r="J63" s="3"/>
      <c r="K63" s="3"/>
    </row>
    <row r="64" spans="1:11" x14ac:dyDescent="0.25">
      <c r="J64" s="3"/>
      <c r="K64" s="3"/>
    </row>
    <row r="65" spans="10:11" x14ac:dyDescent="0.25">
      <c r="J65" s="3"/>
      <c r="K65" s="3"/>
    </row>
    <row r="66" spans="10:11" x14ac:dyDescent="0.25">
      <c r="J66" s="3"/>
      <c r="K66" s="3"/>
    </row>
    <row r="67" spans="10:11" x14ac:dyDescent="0.25">
      <c r="J67" s="3"/>
      <c r="K67" s="3"/>
    </row>
  </sheetData>
  <mergeCells count="5">
    <mergeCell ref="C2:E2"/>
    <mergeCell ref="G2:I2"/>
    <mergeCell ref="K2:M2"/>
    <mergeCell ref="A3:A11"/>
    <mergeCell ref="A13:A1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tabSelected="1" zoomScale="95" workbookViewId="0">
      <selection activeCell="A2" sqref="A2"/>
    </sheetView>
  </sheetViews>
  <sheetFormatPr defaultColWidth="11.42578125" defaultRowHeight="15" x14ac:dyDescent="0.25"/>
  <sheetData>
    <row r="3" spans="1:17" x14ac:dyDescent="0.25">
      <c r="A3" s="128" t="s">
        <v>90</v>
      </c>
      <c r="B3" s="137" t="s">
        <v>91</v>
      </c>
      <c r="C3" t="s">
        <v>92</v>
      </c>
      <c r="D3" t="s">
        <v>93</v>
      </c>
      <c r="E3" t="s">
        <v>61</v>
      </c>
      <c r="F3" t="s">
        <v>94</v>
      </c>
      <c r="G3" t="s">
        <v>95</v>
      </c>
      <c r="H3" t="s">
        <v>61</v>
      </c>
      <c r="J3" s="138" t="s">
        <v>96</v>
      </c>
      <c r="K3" s="137" t="s">
        <v>91</v>
      </c>
      <c r="L3" t="s">
        <v>92</v>
      </c>
      <c r="M3" t="s">
        <v>93</v>
      </c>
      <c r="N3" t="s">
        <v>61</v>
      </c>
      <c r="O3" t="s">
        <v>94</v>
      </c>
      <c r="P3" t="s">
        <v>95</v>
      </c>
      <c r="Q3" t="s">
        <v>61</v>
      </c>
    </row>
    <row r="4" spans="1:17" x14ac:dyDescent="0.25">
      <c r="B4" t="s">
        <v>97</v>
      </c>
      <c r="C4">
        <v>1</v>
      </c>
      <c r="D4">
        <v>22</v>
      </c>
      <c r="E4">
        <v>81</v>
      </c>
      <c r="F4">
        <v>22</v>
      </c>
      <c r="G4">
        <v>16</v>
      </c>
      <c r="H4">
        <v>103</v>
      </c>
      <c r="K4" t="s">
        <v>98</v>
      </c>
      <c r="L4">
        <v>1</v>
      </c>
      <c r="M4">
        <v>36</v>
      </c>
      <c r="N4">
        <v>116</v>
      </c>
      <c r="O4">
        <v>9</v>
      </c>
      <c r="P4">
        <v>6</v>
      </c>
      <c r="Q4">
        <v>78</v>
      </c>
    </row>
    <row r="5" spans="1:17" x14ac:dyDescent="0.25">
      <c r="C5">
        <v>6</v>
      </c>
      <c r="D5">
        <v>26</v>
      </c>
      <c r="E5">
        <v>105</v>
      </c>
      <c r="F5">
        <v>20</v>
      </c>
      <c r="G5">
        <v>32</v>
      </c>
      <c r="H5">
        <v>96</v>
      </c>
      <c r="L5">
        <v>6</v>
      </c>
      <c r="M5">
        <v>35</v>
      </c>
      <c r="N5">
        <v>108</v>
      </c>
      <c r="O5">
        <v>10</v>
      </c>
      <c r="P5">
        <v>26</v>
      </c>
      <c r="Q5">
        <v>80</v>
      </c>
    </row>
    <row r="6" spans="1:17" x14ac:dyDescent="0.25">
      <c r="C6">
        <v>10</v>
      </c>
      <c r="D6">
        <v>29</v>
      </c>
      <c r="E6">
        <v>110</v>
      </c>
      <c r="F6">
        <v>19</v>
      </c>
      <c r="G6">
        <v>67</v>
      </c>
      <c r="H6">
        <v>122</v>
      </c>
      <c r="L6">
        <v>10</v>
      </c>
      <c r="M6">
        <v>25</v>
      </c>
      <c r="N6">
        <v>79</v>
      </c>
      <c r="O6">
        <v>14</v>
      </c>
      <c r="P6">
        <v>24</v>
      </c>
      <c r="Q6">
        <v>101</v>
      </c>
    </row>
    <row r="7" spans="1:17" x14ac:dyDescent="0.25">
      <c r="C7" t="s">
        <v>11</v>
      </c>
      <c r="D7">
        <f>SUM(D4:D6)</f>
        <v>77</v>
      </c>
      <c r="E7">
        <f>SUM(E4:E6)</f>
        <v>296</v>
      </c>
      <c r="F7">
        <f t="shared" ref="F7:H7" si="0">SUM(F4:F6)</f>
        <v>61</v>
      </c>
      <c r="G7">
        <f t="shared" si="0"/>
        <v>115</v>
      </c>
      <c r="H7">
        <f t="shared" si="0"/>
        <v>321</v>
      </c>
      <c r="L7" t="s">
        <v>11</v>
      </c>
      <c r="M7">
        <f>SUM(M4:M6)</f>
        <v>96</v>
      </c>
      <c r="N7">
        <f>SUM(N4:N6)</f>
        <v>303</v>
      </c>
      <c r="O7">
        <f t="shared" ref="O7:Q7" si="1">SUM(O4:O6)</f>
        <v>33</v>
      </c>
      <c r="P7">
        <f t="shared" si="1"/>
        <v>56</v>
      </c>
      <c r="Q7">
        <f t="shared" si="1"/>
        <v>259</v>
      </c>
    </row>
    <row r="8" spans="1:17" x14ac:dyDescent="0.25">
      <c r="C8" t="s">
        <v>99</v>
      </c>
      <c r="D8">
        <f>(D7/E7)*100</f>
        <v>26.013513513513516</v>
      </c>
      <c r="F8">
        <f>(F7/H7)*100</f>
        <v>19.003115264797508</v>
      </c>
      <c r="G8">
        <f>(G7/H7)*100</f>
        <v>35.825545171339563</v>
      </c>
      <c r="L8" t="s">
        <v>99</v>
      </c>
      <c r="M8">
        <f>(M7/N7)*100</f>
        <v>31.683168316831683</v>
      </c>
      <c r="O8">
        <f>(O7/Q7)*100</f>
        <v>12.741312741312742</v>
      </c>
      <c r="P8">
        <f>(P7/Q7)*100</f>
        <v>21.621621621621621</v>
      </c>
    </row>
    <row r="9" spans="1:17" x14ac:dyDescent="0.25">
      <c r="B9" t="s">
        <v>100</v>
      </c>
      <c r="C9">
        <v>1</v>
      </c>
      <c r="D9">
        <v>30</v>
      </c>
      <c r="E9">
        <v>101</v>
      </c>
      <c r="F9">
        <v>10</v>
      </c>
      <c r="G9">
        <v>12</v>
      </c>
      <c r="H9">
        <v>16</v>
      </c>
      <c r="K9" t="s">
        <v>101</v>
      </c>
      <c r="L9">
        <v>1</v>
      </c>
      <c r="M9">
        <v>38</v>
      </c>
      <c r="N9">
        <v>136</v>
      </c>
      <c r="O9">
        <v>6</v>
      </c>
      <c r="P9">
        <v>27</v>
      </c>
      <c r="Q9">
        <v>100</v>
      </c>
    </row>
    <row r="10" spans="1:17" x14ac:dyDescent="0.25">
      <c r="C10">
        <v>6</v>
      </c>
      <c r="D10">
        <v>29</v>
      </c>
      <c r="E10">
        <v>138</v>
      </c>
      <c r="F10">
        <v>11</v>
      </c>
      <c r="G10">
        <v>32</v>
      </c>
      <c r="H10">
        <v>109</v>
      </c>
      <c r="L10">
        <v>6</v>
      </c>
      <c r="M10">
        <v>44</v>
      </c>
      <c r="N10">
        <v>138</v>
      </c>
      <c r="O10">
        <v>5</v>
      </c>
      <c r="P10">
        <v>18</v>
      </c>
      <c r="Q10">
        <v>83</v>
      </c>
    </row>
    <row r="11" spans="1:17" x14ac:dyDescent="0.25">
      <c r="C11">
        <v>10</v>
      </c>
      <c r="D11">
        <v>26</v>
      </c>
      <c r="E11">
        <v>115</v>
      </c>
      <c r="F11">
        <v>28</v>
      </c>
      <c r="G11">
        <v>64</v>
      </c>
      <c r="H11">
        <v>218</v>
      </c>
      <c r="L11">
        <v>10</v>
      </c>
      <c r="M11">
        <v>17</v>
      </c>
      <c r="N11">
        <v>69</v>
      </c>
      <c r="O11">
        <v>12</v>
      </c>
      <c r="P11">
        <v>22</v>
      </c>
      <c r="Q11">
        <v>152</v>
      </c>
    </row>
    <row r="12" spans="1:17" x14ac:dyDescent="0.25">
      <c r="C12" t="s">
        <v>11</v>
      </c>
      <c r="D12">
        <f>SUM(D9:D11)</f>
        <v>85</v>
      </c>
      <c r="E12">
        <f>SUM(E9:E11)</f>
        <v>354</v>
      </c>
      <c r="F12">
        <f t="shared" ref="F12:H12" si="2">SUM(F9:F11)</f>
        <v>49</v>
      </c>
      <c r="G12">
        <f t="shared" si="2"/>
        <v>108</v>
      </c>
      <c r="H12">
        <f t="shared" si="2"/>
        <v>343</v>
      </c>
      <c r="L12" t="s">
        <v>11</v>
      </c>
      <c r="M12">
        <f>SUM(M9:M11)</f>
        <v>99</v>
      </c>
      <c r="N12">
        <f>SUM(N9:N11)</f>
        <v>343</v>
      </c>
      <c r="O12">
        <f t="shared" ref="O12:Q12" si="3">SUM(O9:O11)</f>
        <v>23</v>
      </c>
      <c r="P12">
        <f t="shared" si="3"/>
        <v>67</v>
      </c>
      <c r="Q12">
        <f t="shared" si="3"/>
        <v>335</v>
      </c>
    </row>
    <row r="13" spans="1:17" x14ac:dyDescent="0.25">
      <c r="C13" t="s">
        <v>99</v>
      </c>
      <c r="D13">
        <f>(D12/E12)*100</f>
        <v>24.011299435028249</v>
      </c>
      <c r="F13">
        <f>(F12/H12)*100</f>
        <v>14.285714285714285</v>
      </c>
      <c r="G13">
        <f>(G12/H12)*100</f>
        <v>31.486880466472307</v>
      </c>
      <c r="L13" t="s">
        <v>99</v>
      </c>
      <c r="M13">
        <f>(M12/N12)*100</f>
        <v>28.862973760932949</v>
      </c>
      <c r="O13">
        <f>(O12/Q12)*100</f>
        <v>6.8656716417910451</v>
      </c>
      <c r="P13">
        <f>(P12/Q12)*100</f>
        <v>20</v>
      </c>
    </row>
    <row r="14" spans="1:17" x14ac:dyDescent="0.25">
      <c r="B14" t="s">
        <v>102</v>
      </c>
      <c r="C14">
        <v>1</v>
      </c>
      <c r="D14">
        <v>19</v>
      </c>
      <c r="E14">
        <v>74</v>
      </c>
      <c r="F14">
        <v>15</v>
      </c>
      <c r="G14">
        <v>27</v>
      </c>
      <c r="H14">
        <v>86</v>
      </c>
      <c r="K14" t="s">
        <v>103</v>
      </c>
      <c r="L14">
        <v>1</v>
      </c>
      <c r="M14">
        <v>20</v>
      </c>
      <c r="N14">
        <v>72</v>
      </c>
      <c r="O14">
        <v>15</v>
      </c>
      <c r="P14">
        <v>22</v>
      </c>
      <c r="Q14">
        <v>146</v>
      </c>
    </row>
    <row r="15" spans="1:17" x14ac:dyDescent="0.25">
      <c r="C15">
        <v>6</v>
      </c>
      <c r="D15">
        <v>40</v>
      </c>
      <c r="E15">
        <v>164</v>
      </c>
      <c r="F15">
        <v>21</v>
      </c>
      <c r="G15">
        <v>30</v>
      </c>
      <c r="H15">
        <v>151</v>
      </c>
      <c r="L15">
        <v>6</v>
      </c>
      <c r="M15">
        <v>29</v>
      </c>
      <c r="N15">
        <v>103</v>
      </c>
      <c r="O15">
        <v>9</v>
      </c>
      <c r="P15">
        <v>25</v>
      </c>
      <c r="Q15">
        <v>89</v>
      </c>
    </row>
    <row r="16" spans="1:17" x14ac:dyDescent="0.25">
      <c r="C16">
        <v>10</v>
      </c>
      <c r="D16">
        <v>32</v>
      </c>
      <c r="E16">
        <v>117</v>
      </c>
      <c r="F16">
        <v>22</v>
      </c>
      <c r="G16">
        <v>40</v>
      </c>
      <c r="H16">
        <v>140</v>
      </c>
      <c r="L16">
        <v>10</v>
      </c>
      <c r="M16">
        <v>38</v>
      </c>
      <c r="N16">
        <v>143</v>
      </c>
      <c r="O16">
        <v>23</v>
      </c>
      <c r="P16">
        <v>30</v>
      </c>
      <c r="Q16">
        <v>168</v>
      </c>
    </row>
    <row r="17" spans="1:17" x14ac:dyDescent="0.25">
      <c r="C17" t="s">
        <v>11</v>
      </c>
      <c r="D17">
        <f>SUM(D14:D16)</f>
        <v>91</v>
      </c>
      <c r="E17">
        <f>SUM(E14:E16)</f>
        <v>355</v>
      </c>
      <c r="F17">
        <f t="shared" ref="F17:H17" si="4">SUM(F14:F16)</f>
        <v>58</v>
      </c>
      <c r="G17">
        <f t="shared" si="4"/>
        <v>97</v>
      </c>
      <c r="H17">
        <f t="shared" si="4"/>
        <v>377</v>
      </c>
      <c r="L17" t="s">
        <v>11</v>
      </c>
      <c r="M17">
        <f>SUM(M14:M16)</f>
        <v>87</v>
      </c>
      <c r="N17">
        <f>SUM(N14:N16)</f>
        <v>318</v>
      </c>
      <c r="O17">
        <f t="shared" ref="O17:Q17" si="5">SUM(O14:O16)</f>
        <v>47</v>
      </c>
      <c r="P17">
        <f t="shared" si="5"/>
        <v>77</v>
      </c>
      <c r="Q17">
        <f t="shared" si="5"/>
        <v>403</v>
      </c>
    </row>
    <row r="18" spans="1:17" x14ac:dyDescent="0.25">
      <c r="C18" t="s">
        <v>99</v>
      </c>
      <c r="D18">
        <f>(D17/E17)*100</f>
        <v>25.633802816901408</v>
      </c>
      <c r="F18">
        <f>(F17/H17)*100</f>
        <v>15.384615384615385</v>
      </c>
      <c r="G18">
        <f>(G17/H17)*100</f>
        <v>25.72944297082228</v>
      </c>
      <c r="L18" t="s">
        <v>99</v>
      </c>
      <c r="M18">
        <f>(M17/N17)*100</f>
        <v>27.358490566037734</v>
      </c>
      <c r="O18">
        <f>(O17/Q17)*100</f>
        <v>11.662531017369728</v>
      </c>
      <c r="P18">
        <f>(P17/Q17)*100</f>
        <v>19.106699751861044</v>
      </c>
    </row>
    <row r="20" spans="1:17" x14ac:dyDescent="0.25">
      <c r="A20" s="139" t="s">
        <v>104</v>
      </c>
      <c r="B20" s="137" t="s">
        <v>91</v>
      </c>
      <c r="C20" t="s">
        <v>92</v>
      </c>
      <c r="D20" t="s">
        <v>93</v>
      </c>
      <c r="E20" t="s">
        <v>61</v>
      </c>
      <c r="F20" t="s">
        <v>94</v>
      </c>
      <c r="G20" t="s">
        <v>95</v>
      </c>
      <c r="H20" t="s">
        <v>61</v>
      </c>
    </row>
    <row r="21" spans="1:17" x14ac:dyDescent="0.25">
      <c r="B21" t="s">
        <v>105</v>
      </c>
      <c r="C21">
        <v>1</v>
      </c>
      <c r="D21">
        <v>27</v>
      </c>
      <c r="E21">
        <v>134</v>
      </c>
      <c r="F21">
        <v>65</v>
      </c>
      <c r="G21">
        <v>78</v>
      </c>
      <c r="H21">
        <v>311</v>
      </c>
    </row>
    <row r="22" spans="1:17" x14ac:dyDescent="0.25">
      <c r="C22">
        <v>6</v>
      </c>
      <c r="D22">
        <v>41</v>
      </c>
      <c r="E22">
        <v>165</v>
      </c>
      <c r="F22">
        <v>27</v>
      </c>
      <c r="G22">
        <v>36</v>
      </c>
      <c r="H22">
        <v>171</v>
      </c>
    </row>
    <row r="23" spans="1:17" x14ac:dyDescent="0.25">
      <c r="C23">
        <v>10</v>
      </c>
      <c r="D23">
        <v>29</v>
      </c>
      <c r="E23">
        <v>96</v>
      </c>
      <c r="F23">
        <v>16</v>
      </c>
      <c r="G23">
        <v>24</v>
      </c>
      <c r="H23">
        <v>134</v>
      </c>
    </row>
    <row r="24" spans="1:17" x14ac:dyDescent="0.25">
      <c r="C24" t="s">
        <v>11</v>
      </c>
      <c r="D24">
        <f>SUM(D21:D23)</f>
        <v>97</v>
      </c>
      <c r="E24">
        <f>SUM(E21:E23)</f>
        <v>395</v>
      </c>
      <c r="F24">
        <f t="shared" ref="F24:H24" si="6">SUM(F21:F23)</f>
        <v>108</v>
      </c>
      <c r="G24">
        <f t="shared" si="6"/>
        <v>138</v>
      </c>
      <c r="H24">
        <f t="shared" si="6"/>
        <v>616</v>
      </c>
    </row>
    <row r="25" spans="1:17" x14ac:dyDescent="0.25">
      <c r="C25" t="s">
        <v>99</v>
      </c>
      <c r="D25">
        <f>(D24/E24)*100</f>
        <v>24.556962025316455</v>
      </c>
      <c r="F25">
        <f>(F24/H24)*100</f>
        <v>17.532467532467532</v>
      </c>
      <c r="G25">
        <f>(G24/H24)*100</f>
        <v>22.402597402597401</v>
      </c>
    </row>
    <row r="26" spans="1:17" x14ac:dyDescent="0.25">
      <c r="B26" t="s">
        <v>106</v>
      </c>
      <c r="C26">
        <v>1</v>
      </c>
      <c r="D26">
        <v>30</v>
      </c>
      <c r="E26">
        <v>90</v>
      </c>
      <c r="F26">
        <v>19</v>
      </c>
      <c r="G26">
        <v>20</v>
      </c>
      <c r="H26">
        <v>82</v>
      </c>
    </row>
    <row r="27" spans="1:17" x14ac:dyDescent="0.25">
      <c r="C27">
        <v>6</v>
      </c>
      <c r="D27">
        <v>25</v>
      </c>
      <c r="E27">
        <v>128</v>
      </c>
      <c r="F27">
        <v>19</v>
      </c>
      <c r="G27">
        <v>30</v>
      </c>
      <c r="H27">
        <v>127</v>
      </c>
    </row>
    <row r="28" spans="1:17" x14ac:dyDescent="0.25">
      <c r="C28">
        <v>10</v>
      </c>
      <c r="D28">
        <v>26</v>
      </c>
      <c r="E28">
        <v>151</v>
      </c>
      <c r="F28">
        <v>27</v>
      </c>
      <c r="G28">
        <v>27</v>
      </c>
      <c r="H28">
        <v>113</v>
      </c>
    </row>
    <row r="29" spans="1:17" x14ac:dyDescent="0.25">
      <c r="C29" t="s">
        <v>11</v>
      </c>
      <c r="D29">
        <f>SUM(D26:D28)</f>
        <v>81</v>
      </c>
      <c r="E29">
        <f>SUM(E26:E28)</f>
        <v>369</v>
      </c>
      <c r="F29">
        <f t="shared" ref="F29:H29" si="7">SUM(F26:F28)</f>
        <v>65</v>
      </c>
      <c r="G29">
        <f t="shared" si="7"/>
        <v>77</v>
      </c>
      <c r="H29">
        <f t="shared" si="7"/>
        <v>322</v>
      </c>
    </row>
    <row r="30" spans="1:17" x14ac:dyDescent="0.25">
      <c r="C30" t="s">
        <v>99</v>
      </c>
      <c r="D30">
        <f>(D29/E29)*100</f>
        <v>21.951219512195124</v>
      </c>
      <c r="F30">
        <f>(F29/H29)*100</f>
        <v>20.186335403726709</v>
      </c>
      <c r="G30">
        <f>(G29/H29)*100</f>
        <v>23.913043478260871</v>
      </c>
    </row>
    <row r="31" spans="1:17" x14ac:dyDescent="0.25">
      <c r="B31" t="s">
        <v>107</v>
      </c>
      <c r="C31">
        <v>1</v>
      </c>
      <c r="D31">
        <v>15</v>
      </c>
      <c r="E31">
        <v>62</v>
      </c>
      <c r="F31">
        <v>42</v>
      </c>
      <c r="G31">
        <v>39</v>
      </c>
      <c r="H31">
        <v>221</v>
      </c>
    </row>
    <row r="32" spans="1:17" x14ac:dyDescent="0.25">
      <c r="C32">
        <v>6</v>
      </c>
      <c r="D32">
        <v>22</v>
      </c>
      <c r="E32">
        <v>100</v>
      </c>
      <c r="F32">
        <v>19</v>
      </c>
      <c r="G32">
        <v>41</v>
      </c>
      <c r="H32">
        <v>137</v>
      </c>
    </row>
    <row r="33" spans="3:8" x14ac:dyDescent="0.25">
      <c r="C33">
        <v>10</v>
      </c>
      <c r="D33">
        <v>38</v>
      </c>
      <c r="E33">
        <v>152</v>
      </c>
      <c r="F33">
        <v>10</v>
      </c>
      <c r="G33">
        <v>31</v>
      </c>
      <c r="H33">
        <v>117</v>
      </c>
    </row>
    <row r="34" spans="3:8" x14ac:dyDescent="0.25">
      <c r="C34" t="s">
        <v>11</v>
      </c>
      <c r="D34">
        <f>SUM(D31:D33)</f>
        <v>75</v>
      </c>
      <c r="E34">
        <f>SUM(E31:E33)</f>
        <v>314</v>
      </c>
      <c r="F34">
        <f t="shared" ref="F34:H34" si="8">SUM(F31:F33)</f>
        <v>71</v>
      </c>
      <c r="G34">
        <f t="shared" si="8"/>
        <v>111</v>
      </c>
      <c r="H34">
        <f t="shared" si="8"/>
        <v>475</v>
      </c>
    </row>
    <row r="35" spans="3:8" x14ac:dyDescent="0.25">
      <c r="C35" t="s">
        <v>99</v>
      </c>
      <c r="D35">
        <f>(D34/E34)*100</f>
        <v>23.885350318471339</v>
      </c>
      <c r="F35">
        <f>(F34/H34)*100</f>
        <v>14.947368421052632</v>
      </c>
      <c r="G35">
        <f>(G34/H34)*100</f>
        <v>23.368421052631579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3"/>
  <sheetViews>
    <sheetView zoomScale="91" workbookViewId="0">
      <selection activeCell="A2" sqref="A2:B2"/>
    </sheetView>
  </sheetViews>
  <sheetFormatPr defaultColWidth="8.85546875" defaultRowHeight="15" x14ac:dyDescent="0.25"/>
  <cols>
    <col min="7" max="7" width="11.140625" bestFit="1" customWidth="1"/>
    <col min="8" max="8" width="11.42578125" bestFit="1" customWidth="1"/>
  </cols>
  <sheetData>
    <row r="1" spans="1:44" ht="21" x14ac:dyDescent="0.35">
      <c r="A1" s="131" t="s">
        <v>81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44" x14ac:dyDescent="0.25">
      <c r="A2" s="122" t="s">
        <v>82</v>
      </c>
      <c r="B2" s="122"/>
    </row>
    <row r="3" spans="1:44" x14ac:dyDescent="0.25">
      <c r="A3" t="s">
        <v>53</v>
      </c>
      <c r="B3" t="s">
        <v>54</v>
      </c>
    </row>
    <row r="4" spans="1:44" x14ac:dyDescent="0.25">
      <c r="A4" s="3">
        <v>44.566064746004002</v>
      </c>
      <c r="B4" s="3">
        <v>38.415004875961401</v>
      </c>
      <c r="C4" s="132"/>
      <c r="D4" s="122" t="s">
        <v>83</v>
      </c>
      <c r="E4" s="122"/>
      <c r="F4" s="122"/>
      <c r="G4" s="122"/>
      <c r="H4" s="122"/>
      <c r="I4" s="122"/>
      <c r="J4" s="122"/>
      <c r="K4" s="122"/>
      <c r="L4" s="122"/>
      <c r="M4" s="12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</row>
    <row r="5" spans="1:44" x14ac:dyDescent="0.25">
      <c r="B5" s="132"/>
      <c r="C5" s="132"/>
      <c r="D5" s="122" t="s">
        <v>53</v>
      </c>
      <c r="E5" s="122"/>
      <c r="F5" s="122"/>
      <c r="G5" s="122"/>
      <c r="H5" s="122"/>
      <c r="I5" s="122" t="s">
        <v>54</v>
      </c>
      <c r="J5" s="122"/>
      <c r="K5" s="122"/>
      <c r="L5" s="122"/>
      <c r="M5" s="12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</row>
    <row r="6" spans="1:44" ht="45" x14ac:dyDescent="0.25">
      <c r="C6" s="133" t="s">
        <v>84</v>
      </c>
      <c r="D6" t="s">
        <v>56</v>
      </c>
      <c r="E6" t="s">
        <v>57</v>
      </c>
      <c r="F6" t="s">
        <v>58</v>
      </c>
      <c r="G6" t="s">
        <v>59</v>
      </c>
      <c r="H6" s="129" t="s">
        <v>60</v>
      </c>
      <c r="I6" t="s">
        <v>56</v>
      </c>
      <c r="J6" t="s">
        <v>57</v>
      </c>
      <c r="K6" t="s">
        <v>58</v>
      </c>
      <c r="L6" t="s">
        <v>61</v>
      </c>
      <c r="M6" s="129" t="s">
        <v>60</v>
      </c>
      <c r="N6" t="s">
        <v>85</v>
      </c>
    </row>
    <row r="7" spans="1:44" x14ac:dyDescent="0.25">
      <c r="B7" s="134" t="s">
        <v>63</v>
      </c>
      <c r="C7">
        <v>1</v>
      </c>
      <c r="D7">
        <v>1267</v>
      </c>
      <c r="E7">
        <v>807</v>
      </c>
      <c r="F7">
        <v>749</v>
      </c>
      <c r="G7" s="3">
        <v>117092.336</v>
      </c>
      <c r="H7" s="135">
        <f>G7/$A$4</f>
        <v>2627.3878267544146</v>
      </c>
      <c r="I7">
        <v>1794</v>
      </c>
      <c r="J7">
        <v>1664</v>
      </c>
      <c r="K7">
        <v>1640</v>
      </c>
      <c r="L7" s="3">
        <v>133582.54999999999</v>
      </c>
      <c r="M7">
        <f>L7/$B$4</f>
        <v>3477.3534568413056</v>
      </c>
      <c r="N7" s="3">
        <f>SUM(G7,M7)</f>
        <v>120569.6894568413</v>
      </c>
      <c r="AI7" s="135"/>
      <c r="AJ7" s="135"/>
      <c r="AK7" s="135"/>
      <c r="AL7" s="135"/>
      <c r="AM7" s="135"/>
      <c r="AN7" s="135"/>
      <c r="AO7" s="135"/>
      <c r="AP7" s="135"/>
      <c r="AQ7" s="135"/>
      <c r="AR7" s="135"/>
    </row>
    <row r="8" spans="1:44" x14ac:dyDescent="0.25">
      <c r="B8" s="134"/>
      <c r="C8">
        <v>2</v>
      </c>
      <c r="D8">
        <v>1407</v>
      </c>
      <c r="E8">
        <v>726</v>
      </c>
      <c r="F8">
        <v>676</v>
      </c>
      <c r="G8" s="3">
        <v>130826.806</v>
      </c>
      <c r="H8" s="135">
        <f>G8/$A$4</f>
        <v>2935.5700743519324</v>
      </c>
      <c r="I8">
        <v>1983</v>
      </c>
      <c r="J8">
        <v>1835</v>
      </c>
      <c r="K8">
        <v>1792</v>
      </c>
      <c r="L8" s="3">
        <v>135948.64600000001</v>
      </c>
      <c r="M8">
        <f>L8/$B$4</f>
        <v>3538.946472581898</v>
      </c>
      <c r="N8" s="3">
        <f t="shared" ref="N8:N21" si="0">SUM(G8,M8)</f>
        <v>134365.75247258189</v>
      </c>
      <c r="AI8" s="135"/>
      <c r="AJ8" s="135"/>
      <c r="AK8" s="135"/>
      <c r="AL8" s="135"/>
      <c r="AM8" s="135"/>
      <c r="AN8" s="135"/>
      <c r="AO8" s="135"/>
      <c r="AP8" s="135"/>
      <c r="AQ8" s="135"/>
      <c r="AR8" s="135"/>
    </row>
    <row r="9" spans="1:44" x14ac:dyDescent="0.25">
      <c r="B9" s="134"/>
      <c r="C9">
        <v>3</v>
      </c>
      <c r="D9">
        <v>1172</v>
      </c>
      <c r="E9">
        <v>444</v>
      </c>
      <c r="F9">
        <v>395</v>
      </c>
      <c r="G9" s="3">
        <v>134905.576</v>
      </c>
      <c r="H9" s="135">
        <f>G9/$A$4</f>
        <v>3027.0919536842493</v>
      </c>
      <c r="I9">
        <v>2107</v>
      </c>
      <c r="J9">
        <v>1953</v>
      </c>
      <c r="K9">
        <v>1967</v>
      </c>
      <c r="L9" s="3">
        <v>144439.55600000001</v>
      </c>
      <c r="M9">
        <f>L9/$B$4</f>
        <v>3759.9775521669817</v>
      </c>
      <c r="N9" s="3">
        <f t="shared" si="0"/>
        <v>138665.553552167</v>
      </c>
    </row>
    <row r="10" spans="1:44" x14ac:dyDescent="0.25">
      <c r="B10" s="134"/>
      <c r="C10" t="s">
        <v>86</v>
      </c>
      <c r="D10">
        <f>SUM(D7:D9)</f>
        <v>3846</v>
      </c>
      <c r="E10">
        <f t="shared" ref="E10:M10" si="1">SUM(E7:E9)</f>
        <v>1977</v>
      </c>
      <c r="F10">
        <f t="shared" si="1"/>
        <v>1820</v>
      </c>
      <c r="G10">
        <f t="shared" si="1"/>
        <v>382824.71799999999</v>
      </c>
      <c r="H10">
        <f t="shared" si="1"/>
        <v>8590.0498547905954</v>
      </c>
      <c r="I10">
        <f t="shared" si="1"/>
        <v>5884</v>
      </c>
      <c r="J10">
        <f t="shared" si="1"/>
        <v>5452</v>
      </c>
      <c r="K10">
        <f t="shared" si="1"/>
        <v>5399</v>
      </c>
      <c r="L10">
        <f t="shared" si="1"/>
        <v>413970.75199999998</v>
      </c>
      <c r="M10">
        <f t="shared" si="1"/>
        <v>10776.277481590185</v>
      </c>
      <c r="N10" s="3">
        <f t="shared" si="0"/>
        <v>393600.99548159016</v>
      </c>
    </row>
    <row r="11" spans="1:44" x14ac:dyDescent="0.25">
      <c r="B11" s="136"/>
      <c r="C11" t="s">
        <v>87</v>
      </c>
      <c r="N11" s="3">
        <f>AVERAGE(N7:N9)</f>
        <v>131200.33182719673</v>
      </c>
    </row>
    <row r="12" spans="1:44" x14ac:dyDescent="0.25">
      <c r="B12" s="136"/>
      <c r="N12" s="3"/>
    </row>
    <row r="13" spans="1:44" x14ac:dyDescent="0.25">
      <c r="B13" s="134" t="s">
        <v>71</v>
      </c>
      <c r="C13">
        <v>1</v>
      </c>
      <c r="D13">
        <v>1296</v>
      </c>
      <c r="E13">
        <v>765</v>
      </c>
      <c r="F13">
        <v>610</v>
      </c>
      <c r="G13" s="3">
        <v>134863.18900000001</v>
      </c>
      <c r="H13" s="135">
        <f>G13/$A$4</f>
        <v>3026.1408488415495</v>
      </c>
      <c r="I13">
        <v>2035</v>
      </c>
      <c r="J13">
        <v>1692</v>
      </c>
      <c r="K13">
        <v>1709</v>
      </c>
      <c r="L13" s="3">
        <v>134783.99900000001</v>
      </c>
      <c r="M13">
        <f>L13/$B$4</f>
        <v>3508.6289702475747</v>
      </c>
      <c r="N13" s="3">
        <f t="shared" si="0"/>
        <v>138371.81797024759</v>
      </c>
    </row>
    <row r="14" spans="1:44" x14ac:dyDescent="0.25">
      <c r="B14" s="134"/>
      <c r="C14">
        <v>2</v>
      </c>
      <c r="D14">
        <v>1173</v>
      </c>
      <c r="E14">
        <v>776</v>
      </c>
      <c r="F14">
        <v>674</v>
      </c>
      <c r="G14" s="3">
        <v>128797.946</v>
      </c>
      <c r="H14" s="135">
        <f>G14/$A$4</f>
        <v>2890.0453009270605</v>
      </c>
      <c r="I14">
        <v>1590</v>
      </c>
      <c r="J14">
        <v>1412</v>
      </c>
      <c r="K14">
        <v>1395</v>
      </c>
      <c r="L14" s="3">
        <v>132350.02600000001</v>
      </c>
      <c r="M14">
        <f>L14/$B$4</f>
        <v>3445.2690147338612</v>
      </c>
      <c r="N14" s="3">
        <f t="shared" si="0"/>
        <v>132243.21501473387</v>
      </c>
    </row>
    <row r="15" spans="1:44" x14ac:dyDescent="0.25">
      <c r="B15" s="134"/>
      <c r="C15">
        <v>3</v>
      </c>
      <c r="D15">
        <v>1140</v>
      </c>
      <c r="E15">
        <v>748</v>
      </c>
      <c r="F15">
        <v>664</v>
      </c>
      <c r="G15" s="3">
        <v>129987.224</v>
      </c>
      <c r="H15" s="135">
        <f>G15/$A$4</f>
        <v>2916.7310315783548</v>
      </c>
      <c r="I15">
        <v>1867</v>
      </c>
      <c r="J15">
        <v>1706</v>
      </c>
      <c r="K15">
        <v>1670</v>
      </c>
      <c r="L15" s="3">
        <v>129369.88800000001</v>
      </c>
      <c r="M15">
        <f>L15/$B$4</f>
        <v>3367.6915678580217</v>
      </c>
      <c r="N15" s="3">
        <f t="shared" si="0"/>
        <v>133354.91556785803</v>
      </c>
    </row>
    <row r="16" spans="1:44" x14ac:dyDescent="0.25">
      <c r="B16" s="134"/>
      <c r="C16" t="s">
        <v>86</v>
      </c>
      <c r="D16">
        <f>SUM(D13:D15)</f>
        <v>3609</v>
      </c>
      <c r="E16">
        <f t="shared" ref="E16:M16" si="2">SUM(E13:E15)</f>
        <v>2289</v>
      </c>
      <c r="F16">
        <f t="shared" si="2"/>
        <v>1948</v>
      </c>
      <c r="G16">
        <f t="shared" si="2"/>
        <v>393648.359</v>
      </c>
      <c r="H16">
        <f t="shared" si="2"/>
        <v>8832.9171813469638</v>
      </c>
      <c r="I16">
        <f t="shared" si="2"/>
        <v>5492</v>
      </c>
      <c r="J16">
        <f t="shared" si="2"/>
        <v>4810</v>
      </c>
      <c r="K16">
        <f t="shared" si="2"/>
        <v>4774</v>
      </c>
      <c r="L16">
        <f t="shared" si="2"/>
        <v>396503.91300000006</v>
      </c>
      <c r="M16">
        <f t="shared" si="2"/>
        <v>10321.589552839458</v>
      </c>
      <c r="N16" s="3">
        <f>SUM(G16,M16)</f>
        <v>403969.94855283946</v>
      </c>
    </row>
    <row r="17" spans="1:14" x14ac:dyDescent="0.25">
      <c r="C17" t="s">
        <v>4</v>
      </c>
      <c r="N17" s="3">
        <f>AVERAGE(N13:N15)</f>
        <v>134656.64951761314</v>
      </c>
    </row>
    <row r="18" spans="1:14" x14ac:dyDescent="0.25">
      <c r="B18" s="134" t="s">
        <v>72</v>
      </c>
      <c r="C18">
        <v>1</v>
      </c>
      <c r="D18">
        <v>1335</v>
      </c>
      <c r="E18">
        <v>857</v>
      </c>
      <c r="F18">
        <v>804</v>
      </c>
      <c r="G18" s="3">
        <v>138777.709</v>
      </c>
      <c r="H18" s="135">
        <f>G18/$A$4</f>
        <v>3113.97718849393</v>
      </c>
      <c r="I18">
        <v>1843</v>
      </c>
      <c r="J18">
        <v>1708</v>
      </c>
      <c r="K18">
        <v>1731</v>
      </c>
      <c r="L18" s="3">
        <v>139828.79800000001</v>
      </c>
      <c r="M18" s="135">
        <f>L18/$A$4</f>
        <v>3137.5621517611717</v>
      </c>
      <c r="N18" s="3">
        <f t="shared" si="0"/>
        <v>141915.27115176118</v>
      </c>
    </row>
    <row r="19" spans="1:14" x14ac:dyDescent="0.25">
      <c r="B19" s="134"/>
      <c r="C19">
        <v>2</v>
      </c>
      <c r="D19">
        <v>876</v>
      </c>
      <c r="E19">
        <v>803</v>
      </c>
      <c r="F19">
        <v>539</v>
      </c>
      <c r="G19" s="3">
        <v>138255.88699999999</v>
      </c>
      <c r="H19" s="135">
        <f>G19/$A$4</f>
        <v>3102.2682345404223</v>
      </c>
      <c r="I19">
        <v>1988</v>
      </c>
      <c r="J19">
        <v>1743</v>
      </c>
      <c r="K19">
        <v>1857</v>
      </c>
      <c r="L19" s="3">
        <v>141532.88</v>
      </c>
      <c r="M19">
        <f>L19/$B$4</f>
        <v>3684.3124309627697</v>
      </c>
      <c r="N19" s="3">
        <f t="shared" si="0"/>
        <v>141940.19943096276</v>
      </c>
    </row>
    <row r="20" spans="1:14" x14ac:dyDescent="0.25">
      <c r="B20" s="134"/>
      <c r="C20">
        <v>3</v>
      </c>
      <c r="D20">
        <v>970</v>
      </c>
      <c r="E20">
        <v>705</v>
      </c>
      <c r="F20">
        <v>531</v>
      </c>
      <c r="G20" s="3">
        <v>130873.20299999999</v>
      </c>
      <c r="H20" s="135">
        <f>G20/$A$4</f>
        <v>2936.6111579715975</v>
      </c>
      <c r="I20">
        <v>2062</v>
      </c>
      <c r="J20">
        <v>1878</v>
      </c>
      <c r="K20">
        <v>1910</v>
      </c>
      <c r="L20" s="3">
        <v>134069.28700000001</v>
      </c>
      <c r="M20">
        <f>L20/$B$4</f>
        <v>3490.023948529948</v>
      </c>
      <c r="N20" s="3">
        <f t="shared" si="0"/>
        <v>134363.22694852995</v>
      </c>
    </row>
    <row r="21" spans="1:14" x14ac:dyDescent="0.25">
      <c r="B21" s="134"/>
      <c r="C21" t="s">
        <v>86</v>
      </c>
      <c r="D21">
        <f>SUM(D18:D20)</f>
        <v>3181</v>
      </c>
      <c r="E21">
        <f t="shared" ref="E21:F21" si="3">SUM(E18:E20)</f>
        <v>2365</v>
      </c>
      <c r="F21">
        <f t="shared" si="3"/>
        <v>1874</v>
      </c>
      <c r="G21">
        <f>SUM(G18:G20)</f>
        <v>407906.799</v>
      </c>
      <c r="H21">
        <f t="shared" ref="H21:K21" si="4">SUM(H18:H20)</f>
        <v>9152.8565810059499</v>
      </c>
      <c r="I21">
        <f t="shared" si="4"/>
        <v>5893</v>
      </c>
      <c r="J21">
        <f t="shared" si="4"/>
        <v>5329</v>
      </c>
      <c r="K21">
        <f t="shared" si="4"/>
        <v>5498</v>
      </c>
      <c r="L21">
        <f>SUM(L18:L20)</f>
        <v>415430.96500000003</v>
      </c>
      <c r="M21">
        <f t="shared" ref="M21" si="5">SUM(M18:M20)</f>
        <v>10311.89853125389</v>
      </c>
      <c r="N21" s="3">
        <f t="shared" si="0"/>
        <v>418218.69753125391</v>
      </c>
    </row>
    <row r="22" spans="1:14" x14ac:dyDescent="0.25">
      <c r="C22" t="s">
        <v>4</v>
      </c>
      <c r="N22" s="3">
        <f>AVERAGE(N18:N20)</f>
        <v>139406.23251041796</v>
      </c>
    </row>
    <row r="24" spans="1:14" x14ac:dyDescent="0.25">
      <c r="A24" s="122" t="s">
        <v>88</v>
      </c>
      <c r="B24" s="122"/>
    </row>
    <row r="25" spans="1:14" x14ac:dyDescent="0.25">
      <c r="A25" t="s">
        <v>53</v>
      </c>
      <c r="B25" t="s">
        <v>54</v>
      </c>
    </row>
    <row r="26" spans="1:14" x14ac:dyDescent="0.25">
      <c r="A26" s="3">
        <v>44.566064746004002</v>
      </c>
      <c r="B26" s="3">
        <v>38.415004875961401</v>
      </c>
      <c r="C26" s="132"/>
      <c r="D26" s="122" t="s">
        <v>73</v>
      </c>
      <c r="E26" s="122"/>
      <c r="F26" s="122"/>
      <c r="G26" s="122"/>
      <c r="H26" s="122"/>
      <c r="I26" s="122"/>
      <c r="J26" s="122"/>
      <c r="K26" s="122"/>
      <c r="L26" s="122"/>
      <c r="M26" s="122"/>
    </row>
    <row r="27" spans="1:14" x14ac:dyDescent="0.25">
      <c r="B27" s="132"/>
      <c r="C27" s="132"/>
      <c r="D27" s="122" t="s">
        <v>53</v>
      </c>
      <c r="E27" s="122"/>
      <c r="F27" s="122"/>
      <c r="G27" s="122"/>
      <c r="H27" s="122"/>
      <c r="I27" s="122" t="s">
        <v>54</v>
      </c>
      <c r="J27" s="122"/>
      <c r="K27" s="122"/>
      <c r="L27" s="122"/>
      <c r="M27" s="122"/>
    </row>
    <row r="28" spans="1:14" ht="45" x14ac:dyDescent="0.25">
      <c r="C28" s="133" t="s">
        <v>84</v>
      </c>
      <c r="D28" t="s">
        <v>56</v>
      </c>
      <c r="E28" t="s">
        <v>57</v>
      </c>
      <c r="F28" t="s">
        <v>58</v>
      </c>
      <c r="G28" t="s">
        <v>59</v>
      </c>
      <c r="H28" s="129" t="s">
        <v>60</v>
      </c>
      <c r="I28" t="s">
        <v>56</v>
      </c>
      <c r="J28" t="s">
        <v>57</v>
      </c>
      <c r="K28" t="s">
        <v>58</v>
      </c>
      <c r="L28" t="s">
        <v>61</v>
      </c>
      <c r="M28" s="129" t="s">
        <v>60</v>
      </c>
    </row>
    <row r="29" spans="1:14" x14ac:dyDescent="0.25">
      <c r="B29" s="134" t="s">
        <v>74</v>
      </c>
      <c r="C29">
        <v>1</v>
      </c>
      <c r="D29">
        <v>832</v>
      </c>
      <c r="E29">
        <v>610</v>
      </c>
      <c r="F29">
        <v>249</v>
      </c>
      <c r="G29" s="3">
        <v>125120.137</v>
      </c>
      <c r="H29" s="135">
        <f>G29/$A$4</f>
        <v>2807.5204241859574</v>
      </c>
      <c r="I29">
        <v>2202</v>
      </c>
      <c r="J29">
        <v>1742</v>
      </c>
      <c r="K29">
        <v>1670</v>
      </c>
      <c r="L29" s="3">
        <v>136178.48199999999</v>
      </c>
      <c r="M29" s="135">
        <f>L29/$A$4</f>
        <v>3055.6541793879251</v>
      </c>
    </row>
    <row r="30" spans="1:14" x14ac:dyDescent="0.25">
      <c r="B30" s="134"/>
      <c r="C30">
        <v>2</v>
      </c>
      <c r="D30">
        <v>288</v>
      </c>
      <c r="E30">
        <v>344</v>
      </c>
      <c r="F30">
        <v>54</v>
      </c>
      <c r="G30" s="3">
        <v>129725.311</v>
      </c>
      <c r="H30" s="135">
        <f>G30/$A$4</f>
        <v>2910.8540711266583</v>
      </c>
      <c r="I30">
        <v>1867</v>
      </c>
      <c r="J30">
        <v>1558</v>
      </c>
      <c r="K30">
        <v>1443</v>
      </c>
      <c r="L30" s="3">
        <v>141400.992</v>
      </c>
      <c r="M30" s="135">
        <f>L30/$A$4</f>
        <v>3172.8399805073354</v>
      </c>
    </row>
    <row r="31" spans="1:14" x14ac:dyDescent="0.25">
      <c r="B31" s="134"/>
      <c r="C31">
        <v>3</v>
      </c>
      <c r="D31">
        <v>678</v>
      </c>
      <c r="E31">
        <v>396</v>
      </c>
      <c r="F31">
        <v>79</v>
      </c>
      <c r="G31" s="3">
        <v>130198.30100000001</v>
      </c>
      <c r="H31" s="135">
        <f>G31/$A$4</f>
        <v>2921.4673034749871</v>
      </c>
      <c r="I31">
        <v>2030</v>
      </c>
      <c r="J31">
        <v>1885</v>
      </c>
      <c r="K31">
        <v>1782</v>
      </c>
      <c r="L31" s="3">
        <v>138754.94</v>
      </c>
      <c r="M31" s="135">
        <f>L31/$A$4</f>
        <v>3113.4662840618298</v>
      </c>
    </row>
    <row r="32" spans="1:14" x14ac:dyDescent="0.25">
      <c r="B32" s="134"/>
      <c r="C32" t="s">
        <v>86</v>
      </c>
      <c r="D32">
        <f>SUM(D29:D31)</f>
        <v>1798</v>
      </c>
      <c r="E32">
        <f t="shared" ref="E32:F32" si="6">SUM(E29:E31)</f>
        <v>1350</v>
      </c>
      <c r="F32">
        <f t="shared" si="6"/>
        <v>382</v>
      </c>
      <c r="G32">
        <f>SUM(G29:G31)</f>
        <v>385043.74900000001</v>
      </c>
      <c r="H32">
        <f t="shared" ref="H32:K32" si="7">SUM(H29:H31)</f>
        <v>8639.8417987876019</v>
      </c>
      <c r="I32">
        <f t="shared" si="7"/>
        <v>6099</v>
      </c>
      <c r="J32">
        <f t="shared" si="7"/>
        <v>5185</v>
      </c>
      <c r="K32">
        <f t="shared" si="7"/>
        <v>4895</v>
      </c>
      <c r="L32">
        <f>SUM(L29:L31)</f>
        <v>416334.41399999999</v>
      </c>
      <c r="M32">
        <f t="shared" ref="M32" si="8">SUM(M29:M31)</f>
        <v>9341.9604439570903</v>
      </c>
    </row>
    <row r="33" spans="1:13" x14ac:dyDescent="0.25">
      <c r="B33" s="136"/>
    </row>
    <row r="34" spans="1:13" x14ac:dyDescent="0.25">
      <c r="B34" s="136"/>
    </row>
    <row r="35" spans="1:13" x14ac:dyDescent="0.25">
      <c r="B35" s="134" t="s">
        <v>75</v>
      </c>
      <c r="C35">
        <v>1</v>
      </c>
      <c r="D35">
        <v>278</v>
      </c>
      <c r="E35">
        <v>308</v>
      </c>
      <c r="F35">
        <v>30</v>
      </c>
      <c r="G35" s="3">
        <v>123882.601</v>
      </c>
      <c r="H35" s="135">
        <f>G35/$A$4</f>
        <v>2779.7518516845907</v>
      </c>
      <c r="I35">
        <v>2222</v>
      </c>
      <c r="J35">
        <v>1820</v>
      </c>
      <c r="K35">
        <v>1762</v>
      </c>
      <c r="L35" s="3">
        <v>140934.58900000001</v>
      </c>
      <c r="M35" s="135">
        <f>L35/$A$4</f>
        <v>3162.3745512023665</v>
      </c>
    </row>
    <row r="36" spans="1:13" x14ac:dyDescent="0.25">
      <c r="B36" s="134"/>
      <c r="C36">
        <v>2</v>
      </c>
      <c r="D36">
        <v>710</v>
      </c>
      <c r="E36">
        <v>303</v>
      </c>
      <c r="F36">
        <v>117</v>
      </c>
      <c r="G36" s="3">
        <v>128870.692</v>
      </c>
      <c r="H36" s="135">
        <f>G36/$A$4</f>
        <v>2891.6776191587596</v>
      </c>
      <c r="I36">
        <v>2183</v>
      </c>
      <c r="J36">
        <v>1999</v>
      </c>
      <c r="K36">
        <v>1952</v>
      </c>
      <c r="L36" s="3">
        <v>133274.23999999999</v>
      </c>
      <c r="M36" s="135">
        <f>L36/$A$4</f>
        <v>2990.4870613901348</v>
      </c>
    </row>
    <row r="37" spans="1:13" x14ac:dyDescent="0.25">
      <c r="B37" s="134"/>
      <c r="C37">
        <v>3</v>
      </c>
      <c r="D37">
        <v>537</v>
      </c>
      <c r="E37">
        <v>426</v>
      </c>
      <c r="F37">
        <v>117</v>
      </c>
      <c r="G37" s="3">
        <v>134349.96</v>
      </c>
      <c r="H37" s="135">
        <f>G37/$A$4</f>
        <v>3014.624709758481</v>
      </c>
      <c r="I37">
        <v>2179</v>
      </c>
      <c r="J37">
        <v>1976</v>
      </c>
      <c r="K37">
        <v>1952</v>
      </c>
      <c r="L37" s="3">
        <v>133165.26500000001</v>
      </c>
      <c r="M37" s="135">
        <f>L37/$A$4</f>
        <v>2988.0418152006619</v>
      </c>
    </row>
    <row r="38" spans="1:13" x14ac:dyDescent="0.25">
      <c r="B38" s="134"/>
      <c r="C38" t="s">
        <v>4</v>
      </c>
      <c r="D38">
        <f>SUM(D35:D37)</f>
        <v>1525</v>
      </c>
      <c r="E38">
        <f t="shared" ref="E38:F38" si="9">SUM(E35:E37)</f>
        <v>1037</v>
      </c>
      <c r="F38">
        <f t="shared" si="9"/>
        <v>264</v>
      </c>
      <c r="G38">
        <f>SUM(G35:G37)</f>
        <v>387103.25300000003</v>
      </c>
      <c r="H38">
        <f t="shared" ref="H38:K38" si="10">SUM(H35:H37)</f>
        <v>8686.05418060183</v>
      </c>
      <c r="I38">
        <f t="shared" si="10"/>
        <v>6584</v>
      </c>
      <c r="J38">
        <f t="shared" si="10"/>
        <v>5795</v>
      </c>
      <c r="K38">
        <f t="shared" si="10"/>
        <v>5666</v>
      </c>
      <c r="L38">
        <f>SUM(L35:L37)</f>
        <v>407374.09400000004</v>
      </c>
      <c r="M38">
        <f t="shared" ref="M38" si="11">SUM(M35:M37)</f>
        <v>9140.9034277931642</v>
      </c>
    </row>
    <row r="40" spans="1:13" x14ac:dyDescent="0.25">
      <c r="B40" s="134" t="s">
        <v>76</v>
      </c>
      <c r="C40">
        <v>1</v>
      </c>
      <c r="D40">
        <v>420</v>
      </c>
      <c r="E40">
        <v>411</v>
      </c>
      <c r="F40">
        <v>79</v>
      </c>
      <c r="G40" s="3">
        <v>136739.82699999999</v>
      </c>
      <c r="H40" s="135">
        <f>G40/$A$4</f>
        <v>3068.249974040185</v>
      </c>
      <c r="I40">
        <v>2052</v>
      </c>
      <c r="J40">
        <v>1964</v>
      </c>
      <c r="K40">
        <v>1854</v>
      </c>
      <c r="L40" s="3">
        <v>144962.52299999999</v>
      </c>
      <c r="M40" s="135">
        <f>L40/$A$4</f>
        <v>3252.755741979619</v>
      </c>
    </row>
    <row r="41" spans="1:13" x14ac:dyDescent="0.25">
      <c r="B41" s="134"/>
      <c r="C41">
        <v>2</v>
      </c>
      <c r="D41">
        <v>723</v>
      </c>
      <c r="E41">
        <v>400</v>
      </c>
      <c r="F41">
        <v>192</v>
      </c>
      <c r="G41" s="3">
        <v>134421.41700000002</v>
      </c>
      <c r="H41" s="135">
        <v>3016.2281046376847</v>
      </c>
      <c r="I41">
        <v>2090</v>
      </c>
      <c r="J41">
        <v>1925</v>
      </c>
      <c r="K41">
        <v>1905</v>
      </c>
      <c r="L41" s="3">
        <v>140224.46000000002</v>
      </c>
      <c r="M41" s="135">
        <v>3146.4402522229243</v>
      </c>
    </row>
    <row r="42" spans="1:13" x14ac:dyDescent="0.25">
      <c r="B42" s="134"/>
      <c r="G42" s="3"/>
      <c r="H42" s="135"/>
      <c r="L42" s="3"/>
      <c r="M42" s="135"/>
    </row>
    <row r="43" spans="1:13" x14ac:dyDescent="0.25">
      <c r="B43" s="134"/>
      <c r="C43" t="s">
        <v>4</v>
      </c>
      <c r="D43">
        <f>SUM(D40:D42)</f>
        <v>1143</v>
      </c>
      <c r="E43">
        <f t="shared" ref="E43:F43" si="12">SUM(E40:E42)</f>
        <v>811</v>
      </c>
      <c r="F43">
        <f t="shared" si="12"/>
        <v>271</v>
      </c>
      <c r="G43">
        <f>SUM(G40:G42)</f>
        <v>271161.24400000001</v>
      </c>
      <c r="H43">
        <f t="shared" ref="H43:K43" si="13">SUM(H40:H42)</f>
        <v>6084.4780786778701</v>
      </c>
      <c r="I43">
        <f t="shared" si="13"/>
        <v>4142</v>
      </c>
      <c r="J43">
        <f t="shared" si="13"/>
        <v>3889</v>
      </c>
      <c r="K43">
        <f t="shared" si="13"/>
        <v>3759</v>
      </c>
      <c r="L43">
        <f>SUM(L40:L42)</f>
        <v>285186.98300000001</v>
      </c>
      <c r="M43">
        <f t="shared" ref="M43" si="14">SUM(M40:M42)</f>
        <v>6399.1959942025433</v>
      </c>
    </row>
    <row r="45" spans="1:13" x14ac:dyDescent="0.25">
      <c r="A45" s="122" t="s">
        <v>88</v>
      </c>
      <c r="B45" s="122"/>
    </row>
    <row r="46" spans="1:13" x14ac:dyDescent="0.25">
      <c r="A46" t="s">
        <v>53</v>
      </c>
      <c r="B46" t="s">
        <v>54</v>
      </c>
    </row>
    <row r="47" spans="1:13" x14ac:dyDescent="0.25">
      <c r="A47" s="3">
        <v>44.566064746004002</v>
      </c>
      <c r="B47" s="3">
        <v>38.415004875961401</v>
      </c>
      <c r="C47" s="132"/>
      <c r="D47" s="122" t="s">
        <v>89</v>
      </c>
      <c r="E47" s="122"/>
      <c r="F47" s="122"/>
      <c r="G47" s="122"/>
      <c r="H47" s="122"/>
      <c r="I47" s="122"/>
      <c r="J47" s="122"/>
      <c r="K47" s="122"/>
      <c r="L47" s="122"/>
      <c r="M47" s="122"/>
    </row>
    <row r="48" spans="1:13" x14ac:dyDescent="0.25">
      <c r="B48" s="132"/>
      <c r="C48" s="132"/>
      <c r="D48" s="122" t="s">
        <v>53</v>
      </c>
      <c r="E48" s="122"/>
      <c r="F48" s="122"/>
      <c r="G48" s="122"/>
      <c r="H48" s="122"/>
      <c r="I48" s="122" t="s">
        <v>54</v>
      </c>
      <c r="J48" s="122"/>
      <c r="K48" s="122"/>
      <c r="L48" s="122"/>
      <c r="M48" s="122"/>
    </row>
    <row r="49" spans="2:13" ht="45" x14ac:dyDescent="0.25">
      <c r="C49" s="133" t="s">
        <v>84</v>
      </c>
      <c r="D49" t="s">
        <v>56</v>
      </c>
      <c r="E49" t="s">
        <v>57</v>
      </c>
      <c r="F49" t="s">
        <v>58</v>
      </c>
      <c r="G49" t="s">
        <v>59</v>
      </c>
      <c r="H49" s="129" t="s">
        <v>60</v>
      </c>
      <c r="I49" t="s">
        <v>56</v>
      </c>
      <c r="J49" t="s">
        <v>57</v>
      </c>
      <c r="K49" t="s">
        <v>58</v>
      </c>
      <c r="L49" t="s">
        <v>61</v>
      </c>
      <c r="M49" s="129" t="s">
        <v>60</v>
      </c>
    </row>
    <row r="50" spans="2:13" x14ac:dyDescent="0.25">
      <c r="B50" s="134" t="s">
        <v>78</v>
      </c>
      <c r="C50">
        <v>1</v>
      </c>
      <c r="D50">
        <v>760</v>
      </c>
      <c r="E50">
        <v>511</v>
      </c>
      <c r="F50">
        <v>232</v>
      </c>
      <c r="G50" s="3">
        <v>139105.20699999999</v>
      </c>
      <c r="H50" s="135">
        <f>G50/$A$4</f>
        <v>3121.3257843788597</v>
      </c>
      <c r="I50">
        <v>2290</v>
      </c>
      <c r="J50">
        <v>2010</v>
      </c>
      <c r="K50">
        <v>2012</v>
      </c>
      <c r="L50" s="3">
        <v>142930.51300000001</v>
      </c>
      <c r="M50" s="135">
        <f>L50/$A$4</f>
        <v>3207.1602869718445</v>
      </c>
    </row>
    <row r="51" spans="2:13" x14ac:dyDescent="0.25">
      <c r="B51" s="134"/>
      <c r="C51">
        <v>2</v>
      </c>
      <c r="D51">
        <v>615</v>
      </c>
      <c r="E51">
        <v>469</v>
      </c>
      <c r="F51">
        <v>133</v>
      </c>
      <c r="G51" s="3">
        <v>139422.82500000001</v>
      </c>
      <c r="H51" s="135">
        <f>G51/$A$4</f>
        <v>3128.4526869180499</v>
      </c>
      <c r="I51">
        <v>2150</v>
      </c>
      <c r="J51">
        <v>1936</v>
      </c>
      <c r="K51">
        <v>1943</v>
      </c>
      <c r="L51" s="3">
        <v>135571.171</v>
      </c>
      <c r="M51" s="135">
        <f>L51/$A$4</f>
        <v>3042.0269721516288</v>
      </c>
    </row>
    <row r="52" spans="2:13" x14ac:dyDescent="0.25">
      <c r="B52" s="134"/>
      <c r="C52">
        <v>3</v>
      </c>
      <c r="D52">
        <v>564</v>
      </c>
      <c r="E52">
        <v>500</v>
      </c>
      <c r="F52">
        <v>171</v>
      </c>
      <c r="G52" s="3">
        <v>135124.1</v>
      </c>
      <c r="H52" s="135">
        <f>G52/$A$4</f>
        <v>3031.9953258183032</v>
      </c>
      <c r="I52">
        <v>2204</v>
      </c>
      <c r="J52">
        <v>1943</v>
      </c>
      <c r="K52">
        <v>1924</v>
      </c>
      <c r="L52" s="3">
        <v>143057.96100000001</v>
      </c>
      <c r="M52" s="135">
        <f>L52/$A$4</f>
        <v>3210.0200413774978</v>
      </c>
    </row>
    <row r="53" spans="2:13" x14ac:dyDescent="0.25">
      <c r="B53" s="134"/>
      <c r="C53" t="s">
        <v>86</v>
      </c>
      <c r="D53">
        <f>SUM(D50:D52)</f>
        <v>1939</v>
      </c>
      <c r="E53">
        <f t="shared" ref="E53:F53" si="15">SUM(E50:E52)</f>
        <v>1480</v>
      </c>
      <c r="F53">
        <f t="shared" si="15"/>
        <v>536</v>
      </c>
      <c r="G53">
        <f>SUM(G50:G52)</f>
        <v>413652.13199999998</v>
      </c>
      <c r="H53">
        <f t="shared" ref="H53:M53" si="16">SUM(H50:H52)</f>
        <v>9281.7737971152128</v>
      </c>
      <c r="I53">
        <f t="shared" si="16"/>
        <v>6644</v>
      </c>
      <c r="J53">
        <f t="shared" si="16"/>
        <v>5889</v>
      </c>
      <c r="K53">
        <f t="shared" si="16"/>
        <v>5879</v>
      </c>
      <c r="L53">
        <f t="shared" si="16"/>
        <v>421559.64500000002</v>
      </c>
      <c r="M53">
        <f t="shared" si="16"/>
        <v>9459.2073005009715</v>
      </c>
    </row>
    <row r="55" spans="2:13" x14ac:dyDescent="0.25">
      <c r="B55" s="134" t="s">
        <v>79</v>
      </c>
      <c r="C55">
        <v>1</v>
      </c>
      <c r="D55">
        <v>320</v>
      </c>
      <c r="E55">
        <v>399</v>
      </c>
      <c r="F55">
        <v>45</v>
      </c>
      <c r="G55">
        <v>134314.30300000001</v>
      </c>
      <c r="H55">
        <v>3013.8246166786189</v>
      </c>
      <c r="I55">
        <v>2279</v>
      </c>
      <c r="J55">
        <v>1915</v>
      </c>
      <c r="K55">
        <v>1880</v>
      </c>
      <c r="L55">
        <v>141389.10699999999</v>
      </c>
      <c r="M55">
        <v>3172.5732977731132</v>
      </c>
    </row>
    <row r="56" spans="2:13" x14ac:dyDescent="0.25">
      <c r="B56" s="134"/>
      <c r="C56">
        <v>2</v>
      </c>
      <c r="D56">
        <v>294</v>
      </c>
      <c r="E56">
        <v>373</v>
      </c>
      <c r="F56">
        <v>63</v>
      </c>
      <c r="G56">
        <v>133240.87400000001</v>
      </c>
      <c r="H56">
        <v>2989.7383751377106</v>
      </c>
      <c r="I56">
        <v>1906</v>
      </c>
      <c r="J56">
        <v>1787</v>
      </c>
      <c r="K56">
        <v>1585</v>
      </c>
      <c r="L56">
        <v>138810.64499999999</v>
      </c>
      <c r="M56">
        <v>3114.7162261493236</v>
      </c>
    </row>
    <row r="57" spans="2:13" x14ac:dyDescent="0.25">
      <c r="B57" s="134"/>
      <c r="H57">
        <v>0</v>
      </c>
      <c r="M57">
        <v>0</v>
      </c>
    </row>
    <row r="58" spans="2:13" x14ac:dyDescent="0.25">
      <c r="B58" s="134"/>
      <c r="C58" t="s">
        <v>4</v>
      </c>
      <c r="D58">
        <f>SUM(D55:D57)</f>
        <v>614</v>
      </c>
      <c r="E58">
        <f t="shared" ref="E58:F58" si="17">SUM(E55:E57)</f>
        <v>772</v>
      </c>
      <c r="F58">
        <f t="shared" si="17"/>
        <v>108</v>
      </c>
      <c r="G58">
        <f>SUM(G55:G57)</f>
        <v>267555.17700000003</v>
      </c>
      <c r="H58">
        <f t="shared" ref="H58:M58" si="18">SUM(H55:H57)</f>
        <v>6003.5629918163295</v>
      </c>
      <c r="I58">
        <f t="shared" si="18"/>
        <v>4185</v>
      </c>
      <c r="J58">
        <f t="shared" si="18"/>
        <v>3702</v>
      </c>
      <c r="K58">
        <f t="shared" si="18"/>
        <v>3465</v>
      </c>
      <c r="L58">
        <f t="shared" si="18"/>
        <v>280199.75199999998</v>
      </c>
      <c r="M58">
        <f t="shared" si="18"/>
        <v>6287.2895239224363</v>
      </c>
    </row>
    <row r="60" spans="2:13" x14ac:dyDescent="0.25">
      <c r="B60" s="134" t="s">
        <v>80</v>
      </c>
      <c r="C60">
        <v>1</v>
      </c>
      <c r="D60">
        <v>305</v>
      </c>
      <c r="E60">
        <v>692</v>
      </c>
      <c r="F60">
        <v>115</v>
      </c>
      <c r="G60" s="3">
        <v>136054.32800000001</v>
      </c>
      <c r="H60" s="135">
        <f>G60/$A$4</f>
        <v>3052.868337723251</v>
      </c>
      <c r="I60">
        <v>2280</v>
      </c>
      <c r="J60">
        <v>2097</v>
      </c>
      <c r="K60">
        <v>2045</v>
      </c>
      <c r="L60" s="3">
        <v>142974.905</v>
      </c>
      <c r="M60" s="135">
        <f>L60/$A$4</f>
        <v>3208.1563812030272</v>
      </c>
    </row>
    <row r="61" spans="2:13" x14ac:dyDescent="0.25">
      <c r="B61" s="134"/>
      <c r="C61">
        <v>2</v>
      </c>
      <c r="D61">
        <v>741</v>
      </c>
      <c r="E61">
        <v>626</v>
      </c>
      <c r="F61">
        <v>258</v>
      </c>
      <c r="G61" s="3">
        <v>126454.33199999999</v>
      </c>
      <c r="H61" s="135">
        <f>G61/$A$4</f>
        <v>2837.4578891069459</v>
      </c>
      <c r="I61">
        <v>1925</v>
      </c>
      <c r="J61">
        <v>1754</v>
      </c>
      <c r="K61">
        <v>1728</v>
      </c>
      <c r="L61" s="3">
        <v>124308.33500000001</v>
      </c>
      <c r="M61" s="135">
        <f>L61/$A$4</f>
        <v>2789.3047256577902</v>
      </c>
    </row>
    <row r="62" spans="2:13" x14ac:dyDescent="0.25">
      <c r="B62" s="134"/>
      <c r="C62">
        <v>3</v>
      </c>
      <c r="D62">
        <v>820</v>
      </c>
      <c r="E62">
        <v>624</v>
      </c>
      <c r="F62">
        <v>257</v>
      </c>
      <c r="G62" s="3">
        <v>132455.851</v>
      </c>
      <c r="H62" s="135">
        <f>G62/$A$4</f>
        <v>2972.1235598186081</v>
      </c>
      <c r="I62">
        <v>2080</v>
      </c>
      <c r="J62">
        <v>1859</v>
      </c>
      <c r="K62">
        <v>1862</v>
      </c>
      <c r="L62" s="3">
        <v>133171.136</v>
      </c>
      <c r="M62">
        <v>0</v>
      </c>
    </row>
    <row r="63" spans="2:13" x14ac:dyDescent="0.25">
      <c r="B63" s="134"/>
      <c r="C63" t="s">
        <v>4</v>
      </c>
      <c r="D63">
        <f>SUM(D60:D62)</f>
        <v>1866</v>
      </c>
      <c r="E63">
        <f t="shared" ref="E63:F63" si="19">SUM(E60:E62)</f>
        <v>1942</v>
      </c>
      <c r="F63">
        <f t="shared" si="19"/>
        <v>630</v>
      </c>
      <c r="G63">
        <f>SUM(G60:G62)</f>
        <v>394964.51100000006</v>
      </c>
      <c r="H63">
        <f t="shared" ref="H63:M63" si="20">SUM(H60:H62)</f>
        <v>8862.4497866488055</v>
      </c>
      <c r="I63">
        <f t="shared" si="20"/>
        <v>6285</v>
      </c>
      <c r="J63">
        <f t="shared" si="20"/>
        <v>5710</v>
      </c>
      <c r="K63">
        <f t="shared" si="20"/>
        <v>5635</v>
      </c>
      <c r="L63">
        <f t="shared" si="20"/>
        <v>400454.37599999999</v>
      </c>
      <c r="M63">
        <f t="shared" si="20"/>
        <v>5997.4611068608174</v>
      </c>
    </row>
  </sheetData>
  <mergeCells count="22">
    <mergeCell ref="B50:B53"/>
    <mergeCell ref="B55:B58"/>
    <mergeCell ref="B60:B63"/>
    <mergeCell ref="B29:B32"/>
    <mergeCell ref="B35:B38"/>
    <mergeCell ref="B40:B43"/>
    <mergeCell ref="A45:B45"/>
    <mergeCell ref="D47:M47"/>
    <mergeCell ref="D48:H48"/>
    <mergeCell ref="I48:M48"/>
    <mergeCell ref="B13:B16"/>
    <mergeCell ref="B18:B21"/>
    <mergeCell ref="A24:B24"/>
    <mergeCell ref="D26:M26"/>
    <mergeCell ref="D27:H27"/>
    <mergeCell ref="I27:M27"/>
    <mergeCell ref="A1:N1"/>
    <mergeCell ref="A2:B2"/>
    <mergeCell ref="D4:M4"/>
    <mergeCell ref="D5:H5"/>
    <mergeCell ref="I5:M5"/>
    <mergeCell ref="B7:B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0"/>
  <sheetViews>
    <sheetView zoomScale="58" workbookViewId="0">
      <selection activeCell="A2" sqref="A2:P2"/>
    </sheetView>
  </sheetViews>
  <sheetFormatPr defaultColWidth="8.85546875" defaultRowHeight="15" x14ac:dyDescent="0.25"/>
  <cols>
    <col min="2" max="2" width="14" bestFit="1" customWidth="1"/>
    <col min="3" max="3" width="9.85546875" bestFit="1" customWidth="1"/>
  </cols>
  <sheetData>
    <row r="2" spans="1:17" ht="23.25" x14ac:dyDescent="0.35">
      <c r="A2" s="127" t="s">
        <v>52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17" x14ac:dyDescent="0.25">
      <c r="C3" s="122" t="s">
        <v>53</v>
      </c>
      <c r="D3" s="122"/>
      <c r="E3" s="122"/>
      <c r="F3" s="122"/>
      <c r="G3" s="122"/>
      <c r="H3" s="122" t="s">
        <v>54</v>
      </c>
      <c r="I3" s="122"/>
      <c r="J3" s="122"/>
      <c r="K3" s="122"/>
      <c r="L3" s="122"/>
      <c r="M3" s="122" t="s">
        <v>11</v>
      </c>
      <c r="N3" s="122"/>
      <c r="O3" s="122"/>
      <c r="P3" s="122"/>
      <c r="Q3" s="122"/>
    </row>
    <row r="4" spans="1:17" ht="45" x14ac:dyDescent="0.25">
      <c r="A4" s="128" t="s">
        <v>55</v>
      </c>
      <c r="C4" t="s">
        <v>56</v>
      </c>
      <c r="D4" t="s">
        <v>57</v>
      </c>
      <c r="E4" t="s">
        <v>58</v>
      </c>
      <c r="F4" t="s">
        <v>59</v>
      </c>
      <c r="G4" s="129" t="s">
        <v>60</v>
      </c>
      <c r="H4" t="s">
        <v>56</v>
      </c>
      <c r="I4" t="s">
        <v>57</v>
      </c>
      <c r="J4" t="s">
        <v>58</v>
      </c>
      <c r="K4" t="s">
        <v>61</v>
      </c>
      <c r="L4" s="129" t="s">
        <v>60</v>
      </c>
      <c r="M4" t="s">
        <v>56</v>
      </c>
      <c r="N4" t="s">
        <v>57</v>
      </c>
      <c r="O4" t="s">
        <v>58</v>
      </c>
      <c r="P4" t="s">
        <v>62</v>
      </c>
      <c r="Q4" s="129"/>
    </row>
    <row r="5" spans="1:17" x14ac:dyDescent="0.25">
      <c r="A5" t="s">
        <v>63</v>
      </c>
      <c r="C5">
        <v>3846</v>
      </c>
      <c r="D5">
        <v>1977</v>
      </c>
      <c r="E5">
        <v>1820</v>
      </c>
      <c r="F5">
        <v>382824.71799999999</v>
      </c>
      <c r="G5">
        <v>8590.0498547905954</v>
      </c>
      <c r="H5">
        <v>5884</v>
      </c>
      <c r="I5">
        <v>5452</v>
      </c>
      <c r="J5">
        <v>5399</v>
      </c>
      <c r="K5">
        <v>413970.75199999998</v>
      </c>
      <c r="L5">
        <v>10776.277481590185</v>
      </c>
      <c r="M5">
        <f>SUM(H5,C5)</f>
        <v>9730</v>
      </c>
      <c r="N5">
        <f t="shared" ref="N5:O5" si="0">SUM(I5,D5)</f>
        <v>7429</v>
      </c>
      <c r="O5">
        <f t="shared" si="0"/>
        <v>7219</v>
      </c>
      <c r="P5">
        <f>SUM(L5,G5)</f>
        <v>19366.327336380782</v>
      </c>
    </row>
    <row r="6" spans="1:17" x14ac:dyDescent="0.25">
      <c r="B6" s="2" t="s">
        <v>64</v>
      </c>
      <c r="C6">
        <f>C5-$E$5</f>
        <v>2026</v>
      </c>
      <c r="H6">
        <f>H5-$J$5</f>
        <v>485</v>
      </c>
      <c r="I6" s="2"/>
      <c r="M6">
        <f>M5-$O$5</f>
        <v>2511</v>
      </c>
    </row>
    <row r="7" spans="1:17" x14ac:dyDescent="0.25">
      <c r="B7" s="2" t="s">
        <v>65</v>
      </c>
      <c r="C7">
        <f>D5-$E$5</f>
        <v>157</v>
      </c>
      <c r="H7">
        <f>I5-$J$5</f>
        <v>53</v>
      </c>
      <c r="M7">
        <f>N5-$O$5</f>
        <v>210</v>
      </c>
    </row>
    <row r="8" spans="1:17" x14ac:dyDescent="0.25">
      <c r="B8" s="2" t="s">
        <v>66</v>
      </c>
      <c r="C8">
        <f>(C5/$G$5)*100</f>
        <v>44.772731998233049</v>
      </c>
      <c r="H8">
        <f>(H5/$L$5)*100</f>
        <v>54.601415099527827</v>
      </c>
      <c r="M8">
        <f>(M5/$P$5)*100</f>
        <v>50.24184416072336</v>
      </c>
    </row>
    <row r="9" spans="1:17" x14ac:dyDescent="0.25">
      <c r="B9" s="2" t="s">
        <v>67</v>
      </c>
      <c r="C9">
        <f>(D5/$G$5)*100</f>
        <v>23.015000301743818</v>
      </c>
      <c r="H9">
        <f>(I5/$L$5)*100</f>
        <v>50.592609640147124</v>
      </c>
      <c r="M9">
        <f>(N5/$P$5)*100</f>
        <v>38.360396738953121</v>
      </c>
    </row>
    <row r="10" spans="1:17" x14ac:dyDescent="0.25">
      <c r="B10" s="2" t="s">
        <v>68</v>
      </c>
      <c r="C10">
        <f>(E5/$G$5)*100</f>
        <v>21.187304273734824</v>
      </c>
      <c r="H10">
        <f>(J5/$L$5)*100</f>
        <v>50.100788599991631</v>
      </c>
      <c r="M10">
        <f>(O5/$P$5)*100</f>
        <v>37.276040390160532</v>
      </c>
    </row>
    <row r="11" spans="1:17" x14ac:dyDescent="0.25">
      <c r="B11" s="2" t="s">
        <v>69</v>
      </c>
      <c r="C11">
        <f>(C6/$G$5)*100</f>
        <v>23.585427724498217</v>
      </c>
      <c r="H11">
        <f>(H6/$L$5)*100</f>
        <v>4.5006264995361995</v>
      </c>
      <c r="M11">
        <f>(M6/$P$5)*100</f>
        <v>12.965803770562834</v>
      </c>
    </row>
    <row r="12" spans="1:17" x14ac:dyDescent="0.25">
      <c r="B12" s="2" t="s">
        <v>70</v>
      </c>
      <c r="C12">
        <f>(C7/$G$5)*100</f>
        <v>1.8276960280089933</v>
      </c>
      <c r="H12">
        <f>(H7/$L$5)*100</f>
        <v>0.49182104015550221</v>
      </c>
      <c r="M12">
        <f>(M7/$P$5)*100</f>
        <v>1.0843563487925905</v>
      </c>
    </row>
    <row r="13" spans="1:17" x14ac:dyDescent="0.25">
      <c r="B13" s="2"/>
      <c r="C13" s="122" t="s">
        <v>53</v>
      </c>
      <c r="D13" s="122"/>
      <c r="E13" s="122"/>
      <c r="F13" s="122"/>
      <c r="G13" s="122"/>
      <c r="H13" s="122" t="s">
        <v>54</v>
      </c>
      <c r="I13" s="122"/>
      <c r="J13" s="122"/>
      <c r="K13" s="122"/>
      <c r="L13" s="122"/>
      <c r="M13" s="122" t="s">
        <v>11</v>
      </c>
      <c r="N13" s="122"/>
      <c r="O13" s="122"/>
      <c r="P13" s="122"/>
      <c r="Q13" s="122"/>
    </row>
    <row r="14" spans="1:17" x14ac:dyDescent="0.25">
      <c r="A14" t="s">
        <v>71</v>
      </c>
      <c r="C14">
        <v>3609</v>
      </c>
      <c r="D14">
        <v>2289</v>
      </c>
      <c r="E14">
        <v>1948</v>
      </c>
      <c r="F14">
        <v>393648.359</v>
      </c>
      <c r="G14">
        <v>8832.9171813469638</v>
      </c>
      <c r="H14">
        <v>5492</v>
      </c>
      <c r="I14">
        <v>4810</v>
      </c>
      <c r="J14">
        <v>4774</v>
      </c>
      <c r="K14">
        <v>396503.91300000006</v>
      </c>
      <c r="L14">
        <v>10321.589552839458</v>
      </c>
      <c r="M14">
        <f>SUM(H14,C14)</f>
        <v>9101</v>
      </c>
      <c r="N14">
        <f t="shared" ref="N14:O14" si="1">SUM(I14,D14)</f>
        <v>7099</v>
      </c>
      <c r="O14">
        <f t="shared" si="1"/>
        <v>6722</v>
      </c>
      <c r="P14">
        <f>SUM(L14,G14)</f>
        <v>19154.50673418642</v>
      </c>
    </row>
    <row r="15" spans="1:17" x14ac:dyDescent="0.25">
      <c r="B15" s="2" t="s">
        <v>64</v>
      </c>
      <c r="C15">
        <f>C14-$E$14</f>
        <v>1661</v>
      </c>
      <c r="H15">
        <f>H14-$J$14</f>
        <v>718</v>
      </c>
      <c r="M15">
        <f>M14-$O$14</f>
        <v>2379</v>
      </c>
    </row>
    <row r="16" spans="1:17" x14ac:dyDescent="0.25">
      <c r="B16" s="2" t="s">
        <v>65</v>
      </c>
      <c r="C16">
        <f>D14-$E$14</f>
        <v>341</v>
      </c>
      <c r="H16">
        <f>I14-$J$14</f>
        <v>36</v>
      </c>
      <c r="M16">
        <f>N14-$O$14</f>
        <v>377</v>
      </c>
    </row>
    <row r="17" spans="1:17" x14ac:dyDescent="0.25">
      <c r="B17" s="2" t="s">
        <v>66</v>
      </c>
      <c r="C17">
        <f>(C14/$G$14)*100</f>
        <v>40.858528682023149</v>
      </c>
      <c r="H17">
        <f>(H14/$L$14)*100</f>
        <v>53.208858692595051</v>
      </c>
      <c r="M17">
        <f>(M14/$P$14)*100</f>
        <v>47.513622388180806</v>
      </c>
    </row>
    <row r="18" spans="1:17" x14ac:dyDescent="0.25">
      <c r="B18" s="2" t="s">
        <v>67</v>
      </c>
      <c r="C18">
        <f>(D14/$G$14)*100</f>
        <v>25.914428415946521</v>
      </c>
      <c r="H18">
        <f>(I14/$L$14)*100</f>
        <v>46.601349291948686</v>
      </c>
      <c r="M18">
        <f>(N14/$P$14)*100</f>
        <v>37.061774017547037</v>
      </c>
    </row>
    <row r="19" spans="1:17" x14ac:dyDescent="0.25">
      <c r="B19" s="2" t="s">
        <v>68</v>
      </c>
      <c r="C19">
        <f>(E14/$G$14)*100</f>
        <v>22.053869180543391</v>
      </c>
      <c r="H19">
        <f>(J14/$L$14)*100</f>
        <v>46.252565804524536</v>
      </c>
      <c r="M19">
        <f>(O14/$P$14)*100</f>
        <v>35.09356880489522</v>
      </c>
    </row>
    <row r="20" spans="1:17" x14ac:dyDescent="0.25">
      <c r="B20" s="2" t="s">
        <v>69</v>
      </c>
      <c r="C20">
        <f>(C15/$G$14)*100</f>
        <v>18.804659501479758</v>
      </c>
      <c r="H20">
        <f>(H15/$L$14)*100</f>
        <v>6.9562928880705099</v>
      </c>
      <c r="M20">
        <f>(M15/$P$14)*100</f>
        <v>12.42005358328559</v>
      </c>
    </row>
    <row r="21" spans="1:17" x14ac:dyDescent="0.25">
      <c r="B21" s="2" t="s">
        <v>70</v>
      </c>
      <c r="C21">
        <f>(C16/$G$14)*100</f>
        <v>3.8605592354031293</v>
      </c>
      <c r="H21">
        <f>(H16/$L$14)*100</f>
        <v>0.34878348742414816</v>
      </c>
      <c r="M21">
        <f>(M16/$P$14)*100</f>
        <v>1.9682052126518148</v>
      </c>
    </row>
    <row r="22" spans="1:17" x14ac:dyDescent="0.25">
      <c r="C22" s="122" t="s">
        <v>53</v>
      </c>
      <c r="D22" s="122"/>
      <c r="E22" s="122"/>
      <c r="F22" s="122"/>
      <c r="G22" s="122"/>
      <c r="H22" s="122" t="s">
        <v>54</v>
      </c>
      <c r="I22" s="122"/>
      <c r="J22" s="122"/>
      <c r="K22" s="122"/>
      <c r="L22" s="122"/>
      <c r="M22" s="122" t="s">
        <v>11</v>
      </c>
      <c r="N22" s="122"/>
      <c r="O22" s="122"/>
      <c r="P22" s="122"/>
      <c r="Q22" s="122"/>
    </row>
    <row r="23" spans="1:17" x14ac:dyDescent="0.25">
      <c r="A23" t="s">
        <v>72</v>
      </c>
      <c r="C23">
        <v>3181</v>
      </c>
      <c r="D23">
        <v>2365</v>
      </c>
      <c r="E23">
        <v>1874</v>
      </c>
      <c r="F23">
        <v>407906.799</v>
      </c>
      <c r="G23">
        <v>9152.8565810059499</v>
      </c>
      <c r="H23">
        <v>5893</v>
      </c>
      <c r="I23">
        <v>5329</v>
      </c>
      <c r="J23">
        <v>5498</v>
      </c>
      <c r="K23">
        <v>415430.96500000003</v>
      </c>
      <c r="L23">
        <v>10311.89853125389</v>
      </c>
      <c r="M23">
        <f>SUM(H23,C23)</f>
        <v>9074</v>
      </c>
      <c r="N23">
        <f t="shared" ref="N23:O23" si="2">SUM(I23,D23)</f>
        <v>7694</v>
      </c>
      <c r="O23">
        <f t="shared" si="2"/>
        <v>7372</v>
      </c>
      <c r="P23">
        <f>SUM(L23,G23)</f>
        <v>19464.755112259838</v>
      </c>
    </row>
    <row r="24" spans="1:17" x14ac:dyDescent="0.25">
      <c r="B24" s="2" t="s">
        <v>64</v>
      </c>
      <c r="C24">
        <f>C23-$E$23</f>
        <v>1307</v>
      </c>
      <c r="H24">
        <f>H23-$J$23</f>
        <v>395</v>
      </c>
      <c r="M24">
        <f>M23-$O$23</f>
        <v>1702</v>
      </c>
    </row>
    <row r="25" spans="1:17" x14ac:dyDescent="0.25">
      <c r="B25" s="2" t="s">
        <v>65</v>
      </c>
      <c r="C25">
        <f>D23-$E$23</f>
        <v>491</v>
      </c>
      <c r="H25">
        <f>I23-$J$23</f>
        <v>-169</v>
      </c>
      <c r="M25">
        <f>N23-$O$23</f>
        <v>322</v>
      </c>
    </row>
    <row r="26" spans="1:17" x14ac:dyDescent="0.25">
      <c r="B26" s="2" t="s">
        <v>66</v>
      </c>
      <c r="C26">
        <f>(C23/$G$23)*100</f>
        <v>34.754177254358225</v>
      </c>
      <c r="H26">
        <f>(H23/$L$23)*100</f>
        <v>57.147575513269068</v>
      </c>
      <c r="M26">
        <f>(M23/$P$23)*100</f>
        <v>46.617591373059497</v>
      </c>
    </row>
    <row r="27" spans="1:17" x14ac:dyDescent="0.25">
      <c r="B27" s="2" t="s">
        <v>67</v>
      </c>
      <c r="C27">
        <f>(D23/$G$23)*100</f>
        <v>25.838927760627854</v>
      </c>
      <c r="H27">
        <f>(I23/$L$23)*100</f>
        <v>51.678165604990809</v>
      </c>
      <c r="M27">
        <f>(N23/$P$23)*100</f>
        <v>39.527854091284965</v>
      </c>
    </row>
    <row r="28" spans="1:17" x14ac:dyDescent="0.25">
      <c r="B28" s="2" t="s">
        <v>68</v>
      </c>
      <c r="C28">
        <f>(E23/$G$23)*100</f>
        <v>20.474482293199408</v>
      </c>
      <c r="H28">
        <f>(J23/$L$23)*100</f>
        <v>53.317049070414612</v>
      </c>
      <c r="M28">
        <f>(O23/$P$23)*100</f>
        <v>37.873582058870909</v>
      </c>
    </row>
    <row r="29" spans="1:17" x14ac:dyDescent="0.25">
      <c r="B29" s="2" t="s">
        <v>69</v>
      </c>
      <c r="C29">
        <f>(C24/$G$23)*100</f>
        <v>14.279694961158821</v>
      </c>
      <c r="H29">
        <f>(H24/$L$23)*100</f>
        <v>3.8305264428544512</v>
      </c>
      <c r="M29">
        <f>(M24/$P$23)*100</f>
        <v>8.74400931418859</v>
      </c>
    </row>
    <row r="30" spans="1:17" x14ac:dyDescent="0.25">
      <c r="B30" s="2" t="s">
        <v>70</v>
      </c>
      <c r="C30">
        <f>(C25/$G$23)*100</f>
        <v>5.364445467428447</v>
      </c>
      <c r="H30">
        <f>(H25/$L$23)*100</f>
        <v>-1.6388834654238029</v>
      </c>
      <c r="M30">
        <f>(M25/$P$23)*100</f>
        <v>1.6542720324140576</v>
      </c>
    </row>
    <row r="36" spans="1:17" x14ac:dyDescent="0.25">
      <c r="C36" s="122" t="s">
        <v>53</v>
      </c>
      <c r="D36" s="122"/>
      <c r="E36" s="122"/>
      <c r="F36" s="122"/>
      <c r="G36" s="122"/>
      <c r="H36" s="122" t="s">
        <v>54</v>
      </c>
      <c r="I36" s="122"/>
      <c r="J36" s="122"/>
      <c r="K36" s="122"/>
      <c r="L36" s="122"/>
      <c r="M36" s="122" t="s">
        <v>11</v>
      </c>
      <c r="N36" s="122"/>
      <c r="O36" s="122"/>
      <c r="P36" s="122"/>
      <c r="Q36" s="122"/>
    </row>
    <row r="37" spans="1:17" ht="45" x14ac:dyDescent="0.25">
      <c r="A37" s="9" t="s">
        <v>73</v>
      </c>
      <c r="C37" t="s">
        <v>56</v>
      </c>
      <c r="D37" t="s">
        <v>57</v>
      </c>
      <c r="E37" t="s">
        <v>58</v>
      </c>
      <c r="F37" t="s">
        <v>59</v>
      </c>
      <c r="G37" s="129" t="s">
        <v>60</v>
      </c>
      <c r="H37" t="s">
        <v>56</v>
      </c>
      <c r="I37" t="s">
        <v>57</v>
      </c>
      <c r="J37" t="s">
        <v>58</v>
      </c>
      <c r="K37" t="s">
        <v>61</v>
      </c>
      <c r="L37" s="129" t="s">
        <v>60</v>
      </c>
      <c r="M37" t="s">
        <v>56</v>
      </c>
      <c r="N37" t="s">
        <v>57</v>
      </c>
      <c r="O37" t="s">
        <v>58</v>
      </c>
      <c r="P37" t="s">
        <v>62</v>
      </c>
      <c r="Q37" s="129"/>
    </row>
    <row r="38" spans="1:17" x14ac:dyDescent="0.25">
      <c r="A38" t="s">
        <v>74</v>
      </c>
      <c r="C38">
        <v>1798</v>
      </c>
      <c r="D38">
        <v>1350</v>
      </c>
      <c r="E38">
        <v>382</v>
      </c>
      <c r="F38">
        <v>385043.74900000001</v>
      </c>
      <c r="G38">
        <v>8639.8417987876019</v>
      </c>
      <c r="H38">
        <v>6099</v>
      </c>
      <c r="I38">
        <v>5185</v>
      </c>
      <c r="J38">
        <v>4895</v>
      </c>
      <c r="K38">
        <v>416334.41399999999</v>
      </c>
      <c r="L38">
        <v>9341.9604439570903</v>
      </c>
      <c r="M38">
        <f>SUM(H38,C38)</f>
        <v>7897</v>
      </c>
      <c r="N38">
        <f t="shared" ref="N38:O38" si="3">SUM(I38,D38)</f>
        <v>6535</v>
      </c>
      <c r="O38">
        <f t="shared" si="3"/>
        <v>5277</v>
      </c>
      <c r="P38">
        <f>SUM(L38,G38)</f>
        <v>17981.802242744692</v>
      </c>
    </row>
    <row r="39" spans="1:17" x14ac:dyDescent="0.25">
      <c r="B39" s="2" t="s">
        <v>64</v>
      </c>
      <c r="C39">
        <f>C38-$E$38</f>
        <v>1416</v>
      </c>
      <c r="H39">
        <f>H38-$J$38</f>
        <v>1204</v>
      </c>
      <c r="M39">
        <f>M38-$O$38</f>
        <v>2620</v>
      </c>
    </row>
    <row r="40" spans="1:17" x14ac:dyDescent="0.25">
      <c r="B40" s="2" t="s">
        <v>65</v>
      </c>
      <c r="C40">
        <f>D38-$E$38</f>
        <v>968</v>
      </c>
      <c r="H40">
        <f>I38-$J$38</f>
        <v>290</v>
      </c>
      <c r="M40">
        <f>N38-$O$38</f>
        <v>1258</v>
      </c>
    </row>
    <row r="41" spans="1:17" x14ac:dyDescent="0.25">
      <c r="B41" s="2" t="s">
        <v>66</v>
      </c>
      <c r="C41">
        <f>(C38/$G$38)*100</f>
        <v>20.810566233426947</v>
      </c>
      <c r="H41">
        <f>(H38/$L$38)*100</f>
        <v>65.286082472605401</v>
      </c>
      <c r="M41">
        <f>(M38/$P$38)*100</f>
        <v>43.916621334139556</v>
      </c>
    </row>
    <row r="42" spans="1:17" x14ac:dyDescent="0.25">
      <c r="B42" s="2" t="s">
        <v>67</v>
      </c>
      <c r="C42">
        <f>(D38/$G$38)*100</f>
        <v>15.625286104074737</v>
      </c>
      <c r="H42">
        <f>(I38/$L$38)*100</f>
        <v>55.502268834310385</v>
      </c>
      <c r="M42">
        <f>(N38/$P$38)*100</f>
        <v>36.342297127846265</v>
      </c>
    </row>
    <row r="43" spans="1:17" x14ac:dyDescent="0.25">
      <c r="B43" s="2" t="s">
        <v>68</v>
      </c>
      <c r="C43">
        <f>(E38/$G$38)*100</f>
        <v>4.4213772531529996</v>
      </c>
      <c r="H43">
        <f>(J38/$L$38)*100</f>
        <v>52.397995360453095</v>
      </c>
      <c r="M43">
        <f>(O38/$P$38)*100</f>
        <v>29.34633541601297</v>
      </c>
    </row>
    <row r="44" spans="1:17" x14ac:dyDescent="0.25">
      <c r="B44" s="2" t="s">
        <v>69</v>
      </c>
      <c r="C44">
        <f>(C39/$G$38)*100</f>
        <v>16.389188980273946</v>
      </c>
      <c r="H44">
        <f>(H39/$L$38)*100</f>
        <v>12.888087112152306</v>
      </c>
      <c r="M44">
        <f>(M39/$P$38)*100</f>
        <v>14.570285918126583</v>
      </c>
    </row>
    <row r="45" spans="1:17" x14ac:dyDescent="0.25">
      <c r="B45" s="2" t="s">
        <v>70</v>
      </c>
      <c r="C45">
        <f>(C40/$G$38)*100</f>
        <v>11.203908850921737</v>
      </c>
      <c r="H45">
        <f>(H40/$L$38)*100</f>
        <v>3.1042734738572828</v>
      </c>
      <c r="M45">
        <f>(M40/$P$38)*100</f>
        <v>6.9959617118332984</v>
      </c>
    </row>
    <row r="47" spans="1:17" x14ac:dyDescent="0.25">
      <c r="A47" t="s">
        <v>75</v>
      </c>
      <c r="C47">
        <v>1525</v>
      </c>
      <c r="D47">
        <v>1037</v>
      </c>
      <c r="E47">
        <v>264</v>
      </c>
      <c r="F47">
        <v>387103.25300000003</v>
      </c>
      <c r="G47">
        <v>8686.05418060183</v>
      </c>
      <c r="H47">
        <v>6584</v>
      </c>
      <c r="I47">
        <v>5795</v>
      </c>
      <c r="J47">
        <v>5666</v>
      </c>
      <c r="K47">
        <v>407374.09400000004</v>
      </c>
      <c r="L47">
        <v>9140.9034277931642</v>
      </c>
      <c r="M47">
        <f>SUM(H47,C47)</f>
        <v>8109</v>
      </c>
      <c r="N47">
        <f t="shared" ref="N47:O47" si="4">SUM(I47,D47)</f>
        <v>6832</v>
      </c>
      <c r="O47">
        <f t="shared" si="4"/>
        <v>5930</v>
      </c>
      <c r="P47">
        <f>SUM(L47,G47)</f>
        <v>17826.957608394994</v>
      </c>
    </row>
    <row r="48" spans="1:17" x14ac:dyDescent="0.25">
      <c r="B48" s="2" t="s">
        <v>64</v>
      </c>
      <c r="C48">
        <f>C47-$E$47</f>
        <v>1261</v>
      </c>
      <c r="H48">
        <f>H47-$J$47</f>
        <v>918</v>
      </c>
      <c r="M48">
        <f>M47-$O$47</f>
        <v>2179</v>
      </c>
    </row>
    <row r="49" spans="1:16" x14ac:dyDescent="0.25">
      <c r="B49" s="2" t="s">
        <v>65</v>
      </c>
      <c r="C49">
        <f>D47-$E$47</f>
        <v>773</v>
      </c>
      <c r="H49">
        <f>I47-$J$47</f>
        <v>129</v>
      </c>
      <c r="M49">
        <f>N47-$O$47</f>
        <v>902</v>
      </c>
    </row>
    <row r="50" spans="1:16" x14ac:dyDescent="0.25">
      <c r="B50" s="2" t="s">
        <v>66</v>
      </c>
      <c r="C50">
        <f>(C47/$G$47)*100</f>
        <v>17.556878742544725</v>
      </c>
      <c r="H50">
        <f>(H47/$L$47)*100</f>
        <v>72.02789146618889</v>
      </c>
      <c r="M50">
        <f>(M47/$P$47)*100</f>
        <v>45.487290530052896</v>
      </c>
    </row>
    <row r="51" spans="1:16" x14ac:dyDescent="0.25">
      <c r="B51" s="2" t="s">
        <v>67</v>
      </c>
      <c r="C51">
        <f>(D47/$G$47)*100</f>
        <v>11.938677544930412</v>
      </c>
      <c r="H51">
        <f>(I47/$L$47)*100</f>
        <v>63.396359514970321</v>
      </c>
      <c r="M51">
        <f>(N47/$P$47)*100</f>
        <v>38.323981859825054</v>
      </c>
    </row>
    <row r="52" spans="1:16" x14ac:dyDescent="0.25">
      <c r="B52" s="2" t="s">
        <v>68</v>
      </c>
      <c r="C52">
        <f>(E47/$G$47)*100</f>
        <v>3.0393547462503654</v>
      </c>
      <c r="H52">
        <f>(J47/$L$47)*100</f>
        <v>61.985120450702645</v>
      </c>
      <c r="M52">
        <f>(O47/$P$47)*100</f>
        <v>33.264228985474617</v>
      </c>
    </row>
    <row r="53" spans="1:16" x14ac:dyDescent="0.25">
      <c r="B53" s="2" t="s">
        <v>69</v>
      </c>
      <c r="C53">
        <f>(C48/$G$47)*100</f>
        <v>14.51752399629436</v>
      </c>
      <c r="H53">
        <f>(H48/$L$47)*100</f>
        <v>10.042771015486238</v>
      </c>
      <c r="M53">
        <f>(M48/$P$47)*100</f>
        <v>12.223061544578277</v>
      </c>
    </row>
    <row r="54" spans="1:16" x14ac:dyDescent="0.25">
      <c r="B54" s="2" t="s">
        <v>70</v>
      </c>
      <c r="C54">
        <f>(C49/$G$47)*100</f>
        <v>8.8993227986800463</v>
      </c>
      <c r="H54">
        <f>(H49/$L$47)*100</f>
        <v>1.411239064267674</v>
      </c>
      <c r="M54">
        <f>(M49/$P$47)*100</f>
        <v>5.0597528743504396</v>
      </c>
    </row>
    <row r="56" spans="1:16" x14ac:dyDescent="0.25">
      <c r="A56" t="s">
        <v>76</v>
      </c>
      <c r="C56">
        <v>1143</v>
      </c>
      <c r="D56">
        <v>811</v>
      </c>
      <c r="E56">
        <v>271</v>
      </c>
      <c r="F56">
        <v>271161.24400000001</v>
      </c>
      <c r="G56">
        <v>6084.4780786778701</v>
      </c>
      <c r="H56">
        <v>4142</v>
      </c>
      <c r="I56">
        <v>3889</v>
      </c>
      <c r="J56">
        <v>3759</v>
      </c>
      <c r="K56">
        <v>285186.98300000001</v>
      </c>
      <c r="L56">
        <v>6399.1959942025433</v>
      </c>
      <c r="M56">
        <f>SUM(H56,C56)</f>
        <v>5285</v>
      </c>
      <c r="N56">
        <f t="shared" ref="N56:O56" si="5">SUM(I56,D56)</f>
        <v>4700</v>
      </c>
      <c r="O56">
        <f t="shared" si="5"/>
        <v>4030</v>
      </c>
      <c r="P56">
        <f>SUM(L56,G56)</f>
        <v>12483.674072880414</v>
      </c>
    </row>
    <row r="57" spans="1:16" x14ac:dyDescent="0.25">
      <c r="B57" s="2" t="s">
        <v>64</v>
      </c>
      <c r="C57">
        <f>C56-$E$56</f>
        <v>872</v>
      </c>
      <c r="H57">
        <f>H56-$J$56</f>
        <v>383</v>
      </c>
      <c r="M57">
        <f>M56-$O$56</f>
        <v>1255</v>
      </c>
    </row>
    <row r="58" spans="1:16" x14ac:dyDescent="0.25">
      <c r="B58" s="2" t="s">
        <v>65</v>
      </c>
      <c r="C58">
        <f>D56-$E$56</f>
        <v>540</v>
      </c>
      <c r="H58">
        <f>I56-$J$56</f>
        <v>130</v>
      </c>
      <c r="M58">
        <f>N56-$O$56</f>
        <v>670</v>
      </c>
    </row>
    <row r="59" spans="1:16" x14ac:dyDescent="0.25">
      <c r="B59" s="2" t="s">
        <v>66</v>
      </c>
      <c r="C59">
        <f>(C56/$G$56)*100</f>
        <v>18.785506089757643</v>
      </c>
      <c r="H59">
        <f>(H56/$L$56)*100</f>
        <v>64.726881373105513</v>
      </c>
      <c r="M59">
        <f>(M56/$P$56)*100</f>
        <v>42.335293032691041</v>
      </c>
    </row>
    <row r="60" spans="1:16" x14ac:dyDescent="0.25">
      <c r="B60" s="2" t="s">
        <v>67</v>
      </c>
      <c r="C60">
        <f>(D56/$G$56)*100</f>
        <v>13.328998634115003</v>
      </c>
      <c r="H60">
        <f>(I56/$L$56)*100</f>
        <v>60.773259695800895</v>
      </c>
      <c r="M60">
        <f>(N56/$P$56)*100</f>
        <v>37.649172611853906</v>
      </c>
    </row>
    <row r="61" spans="1:16" x14ac:dyDescent="0.25">
      <c r="B61" s="2" t="s">
        <v>68</v>
      </c>
      <c r="C61">
        <f>(E56/$G$56)*100</f>
        <v>4.4539563869854071</v>
      </c>
      <c r="H61">
        <f>(J56/$L$56)*100</f>
        <v>58.741754486118694</v>
      </c>
      <c r="M61">
        <f>(O56/$P$56)*100</f>
        <v>32.282162899100264</v>
      </c>
    </row>
    <row r="62" spans="1:16" x14ac:dyDescent="0.25">
      <c r="B62" s="2" t="s">
        <v>69</v>
      </c>
      <c r="C62">
        <f>(C57/$G$56)*100</f>
        <v>14.331549702772234</v>
      </c>
      <c r="H62">
        <f>(H57/$L$56)*100</f>
        <v>5.9851268869868202</v>
      </c>
      <c r="M62">
        <f>(M57/$P$56)*100</f>
        <v>10.053130133590777</v>
      </c>
    </row>
    <row r="63" spans="1:16" x14ac:dyDescent="0.25">
      <c r="B63" s="2" t="s">
        <v>70</v>
      </c>
      <c r="C63">
        <f>(C58/$G$56)*100</f>
        <v>8.8750422471295938</v>
      </c>
      <c r="H63">
        <f>(H58/$L$56)*100</f>
        <v>2.0315052096822104</v>
      </c>
      <c r="M63">
        <f>(M58/$P$56)*100</f>
        <v>5.3670097127536422</v>
      </c>
    </row>
    <row r="65" spans="1:17" x14ac:dyDescent="0.25">
      <c r="C65" s="122" t="s">
        <v>53</v>
      </c>
      <c r="D65" s="122"/>
      <c r="E65" s="122"/>
      <c r="F65" s="122"/>
      <c r="G65" s="122"/>
      <c r="H65" s="122" t="s">
        <v>54</v>
      </c>
      <c r="I65" s="122"/>
      <c r="J65" s="122"/>
      <c r="K65" s="122"/>
      <c r="L65" s="122"/>
      <c r="M65" s="122" t="s">
        <v>11</v>
      </c>
      <c r="N65" s="122"/>
      <c r="O65" s="122"/>
      <c r="P65" s="122"/>
      <c r="Q65" s="122"/>
    </row>
    <row r="66" spans="1:17" ht="45" x14ac:dyDescent="0.25">
      <c r="A66" s="130" t="s">
        <v>77</v>
      </c>
      <c r="C66" t="s">
        <v>56</v>
      </c>
      <c r="D66" t="s">
        <v>57</v>
      </c>
      <c r="E66" t="s">
        <v>58</v>
      </c>
      <c r="F66" t="s">
        <v>59</v>
      </c>
      <c r="G66" s="129" t="s">
        <v>60</v>
      </c>
      <c r="H66" t="s">
        <v>56</v>
      </c>
      <c r="I66" t="s">
        <v>57</v>
      </c>
      <c r="J66" t="s">
        <v>58</v>
      </c>
      <c r="K66" t="s">
        <v>61</v>
      </c>
      <c r="L66" s="129" t="s">
        <v>60</v>
      </c>
      <c r="M66" t="s">
        <v>56</v>
      </c>
      <c r="N66" t="s">
        <v>57</v>
      </c>
      <c r="O66" t="s">
        <v>58</v>
      </c>
      <c r="P66" t="s">
        <v>62</v>
      </c>
      <c r="Q66" s="129"/>
    </row>
    <row r="67" spans="1:17" x14ac:dyDescent="0.25">
      <c r="A67" t="s">
        <v>78</v>
      </c>
      <c r="C67">
        <v>1939</v>
      </c>
      <c r="D67">
        <v>1480</v>
      </c>
      <c r="E67">
        <v>536</v>
      </c>
      <c r="F67">
        <v>413652.13199999998</v>
      </c>
      <c r="G67">
        <v>9281.7737971152128</v>
      </c>
      <c r="H67">
        <v>6644</v>
      </c>
      <c r="I67">
        <v>5889</v>
      </c>
      <c r="J67">
        <v>5879</v>
      </c>
      <c r="K67">
        <v>421559.64500000002</v>
      </c>
      <c r="L67">
        <v>9459.2073005009715</v>
      </c>
      <c r="M67">
        <f>SUM(H67,C67)</f>
        <v>8583</v>
      </c>
      <c r="N67">
        <f t="shared" ref="N67:O67" si="6">SUM(I67,D67)</f>
        <v>7369</v>
      </c>
      <c r="O67">
        <f t="shared" si="6"/>
        <v>6415</v>
      </c>
      <c r="P67">
        <f>SUM(L67,G67)</f>
        <v>18740.981097616183</v>
      </c>
    </row>
    <row r="68" spans="1:17" x14ac:dyDescent="0.25">
      <c r="B68" s="2" t="s">
        <v>64</v>
      </c>
      <c r="C68">
        <f>C67-E67</f>
        <v>1403</v>
      </c>
      <c r="H68">
        <f>H67-J67</f>
        <v>765</v>
      </c>
      <c r="M68">
        <f>M67-O67</f>
        <v>2168</v>
      </c>
    </row>
    <row r="69" spans="1:17" x14ac:dyDescent="0.25">
      <c r="B69" s="2" t="s">
        <v>65</v>
      </c>
      <c r="C69">
        <f>D67-E67</f>
        <v>944</v>
      </c>
      <c r="H69">
        <f>I67-J67</f>
        <v>10</v>
      </c>
      <c r="M69">
        <f>N67-O67</f>
        <v>954</v>
      </c>
    </row>
    <row r="70" spans="1:17" x14ac:dyDescent="0.25">
      <c r="B70" s="2" t="s">
        <v>66</v>
      </c>
      <c r="C70">
        <f>(C67/G67)*100</f>
        <v>20.890403519666076</v>
      </c>
      <c r="H70">
        <f>(H67/L67)*100</f>
        <v>70.238443761012874</v>
      </c>
      <c r="M70">
        <f>(M67/P67)*100</f>
        <v>45.798029224263729</v>
      </c>
    </row>
    <row r="71" spans="1:17" x14ac:dyDescent="0.25">
      <c r="B71" s="2" t="s">
        <v>67</v>
      </c>
      <c r="C71">
        <f>(D67/G67)*100</f>
        <v>15.945228060394943</v>
      </c>
      <c r="H71">
        <f>(I67/L67)*100</f>
        <v>62.25680242453415</v>
      </c>
      <c r="M71">
        <f>(N67/P67)*100</f>
        <v>39.320246691553002</v>
      </c>
    </row>
    <row r="72" spans="1:17" x14ac:dyDescent="0.25">
      <c r="B72" s="2" t="s">
        <v>68</v>
      </c>
      <c r="C72">
        <f>(E67/G67)*100</f>
        <v>5.7747582705214118</v>
      </c>
      <c r="H72">
        <f>(J67/L67)*100</f>
        <v>62.151085320739732</v>
      </c>
      <c r="M72">
        <f>(O67/P67)*100</f>
        <v>34.229798144431065</v>
      </c>
    </row>
    <row r="73" spans="1:17" x14ac:dyDescent="0.25">
      <c r="B73" s="2" t="s">
        <v>69</v>
      </c>
      <c r="C73">
        <f>(C68/G67)*100</f>
        <v>15.115645249144666</v>
      </c>
      <c r="H73">
        <f>(H68/L67)*100</f>
        <v>8.0873584402731566</v>
      </c>
      <c r="M73">
        <f>(M68/P67)*100</f>
        <v>11.568231079832664</v>
      </c>
    </row>
    <row r="74" spans="1:17" x14ac:dyDescent="0.25">
      <c r="B74" s="2" t="s">
        <v>70</v>
      </c>
      <c r="C74">
        <f>(C69/G67)*100</f>
        <v>10.170469789873531</v>
      </c>
      <c r="H74">
        <f>(H69/L67)*100</f>
        <v>0.10571710379442036</v>
      </c>
      <c r="M74">
        <f>(M69/P67)*100</f>
        <v>5.0904485471219383</v>
      </c>
    </row>
    <row r="76" spans="1:17" x14ac:dyDescent="0.25">
      <c r="A76" t="s">
        <v>79</v>
      </c>
      <c r="C76">
        <v>614</v>
      </c>
      <c r="D76">
        <v>772</v>
      </c>
      <c r="E76">
        <v>108</v>
      </c>
      <c r="F76">
        <v>267555.17700000003</v>
      </c>
      <c r="G76">
        <v>6003.5629918163295</v>
      </c>
      <c r="H76">
        <v>4185</v>
      </c>
      <c r="I76">
        <v>3702</v>
      </c>
      <c r="J76">
        <v>3465</v>
      </c>
      <c r="K76">
        <v>280199.75199999998</v>
      </c>
      <c r="L76">
        <v>6287.2895239224363</v>
      </c>
      <c r="M76">
        <f>SUM(H76,C76)</f>
        <v>4799</v>
      </c>
      <c r="N76">
        <f t="shared" ref="N76:O76" si="7">SUM(I76,D76)</f>
        <v>4474</v>
      </c>
      <c r="O76">
        <f t="shared" si="7"/>
        <v>3573</v>
      </c>
      <c r="P76">
        <f>SUM(L76,G76)</f>
        <v>12290.852515738767</v>
      </c>
    </row>
    <row r="77" spans="1:17" x14ac:dyDescent="0.25">
      <c r="B77" s="2" t="s">
        <v>64</v>
      </c>
      <c r="C77">
        <v>506</v>
      </c>
      <c r="H77">
        <v>720</v>
      </c>
      <c r="M77">
        <v>1226</v>
      </c>
    </row>
    <row r="78" spans="1:17" x14ac:dyDescent="0.25">
      <c r="B78" s="2" t="s">
        <v>65</v>
      </c>
      <c r="C78">
        <v>664</v>
      </c>
      <c r="H78">
        <v>237</v>
      </c>
      <c r="M78">
        <v>901</v>
      </c>
    </row>
    <row r="79" spans="1:17" x14ac:dyDescent="0.25">
      <c r="B79" s="2" t="s">
        <v>66</v>
      </c>
      <c r="C79">
        <v>10.227260059350844</v>
      </c>
      <c r="H79">
        <v>66.562864396120787</v>
      </c>
      <c r="M79">
        <v>39.0452980690701</v>
      </c>
    </row>
    <row r="80" spans="1:17" x14ac:dyDescent="0.25">
      <c r="B80" s="2" t="s">
        <v>67</v>
      </c>
      <c r="C80">
        <v>12.859030563222884</v>
      </c>
      <c r="H80">
        <v>58.880698684453805</v>
      </c>
      <c r="M80">
        <v>36.401055128364149</v>
      </c>
    </row>
    <row r="81" spans="1:16" x14ac:dyDescent="0.25">
      <c r="B81" s="2" t="s">
        <v>68</v>
      </c>
      <c r="C81">
        <v>1.7989317368239266</v>
      </c>
      <c r="H81">
        <v>55.111188801089263</v>
      </c>
      <c r="M81">
        <v>29.070400083514773</v>
      </c>
    </row>
    <row r="82" spans="1:16" x14ac:dyDescent="0.25">
      <c r="B82" s="2" t="s">
        <v>69</v>
      </c>
      <c r="C82">
        <v>8.4283283225269159</v>
      </c>
      <c r="H82">
        <v>11.451675595031535</v>
      </c>
      <c r="M82">
        <v>9.974897985555307</v>
      </c>
    </row>
    <row r="83" spans="1:16" x14ac:dyDescent="0.25">
      <c r="B83" s="2" t="s">
        <v>70</v>
      </c>
      <c r="C83">
        <v>11.060098826398958</v>
      </c>
      <c r="H83">
        <v>3.7695098833645471</v>
      </c>
      <c r="M83">
        <v>7.3306550448493724</v>
      </c>
    </row>
    <row r="85" spans="1:16" x14ac:dyDescent="0.25">
      <c r="A85" t="s">
        <v>80</v>
      </c>
      <c r="C85">
        <v>1866</v>
      </c>
      <c r="D85">
        <v>1942</v>
      </c>
      <c r="E85">
        <v>630</v>
      </c>
      <c r="F85">
        <v>394964.51100000006</v>
      </c>
      <c r="G85">
        <v>8862.4497866488055</v>
      </c>
      <c r="H85">
        <v>6285</v>
      </c>
      <c r="I85">
        <v>5710</v>
      </c>
      <c r="J85">
        <v>5635</v>
      </c>
      <c r="K85">
        <v>400454.37599999999</v>
      </c>
      <c r="L85">
        <v>5997.4611068608174</v>
      </c>
      <c r="M85">
        <f>SUM(H85,C85)</f>
        <v>8151</v>
      </c>
      <c r="N85">
        <f t="shared" ref="N85:O85" si="8">SUM(I85,D85)</f>
        <v>7652</v>
      </c>
      <c r="O85">
        <f t="shared" si="8"/>
        <v>6265</v>
      </c>
      <c r="P85">
        <f>SUM(L85,G85)</f>
        <v>14859.910893509623</v>
      </c>
    </row>
    <row r="86" spans="1:16" x14ac:dyDescent="0.25">
      <c r="B86" s="2" t="s">
        <v>64</v>
      </c>
      <c r="C86">
        <f>C85-E85</f>
        <v>1236</v>
      </c>
      <c r="H86">
        <f>H85-J85</f>
        <v>650</v>
      </c>
      <c r="M86">
        <f>M85-O85</f>
        <v>1886</v>
      </c>
    </row>
    <row r="87" spans="1:16" x14ac:dyDescent="0.25">
      <c r="B87" s="2" t="s">
        <v>65</v>
      </c>
      <c r="C87">
        <f>D85-E85</f>
        <v>1312</v>
      </c>
      <c r="H87">
        <f>I85-J85</f>
        <v>75</v>
      </c>
      <c r="M87">
        <f>N85-O85</f>
        <v>1387</v>
      </c>
    </row>
    <row r="88" spans="1:16" x14ac:dyDescent="0.25">
      <c r="B88" s="2" t="s">
        <v>66</v>
      </c>
      <c r="C88">
        <f>(C85/G85)*100</f>
        <v>21.055126346793081</v>
      </c>
      <c r="H88">
        <f>(H85/L85)*100</f>
        <v>104.79434360666802</v>
      </c>
      <c r="M88">
        <f>(M85/P85)*100</f>
        <v>54.852280463943558</v>
      </c>
    </row>
    <row r="89" spans="1:16" x14ac:dyDescent="0.25">
      <c r="B89" s="2" t="s">
        <v>67</v>
      </c>
      <c r="C89">
        <f>(D85/G85)*100</f>
        <v>21.912677044733208</v>
      </c>
      <c r="H89">
        <f>(I85/L85)*100</f>
        <v>95.20695338012321</v>
      </c>
      <c r="M89">
        <f>(N85/P85)*100</f>
        <v>51.494252252496153</v>
      </c>
    </row>
    <row r="90" spans="1:16" x14ac:dyDescent="0.25">
      <c r="B90" s="2" t="s">
        <v>68</v>
      </c>
      <c r="C90">
        <f>(E85/G85)*100</f>
        <v>7.1086439434510416</v>
      </c>
      <c r="H90">
        <f>(J85/L85)*100</f>
        <v>93.956424220139112</v>
      </c>
      <c r="M90">
        <f>(O85/P85)*100</f>
        <v>42.160414318072185</v>
      </c>
    </row>
    <row r="91" spans="1:16" x14ac:dyDescent="0.25">
      <c r="B91" s="2" t="s">
        <v>69</v>
      </c>
      <c r="C91">
        <f>(C86/G85)*100</f>
        <v>13.946482403342042</v>
      </c>
      <c r="H91">
        <f>(H86/L85)*100</f>
        <v>10.837919386528911</v>
      </c>
      <c r="M91">
        <f>(M86/P85)*100</f>
        <v>12.691866145871373</v>
      </c>
    </row>
    <row r="92" spans="1:16" x14ac:dyDescent="0.25">
      <c r="B92" s="2" t="s">
        <v>70</v>
      </c>
      <c r="C92">
        <f>(C87/G85)*100</f>
        <v>14.804033101282169</v>
      </c>
      <c r="H92">
        <f>(H87/L85)*100</f>
        <v>1.2505291599841051</v>
      </c>
      <c r="M92">
        <f>(M87/P85)*100</f>
        <v>9.333837934423963</v>
      </c>
    </row>
    <row r="94" spans="1:16" x14ac:dyDescent="0.25">
      <c r="A94" t="s">
        <v>4</v>
      </c>
      <c r="B94" s="2"/>
      <c r="C94" s="122" t="s">
        <v>53</v>
      </c>
      <c r="D94" s="122"/>
      <c r="E94" s="122"/>
      <c r="F94" s="122" t="s">
        <v>54</v>
      </c>
      <c r="G94" s="122"/>
      <c r="H94" s="122"/>
      <c r="I94" s="122" t="s">
        <v>11</v>
      </c>
      <c r="J94" s="122"/>
      <c r="K94" s="122"/>
    </row>
    <row r="95" spans="1:16" x14ac:dyDescent="0.25">
      <c r="B95" s="2"/>
      <c r="C95" t="s">
        <v>77</v>
      </c>
      <c r="D95" t="s">
        <v>55</v>
      </c>
      <c r="E95" t="s">
        <v>73</v>
      </c>
      <c r="F95" t="s">
        <v>77</v>
      </c>
      <c r="G95" t="s">
        <v>55</v>
      </c>
      <c r="H95" t="s">
        <v>73</v>
      </c>
      <c r="I95" t="s">
        <v>77</v>
      </c>
      <c r="J95" t="s">
        <v>55</v>
      </c>
      <c r="K95" t="s">
        <v>73</v>
      </c>
    </row>
    <row r="96" spans="1:16" x14ac:dyDescent="0.25">
      <c r="B96" s="2" t="s">
        <v>66</v>
      </c>
      <c r="C96">
        <f t="shared" ref="C96:C100" si="9">AVERAGE(C70,C79,C88)</f>
        <v>17.390929975270002</v>
      </c>
      <c r="D96">
        <f>AVERAGE(C8,C17,C26)</f>
        <v>40.128479311538136</v>
      </c>
      <c r="E96">
        <f>AVERAGE(C41,C50,C59)</f>
        <v>19.050983688576437</v>
      </c>
      <c r="F96">
        <f>AVERAGE(H70,H79,H88)</f>
        <v>80.531883921267237</v>
      </c>
      <c r="G96">
        <f>AVERAGE(H8,H17,H26)</f>
        <v>54.985949768463975</v>
      </c>
      <c r="H96">
        <f>AVERAGE(H41,H50,H59)</f>
        <v>67.346951770633268</v>
      </c>
      <c r="I96">
        <f>AVERAGE(M70,M79,M88)</f>
        <v>46.565202585759131</v>
      </c>
      <c r="J96">
        <f>AVERAGE(M8,M17,M26)</f>
        <v>48.124352640654557</v>
      </c>
      <c r="K96">
        <f>AVERAGE(M41,M50,M59)</f>
        <v>43.913068298961171</v>
      </c>
    </row>
    <row r="97" spans="2:11" x14ac:dyDescent="0.25">
      <c r="B97" s="2" t="s">
        <v>67</v>
      </c>
      <c r="C97">
        <f t="shared" si="9"/>
        <v>16.905645222783679</v>
      </c>
      <c r="D97">
        <f>AVERAGE(C9,C18,C27)</f>
        <v>24.922785492772732</v>
      </c>
      <c r="E97">
        <f t="shared" ref="E97:E100" si="10">AVERAGE(C42,C51,C60)</f>
        <v>13.630987427706719</v>
      </c>
      <c r="F97">
        <f t="shared" ref="F97:F100" si="11">AVERAGE(H71,H80,H89)</f>
        <v>72.114818163037057</v>
      </c>
      <c r="G97">
        <f t="shared" ref="G97:G100" si="12">AVERAGE(H9,H18,H27)</f>
        <v>49.624041512362204</v>
      </c>
      <c r="H97">
        <f t="shared" ref="H97:H100" si="13">AVERAGE(H42,H51,H60)</f>
        <v>59.890629348360534</v>
      </c>
      <c r="I97">
        <f t="shared" ref="I97:I100" si="14">AVERAGE(M71,M80,M89)</f>
        <v>42.40518469080444</v>
      </c>
      <c r="J97">
        <f t="shared" ref="J97:J100" si="15">AVERAGE(M9,M18,M27)</f>
        <v>38.316674949261703</v>
      </c>
      <c r="K97">
        <f t="shared" ref="K97:K100" si="16">AVERAGE(M42,M51,M60)</f>
        <v>37.438483866508413</v>
      </c>
    </row>
    <row r="98" spans="2:11" x14ac:dyDescent="0.25">
      <c r="B98" s="2" t="s">
        <v>68</v>
      </c>
      <c r="C98">
        <f t="shared" si="9"/>
        <v>4.8941113169321264</v>
      </c>
      <c r="D98">
        <f>AVERAGE(C10,C19,C28)</f>
        <v>21.238551915825873</v>
      </c>
      <c r="E98">
        <f t="shared" si="10"/>
        <v>3.971562795462924</v>
      </c>
      <c r="F98">
        <f t="shared" si="11"/>
        <v>70.406232780656026</v>
      </c>
      <c r="G98">
        <f t="shared" si="12"/>
        <v>49.890134491643586</v>
      </c>
      <c r="H98">
        <f t="shared" si="13"/>
        <v>57.708290099091471</v>
      </c>
      <c r="I98">
        <f t="shared" si="14"/>
        <v>35.153537515339345</v>
      </c>
      <c r="J98">
        <f t="shared" si="15"/>
        <v>36.747730417975554</v>
      </c>
      <c r="K98">
        <f t="shared" si="16"/>
        <v>31.63090910019595</v>
      </c>
    </row>
    <row r="99" spans="2:11" x14ac:dyDescent="0.25">
      <c r="B99" s="2" t="s">
        <v>69</v>
      </c>
      <c r="C99">
        <f t="shared" si="9"/>
        <v>12.496818658337874</v>
      </c>
      <c r="D99">
        <f>AVERAGE(C11,C20,C29)</f>
        <v>18.889927395712267</v>
      </c>
      <c r="E99">
        <f t="shared" si="10"/>
        <v>15.079420893113515</v>
      </c>
      <c r="F99">
        <f t="shared" si="11"/>
        <v>10.125651140611202</v>
      </c>
      <c r="G99">
        <f t="shared" si="12"/>
        <v>5.095815276820387</v>
      </c>
      <c r="H99">
        <f t="shared" si="13"/>
        <v>9.6386616715417883</v>
      </c>
      <c r="I99">
        <f t="shared" si="14"/>
        <v>11.411665070419781</v>
      </c>
      <c r="J99">
        <f t="shared" si="15"/>
        <v>11.376622222679003</v>
      </c>
      <c r="K99">
        <f t="shared" si="16"/>
        <v>12.282159198765212</v>
      </c>
    </row>
    <row r="100" spans="2:11" x14ac:dyDescent="0.25">
      <c r="B100" s="2" t="s">
        <v>70</v>
      </c>
      <c r="C100">
        <f t="shared" si="9"/>
        <v>12.011533905851552</v>
      </c>
      <c r="D100">
        <f>AVERAGE(C12,C21,C30)</f>
        <v>3.6842335769468568</v>
      </c>
      <c r="E100">
        <f t="shared" si="10"/>
        <v>9.6594246322437911</v>
      </c>
      <c r="F100">
        <f t="shared" si="11"/>
        <v>1.7085853823810242</v>
      </c>
      <c r="G100">
        <f t="shared" si="12"/>
        <v>-0.2660929792813842</v>
      </c>
      <c r="H100">
        <f t="shared" si="13"/>
        <v>2.1823392492690559</v>
      </c>
      <c r="I100">
        <f t="shared" si="14"/>
        <v>7.2516471754650906</v>
      </c>
      <c r="J100">
        <f t="shared" si="15"/>
        <v>1.5689445312861545</v>
      </c>
      <c r="K100">
        <f t="shared" si="16"/>
        <v>5.8075747663124604</v>
      </c>
    </row>
  </sheetData>
  <mergeCells count="19">
    <mergeCell ref="C65:G65"/>
    <mergeCell ref="H65:L65"/>
    <mergeCell ref="M65:Q65"/>
    <mergeCell ref="C94:E94"/>
    <mergeCell ref="F94:H94"/>
    <mergeCell ref="I94:K94"/>
    <mergeCell ref="C22:G22"/>
    <mergeCell ref="H22:L22"/>
    <mergeCell ref="M22:Q22"/>
    <mergeCell ref="C36:G36"/>
    <mergeCell ref="H36:L36"/>
    <mergeCell ref="M36:Q36"/>
    <mergeCell ref="A2:P2"/>
    <mergeCell ref="C3:G3"/>
    <mergeCell ref="H3:L3"/>
    <mergeCell ref="M3:Q3"/>
    <mergeCell ref="C13:G13"/>
    <mergeCell ref="H13:L13"/>
    <mergeCell ref="M13:Q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R126"/>
  <sheetViews>
    <sheetView zoomScale="55" zoomScaleNormal="55" workbookViewId="0">
      <selection activeCell="R16" sqref="R16:S75"/>
    </sheetView>
  </sheetViews>
  <sheetFormatPr defaultColWidth="8.85546875" defaultRowHeight="15" x14ac:dyDescent="0.25"/>
  <cols>
    <col min="2" max="2" width="20.28515625" bestFit="1" customWidth="1"/>
    <col min="8" max="8" width="20.28515625" bestFit="1" customWidth="1"/>
    <col min="14" max="14" width="21.42578125" bestFit="1" customWidth="1"/>
    <col min="18" max="18" width="12" bestFit="1" customWidth="1"/>
    <col min="19" max="21" width="12" customWidth="1"/>
    <col min="22" max="22" width="20.28515625" bestFit="1" customWidth="1"/>
    <col min="25" max="25" width="11.140625" bestFit="1" customWidth="1"/>
    <col min="26" max="26" width="12" bestFit="1" customWidth="1"/>
    <col min="28" max="28" width="20.7109375" bestFit="1" customWidth="1"/>
    <col min="35" max="35" width="20.7109375" bestFit="1" customWidth="1"/>
  </cols>
  <sheetData>
    <row r="1" spans="2:40" x14ac:dyDescent="0.25">
      <c r="B1" s="122">
        <v>1</v>
      </c>
      <c r="C1" s="122"/>
      <c r="D1" s="122"/>
      <c r="E1" s="122"/>
      <c r="H1" s="122">
        <v>2</v>
      </c>
      <c r="I1" s="122"/>
      <c r="J1" s="122"/>
      <c r="K1" s="122"/>
      <c r="N1" s="121">
        <v>3</v>
      </c>
      <c r="O1" s="121"/>
      <c r="P1" s="121"/>
      <c r="Q1" s="121"/>
      <c r="R1" s="121"/>
      <c r="S1" s="121"/>
      <c r="V1" s="122">
        <v>4</v>
      </c>
      <c r="W1" s="122"/>
      <c r="X1" s="122"/>
      <c r="Y1" s="122"/>
      <c r="AB1" s="122">
        <v>5</v>
      </c>
      <c r="AC1" s="122"/>
      <c r="AD1" s="122"/>
      <c r="AE1" s="122"/>
    </row>
    <row r="2" spans="2:40" x14ac:dyDescent="0.25">
      <c r="C2" t="s">
        <v>1</v>
      </c>
      <c r="D2" t="s">
        <v>2</v>
      </c>
      <c r="E2" t="s">
        <v>6</v>
      </c>
      <c r="I2" t="s">
        <v>1</v>
      </c>
      <c r="J2" t="s">
        <v>2</v>
      </c>
      <c r="K2" t="s">
        <v>6</v>
      </c>
      <c r="O2" t="s">
        <v>1</v>
      </c>
      <c r="P2" t="s">
        <v>2</v>
      </c>
      <c r="Q2" t="s">
        <v>6</v>
      </c>
      <c r="R2" t="s">
        <v>39</v>
      </c>
      <c r="S2" t="s">
        <v>40</v>
      </c>
      <c r="W2" t="s">
        <v>1</v>
      </c>
      <c r="X2" t="s">
        <v>2</v>
      </c>
      <c r="Y2" t="s">
        <v>6</v>
      </c>
      <c r="AC2" t="s">
        <v>1</v>
      </c>
      <c r="AD2" t="s">
        <v>2</v>
      </c>
      <c r="AE2" t="s">
        <v>6</v>
      </c>
    </row>
    <row r="3" spans="2:40" x14ac:dyDescent="0.25">
      <c r="B3">
        <v>1</v>
      </c>
      <c r="C3" s="3">
        <v>15063</v>
      </c>
      <c r="D3" s="3">
        <v>7612</v>
      </c>
      <c r="E3" s="3">
        <v>2988</v>
      </c>
      <c r="F3" s="3"/>
      <c r="H3">
        <v>1</v>
      </c>
      <c r="I3" s="21">
        <v>36563</v>
      </c>
      <c r="J3" s="22">
        <v>15452</v>
      </c>
      <c r="K3" s="4">
        <v>21716</v>
      </c>
      <c r="L3" s="6"/>
      <c r="N3">
        <v>1</v>
      </c>
      <c r="O3" s="103">
        <v>68100</v>
      </c>
      <c r="P3" s="104">
        <v>13291</v>
      </c>
      <c r="Q3" s="4">
        <v>18909</v>
      </c>
      <c r="R3">
        <f>O3/$O$76</f>
        <v>1.3498401896251271</v>
      </c>
      <c r="S3">
        <f>P3/$P$76</f>
        <v>1.0335962637455216</v>
      </c>
      <c r="V3">
        <v>1</v>
      </c>
      <c r="W3" s="21">
        <v>61113</v>
      </c>
      <c r="X3" s="22">
        <v>14507</v>
      </c>
      <c r="Y3" s="4">
        <v>26985</v>
      </c>
      <c r="AB3">
        <v>1</v>
      </c>
      <c r="AC3" s="21">
        <v>50811</v>
      </c>
      <c r="AD3" s="22">
        <v>12112</v>
      </c>
      <c r="AE3" s="4">
        <v>16751</v>
      </c>
      <c r="AI3" s="123" t="s">
        <v>36</v>
      </c>
      <c r="AJ3" s="123"/>
      <c r="AK3" s="123"/>
      <c r="AL3" s="123"/>
      <c r="AM3" s="123"/>
    </row>
    <row r="4" spans="2:40" x14ac:dyDescent="0.25">
      <c r="B4">
        <v>2</v>
      </c>
      <c r="C4" s="3">
        <v>8478</v>
      </c>
      <c r="D4" s="3">
        <v>5357</v>
      </c>
      <c r="E4" s="3">
        <v>3329</v>
      </c>
      <c r="F4" s="3"/>
      <c r="H4">
        <v>2</v>
      </c>
      <c r="I4" s="27">
        <v>28569</v>
      </c>
      <c r="J4" s="28">
        <v>15678</v>
      </c>
      <c r="K4" s="4">
        <v>14142</v>
      </c>
      <c r="L4" s="6"/>
      <c r="N4">
        <v>2</v>
      </c>
      <c r="O4" s="107">
        <v>75267</v>
      </c>
      <c r="P4" s="108">
        <v>17125</v>
      </c>
      <c r="Q4" s="4">
        <v>23540</v>
      </c>
      <c r="R4">
        <f t="shared" ref="R4:R67" si="0">O4/$O$76</f>
        <v>1.4919004633262032</v>
      </c>
      <c r="S4">
        <f t="shared" ref="S4:S67" si="1">P4/$P$76</f>
        <v>1.3317535186699314</v>
      </c>
      <c r="V4">
        <v>2</v>
      </c>
      <c r="W4" s="23">
        <v>71171</v>
      </c>
      <c r="X4" s="24">
        <v>20862</v>
      </c>
      <c r="Y4" s="4">
        <v>26705</v>
      </c>
      <c r="AB4">
        <v>2</v>
      </c>
      <c r="AC4" s="27">
        <v>63495</v>
      </c>
      <c r="AD4" s="28">
        <v>13914</v>
      </c>
      <c r="AE4" s="4">
        <v>27833</v>
      </c>
    </row>
    <row r="5" spans="2:40" x14ac:dyDescent="0.25">
      <c r="B5">
        <v>3</v>
      </c>
      <c r="C5" s="3">
        <v>19376</v>
      </c>
      <c r="D5" s="3">
        <v>9585</v>
      </c>
      <c r="E5" s="4">
        <v>10958</v>
      </c>
      <c r="F5" s="6"/>
      <c r="H5">
        <v>3</v>
      </c>
      <c r="I5" s="27">
        <v>45756</v>
      </c>
      <c r="J5" s="28">
        <v>25095</v>
      </c>
      <c r="K5" s="4">
        <v>22321</v>
      </c>
      <c r="L5" s="6"/>
      <c r="N5">
        <v>3</v>
      </c>
      <c r="O5" s="107">
        <v>63071</v>
      </c>
      <c r="P5" s="108">
        <v>20107</v>
      </c>
      <c r="Q5" s="4">
        <v>23812</v>
      </c>
      <c r="R5">
        <f t="shared" si="0"/>
        <v>1.2501581585880528</v>
      </c>
      <c r="S5">
        <f t="shared" si="1"/>
        <v>1.5636536058333612</v>
      </c>
      <c r="V5">
        <v>3</v>
      </c>
      <c r="W5" s="3">
        <v>77708</v>
      </c>
      <c r="X5" s="3">
        <v>10766</v>
      </c>
      <c r="Y5" s="4">
        <v>23006</v>
      </c>
      <c r="AB5">
        <v>3</v>
      </c>
      <c r="AC5" s="27">
        <v>82554</v>
      </c>
      <c r="AD5" s="28">
        <v>19259</v>
      </c>
      <c r="AE5" s="4">
        <v>28396</v>
      </c>
      <c r="AI5" t="s">
        <v>5</v>
      </c>
      <c r="AJ5" s="3">
        <f t="shared" ref="AJ5:AK7" si="2">AVERAGE(C77,I83,O76,W89,AC88)</f>
        <v>34345.499549549553</v>
      </c>
      <c r="AK5" s="3">
        <f t="shared" si="2"/>
        <v>11845.7756006006</v>
      </c>
      <c r="AN5" s="3"/>
    </row>
    <row r="6" spans="2:40" x14ac:dyDescent="0.25">
      <c r="B6">
        <v>4</v>
      </c>
      <c r="C6" s="3">
        <v>10435</v>
      </c>
      <c r="D6" s="3">
        <v>7067</v>
      </c>
      <c r="E6" s="3">
        <v>3290</v>
      </c>
      <c r="F6" s="6"/>
      <c r="H6">
        <v>4</v>
      </c>
      <c r="I6" s="27">
        <v>45701</v>
      </c>
      <c r="J6" s="28">
        <v>21770</v>
      </c>
      <c r="K6" s="4">
        <v>23770</v>
      </c>
      <c r="L6" s="6"/>
      <c r="N6">
        <v>4</v>
      </c>
      <c r="O6" s="107">
        <v>66090</v>
      </c>
      <c r="P6" s="108">
        <v>21701</v>
      </c>
      <c r="Q6" s="4">
        <v>26739</v>
      </c>
      <c r="R6">
        <f t="shared" si="0"/>
        <v>1.3099990915172488</v>
      </c>
      <c r="S6">
        <f t="shared" si="1"/>
        <v>1.6876136121843026</v>
      </c>
      <c r="V6">
        <v>4</v>
      </c>
      <c r="W6" s="3">
        <v>29091</v>
      </c>
      <c r="X6" s="3">
        <v>9471</v>
      </c>
      <c r="Y6" s="4">
        <v>14529</v>
      </c>
      <c r="AB6">
        <v>4</v>
      </c>
      <c r="AC6" s="27">
        <v>68353</v>
      </c>
      <c r="AD6" s="28">
        <v>18749</v>
      </c>
      <c r="AE6" s="4">
        <v>17240</v>
      </c>
      <c r="AI6" t="s">
        <v>8</v>
      </c>
      <c r="AJ6" s="3">
        <f t="shared" si="2"/>
        <v>32537.774700226881</v>
      </c>
      <c r="AK6" s="3">
        <f t="shared" si="2"/>
        <v>11295.424509513217</v>
      </c>
    </row>
    <row r="7" spans="2:40" x14ac:dyDescent="0.25">
      <c r="B7">
        <v>5</v>
      </c>
      <c r="C7" s="3">
        <v>17662</v>
      </c>
      <c r="D7" s="3">
        <v>11440</v>
      </c>
      <c r="E7" s="3">
        <v>3307</v>
      </c>
      <c r="F7" s="6"/>
      <c r="H7">
        <v>5</v>
      </c>
      <c r="I7" s="27">
        <v>32359</v>
      </c>
      <c r="J7" s="28">
        <v>17697</v>
      </c>
      <c r="K7" s="4">
        <v>21366</v>
      </c>
      <c r="L7" s="6"/>
      <c r="N7">
        <v>5</v>
      </c>
      <c r="O7" s="107">
        <v>71122</v>
      </c>
      <c r="P7" s="108">
        <v>19950</v>
      </c>
      <c r="Q7" s="4">
        <v>30856</v>
      </c>
      <c r="R7">
        <f t="shared" si="0"/>
        <v>1.4097405868798574</v>
      </c>
      <c r="S7">
        <f t="shared" si="1"/>
        <v>1.5514442451074528</v>
      </c>
      <c r="V7">
        <v>5</v>
      </c>
      <c r="W7" s="21">
        <v>51306</v>
      </c>
      <c r="X7" s="22">
        <v>15636</v>
      </c>
      <c r="Y7" s="4">
        <v>24282</v>
      </c>
      <c r="AB7">
        <v>5</v>
      </c>
      <c r="AC7" s="27">
        <v>61294</v>
      </c>
      <c r="AD7" s="28">
        <v>16007</v>
      </c>
      <c r="AE7" s="4">
        <v>22804</v>
      </c>
      <c r="AI7" s="5" t="s">
        <v>7</v>
      </c>
      <c r="AJ7" s="3">
        <f t="shared" si="2"/>
        <v>49965.203965201465</v>
      </c>
      <c r="AK7" s="3">
        <f t="shared" si="2"/>
        <v>15878.899862637361</v>
      </c>
    </row>
    <row r="8" spans="2:40" x14ac:dyDescent="0.25">
      <c r="B8">
        <v>6</v>
      </c>
      <c r="C8" s="3">
        <v>12961</v>
      </c>
      <c r="D8" s="3">
        <v>7371</v>
      </c>
      <c r="E8" s="3">
        <v>4828</v>
      </c>
      <c r="F8" s="6"/>
      <c r="H8">
        <v>6</v>
      </c>
      <c r="I8" s="27">
        <v>52314</v>
      </c>
      <c r="J8" s="28">
        <v>27864</v>
      </c>
      <c r="K8" s="4">
        <v>26607</v>
      </c>
      <c r="L8" s="6"/>
      <c r="N8">
        <v>6</v>
      </c>
      <c r="O8" s="107">
        <v>69766</v>
      </c>
      <c r="P8" s="108">
        <v>16511</v>
      </c>
      <c r="Q8" s="4">
        <v>28676</v>
      </c>
      <c r="R8">
        <f t="shared" si="0"/>
        <v>1.3828627117384231</v>
      </c>
      <c r="S8">
        <f t="shared" si="1"/>
        <v>1.2840048085698825</v>
      </c>
      <c r="V8">
        <v>6</v>
      </c>
      <c r="W8" s="27">
        <v>38479</v>
      </c>
      <c r="X8" s="28">
        <v>13188</v>
      </c>
      <c r="Y8" s="4">
        <v>21323</v>
      </c>
      <c r="AB8">
        <v>6</v>
      </c>
      <c r="AC8" s="23">
        <v>110673</v>
      </c>
      <c r="AD8" s="24">
        <v>27346</v>
      </c>
      <c r="AE8" s="4">
        <v>33308</v>
      </c>
      <c r="AI8" t="s">
        <v>14</v>
      </c>
      <c r="AJ8" s="3">
        <f>AVERAGE(C80,I86,O79,W92,AC91)</f>
        <v>14.6</v>
      </c>
      <c r="AK8" s="3"/>
    </row>
    <row r="9" spans="2:40" x14ac:dyDescent="0.25">
      <c r="B9">
        <v>7</v>
      </c>
      <c r="C9" s="12">
        <v>28261</v>
      </c>
      <c r="D9" s="13">
        <v>12941</v>
      </c>
      <c r="E9" s="4">
        <v>9509</v>
      </c>
      <c r="F9" s="6"/>
      <c r="H9">
        <v>7</v>
      </c>
      <c r="I9" s="27">
        <v>46727</v>
      </c>
      <c r="J9" s="28">
        <v>19398</v>
      </c>
      <c r="K9" s="4">
        <v>30658</v>
      </c>
      <c r="L9" s="6"/>
      <c r="N9">
        <v>7</v>
      </c>
      <c r="O9" s="107">
        <v>90293</v>
      </c>
      <c r="P9" s="108">
        <v>20378</v>
      </c>
      <c r="Q9" s="4">
        <v>21555</v>
      </c>
      <c r="R9">
        <f t="shared" si="0"/>
        <v>1.7897374484848987</v>
      </c>
      <c r="S9">
        <f t="shared" si="1"/>
        <v>1.5847283622455979</v>
      </c>
      <c r="V9">
        <v>7</v>
      </c>
      <c r="W9" s="23">
        <v>57432</v>
      </c>
      <c r="X9" s="24">
        <v>17847</v>
      </c>
      <c r="Y9" s="4">
        <v>26883</v>
      </c>
      <c r="AB9">
        <v>7</v>
      </c>
      <c r="AC9" s="3">
        <v>60810</v>
      </c>
      <c r="AD9" s="3">
        <v>11350</v>
      </c>
      <c r="AE9" s="4">
        <v>20290</v>
      </c>
      <c r="AI9" s="3" t="s">
        <v>9</v>
      </c>
      <c r="AJ9" s="3">
        <f>AVERAGE(C81,I87,O80,W93,AC92)</f>
        <v>18.438728170293111</v>
      </c>
      <c r="AK9" s="3"/>
    </row>
    <row r="10" spans="2:40" x14ac:dyDescent="0.25">
      <c r="B10">
        <v>8</v>
      </c>
      <c r="C10" s="3">
        <v>14342</v>
      </c>
      <c r="D10" s="3">
        <v>6877</v>
      </c>
      <c r="E10" s="3">
        <v>3183</v>
      </c>
      <c r="F10" s="6"/>
      <c r="H10">
        <v>8</v>
      </c>
      <c r="I10" s="27">
        <v>56971</v>
      </c>
      <c r="J10" s="28">
        <v>27727</v>
      </c>
      <c r="K10" s="4">
        <v>19045</v>
      </c>
      <c r="L10" s="6"/>
      <c r="N10">
        <v>8</v>
      </c>
      <c r="O10" s="105">
        <v>87817</v>
      </c>
      <c r="P10" s="106">
        <v>20758</v>
      </c>
      <c r="Q10" s="4">
        <v>27549</v>
      </c>
      <c r="R10">
        <f t="shared" si="0"/>
        <v>1.740659558477383</v>
      </c>
      <c r="S10">
        <f t="shared" si="1"/>
        <v>1.6142796812000255</v>
      </c>
      <c r="V10">
        <v>8</v>
      </c>
      <c r="W10" s="3">
        <v>48052</v>
      </c>
      <c r="X10" s="3">
        <v>11187</v>
      </c>
      <c r="Y10" s="4">
        <v>21667</v>
      </c>
      <c r="AB10">
        <v>8</v>
      </c>
      <c r="AC10" s="3">
        <v>58351</v>
      </c>
      <c r="AD10" s="3">
        <v>8691</v>
      </c>
      <c r="AE10" s="4">
        <v>18691</v>
      </c>
      <c r="AJ10" t="s">
        <v>11</v>
      </c>
      <c r="AK10" t="s">
        <v>6</v>
      </c>
    </row>
    <row r="11" spans="2:40" x14ac:dyDescent="0.25">
      <c r="B11">
        <v>9</v>
      </c>
      <c r="C11" s="12">
        <v>30125</v>
      </c>
      <c r="D11" s="13">
        <v>17322</v>
      </c>
      <c r="E11" s="4">
        <v>18414</v>
      </c>
      <c r="F11" s="6"/>
      <c r="H11">
        <v>9</v>
      </c>
      <c r="I11" s="27">
        <v>36161</v>
      </c>
      <c r="J11" s="28">
        <v>15934</v>
      </c>
      <c r="K11" s="4">
        <v>30381</v>
      </c>
      <c r="L11" s="6"/>
      <c r="N11">
        <v>9</v>
      </c>
      <c r="O11" s="30">
        <v>72207</v>
      </c>
      <c r="P11" s="30">
        <v>12635</v>
      </c>
      <c r="Q11" s="4">
        <v>22952</v>
      </c>
      <c r="R11">
        <f t="shared" si="0"/>
        <v>1.4312468512813736</v>
      </c>
      <c r="S11">
        <f t="shared" si="1"/>
        <v>0.98258135523472023</v>
      </c>
      <c r="V11">
        <v>9</v>
      </c>
      <c r="W11" s="25">
        <v>48062</v>
      </c>
      <c r="X11" s="26">
        <v>13385</v>
      </c>
      <c r="Y11" s="4">
        <v>23765</v>
      </c>
      <c r="AB11">
        <v>9</v>
      </c>
      <c r="AC11" s="21">
        <v>60513</v>
      </c>
      <c r="AD11" s="22">
        <v>15831</v>
      </c>
      <c r="AE11" s="4">
        <v>21781</v>
      </c>
      <c r="AI11" s="29" t="s">
        <v>10</v>
      </c>
      <c r="AJ11" s="3">
        <f t="shared" ref="AJ11:AK15" si="3">AVERAGE(C83,I89,O82,W95,AC94)</f>
        <v>36.186007639669356</v>
      </c>
      <c r="AK11" s="3">
        <f t="shared" si="3"/>
        <v>78.331394096099984</v>
      </c>
    </row>
    <row r="12" spans="2:40" x14ac:dyDescent="0.25">
      <c r="B12">
        <v>10</v>
      </c>
      <c r="C12" s="3">
        <v>21737</v>
      </c>
      <c r="D12" s="3">
        <v>11778</v>
      </c>
      <c r="E12" s="3">
        <v>3807</v>
      </c>
      <c r="F12" s="6"/>
      <c r="H12">
        <v>10</v>
      </c>
      <c r="I12" s="27">
        <v>27739</v>
      </c>
      <c r="J12" s="28">
        <v>17096</v>
      </c>
      <c r="K12" s="4">
        <v>25006</v>
      </c>
      <c r="L12" s="6"/>
      <c r="N12">
        <v>10</v>
      </c>
      <c r="O12" s="109">
        <v>68574</v>
      </c>
      <c r="P12" s="110">
        <v>13934</v>
      </c>
      <c r="Q12" s="4">
        <v>26599</v>
      </c>
      <c r="R12">
        <f t="shared" si="0"/>
        <v>1.3592355530595222</v>
      </c>
      <c r="S12">
        <f t="shared" si="1"/>
        <v>1.0836002060815664</v>
      </c>
      <c r="V12">
        <v>10</v>
      </c>
      <c r="W12" s="3">
        <v>31732</v>
      </c>
      <c r="X12" s="3">
        <v>11754</v>
      </c>
      <c r="Y12" s="4">
        <v>14073</v>
      </c>
      <c r="AB12">
        <v>10</v>
      </c>
      <c r="AC12" s="27">
        <v>61982</v>
      </c>
      <c r="AD12" s="28">
        <v>18279</v>
      </c>
      <c r="AE12" s="4">
        <v>15910</v>
      </c>
      <c r="AI12" s="20" t="s">
        <v>12</v>
      </c>
      <c r="AJ12" s="3">
        <f t="shared" si="3"/>
        <v>9.9720632172002972</v>
      </c>
      <c r="AK12" s="3">
        <f t="shared" si="3"/>
        <v>13.620340443869855</v>
      </c>
    </row>
    <row r="13" spans="2:40" x14ac:dyDescent="0.25">
      <c r="B13">
        <v>11</v>
      </c>
      <c r="C13" s="3">
        <v>15378</v>
      </c>
      <c r="D13" s="3">
        <v>8490</v>
      </c>
      <c r="E13" s="3">
        <v>3161</v>
      </c>
      <c r="F13" s="6"/>
      <c r="H13">
        <v>11</v>
      </c>
      <c r="I13" s="27">
        <v>41115</v>
      </c>
      <c r="J13" s="28">
        <v>20256</v>
      </c>
      <c r="K13" s="4">
        <v>34599</v>
      </c>
      <c r="L13" s="6"/>
      <c r="N13">
        <v>11</v>
      </c>
      <c r="O13" s="3">
        <v>46395</v>
      </c>
      <c r="P13" s="3">
        <v>11508</v>
      </c>
      <c r="Q13" s="4">
        <v>16475</v>
      </c>
      <c r="R13">
        <f t="shared" si="0"/>
        <v>0.91961579438557661</v>
      </c>
      <c r="S13">
        <f t="shared" si="1"/>
        <v>0.89493836454619391</v>
      </c>
      <c r="V13">
        <v>11</v>
      </c>
      <c r="W13" s="3">
        <v>30567</v>
      </c>
      <c r="X13" s="3">
        <v>11897</v>
      </c>
      <c r="Y13" s="4">
        <v>15346</v>
      </c>
      <c r="AB13">
        <v>11</v>
      </c>
      <c r="AC13" s="27">
        <v>52049</v>
      </c>
      <c r="AD13" s="28">
        <v>15814</v>
      </c>
      <c r="AE13" s="4">
        <v>18206</v>
      </c>
      <c r="AI13" s="9" t="s">
        <v>13</v>
      </c>
      <c r="AJ13" s="3">
        <f t="shared" si="3"/>
        <v>8.0540373403780627</v>
      </c>
      <c r="AK13" s="3">
        <f t="shared" si="3"/>
        <v>0</v>
      </c>
    </row>
    <row r="14" spans="2:40" x14ac:dyDescent="0.25">
      <c r="B14">
        <v>12</v>
      </c>
      <c r="C14" s="14">
        <v>29228</v>
      </c>
      <c r="D14" s="15">
        <v>16843</v>
      </c>
      <c r="E14" s="4">
        <v>11925</v>
      </c>
      <c r="F14" s="6"/>
      <c r="H14">
        <v>12</v>
      </c>
      <c r="I14" s="27">
        <v>33701</v>
      </c>
      <c r="J14" s="28">
        <v>13095</v>
      </c>
      <c r="K14" s="4">
        <v>24776</v>
      </c>
      <c r="L14" s="6"/>
      <c r="N14">
        <v>12</v>
      </c>
      <c r="O14" s="3">
        <v>63714</v>
      </c>
      <c r="P14" s="3">
        <v>12262</v>
      </c>
      <c r="Q14" s="4">
        <v>22934</v>
      </c>
      <c r="R14">
        <f t="shared" si="0"/>
        <v>1.2629033456942047</v>
      </c>
      <c r="S14">
        <f t="shared" si="1"/>
        <v>0.9535744026820846</v>
      </c>
      <c r="V14">
        <v>12</v>
      </c>
      <c r="W14" s="25">
        <v>41400</v>
      </c>
      <c r="X14" s="26">
        <v>12543</v>
      </c>
      <c r="Y14" s="4">
        <v>23871</v>
      </c>
      <c r="AB14">
        <v>12</v>
      </c>
      <c r="AC14" s="27">
        <v>53963</v>
      </c>
      <c r="AD14" s="28">
        <v>16120</v>
      </c>
      <c r="AE14" s="4">
        <v>19685</v>
      </c>
      <c r="AI14" t="s">
        <v>15</v>
      </c>
      <c r="AJ14" s="3">
        <f t="shared" si="3"/>
        <v>45.787891802752284</v>
      </c>
      <c r="AK14" s="3">
        <f t="shared" si="3"/>
        <v>8.0482654600301657</v>
      </c>
    </row>
    <row r="15" spans="2:40" x14ac:dyDescent="0.25">
      <c r="B15">
        <v>13</v>
      </c>
      <c r="C15" s="18">
        <v>30454</v>
      </c>
      <c r="D15" s="19">
        <v>17969</v>
      </c>
      <c r="E15" s="4">
        <v>17107</v>
      </c>
      <c r="F15" s="6"/>
      <c r="H15">
        <v>13</v>
      </c>
      <c r="I15" s="27">
        <v>37540</v>
      </c>
      <c r="J15" s="28">
        <v>18845</v>
      </c>
      <c r="K15" s="4">
        <v>26534</v>
      </c>
      <c r="L15" s="6"/>
      <c r="N15">
        <v>13</v>
      </c>
      <c r="O15" s="3">
        <v>53307</v>
      </c>
      <c r="P15" s="3">
        <v>11007</v>
      </c>
      <c r="Q15" s="4">
        <v>19150</v>
      </c>
      <c r="R15">
        <f t="shared" si="0"/>
        <v>1.0566216004162503</v>
      </c>
      <c r="S15">
        <f t="shared" si="1"/>
        <v>0.85597728350364588</v>
      </c>
      <c r="V15">
        <v>13</v>
      </c>
      <c r="W15" s="3">
        <v>46140</v>
      </c>
      <c r="X15" s="3">
        <v>9902</v>
      </c>
      <c r="Y15" s="4">
        <v>24293</v>
      </c>
      <c r="AB15">
        <v>13</v>
      </c>
      <c r="AC15" s="27">
        <v>52226</v>
      </c>
      <c r="AD15" s="28">
        <v>13259</v>
      </c>
      <c r="AE15" s="4">
        <v>17210</v>
      </c>
      <c r="AI15" t="s">
        <v>11</v>
      </c>
      <c r="AJ15" s="3">
        <f t="shared" si="3"/>
        <v>100</v>
      </c>
      <c r="AK15" s="3">
        <f t="shared" si="3"/>
        <v>100</v>
      </c>
    </row>
    <row r="16" spans="2:40" x14ac:dyDescent="0.25">
      <c r="B16">
        <v>14</v>
      </c>
      <c r="C16" s="3">
        <v>19969</v>
      </c>
      <c r="D16" s="3">
        <v>12103</v>
      </c>
      <c r="E16" s="3">
        <v>4646</v>
      </c>
      <c r="F16" s="6"/>
      <c r="H16">
        <v>14</v>
      </c>
      <c r="I16" s="23">
        <v>32669</v>
      </c>
      <c r="J16" s="24">
        <v>13841</v>
      </c>
      <c r="K16" s="4">
        <v>22857</v>
      </c>
      <c r="L16" s="6"/>
      <c r="N16">
        <v>14</v>
      </c>
      <c r="O16" s="3">
        <v>27031</v>
      </c>
      <c r="P16" s="3">
        <v>10277</v>
      </c>
      <c r="Q16" s="3">
        <v>2585</v>
      </c>
      <c r="R16">
        <f t="shared" si="0"/>
        <v>0.53579339450450525</v>
      </c>
      <c r="S16">
        <f t="shared" si="1"/>
        <v>0.79920764445961368</v>
      </c>
      <c r="V16">
        <v>14</v>
      </c>
      <c r="W16" s="3">
        <v>36220</v>
      </c>
      <c r="X16" s="3">
        <v>10846</v>
      </c>
      <c r="Y16" s="4">
        <v>14066</v>
      </c>
      <c r="AB16">
        <v>14</v>
      </c>
      <c r="AC16" s="23">
        <v>46079</v>
      </c>
      <c r="AD16" s="24">
        <v>12619</v>
      </c>
      <c r="AE16" s="4">
        <v>20384</v>
      </c>
      <c r="AI16" s="3"/>
      <c r="AJ16" s="3"/>
      <c r="AK16" s="3"/>
    </row>
    <row r="17" spans="2:40" x14ac:dyDescent="0.25">
      <c r="B17">
        <v>15</v>
      </c>
      <c r="C17" s="14">
        <v>46059</v>
      </c>
      <c r="D17" s="15">
        <v>25146</v>
      </c>
      <c r="E17" s="4">
        <v>29468</v>
      </c>
      <c r="F17" s="6"/>
      <c r="H17">
        <v>15</v>
      </c>
      <c r="I17" s="3">
        <v>19393</v>
      </c>
      <c r="J17" s="3">
        <v>10791</v>
      </c>
      <c r="K17" s="3">
        <v>2663</v>
      </c>
      <c r="L17" s="6"/>
      <c r="N17">
        <v>15</v>
      </c>
      <c r="O17" s="3">
        <v>30514</v>
      </c>
      <c r="P17" s="3">
        <v>7982</v>
      </c>
      <c r="Q17" s="3">
        <v>3303</v>
      </c>
      <c r="R17">
        <f t="shared" si="0"/>
        <v>0.60483147644964941</v>
      </c>
      <c r="S17">
        <f t="shared" si="1"/>
        <v>0.62073323130063607</v>
      </c>
      <c r="V17">
        <v>15</v>
      </c>
      <c r="W17" s="3">
        <v>46095</v>
      </c>
      <c r="X17" s="3">
        <v>12169</v>
      </c>
      <c r="Y17" s="4">
        <v>17898</v>
      </c>
      <c r="AB17">
        <v>15</v>
      </c>
      <c r="AC17" s="3">
        <v>31699</v>
      </c>
      <c r="AD17" s="3">
        <v>7495</v>
      </c>
      <c r="AE17" s="3">
        <v>2032</v>
      </c>
      <c r="AI17" t="s">
        <v>16</v>
      </c>
      <c r="AJ17" s="3">
        <f>AVERAGE(C89,I95,O88,W101,AC100)</f>
        <v>46818.764391400866</v>
      </c>
    </row>
    <row r="18" spans="2:40" x14ac:dyDescent="0.25">
      <c r="B18">
        <v>16</v>
      </c>
      <c r="C18" s="16">
        <v>34382</v>
      </c>
      <c r="D18" s="17">
        <v>19618</v>
      </c>
      <c r="E18" s="4">
        <v>19966</v>
      </c>
      <c r="F18" s="6"/>
      <c r="H18">
        <v>16</v>
      </c>
      <c r="I18" s="3">
        <v>14844</v>
      </c>
      <c r="J18" s="3">
        <v>11649</v>
      </c>
      <c r="K18" s="3">
        <v>2195</v>
      </c>
      <c r="L18" s="6"/>
      <c r="N18">
        <v>16</v>
      </c>
      <c r="O18" s="25">
        <v>53036</v>
      </c>
      <c r="P18" s="26">
        <v>19249</v>
      </c>
      <c r="Q18" s="3">
        <v>3025</v>
      </c>
      <c r="R18">
        <f t="shared" si="0"/>
        <v>1.0512499896763323</v>
      </c>
      <c r="S18">
        <f t="shared" si="1"/>
        <v>1.4969298382994167</v>
      </c>
      <c r="V18">
        <v>16</v>
      </c>
      <c r="W18" s="3">
        <v>30028</v>
      </c>
      <c r="X18" s="3">
        <v>9927</v>
      </c>
      <c r="Y18" s="3">
        <v>1837</v>
      </c>
      <c r="AB18">
        <v>16</v>
      </c>
      <c r="AC18" s="3">
        <v>38793</v>
      </c>
      <c r="AD18" s="3">
        <v>7034</v>
      </c>
      <c r="AE18" s="3">
        <v>2080</v>
      </c>
      <c r="AI18" t="s">
        <v>19</v>
      </c>
      <c r="AJ18" s="3">
        <f>AVERAGE(C90,I96,O89,W102,AC101)</f>
        <v>26820.475508456082</v>
      </c>
      <c r="AL18" s="3"/>
      <c r="AM18" s="3"/>
    </row>
    <row r="19" spans="2:40" x14ac:dyDescent="0.25">
      <c r="B19">
        <v>17</v>
      </c>
      <c r="C19" s="16">
        <v>41746</v>
      </c>
      <c r="D19" s="17">
        <v>18373</v>
      </c>
      <c r="E19">
        <v>26</v>
      </c>
      <c r="F19" s="7"/>
      <c r="H19">
        <v>17</v>
      </c>
      <c r="I19" s="3">
        <v>15320</v>
      </c>
      <c r="J19" s="3">
        <v>9131</v>
      </c>
      <c r="K19" s="3">
        <v>3242</v>
      </c>
      <c r="L19" s="3"/>
      <c r="N19">
        <v>17</v>
      </c>
      <c r="O19" s="3">
        <v>26168</v>
      </c>
      <c r="P19" s="3">
        <v>9265</v>
      </c>
      <c r="Q19" s="3">
        <v>2177</v>
      </c>
      <c r="R19">
        <f t="shared" si="0"/>
        <v>0.51868749019251581</v>
      </c>
      <c r="S19">
        <f t="shared" si="1"/>
        <v>0.72050781608624315</v>
      </c>
      <c r="V19">
        <v>17</v>
      </c>
      <c r="W19" s="25">
        <v>38517</v>
      </c>
      <c r="X19" s="26">
        <v>15381</v>
      </c>
      <c r="Y19" s="3">
        <v>2694</v>
      </c>
      <c r="AB19">
        <v>17</v>
      </c>
      <c r="AC19" s="3">
        <v>20696</v>
      </c>
      <c r="AD19" s="3">
        <v>6468</v>
      </c>
      <c r="AE19" s="3">
        <v>2139</v>
      </c>
      <c r="AL19" s="3"/>
      <c r="AM19" s="3"/>
      <c r="AN19" s="3"/>
    </row>
    <row r="20" spans="2:40" x14ac:dyDescent="0.25">
      <c r="B20">
        <v>18</v>
      </c>
      <c r="C20" s="18">
        <v>22348</v>
      </c>
      <c r="D20" s="19">
        <v>15870</v>
      </c>
      <c r="E20" s="3">
        <v>4609</v>
      </c>
      <c r="F20" s="6"/>
      <c r="G20" s="7"/>
      <c r="H20">
        <v>18</v>
      </c>
      <c r="I20" s="3">
        <v>19245</v>
      </c>
      <c r="J20" s="3">
        <v>10497</v>
      </c>
      <c r="K20" s="3">
        <v>3168</v>
      </c>
      <c r="L20" s="3"/>
      <c r="N20">
        <v>18</v>
      </c>
      <c r="O20" s="25">
        <v>72842</v>
      </c>
      <c r="P20" s="26">
        <v>21145</v>
      </c>
      <c r="Q20" s="3">
        <v>3434</v>
      </c>
      <c r="R20">
        <f t="shared" si="0"/>
        <v>1.4438334668527681</v>
      </c>
      <c r="S20">
        <f t="shared" si="1"/>
        <v>1.6443753665562453</v>
      </c>
      <c r="V20">
        <v>18</v>
      </c>
      <c r="W20" s="3">
        <v>26098</v>
      </c>
      <c r="X20" s="3">
        <v>7241</v>
      </c>
      <c r="Y20" s="3">
        <v>2161</v>
      </c>
      <c r="AB20">
        <v>18</v>
      </c>
      <c r="AC20" s="3">
        <v>40506</v>
      </c>
      <c r="AD20" s="3">
        <v>9006</v>
      </c>
      <c r="AE20" s="3">
        <v>3506</v>
      </c>
      <c r="AI20" t="s">
        <v>17</v>
      </c>
      <c r="AK20" s="3">
        <f>AVERAGE(AD103,X104,P91,J98,D92)</f>
        <v>15776.887312030076</v>
      </c>
      <c r="AL20" s="3"/>
      <c r="AM20" s="3"/>
      <c r="AN20" s="3"/>
    </row>
    <row r="21" spans="2:40" x14ac:dyDescent="0.25">
      <c r="B21">
        <v>19</v>
      </c>
      <c r="C21" s="3">
        <v>9218</v>
      </c>
      <c r="D21" s="3">
        <v>5826</v>
      </c>
      <c r="E21" s="3">
        <v>4153</v>
      </c>
      <c r="F21" s="6"/>
      <c r="H21">
        <v>19</v>
      </c>
      <c r="I21" s="3">
        <v>13307</v>
      </c>
      <c r="J21" s="3">
        <v>5562</v>
      </c>
      <c r="K21" s="3">
        <v>2971</v>
      </c>
      <c r="L21" s="3"/>
      <c r="N21">
        <v>19</v>
      </c>
      <c r="O21" s="3">
        <v>20899</v>
      </c>
      <c r="P21" s="3">
        <v>7371</v>
      </c>
      <c r="Q21" s="3">
        <v>2685</v>
      </c>
      <c r="R21">
        <f t="shared" si="0"/>
        <v>0.41424831311270971</v>
      </c>
      <c r="S21">
        <f t="shared" si="1"/>
        <v>0.57321782108706942</v>
      </c>
      <c r="V21">
        <v>19</v>
      </c>
      <c r="W21" s="3">
        <v>33425</v>
      </c>
      <c r="X21" s="3">
        <v>14888</v>
      </c>
      <c r="Y21" s="3">
        <v>6107</v>
      </c>
      <c r="AB21">
        <v>19</v>
      </c>
      <c r="AC21" s="3">
        <v>26087</v>
      </c>
      <c r="AD21" s="3">
        <v>7685</v>
      </c>
      <c r="AE21" s="3">
        <v>2837</v>
      </c>
      <c r="AI21" t="s">
        <v>18</v>
      </c>
      <c r="AK21" s="3">
        <f>AVERAGE(AD104,X105,P92,J99,D93)</f>
        <v>8927.0464531758644</v>
      </c>
      <c r="AL21" s="3"/>
      <c r="AM21" s="3"/>
      <c r="AN21" s="3"/>
    </row>
    <row r="22" spans="2:40" x14ac:dyDescent="0.25">
      <c r="B22">
        <v>20</v>
      </c>
      <c r="C22" s="3">
        <v>13163</v>
      </c>
      <c r="D22" s="3">
        <v>7402</v>
      </c>
      <c r="E22" s="3">
        <v>4146</v>
      </c>
      <c r="F22" s="6"/>
      <c r="H22">
        <v>20</v>
      </c>
      <c r="I22" s="3">
        <v>21636</v>
      </c>
      <c r="J22" s="3">
        <v>19195</v>
      </c>
      <c r="K22" s="3">
        <v>2500</v>
      </c>
      <c r="L22" s="3"/>
      <c r="N22">
        <v>20</v>
      </c>
      <c r="O22" s="25">
        <v>78841</v>
      </c>
      <c r="P22" s="26">
        <v>18947</v>
      </c>
      <c r="Q22" s="3">
        <v>3311</v>
      </c>
      <c r="R22">
        <f t="shared" si="0"/>
        <v>1.5627422964792164</v>
      </c>
      <c r="S22">
        <f t="shared" si="1"/>
        <v>1.4734443163935294</v>
      </c>
      <c r="V22">
        <v>20</v>
      </c>
      <c r="W22" s="3">
        <v>33951</v>
      </c>
      <c r="X22" s="3">
        <v>13321</v>
      </c>
      <c r="Y22" s="3">
        <v>2426</v>
      </c>
      <c r="AB22">
        <v>20</v>
      </c>
      <c r="AC22" s="25">
        <v>54322</v>
      </c>
      <c r="AD22" s="26">
        <v>12190</v>
      </c>
      <c r="AE22" s="3">
        <v>2628</v>
      </c>
      <c r="AI22" s="3"/>
      <c r="AJ22" s="3"/>
      <c r="AK22" s="3" t="s">
        <v>27</v>
      </c>
      <c r="AL22" s="3" t="s">
        <v>28</v>
      </c>
      <c r="AM22" s="3" t="s">
        <v>29</v>
      </c>
      <c r="AN22" s="3"/>
    </row>
    <row r="23" spans="2:40" x14ac:dyDescent="0.25">
      <c r="B23">
        <v>21</v>
      </c>
      <c r="C23" s="3">
        <v>10815</v>
      </c>
      <c r="D23" s="3">
        <v>5944</v>
      </c>
      <c r="E23" s="3">
        <v>3181</v>
      </c>
      <c r="F23" s="6"/>
      <c r="H23">
        <v>21</v>
      </c>
      <c r="I23" s="3">
        <v>16729</v>
      </c>
      <c r="J23" s="3">
        <v>11206</v>
      </c>
      <c r="K23" s="3">
        <v>3282</v>
      </c>
      <c r="L23" s="3"/>
      <c r="N23">
        <v>21</v>
      </c>
      <c r="O23" s="3">
        <v>39217</v>
      </c>
      <c r="P23" s="3">
        <v>9217</v>
      </c>
      <c r="Q23" s="3">
        <v>3349</v>
      </c>
      <c r="R23">
        <f t="shared" si="0"/>
        <v>0.77733748482420861</v>
      </c>
      <c r="S23">
        <f t="shared" si="1"/>
        <v>0.71677501790252596</v>
      </c>
      <c r="V23">
        <v>21</v>
      </c>
      <c r="W23" s="3">
        <v>26696</v>
      </c>
      <c r="X23" s="3">
        <v>11020</v>
      </c>
      <c r="Y23" s="3">
        <v>2029</v>
      </c>
      <c r="AB23">
        <v>21</v>
      </c>
      <c r="AC23" s="3">
        <v>28800</v>
      </c>
      <c r="AD23" s="3">
        <v>7090</v>
      </c>
      <c r="AE23" s="3">
        <v>1931</v>
      </c>
      <c r="AI23" s="10" t="s">
        <v>20</v>
      </c>
      <c r="AJ23" s="10">
        <f>AVERAGE(C97,I102,O95,W107,AC106)</f>
        <v>36.6</v>
      </c>
      <c r="AK23" s="10">
        <f>AVERAGE(D97,J102,P95,X107,AD106)</f>
        <v>46.158070856869656</v>
      </c>
      <c r="AL23" s="10">
        <f>AVERAGE(E97,K102,Q95,Y107,AE106)</f>
        <v>100</v>
      </c>
      <c r="AM23" s="10"/>
      <c r="AN23" s="3"/>
    </row>
    <row r="24" spans="2:40" x14ac:dyDescent="0.25">
      <c r="B24">
        <v>22</v>
      </c>
      <c r="C24" s="14">
        <v>28233</v>
      </c>
      <c r="D24" s="15">
        <v>12550</v>
      </c>
      <c r="E24" s="4">
        <v>15740</v>
      </c>
      <c r="F24" s="6"/>
      <c r="H24">
        <v>22</v>
      </c>
      <c r="I24" s="3">
        <v>16756</v>
      </c>
      <c r="J24" s="3">
        <v>13893</v>
      </c>
      <c r="K24" s="3">
        <v>3939</v>
      </c>
      <c r="L24" s="3"/>
      <c r="N24">
        <v>22</v>
      </c>
      <c r="O24" s="3">
        <v>28807</v>
      </c>
      <c r="P24" s="3">
        <v>11157</v>
      </c>
      <c r="Q24" s="3">
        <v>3314</v>
      </c>
      <c r="R24">
        <f t="shared" si="0"/>
        <v>0.57099627522072005</v>
      </c>
      <c r="S24">
        <f t="shared" si="1"/>
        <v>0.86764227782776204</v>
      </c>
      <c r="V24">
        <v>22</v>
      </c>
      <c r="W24" s="3">
        <v>19231</v>
      </c>
      <c r="X24" s="3">
        <v>7636</v>
      </c>
      <c r="Y24" s="3">
        <v>2124</v>
      </c>
      <c r="AB24">
        <v>22</v>
      </c>
      <c r="AC24" s="3">
        <v>49984</v>
      </c>
      <c r="AD24" s="3">
        <v>8176</v>
      </c>
      <c r="AE24" s="3">
        <v>2301</v>
      </c>
      <c r="AI24" s="9" t="s">
        <v>21</v>
      </c>
      <c r="AJ24" s="8">
        <f t="shared" ref="AJ24:AK29" si="4">AVERAGE(C98,I103,O96,W108,AC107)</f>
        <v>35.799999999999997</v>
      </c>
      <c r="AK24" s="8">
        <f t="shared" si="4"/>
        <v>45.061962788266598</v>
      </c>
      <c r="AL24" s="8"/>
      <c r="AM24" s="8">
        <f>AVERAGE(F98,L103,R96,Z108,AF107)</f>
        <v>100</v>
      </c>
      <c r="AN24" s="3"/>
    </row>
    <row r="25" spans="2:40" x14ac:dyDescent="0.25">
      <c r="B25">
        <v>23</v>
      </c>
      <c r="C25" s="16">
        <v>37731</v>
      </c>
      <c r="D25" s="17">
        <v>20853</v>
      </c>
      <c r="E25" s="4">
        <v>19665</v>
      </c>
      <c r="F25" s="6"/>
      <c r="H25">
        <v>23</v>
      </c>
      <c r="I25" s="3">
        <v>6880</v>
      </c>
      <c r="J25" s="3">
        <v>5765</v>
      </c>
      <c r="K25" s="3">
        <v>2358</v>
      </c>
      <c r="L25" s="3"/>
      <c r="N25">
        <v>23</v>
      </c>
      <c r="O25" s="25">
        <v>54076</v>
      </c>
      <c r="P25" s="26">
        <v>21610</v>
      </c>
      <c r="Q25" s="3">
        <v>3238</v>
      </c>
      <c r="R25">
        <f t="shared" si="0"/>
        <v>1.0718642891948367</v>
      </c>
      <c r="S25">
        <f t="shared" si="1"/>
        <v>1.6805368489610053</v>
      </c>
      <c r="V25">
        <v>23</v>
      </c>
      <c r="W25" s="3">
        <v>38610</v>
      </c>
      <c r="X25" s="3">
        <v>9293</v>
      </c>
      <c r="Y25" s="3">
        <v>2805</v>
      </c>
      <c r="AB25">
        <v>23</v>
      </c>
      <c r="AC25" s="3">
        <v>53661</v>
      </c>
      <c r="AD25" s="3">
        <v>10740</v>
      </c>
      <c r="AE25" s="3">
        <v>2828</v>
      </c>
      <c r="AI25" s="20" t="s">
        <v>22</v>
      </c>
      <c r="AJ25" s="10">
        <f t="shared" si="4"/>
        <v>7.2</v>
      </c>
      <c r="AK25" s="10">
        <f t="shared" si="4"/>
        <v>9.1501454089811212</v>
      </c>
      <c r="AL25" s="10">
        <f>AVERAGE(E99,K104,Q97,Y109,AE108)</f>
        <v>19.599262579525739</v>
      </c>
      <c r="AM25" s="10"/>
    </row>
    <row r="26" spans="2:40" x14ac:dyDescent="0.25">
      <c r="B26">
        <v>24</v>
      </c>
      <c r="C26" s="18">
        <v>23132</v>
      </c>
      <c r="D26" s="19">
        <v>12471</v>
      </c>
      <c r="E26" s="3">
        <v>3704</v>
      </c>
      <c r="F26" s="6"/>
      <c r="H26">
        <v>24</v>
      </c>
      <c r="I26" s="3">
        <v>8546</v>
      </c>
      <c r="J26" s="3">
        <v>6842</v>
      </c>
      <c r="K26" s="3">
        <v>2656</v>
      </c>
      <c r="L26" s="3"/>
      <c r="N26">
        <v>24</v>
      </c>
      <c r="O26" s="3">
        <v>29133</v>
      </c>
      <c r="P26" s="3">
        <v>8367</v>
      </c>
      <c r="Q26" s="3">
        <v>3025</v>
      </c>
      <c r="R26">
        <f t="shared" si="0"/>
        <v>0.57745806526209731</v>
      </c>
      <c r="S26">
        <f t="shared" si="1"/>
        <v>0.65067338339920089</v>
      </c>
      <c r="V26">
        <v>24</v>
      </c>
      <c r="W26" s="25">
        <v>61863</v>
      </c>
      <c r="X26" s="26">
        <v>21379</v>
      </c>
      <c r="Y26" s="3">
        <v>2558</v>
      </c>
      <c r="AB26">
        <v>24</v>
      </c>
      <c r="AC26" s="3">
        <v>45813</v>
      </c>
      <c r="AD26" s="3">
        <v>8206</v>
      </c>
      <c r="AE26" s="3">
        <v>1961</v>
      </c>
      <c r="AI26" s="9" t="s">
        <v>23</v>
      </c>
      <c r="AJ26" s="8">
        <f t="shared" si="4"/>
        <v>6.4</v>
      </c>
      <c r="AK26" s="8">
        <f t="shared" si="4"/>
        <v>8.0540373403780627</v>
      </c>
      <c r="AL26" s="8"/>
      <c r="AM26" s="8">
        <f>AVERAGE(F100,L105,R98,Z110,AF109)</f>
        <v>17.638646462175874</v>
      </c>
    </row>
    <row r="27" spans="2:40" x14ac:dyDescent="0.25">
      <c r="B27">
        <v>25</v>
      </c>
      <c r="C27" s="3">
        <v>15717</v>
      </c>
      <c r="D27" s="3">
        <v>10476</v>
      </c>
      <c r="E27" s="3">
        <v>2831</v>
      </c>
      <c r="F27" s="6"/>
      <c r="H27">
        <v>25</v>
      </c>
      <c r="I27" s="3">
        <v>10299</v>
      </c>
      <c r="J27" s="3">
        <v>6897</v>
      </c>
      <c r="K27" s="3">
        <v>2374</v>
      </c>
      <c r="L27" s="3"/>
      <c r="N27">
        <v>25</v>
      </c>
      <c r="O27" s="25">
        <v>87631</v>
      </c>
      <c r="P27" s="26">
        <v>25985</v>
      </c>
      <c r="Q27" s="3">
        <v>3806</v>
      </c>
      <c r="R27">
        <f t="shared" si="0"/>
        <v>1.7369727702942659</v>
      </c>
      <c r="S27">
        <f t="shared" si="1"/>
        <v>2.020765850081061</v>
      </c>
      <c r="V27">
        <v>25</v>
      </c>
      <c r="W27" s="3">
        <v>28693</v>
      </c>
      <c r="X27" s="3">
        <v>9861</v>
      </c>
      <c r="Y27" s="3">
        <v>3010</v>
      </c>
      <c r="AB27">
        <v>25</v>
      </c>
      <c r="AC27" s="3">
        <v>38063</v>
      </c>
      <c r="AD27" s="3">
        <v>9080</v>
      </c>
      <c r="AE27" s="3">
        <v>3241</v>
      </c>
      <c r="AI27" s="7" t="s">
        <v>24</v>
      </c>
      <c r="AJ27" s="6">
        <f t="shared" si="4"/>
        <v>43</v>
      </c>
      <c r="AK27" s="6">
        <f t="shared" si="4"/>
        <v>53.841929143130344</v>
      </c>
      <c r="AL27" s="6"/>
      <c r="AM27" s="6"/>
    </row>
    <row r="28" spans="2:40" x14ac:dyDescent="0.25">
      <c r="B28">
        <v>26</v>
      </c>
      <c r="C28" s="14">
        <v>32375</v>
      </c>
      <c r="D28" s="15">
        <v>14839</v>
      </c>
      <c r="E28" s="4">
        <v>22529</v>
      </c>
      <c r="F28" s="6"/>
      <c r="H28">
        <v>26</v>
      </c>
      <c r="I28" s="3">
        <v>19069</v>
      </c>
      <c r="J28" s="3">
        <v>14704</v>
      </c>
      <c r="K28" s="3">
        <v>3233</v>
      </c>
      <c r="L28" s="3"/>
      <c r="N28">
        <v>26</v>
      </c>
      <c r="O28" s="3">
        <v>23040</v>
      </c>
      <c r="P28" s="3">
        <v>6126</v>
      </c>
      <c r="Q28" s="3">
        <v>2074</v>
      </c>
      <c r="R28">
        <f t="shared" si="0"/>
        <v>0.45668602010224563</v>
      </c>
      <c r="S28">
        <f t="shared" si="1"/>
        <v>0.47639836819690512</v>
      </c>
      <c r="V28">
        <v>26</v>
      </c>
      <c r="W28" s="3">
        <v>24795</v>
      </c>
      <c r="X28" s="3">
        <v>7304</v>
      </c>
      <c r="Y28" s="3">
        <v>4759</v>
      </c>
      <c r="AB28">
        <v>26</v>
      </c>
      <c r="AC28" s="3">
        <v>33396</v>
      </c>
      <c r="AD28" s="3">
        <v>9472</v>
      </c>
      <c r="AE28" s="3">
        <v>3993</v>
      </c>
      <c r="AI28" s="7" t="s">
        <v>25</v>
      </c>
      <c r="AJ28" s="6">
        <f t="shared" si="4"/>
        <v>43.8</v>
      </c>
      <c r="AK28" s="6">
        <f t="shared" si="4"/>
        <v>54.938037211733402</v>
      </c>
      <c r="AL28" s="6"/>
      <c r="AM28" s="6"/>
    </row>
    <row r="29" spans="2:40" x14ac:dyDescent="0.25">
      <c r="B29">
        <v>27</v>
      </c>
      <c r="C29" s="16">
        <v>26689</v>
      </c>
      <c r="D29" s="17">
        <v>17601</v>
      </c>
      <c r="E29" s="11">
        <v>4290</v>
      </c>
      <c r="F29" s="6"/>
      <c r="H29">
        <v>27</v>
      </c>
      <c r="I29" s="3">
        <v>15346</v>
      </c>
      <c r="J29" s="3">
        <v>13533</v>
      </c>
      <c r="K29" s="3">
        <v>3841</v>
      </c>
      <c r="L29" s="3"/>
      <c r="N29">
        <v>27</v>
      </c>
      <c r="O29" s="21">
        <v>69685</v>
      </c>
      <c r="P29" s="22">
        <v>21568</v>
      </c>
      <c r="Q29" s="3">
        <v>2973</v>
      </c>
      <c r="R29">
        <f t="shared" si="0"/>
        <v>1.3812571749490012</v>
      </c>
      <c r="S29">
        <f t="shared" si="1"/>
        <v>1.6772706505502528</v>
      </c>
      <c r="V29">
        <v>27</v>
      </c>
      <c r="W29" s="21">
        <v>58944</v>
      </c>
      <c r="X29" s="22">
        <v>18722</v>
      </c>
      <c r="Y29" s="3">
        <v>3528</v>
      </c>
      <c r="AB29">
        <v>27</v>
      </c>
      <c r="AC29" s="3">
        <v>34109</v>
      </c>
      <c r="AD29" s="3">
        <v>8143</v>
      </c>
      <c r="AE29" s="3">
        <v>3190</v>
      </c>
      <c r="AI29" s="36" t="s">
        <v>26</v>
      </c>
      <c r="AJ29" s="33">
        <f t="shared" si="4"/>
        <v>29.4</v>
      </c>
      <c r="AK29" s="33">
        <f t="shared" si="4"/>
        <v>37.007925447888532</v>
      </c>
      <c r="AL29" s="33">
        <f>AVERAGE(E103,K108,Q101,Y113,AE112)</f>
        <v>80.400737420474272</v>
      </c>
      <c r="AM29" s="37">
        <f>AVERAGE(F103,L108,R101,Z113,AF112)</f>
        <v>82.361353537824129</v>
      </c>
    </row>
    <row r="30" spans="2:40" x14ac:dyDescent="0.25">
      <c r="B30">
        <v>28</v>
      </c>
      <c r="C30" s="18">
        <v>28742</v>
      </c>
      <c r="D30" s="19">
        <v>16015</v>
      </c>
      <c r="E30" s="3">
        <v>2975</v>
      </c>
      <c r="F30" s="6"/>
      <c r="H30">
        <v>28</v>
      </c>
      <c r="I30" s="25">
        <v>26910</v>
      </c>
      <c r="J30" s="26">
        <v>16590</v>
      </c>
      <c r="K30" s="3">
        <v>3230</v>
      </c>
      <c r="L30" s="3"/>
      <c r="N30">
        <v>28</v>
      </c>
      <c r="O30" s="23">
        <v>59186</v>
      </c>
      <c r="P30" s="24">
        <v>15663</v>
      </c>
      <c r="Q30" s="3">
        <v>2716</v>
      </c>
      <c r="R30">
        <f t="shared" si="0"/>
        <v>1.1731518570213328</v>
      </c>
      <c r="S30">
        <f t="shared" si="1"/>
        <v>1.2180587073242124</v>
      </c>
      <c r="V30">
        <v>28</v>
      </c>
      <c r="W30" s="23">
        <v>37324</v>
      </c>
      <c r="X30" s="24">
        <v>12549</v>
      </c>
      <c r="Y30" s="3">
        <v>2648</v>
      </c>
      <c r="AB30">
        <v>28</v>
      </c>
      <c r="AC30" s="3">
        <v>34854</v>
      </c>
      <c r="AD30" s="3">
        <v>9455</v>
      </c>
      <c r="AE30" s="3">
        <v>2626</v>
      </c>
    </row>
    <row r="31" spans="2:40" x14ac:dyDescent="0.25">
      <c r="B31">
        <v>29</v>
      </c>
      <c r="C31" s="3">
        <v>16848</v>
      </c>
      <c r="D31" s="3">
        <v>8397</v>
      </c>
      <c r="E31" s="3">
        <v>2762</v>
      </c>
      <c r="F31" s="6"/>
      <c r="H31">
        <v>29</v>
      </c>
      <c r="I31" s="3">
        <v>18252</v>
      </c>
      <c r="J31" s="3">
        <v>18008</v>
      </c>
      <c r="K31" s="3">
        <v>2311</v>
      </c>
      <c r="L31" s="3"/>
      <c r="N31">
        <v>29</v>
      </c>
      <c r="O31" s="3">
        <v>34542</v>
      </c>
      <c r="P31" s="3">
        <v>9198</v>
      </c>
      <c r="Q31" s="3">
        <v>2323</v>
      </c>
      <c r="R31">
        <f t="shared" si="0"/>
        <v>0.68467224420016359</v>
      </c>
      <c r="S31">
        <f t="shared" si="1"/>
        <v>0.71529745195480465</v>
      </c>
      <c r="V31">
        <v>29</v>
      </c>
      <c r="W31" s="3">
        <v>30400</v>
      </c>
      <c r="X31" s="3">
        <v>13027</v>
      </c>
      <c r="Y31" s="3">
        <v>3227</v>
      </c>
      <c r="AB31">
        <v>29</v>
      </c>
      <c r="AC31" s="25">
        <v>70959</v>
      </c>
      <c r="AD31" s="26">
        <v>15796</v>
      </c>
      <c r="AE31" s="3">
        <v>3388</v>
      </c>
      <c r="AI31" s="81" t="s">
        <v>46</v>
      </c>
      <c r="AJ31" s="73" t="s">
        <v>1</v>
      </c>
      <c r="AK31" s="73" t="s">
        <v>2</v>
      </c>
      <c r="AL31" s="73" t="s">
        <v>39</v>
      </c>
      <c r="AM31" s="74" t="s">
        <v>40</v>
      </c>
    </row>
    <row r="32" spans="2:40" x14ac:dyDescent="0.25">
      <c r="B32">
        <v>30</v>
      </c>
      <c r="C32" s="3">
        <v>20893</v>
      </c>
      <c r="D32" s="3">
        <v>10036</v>
      </c>
      <c r="E32" s="3">
        <v>2286</v>
      </c>
      <c r="F32" s="6"/>
      <c r="H32">
        <v>30</v>
      </c>
      <c r="I32" s="3">
        <v>15641</v>
      </c>
      <c r="J32" s="3">
        <v>9846</v>
      </c>
      <c r="K32" s="3">
        <v>2838</v>
      </c>
      <c r="L32" s="3"/>
      <c r="N32">
        <v>30</v>
      </c>
      <c r="O32" s="3">
        <v>30624</v>
      </c>
      <c r="P32" s="3">
        <v>5541</v>
      </c>
      <c r="Q32" s="3">
        <v>3677</v>
      </c>
      <c r="R32">
        <f t="shared" si="0"/>
        <v>0.60701183505256817</v>
      </c>
      <c r="S32">
        <f t="shared" si="1"/>
        <v>0.43090489033285195</v>
      </c>
      <c r="V32">
        <v>30</v>
      </c>
      <c r="W32" s="3">
        <v>22206</v>
      </c>
      <c r="X32" s="3">
        <v>6619</v>
      </c>
      <c r="Y32" s="3">
        <v>3103</v>
      </c>
      <c r="AB32">
        <v>30</v>
      </c>
      <c r="AC32" s="3">
        <v>32145</v>
      </c>
      <c r="AD32" s="3">
        <v>8964</v>
      </c>
      <c r="AE32" s="3">
        <v>2173</v>
      </c>
      <c r="AI32" s="75" t="s">
        <v>37</v>
      </c>
      <c r="AJ32" s="38">
        <f t="shared" ref="AJ32:AM33" si="5">AVERAGE(AC116,W116,O104,I111,C106)</f>
        <v>13906.6</v>
      </c>
      <c r="AK32" s="38">
        <f t="shared" si="5"/>
        <v>4532.6000000000004</v>
      </c>
      <c r="AL32" s="55">
        <f t="shared" si="5"/>
        <v>0.38919702536692247</v>
      </c>
      <c r="AM32" s="95">
        <f t="shared" si="5"/>
        <v>0.38065745592942929</v>
      </c>
    </row>
    <row r="33" spans="2:39" x14ac:dyDescent="0.25">
      <c r="B33">
        <v>31</v>
      </c>
      <c r="C33" s="12">
        <v>26161</v>
      </c>
      <c r="D33" s="13">
        <v>14891</v>
      </c>
      <c r="E33" s="3">
        <v>2753</v>
      </c>
      <c r="F33" s="6"/>
      <c r="H33">
        <v>31</v>
      </c>
      <c r="I33" s="3">
        <v>17090</v>
      </c>
      <c r="J33" s="3">
        <v>13564</v>
      </c>
      <c r="K33" s="3">
        <v>4701</v>
      </c>
      <c r="L33" s="3"/>
      <c r="N33">
        <v>31</v>
      </c>
      <c r="O33" s="3">
        <v>27772</v>
      </c>
      <c r="P33" s="3">
        <v>7992</v>
      </c>
      <c r="Q33" s="3">
        <v>4659</v>
      </c>
      <c r="R33">
        <f t="shared" si="0"/>
        <v>0.55048108291143949</v>
      </c>
      <c r="S33">
        <f t="shared" si="1"/>
        <v>0.62151089758891043</v>
      </c>
      <c r="V33">
        <v>31</v>
      </c>
      <c r="W33" s="3">
        <v>50090</v>
      </c>
      <c r="X33" s="3">
        <v>12005</v>
      </c>
      <c r="Y33" s="3">
        <v>2680</v>
      </c>
      <c r="AB33">
        <v>31</v>
      </c>
      <c r="AC33" s="3">
        <v>32533</v>
      </c>
      <c r="AD33" s="3">
        <v>7944</v>
      </c>
      <c r="AE33" s="3">
        <v>2256</v>
      </c>
      <c r="AI33" s="75" t="s">
        <v>38</v>
      </c>
      <c r="AJ33" s="38">
        <f t="shared" si="5"/>
        <v>76392.2</v>
      </c>
      <c r="AK33" s="38">
        <f t="shared" si="5"/>
        <v>28802.2</v>
      </c>
      <c r="AL33" s="55">
        <f t="shared" si="5"/>
        <v>2.2653634246700349</v>
      </c>
      <c r="AM33" s="95">
        <f t="shared" si="5"/>
        <v>2.4346188767854988</v>
      </c>
    </row>
    <row r="34" spans="2:39" x14ac:dyDescent="0.25">
      <c r="B34">
        <v>32</v>
      </c>
      <c r="C34" s="3">
        <v>18739</v>
      </c>
      <c r="D34" s="3">
        <v>8571</v>
      </c>
      <c r="E34" s="3">
        <v>3597</v>
      </c>
      <c r="F34" s="6"/>
      <c r="H34">
        <v>32</v>
      </c>
      <c r="I34" s="3">
        <v>13775</v>
      </c>
      <c r="J34" s="3">
        <v>8451</v>
      </c>
      <c r="K34" s="3">
        <v>2106</v>
      </c>
      <c r="L34" s="3"/>
      <c r="N34">
        <v>32</v>
      </c>
      <c r="O34" s="25">
        <v>75500</v>
      </c>
      <c r="P34" s="26">
        <v>22345</v>
      </c>
      <c r="Q34" s="3">
        <v>3609</v>
      </c>
      <c r="R34">
        <f t="shared" si="0"/>
        <v>1.4965188592760219</v>
      </c>
      <c r="S34">
        <f t="shared" si="1"/>
        <v>1.7376953211491748</v>
      </c>
      <c r="V34">
        <v>32</v>
      </c>
      <c r="W34" s="3">
        <v>33439</v>
      </c>
      <c r="X34" s="3">
        <v>14049</v>
      </c>
      <c r="Y34" s="3">
        <v>2329</v>
      </c>
      <c r="AB34">
        <v>32</v>
      </c>
      <c r="AC34" s="21">
        <v>57318</v>
      </c>
      <c r="AD34" s="22">
        <v>16378</v>
      </c>
      <c r="AE34" s="3">
        <v>2322</v>
      </c>
      <c r="AI34" s="77" t="s">
        <v>4</v>
      </c>
      <c r="AJ34" s="78">
        <f>AVERAGE(AC118,W118,O106,I113,C108)</f>
        <v>34345.499549549553</v>
      </c>
      <c r="AK34" s="78">
        <f>AVERAGE(AD118,X118,P106,J113,D108)</f>
        <v>11845.7756006006</v>
      </c>
      <c r="AL34" s="78"/>
      <c r="AM34" s="82"/>
    </row>
    <row r="35" spans="2:39" x14ac:dyDescent="0.25">
      <c r="B35">
        <v>33</v>
      </c>
      <c r="C35" s="3">
        <v>28634</v>
      </c>
      <c r="D35" s="3">
        <v>10926</v>
      </c>
      <c r="E35" s="4">
        <v>28440</v>
      </c>
      <c r="F35" s="6"/>
      <c r="H35">
        <v>33</v>
      </c>
      <c r="I35" s="3">
        <v>7662</v>
      </c>
      <c r="J35" s="3">
        <v>7028</v>
      </c>
      <c r="K35" s="3">
        <v>3172</v>
      </c>
      <c r="L35" s="3"/>
      <c r="N35">
        <v>33</v>
      </c>
      <c r="O35" s="3">
        <v>52952</v>
      </c>
      <c r="P35" s="3">
        <v>10084</v>
      </c>
      <c r="Q35" s="3">
        <v>2916</v>
      </c>
      <c r="R35">
        <f t="shared" si="0"/>
        <v>1.0495849885613764</v>
      </c>
      <c r="S35">
        <f t="shared" si="1"/>
        <v>0.78419868509591761</v>
      </c>
      <c r="V35">
        <v>33</v>
      </c>
      <c r="W35" s="3">
        <v>27902</v>
      </c>
      <c r="X35" s="3">
        <v>6720</v>
      </c>
      <c r="Y35" s="3">
        <v>3128</v>
      </c>
      <c r="AB35">
        <v>33</v>
      </c>
      <c r="AC35" s="23">
        <v>57522</v>
      </c>
      <c r="AD35" s="24">
        <v>15899</v>
      </c>
      <c r="AE35" s="3">
        <v>3005</v>
      </c>
    </row>
    <row r="36" spans="2:39" x14ac:dyDescent="0.25">
      <c r="B36">
        <v>34</v>
      </c>
      <c r="C36" s="3">
        <v>17794</v>
      </c>
      <c r="D36" s="3">
        <v>7913</v>
      </c>
      <c r="E36" s="3">
        <v>2571</v>
      </c>
      <c r="F36" s="6"/>
      <c r="H36">
        <v>34</v>
      </c>
      <c r="I36" s="3">
        <v>9951</v>
      </c>
      <c r="J36" s="3">
        <v>5750</v>
      </c>
      <c r="K36" s="3">
        <v>3479</v>
      </c>
      <c r="L36" s="3"/>
      <c r="N36">
        <v>34</v>
      </c>
      <c r="O36" s="3">
        <v>32213</v>
      </c>
      <c r="P36" s="3">
        <v>8232</v>
      </c>
      <c r="Q36" s="3">
        <v>2787</v>
      </c>
      <c r="R36">
        <f t="shared" si="0"/>
        <v>0.63850810614382114</v>
      </c>
      <c r="S36">
        <f t="shared" si="1"/>
        <v>0.64017488850749638</v>
      </c>
      <c r="V36">
        <v>34</v>
      </c>
      <c r="W36" s="3">
        <v>24769</v>
      </c>
      <c r="X36" s="3">
        <v>8202</v>
      </c>
      <c r="Y36" s="3">
        <v>2394</v>
      </c>
      <c r="AB36">
        <v>34</v>
      </c>
      <c r="AC36" s="3">
        <v>34883</v>
      </c>
      <c r="AD36" s="3">
        <v>7719</v>
      </c>
      <c r="AE36" s="3">
        <v>2082</v>
      </c>
      <c r="AI36" s="81" t="s">
        <v>47</v>
      </c>
      <c r="AJ36" s="73" t="s">
        <v>39</v>
      </c>
      <c r="AK36" s="74" t="s">
        <v>40</v>
      </c>
      <c r="AL36" s="39"/>
      <c r="AM36" s="39"/>
    </row>
    <row r="37" spans="2:39" x14ac:dyDescent="0.25">
      <c r="B37">
        <v>35</v>
      </c>
      <c r="C37" s="3">
        <v>11131</v>
      </c>
      <c r="D37" s="3">
        <v>4995</v>
      </c>
      <c r="E37" s="3">
        <v>2984</v>
      </c>
      <c r="F37" s="6"/>
      <c r="H37">
        <v>35</v>
      </c>
      <c r="I37" s="3">
        <v>17645</v>
      </c>
      <c r="J37" s="3">
        <v>11945</v>
      </c>
      <c r="K37" s="3">
        <v>3645</v>
      </c>
      <c r="L37" s="3"/>
      <c r="N37">
        <v>35</v>
      </c>
      <c r="O37" s="3">
        <v>34126</v>
      </c>
      <c r="P37" s="3">
        <v>12310</v>
      </c>
      <c r="Q37" s="3">
        <v>10862</v>
      </c>
      <c r="R37">
        <f t="shared" si="0"/>
        <v>0.67642652439276185</v>
      </c>
      <c r="S37">
        <f t="shared" si="1"/>
        <v>0.95730720086580179</v>
      </c>
      <c r="V37">
        <v>35</v>
      </c>
      <c r="W37" s="3">
        <v>20200</v>
      </c>
      <c r="X37" s="3">
        <v>8707</v>
      </c>
      <c r="Y37" s="3">
        <v>3312</v>
      </c>
      <c r="AB37">
        <v>35</v>
      </c>
      <c r="AC37" s="3">
        <v>35212</v>
      </c>
      <c r="AD37" s="3">
        <v>8312</v>
      </c>
      <c r="AE37" s="3">
        <v>3238</v>
      </c>
      <c r="AI37" s="75" t="s">
        <v>37</v>
      </c>
      <c r="AJ37" s="50">
        <v>0.30590015802558357</v>
      </c>
      <c r="AK37" s="87">
        <v>0.29816367830440532</v>
      </c>
      <c r="AL37" s="39"/>
      <c r="AM37" s="39"/>
    </row>
    <row r="38" spans="2:39" x14ac:dyDescent="0.25">
      <c r="B38">
        <v>36</v>
      </c>
      <c r="C38" s="12">
        <v>24756</v>
      </c>
      <c r="D38" s="13">
        <v>11221</v>
      </c>
      <c r="E38" s="4">
        <v>21599</v>
      </c>
      <c r="F38" s="6"/>
      <c r="H38">
        <v>36</v>
      </c>
      <c r="I38" s="3">
        <v>15974</v>
      </c>
      <c r="J38" s="3">
        <v>10837</v>
      </c>
      <c r="K38" s="3">
        <v>2311</v>
      </c>
      <c r="L38" s="3"/>
      <c r="N38">
        <v>36</v>
      </c>
      <c r="O38" s="3">
        <v>37449</v>
      </c>
      <c r="P38" s="3">
        <v>10737</v>
      </c>
      <c r="Q38" s="3">
        <v>2712</v>
      </c>
      <c r="R38">
        <f t="shared" si="0"/>
        <v>0.74229317564275155</v>
      </c>
      <c r="S38">
        <f t="shared" si="1"/>
        <v>0.83498029372023674</v>
      </c>
      <c r="V38">
        <v>36</v>
      </c>
      <c r="W38" s="3">
        <v>38843</v>
      </c>
      <c r="X38" s="3">
        <v>11892</v>
      </c>
      <c r="Y38" s="3">
        <v>4412</v>
      </c>
      <c r="AB38">
        <v>36</v>
      </c>
      <c r="AC38" s="3">
        <v>33322</v>
      </c>
      <c r="AD38" s="3">
        <v>10975</v>
      </c>
      <c r="AE38" s="3">
        <v>2777</v>
      </c>
      <c r="AI38" s="75" t="s">
        <v>38</v>
      </c>
      <c r="AJ38" s="50">
        <v>2.6936221773018527</v>
      </c>
      <c r="AK38" s="87">
        <v>2.8507742461287693</v>
      </c>
      <c r="AL38" s="39"/>
      <c r="AM38" s="39"/>
    </row>
    <row r="39" spans="2:39" x14ac:dyDescent="0.25">
      <c r="B39">
        <v>37</v>
      </c>
      <c r="C39" s="3">
        <v>15660</v>
      </c>
      <c r="D39" s="3">
        <v>8742</v>
      </c>
      <c r="E39" s="3">
        <v>3510</v>
      </c>
      <c r="F39" s="6"/>
      <c r="H39">
        <v>37</v>
      </c>
      <c r="I39" s="21">
        <v>44353</v>
      </c>
      <c r="J39" s="22">
        <v>16031</v>
      </c>
      <c r="K39" s="3">
        <v>5286</v>
      </c>
      <c r="L39" s="3"/>
      <c r="N39">
        <v>37</v>
      </c>
      <c r="O39" s="3">
        <v>47834</v>
      </c>
      <c r="P39" s="3">
        <v>15265</v>
      </c>
      <c r="Q39" s="3">
        <v>2927</v>
      </c>
      <c r="R39">
        <f t="shared" si="0"/>
        <v>0.94813884920012226</v>
      </c>
      <c r="S39">
        <f t="shared" si="1"/>
        <v>1.1871075890508906</v>
      </c>
      <c r="V39">
        <v>37</v>
      </c>
      <c r="W39" s="3">
        <v>24641</v>
      </c>
      <c r="X39" s="3">
        <v>6153</v>
      </c>
      <c r="Y39" s="3">
        <v>3046</v>
      </c>
      <c r="AB39">
        <v>37</v>
      </c>
      <c r="AC39" s="25">
        <v>70766</v>
      </c>
      <c r="AD39" s="26">
        <v>20450</v>
      </c>
      <c r="AE39" s="3">
        <v>3167</v>
      </c>
      <c r="AI39" s="77" t="s">
        <v>4</v>
      </c>
      <c r="AJ39" s="78"/>
      <c r="AK39" s="82"/>
      <c r="AL39" s="39"/>
      <c r="AM39" s="39"/>
    </row>
    <row r="40" spans="2:39" x14ac:dyDescent="0.25">
      <c r="B40">
        <v>38</v>
      </c>
      <c r="C40" s="3">
        <v>17626</v>
      </c>
      <c r="D40" s="3">
        <v>6154</v>
      </c>
      <c r="E40" s="3">
        <v>2934</v>
      </c>
      <c r="F40" s="6"/>
      <c r="H40">
        <v>38</v>
      </c>
      <c r="I40" s="23">
        <v>23627</v>
      </c>
      <c r="J40" s="24">
        <v>17120</v>
      </c>
      <c r="K40" s="3">
        <v>3167</v>
      </c>
      <c r="L40" s="3"/>
      <c r="N40">
        <v>38</v>
      </c>
      <c r="O40" s="3">
        <v>44868</v>
      </c>
      <c r="P40" s="3">
        <v>19838</v>
      </c>
      <c r="Q40" s="3">
        <v>2838</v>
      </c>
      <c r="R40">
        <f t="shared" si="0"/>
        <v>0.889348452688696</v>
      </c>
      <c r="S40">
        <f t="shared" si="1"/>
        <v>1.5427343826787796</v>
      </c>
      <c r="V40">
        <v>38</v>
      </c>
      <c r="W40" s="3">
        <v>25508</v>
      </c>
      <c r="X40" s="3">
        <v>7677</v>
      </c>
      <c r="Y40" s="3">
        <v>2435</v>
      </c>
      <c r="AB40">
        <v>38</v>
      </c>
      <c r="AC40" s="3">
        <v>38389</v>
      </c>
      <c r="AD40" s="3">
        <v>10455</v>
      </c>
      <c r="AE40" s="3">
        <v>2527</v>
      </c>
    </row>
    <row r="41" spans="2:39" x14ac:dyDescent="0.25">
      <c r="B41">
        <v>39</v>
      </c>
      <c r="C41" s="12">
        <v>28991</v>
      </c>
      <c r="D41" s="13">
        <v>11464</v>
      </c>
      <c r="E41" s="4">
        <v>26762</v>
      </c>
      <c r="F41" s="6"/>
      <c r="H41">
        <v>39</v>
      </c>
      <c r="I41" s="3">
        <v>15245</v>
      </c>
      <c r="J41" s="3">
        <v>10712</v>
      </c>
      <c r="K41" s="3">
        <v>2554</v>
      </c>
      <c r="L41" s="3"/>
      <c r="N41">
        <v>39</v>
      </c>
      <c r="O41" s="3">
        <v>49246</v>
      </c>
      <c r="P41" s="3">
        <v>16466</v>
      </c>
      <c r="Q41" s="3">
        <v>2661</v>
      </c>
      <c r="R41">
        <f t="shared" si="0"/>
        <v>0.97612672508486065</v>
      </c>
      <c r="S41">
        <f t="shared" si="1"/>
        <v>1.2805053102726476</v>
      </c>
      <c r="V41">
        <v>39</v>
      </c>
      <c r="W41" s="3">
        <v>33092</v>
      </c>
      <c r="X41" s="3">
        <v>8650</v>
      </c>
      <c r="Y41" s="3">
        <v>4975</v>
      </c>
      <c r="AB41">
        <v>39</v>
      </c>
      <c r="AC41" s="25">
        <v>75786</v>
      </c>
      <c r="AD41" s="26">
        <v>21920</v>
      </c>
      <c r="AE41" s="3">
        <v>3324</v>
      </c>
    </row>
    <row r="42" spans="2:39" x14ac:dyDescent="0.25">
      <c r="B42">
        <v>40</v>
      </c>
      <c r="C42" s="3">
        <v>14401</v>
      </c>
      <c r="D42" s="3">
        <v>6796</v>
      </c>
      <c r="E42" s="3">
        <v>6184</v>
      </c>
      <c r="F42" s="6"/>
      <c r="H42">
        <v>40</v>
      </c>
      <c r="I42" s="3">
        <v>17145</v>
      </c>
      <c r="J42" s="3">
        <v>15636</v>
      </c>
      <c r="K42" s="3">
        <v>2861</v>
      </c>
      <c r="L42" s="3"/>
      <c r="N42">
        <v>40</v>
      </c>
      <c r="O42" s="21">
        <v>66759</v>
      </c>
      <c r="P42" s="22">
        <v>19345</v>
      </c>
      <c r="Q42" s="3">
        <v>3810</v>
      </c>
      <c r="R42">
        <f t="shared" si="0"/>
        <v>1.3232596361113635</v>
      </c>
      <c r="S42">
        <f t="shared" si="1"/>
        <v>1.5043954346668509</v>
      </c>
      <c r="V42">
        <v>40</v>
      </c>
      <c r="W42" s="21">
        <v>39063</v>
      </c>
      <c r="X42" s="22">
        <v>14155</v>
      </c>
      <c r="Y42" s="3">
        <v>3144</v>
      </c>
      <c r="AB42">
        <v>40</v>
      </c>
      <c r="AC42" s="3">
        <v>21460</v>
      </c>
      <c r="AD42" s="3">
        <v>5806</v>
      </c>
      <c r="AE42" s="3">
        <v>2274</v>
      </c>
    </row>
    <row r="43" spans="2:39" x14ac:dyDescent="0.25">
      <c r="B43">
        <v>41</v>
      </c>
      <c r="C43" s="3">
        <v>24411</v>
      </c>
      <c r="D43" s="3">
        <v>9870</v>
      </c>
      <c r="E43" s="4">
        <v>20256</v>
      </c>
      <c r="F43" s="6"/>
      <c r="H43">
        <v>41</v>
      </c>
      <c r="I43" s="25">
        <v>25346</v>
      </c>
      <c r="J43" s="26">
        <v>12754</v>
      </c>
      <c r="K43" s="3">
        <v>3456</v>
      </c>
      <c r="L43" s="3"/>
      <c r="N43">
        <v>41</v>
      </c>
      <c r="O43" s="23">
        <v>62210</v>
      </c>
      <c r="P43" s="24">
        <v>15406</v>
      </c>
      <c r="Q43" s="3">
        <v>3594</v>
      </c>
      <c r="R43">
        <f t="shared" si="0"/>
        <v>1.2330918971597526</v>
      </c>
      <c r="S43">
        <f t="shared" si="1"/>
        <v>1.19807268371556</v>
      </c>
      <c r="V43">
        <v>41</v>
      </c>
      <c r="W43" s="27">
        <v>66095</v>
      </c>
      <c r="X43" s="28">
        <v>16234</v>
      </c>
      <c r="Y43" s="3">
        <v>3418</v>
      </c>
      <c r="AB43">
        <v>41</v>
      </c>
      <c r="AC43" s="21">
        <v>57043</v>
      </c>
      <c r="AD43" s="22">
        <v>24479</v>
      </c>
      <c r="AE43" s="3">
        <v>3330</v>
      </c>
    </row>
    <row r="44" spans="2:39" x14ac:dyDescent="0.25">
      <c r="B44">
        <v>42</v>
      </c>
      <c r="C44" s="12">
        <v>34415</v>
      </c>
      <c r="D44" s="13">
        <v>14642</v>
      </c>
      <c r="E44" s="4">
        <v>26698</v>
      </c>
      <c r="F44" s="6"/>
      <c r="H44">
        <v>42</v>
      </c>
      <c r="I44" s="3">
        <v>23658</v>
      </c>
      <c r="J44" s="3">
        <v>9171</v>
      </c>
      <c r="K44" s="3">
        <v>3838</v>
      </c>
      <c r="L44" s="3"/>
      <c r="N44">
        <v>42</v>
      </c>
      <c r="O44" s="3">
        <v>40636</v>
      </c>
      <c r="P44" s="3">
        <v>9690</v>
      </c>
      <c r="Q44" s="3">
        <v>2419</v>
      </c>
      <c r="R44">
        <f t="shared" si="0"/>
        <v>0.80546411080185998</v>
      </c>
      <c r="S44">
        <f t="shared" si="1"/>
        <v>0.75355863333790574</v>
      </c>
      <c r="V44">
        <v>42</v>
      </c>
      <c r="W44" s="23">
        <v>76967</v>
      </c>
      <c r="X44" s="24">
        <v>15658</v>
      </c>
      <c r="Y44" s="3">
        <v>3958</v>
      </c>
      <c r="AB44">
        <v>42</v>
      </c>
      <c r="AC44" s="23">
        <v>76394</v>
      </c>
      <c r="AD44" s="24">
        <v>30037</v>
      </c>
      <c r="AE44" s="3">
        <v>3075</v>
      </c>
    </row>
    <row r="45" spans="2:39" x14ac:dyDescent="0.25">
      <c r="B45">
        <v>43</v>
      </c>
      <c r="C45" s="3">
        <v>23016</v>
      </c>
      <c r="D45" s="3">
        <v>10426</v>
      </c>
      <c r="E45" s="3">
        <v>2563</v>
      </c>
      <c r="F45" s="6"/>
      <c r="H45">
        <v>43</v>
      </c>
      <c r="I45" s="3">
        <v>18805</v>
      </c>
      <c r="J45" s="3">
        <v>9758</v>
      </c>
      <c r="K45" s="3">
        <v>5209</v>
      </c>
      <c r="L45" s="3"/>
      <c r="N45">
        <v>43</v>
      </c>
      <c r="O45" s="3">
        <v>51292</v>
      </c>
      <c r="P45" s="3">
        <v>10408</v>
      </c>
      <c r="Q45" s="3">
        <v>2142</v>
      </c>
      <c r="R45">
        <f t="shared" si="0"/>
        <v>1.0166813950991485</v>
      </c>
      <c r="S45">
        <f t="shared" si="1"/>
        <v>0.80939507283600853</v>
      </c>
      <c r="V45">
        <v>43</v>
      </c>
      <c r="W45" s="3">
        <v>27154</v>
      </c>
      <c r="X45" s="3">
        <v>9838</v>
      </c>
      <c r="Y45" s="3">
        <v>2441</v>
      </c>
      <c r="AB45">
        <v>43</v>
      </c>
      <c r="AC45" s="3">
        <v>33669</v>
      </c>
      <c r="AD45" s="3">
        <v>9085</v>
      </c>
      <c r="AE45" s="3">
        <v>2542</v>
      </c>
    </row>
    <row r="46" spans="2:39" x14ac:dyDescent="0.25">
      <c r="B46">
        <v>44</v>
      </c>
      <c r="C46" s="3">
        <v>21236</v>
      </c>
      <c r="D46" s="3">
        <v>10795</v>
      </c>
      <c r="E46" s="3">
        <v>2293</v>
      </c>
      <c r="F46" s="6"/>
      <c r="H46">
        <v>44</v>
      </c>
      <c r="I46" s="25">
        <v>25494</v>
      </c>
      <c r="J46" s="26">
        <v>16185</v>
      </c>
      <c r="K46" s="3">
        <v>2994</v>
      </c>
      <c r="L46" s="3"/>
      <c r="N46">
        <v>44</v>
      </c>
      <c r="O46" s="3">
        <v>54079</v>
      </c>
      <c r="P46" s="3">
        <v>11483</v>
      </c>
      <c r="Q46" s="3">
        <v>2689</v>
      </c>
      <c r="R46">
        <f t="shared" si="0"/>
        <v>1.0719237535203707</v>
      </c>
      <c r="S46">
        <f t="shared" si="1"/>
        <v>0.8929941988255079</v>
      </c>
      <c r="V46">
        <v>44</v>
      </c>
      <c r="W46" s="21">
        <v>63122</v>
      </c>
      <c r="X46" s="22">
        <v>20500</v>
      </c>
      <c r="Y46" s="3">
        <v>3287</v>
      </c>
      <c r="AB46">
        <v>44</v>
      </c>
      <c r="AC46" s="21">
        <v>106667</v>
      </c>
      <c r="AD46" s="22">
        <v>28773</v>
      </c>
      <c r="AE46" s="3">
        <v>3324</v>
      </c>
    </row>
    <row r="47" spans="2:39" x14ac:dyDescent="0.25">
      <c r="B47">
        <v>45</v>
      </c>
      <c r="C47" s="12">
        <v>29032</v>
      </c>
      <c r="D47" s="13">
        <v>17885</v>
      </c>
      <c r="E47" s="4">
        <v>24929</v>
      </c>
      <c r="F47" s="6"/>
      <c r="H47">
        <v>45</v>
      </c>
      <c r="I47" s="3">
        <v>18832</v>
      </c>
      <c r="J47" s="3">
        <v>10069</v>
      </c>
      <c r="K47" s="3">
        <v>2485</v>
      </c>
      <c r="L47" s="3"/>
      <c r="N47">
        <v>45</v>
      </c>
      <c r="O47" s="25">
        <v>52497</v>
      </c>
      <c r="P47" s="26">
        <v>13657</v>
      </c>
      <c r="Q47" s="3">
        <v>3196</v>
      </c>
      <c r="R47">
        <f t="shared" si="0"/>
        <v>1.0405662325220308</v>
      </c>
      <c r="S47">
        <f t="shared" si="1"/>
        <v>1.0620588498963652</v>
      </c>
      <c r="V47">
        <v>45</v>
      </c>
      <c r="W47" s="23">
        <v>63366</v>
      </c>
      <c r="X47" s="24">
        <v>17659</v>
      </c>
      <c r="Y47" s="3">
        <v>3610</v>
      </c>
      <c r="AB47">
        <v>45</v>
      </c>
      <c r="AC47" s="27">
        <v>51222</v>
      </c>
      <c r="AD47" s="28">
        <v>20937</v>
      </c>
      <c r="AE47" s="3">
        <v>3698</v>
      </c>
    </row>
    <row r="48" spans="2:39" x14ac:dyDescent="0.25">
      <c r="B48">
        <v>46</v>
      </c>
      <c r="C48" s="3">
        <v>24576</v>
      </c>
      <c r="D48" s="3">
        <v>10971</v>
      </c>
      <c r="E48" s="3">
        <v>8871</v>
      </c>
      <c r="F48" s="6"/>
      <c r="H48">
        <v>46</v>
      </c>
      <c r="I48" s="3">
        <v>21463</v>
      </c>
      <c r="J48" s="3">
        <v>9611</v>
      </c>
      <c r="K48" s="3">
        <v>2772</v>
      </c>
      <c r="L48" s="3"/>
      <c r="N48">
        <v>46</v>
      </c>
      <c r="O48" s="3">
        <v>56038</v>
      </c>
      <c r="P48" s="3">
        <v>10862</v>
      </c>
      <c r="Q48" s="3">
        <v>3024</v>
      </c>
      <c r="R48">
        <f t="shared" si="0"/>
        <v>1.1107539580941683</v>
      </c>
      <c r="S48">
        <f t="shared" si="1"/>
        <v>0.8447011223236669</v>
      </c>
      <c r="V48">
        <v>46</v>
      </c>
      <c r="W48" s="3">
        <v>28624</v>
      </c>
      <c r="X48" s="3">
        <v>11101</v>
      </c>
      <c r="Y48" s="3">
        <v>3239</v>
      </c>
      <c r="AB48">
        <v>46</v>
      </c>
      <c r="AC48" s="23">
        <v>59671</v>
      </c>
      <c r="AD48" s="24">
        <v>17729</v>
      </c>
      <c r="AE48" s="3">
        <v>2576</v>
      </c>
    </row>
    <row r="49" spans="2:31" x14ac:dyDescent="0.25">
      <c r="B49">
        <v>47</v>
      </c>
      <c r="C49" s="3">
        <v>21295</v>
      </c>
      <c r="D49" s="3">
        <v>13344</v>
      </c>
      <c r="E49" s="3">
        <v>2541</v>
      </c>
      <c r="F49" s="6"/>
      <c r="H49">
        <v>47</v>
      </c>
      <c r="I49" s="3">
        <v>19951</v>
      </c>
      <c r="J49" s="3">
        <v>13118</v>
      </c>
      <c r="K49" s="3">
        <v>5286</v>
      </c>
      <c r="L49" s="3"/>
      <c r="N49">
        <v>47</v>
      </c>
      <c r="O49" s="3">
        <v>29962</v>
      </c>
      <c r="P49" s="3">
        <v>8650</v>
      </c>
      <c r="Q49" s="3">
        <v>2138</v>
      </c>
      <c r="R49">
        <f t="shared" si="0"/>
        <v>0.59389004055136652</v>
      </c>
      <c r="S49">
        <f t="shared" si="1"/>
        <v>0.67268133935736685</v>
      </c>
      <c r="V49">
        <v>47</v>
      </c>
      <c r="W49" s="3">
        <v>25854</v>
      </c>
      <c r="X49" s="3">
        <v>8362</v>
      </c>
      <c r="Y49" s="3">
        <v>2923</v>
      </c>
      <c r="AB49">
        <v>47</v>
      </c>
      <c r="AC49" s="3">
        <v>30487</v>
      </c>
      <c r="AD49" s="3">
        <v>9337</v>
      </c>
      <c r="AE49" s="3">
        <v>2088</v>
      </c>
    </row>
    <row r="50" spans="2:31" x14ac:dyDescent="0.25">
      <c r="B50">
        <v>48</v>
      </c>
      <c r="C50" s="3">
        <v>23218</v>
      </c>
      <c r="D50" s="3">
        <v>10830</v>
      </c>
      <c r="E50" s="3">
        <v>2694</v>
      </c>
      <c r="F50" s="6"/>
      <c r="H50">
        <v>48</v>
      </c>
      <c r="I50" s="25">
        <v>30194</v>
      </c>
      <c r="J50" s="26">
        <v>13475</v>
      </c>
      <c r="K50" s="3">
        <v>3288</v>
      </c>
      <c r="L50" s="3"/>
      <c r="N50">
        <v>48</v>
      </c>
      <c r="O50" s="3">
        <v>46051</v>
      </c>
      <c r="P50" s="3">
        <v>9923</v>
      </c>
      <c r="Q50" s="3">
        <v>2316</v>
      </c>
      <c r="R50">
        <f t="shared" si="0"/>
        <v>0.91279721839099448</v>
      </c>
      <c r="S50">
        <f t="shared" si="1"/>
        <v>0.77167825785469957</v>
      </c>
      <c r="V50">
        <v>48</v>
      </c>
      <c r="W50" s="21">
        <v>70270</v>
      </c>
      <c r="X50" s="22">
        <v>21979</v>
      </c>
      <c r="Y50" s="3">
        <v>4667</v>
      </c>
      <c r="AB50">
        <v>48</v>
      </c>
      <c r="AC50" s="3">
        <v>29227</v>
      </c>
      <c r="AD50" s="3">
        <v>6541</v>
      </c>
      <c r="AE50" s="3">
        <v>2238</v>
      </c>
    </row>
    <row r="51" spans="2:31" x14ac:dyDescent="0.25">
      <c r="B51">
        <v>49</v>
      </c>
      <c r="C51" s="3">
        <v>17438</v>
      </c>
      <c r="D51" s="3">
        <v>6020</v>
      </c>
      <c r="E51" s="3">
        <v>2050</v>
      </c>
      <c r="F51" s="6"/>
      <c r="H51">
        <v>49</v>
      </c>
      <c r="I51" s="3">
        <v>19721</v>
      </c>
      <c r="J51" s="3">
        <v>8549</v>
      </c>
      <c r="K51" s="3">
        <v>2295</v>
      </c>
      <c r="L51" s="3"/>
      <c r="N51">
        <v>49</v>
      </c>
      <c r="O51" s="30">
        <v>51549</v>
      </c>
      <c r="P51" s="30">
        <v>12850</v>
      </c>
      <c r="Q51" s="3">
        <v>2626</v>
      </c>
      <c r="R51">
        <f t="shared" si="0"/>
        <v>1.0217755056532405</v>
      </c>
      <c r="S51">
        <f t="shared" si="1"/>
        <v>0.99930118043262006</v>
      </c>
      <c r="V51">
        <v>49</v>
      </c>
      <c r="W51" s="23">
        <v>37340</v>
      </c>
      <c r="X51" s="24">
        <v>17170</v>
      </c>
      <c r="Y51" s="3">
        <v>2412</v>
      </c>
      <c r="AB51">
        <v>49</v>
      </c>
      <c r="AC51" s="3">
        <v>22773</v>
      </c>
      <c r="AD51" s="3">
        <v>5351</v>
      </c>
      <c r="AE51" s="3">
        <v>4454</v>
      </c>
    </row>
    <row r="52" spans="2:31" x14ac:dyDescent="0.25">
      <c r="B52">
        <v>50</v>
      </c>
      <c r="C52" s="12">
        <v>32051</v>
      </c>
      <c r="D52" s="13">
        <v>11688</v>
      </c>
      <c r="E52" s="4">
        <v>20803</v>
      </c>
      <c r="F52" s="6"/>
      <c r="H52">
        <v>50</v>
      </c>
      <c r="I52" s="3">
        <v>18932</v>
      </c>
      <c r="J52" s="3">
        <v>7034</v>
      </c>
      <c r="K52" s="3">
        <v>3111</v>
      </c>
      <c r="L52" s="3"/>
      <c r="N52">
        <v>50</v>
      </c>
      <c r="O52" s="3">
        <v>42016</v>
      </c>
      <c r="P52" s="3">
        <v>12236</v>
      </c>
      <c r="Q52" s="3">
        <v>3670</v>
      </c>
      <c r="R52">
        <f t="shared" si="0"/>
        <v>0.83281770054756732</v>
      </c>
      <c r="S52">
        <f t="shared" si="1"/>
        <v>0.95155247033257118</v>
      </c>
      <c r="V52">
        <v>50</v>
      </c>
      <c r="W52" s="30">
        <v>47849</v>
      </c>
      <c r="X52" s="30">
        <v>11740</v>
      </c>
      <c r="Y52" s="3">
        <v>3904</v>
      </c>
      <c r="AB52">
        <v>50</v>
      </c>
      <c r="AC52" s="3">
        <v>27493</v>
      </c>
      <c r="AD52" s="3">
        <v>12657</v>
      </c>
      <c r="AE52" s="3">
        <v>3814</v>
      </c>
    </row>
    <row r="53" spans="2:31" x14ac:dyDescent="0.25">
      <c r="B53">
        <v>51</v>
      </c>
      <c r="C53" s="3">
        <v>24838</v>
      </c>
      <c r="D53" s="3">
        <v>9442</v>
      </c>
      <c r="E53" s="3">
        <v>3948</v>
      </c>
      <c r="F53" s="6"/>
      <c r="H53">
        <v>51</v>
      </c>
      <c r="I53" s="3">
        <v>19114</v>
      </c>
      <c r="J53" s="3">
        <v>8842</v>
      </c>
      <c r="K53" s="3">
        <v>4361</v>
      </c>
      <c r="L53" s="3"/>
      <c r="N53">
        <v>51</v>
      </c>
      <c r="O53" s="3">
        <v>31125</v>
      </c>
      <c r="P53" s="3">
        <v>7240</v>
      </c>
      <c r="Q53" s="3">
        <v>2125</v>
      </c>
      <c r="R53">
        <f t="shared" si="0"/>
        <v>0.6169423774167706</v>
      </c>
      <c r="S53">
        <f t="shared" si="1"/>
        <v>0.56303039271067468</v>
      </c>
      <c r="V53">
        <v>51</v>
      </c>
      <c r="W53" s="3">
        <v>28688</v>
      </c>
      <c r="X53" s="3">
        <v>10747</v>
      </c>
      <c r="Y53" s="3">
        <v>3266</v>
      </c>
      <c r="AB53">
        <v>51</v>
      </c>
      <c r="AC53" s="25">
        <v>48477</v>
      </c>
      <c r="AD53" s="26">
        <v>13077</v>
      </c>
      <c r="AE53" s="3">
        <v>3123</v>
      </c>
    </row>
    <row r="54" spans="2:31" x14ac:dyDescent="0.25">
      <c r="B54">
        <v>52</v>
      </c>
      <c r="C54" s="3">
        <v>14577</v>
      </c>
      <c r="D54" s="3">
        <v>8971</v>
      </c>
      <c r="E54" s="3">
        <v>3096</v>
      </c>
      <c r="F54" s="6"/>
      <c r="H54">
        <v>52</v>
      </c>
      <c r="I54" s="3">
        <v>19480</v>
      </c>
      <c r="J54" s="3">
        <v>14791</v>
      </c>
      <c r="K54" s="3">
        <v>3085</v>
      </c>
      <c r="L54" s="3"/>
      <c r="N54">
        <v>52</v>
      </c>
      <c r="O54" s="3">
        <v>51809</v>
      </c>
      <c r="P54" s="3">
        <v>11432</v>
      </c>
      <c r="Q54" s="3">
        <v>2889</v>
      </c>
      <c r="R54">
        <f t="shared" si="0"/>
        <v>1.0269290805328666</v>
      </c>
      <c r="S54">
        <f t="shared" si="1"/>
        <v>0.88902810075530836</v>
      </c>
      <c r="V54">
        <v>52</v>
      </c>
      <c r="W54" s="3">
        <v>25011</v>
      </c>
      <c r="X54" s="3">
        <v>11909</v>
      </c>
      <c r="Y54" s="3">
        <v>2295</v>
      </c>
      <c r="AB54">
        <v>52</v>
      </c>
      <c r="AC54" s="3">
        <v>33074</v>
      </c>
      <c r="AD54" s="3">
        <v>9694</v>
      </c>
      <c r="AE54" s="3">
        <v>2222</v>
      </c>
    </row>
    <row r="55" spans="2:31" x14ac:dyDescent="0.25">
      <c r="B55">
        <v>53</v>
      </c>
      <c r="C55" s="3">
        <v>12563</v>
      </c>
      <c r="D55" s="3">
        <v>5615</v>
      </c>
      <c r="E55" s="3">
        <v>2089</v>
      </c>
      <c r="F55" s="6"/>
      <c r="H55">
        <v>53</v>
      </c>
      <c r="I55" s="3">
        <v>17743</v>
      </c>
      <c r="J55" s="3">
        <v>8800</v>
      </c>
      <c r="K55" s="3">
        <v>2695</v>
      </c>
      <c r="L55" s="3"/>
      <c r="N55">
        <v>53</v>
      </c>
      <c r="O55" s="3">
        <v>27633</v>
      </c>
      <c r="P55" s="3">
        <v>7109</v>
      </c>
      <c r="Q55" s="3">
        <v>4867</v>
      </c>
      <c r="R55">
        <f t="shared" si="0"/>
        <v>0.54772590249502406</v>
      </c>
      <c r="S55">
        <f t="shared" si="1"/>
        <v>0.55284296433427982</v>
      </c>
      <c r="V55">
        <v>53</v>
      </c>
      <c r="W55" s="25">
        <v>77965</v>
      </c>
      <c r="X55" s="26">
        <v>34979</v>
      </c>
      <c r="Y55" s="3">
        <v>5050</v>
      </c>
      <c r="AB55">
        <v>53</v>
      </c>
      <c r="AC55" s="3">
        <v>40741</v>
      </c>
      <c r="AD55" s="3">
        <v>14322</v>
      </c>
      <c r="AE55" s="3">
        <v>3179</v>
      </c>
    </row>
    <row r="56" spans="2:31" x14ac:dyDescent="0.25">
      <c r="B56">
        <v>54</v>
      </c>
      <c r="C56" s="3">
        <v>17115</v>
      </c>
      <c r="D56" s="3">
        <v>9766</v>
      </c>
      <c r="E56" s="3">
        <v>2665</v>
      </c>
      <c r="F56" s="6"/>
      <c r="H56">
        <v>54</v>
      </c>
      <c r="I56" s="3">
        <v>22709</v>
      </c>
      <c r="J56" s="3">
        <v>9189</v>
      </c>
      <c r="K56" s="3">
        <v>3055</v>
      </c>
      <c r="L56" s="3"/>
      <c r="N56">
        <v>54</v>
      </c>
      <c r="O56" s="30">
        <v>62791</v>
      </c>
      <c r="P56" s="30">
        <v>12734</v>
      </c>
      <c r="Q56" s="3">
        <v>2848</v>
      </c>
      <c r="R56">
        <f t="shared" si="0"/>
        <v>1.2446081548715324</v>
      </c>
      <c r="S56">
        <f t="shared" si="1"/>
        <v>0.99028025148863685</v>
      </c>
      <c r="V56">
        <v>54</v>
      </c>
      <c r="W56" s="3">
        <v>36036</v>
      </c>
      <c r="X56" s="3">
        <v>12175</v>
      </c>
      <c r="Y56" s="3">
        <v>2627</v>
      </c>
      <c r="AB56">
        <v>54</v>
      </c>
      <c r="AC56" s="21">
        <v>79747</v>
      </c>
      <c r="AD56" s="22">
        <v>17333</v>
      </c>
      <c r="AE56" s="3">
        <v>4587</v>
      </c>
    </row>
    <row r="57" spans="2:31" x14ac:dyDescent="0.25">
      <c r="B57">
        <v>55</v>
      </c>
      <c r="C57" s="12">
        <v>32215</v>
      </c>
      <c r="D57" s="13">
        <v>15015</v>
      </c>
      <c r="E57">
        <v>25</v>
      </c>
      <c r="F57" s="7"/>
      <c r="H57">
        <v>55</v>
      </c>
      <c r="I57" s="25">
        <v>42112</v>
      </c>
      <c r="J57" s="26">
        <v>15265</v>
      </c>
      <c r="K57" s="3">
        <v>3447</v>
      </c>
      <c r="L57" s="3"/>
      <c r="N57">
        <v>55</v>
      </c>
      <c r="O57" s="3">
        <v>55053</v>
      </c>
      <c r="P57" s="3">
        <v>11128</v>
      </c>
      <c r="Q57" s="3">
        <v>2654</v>
      </c>
      <c r="R57">
        <f t="shared" si="0"/>
        <v>1.0912298378771237</v>
      </c>
      <c r="S57">
        <f t="shared" si="1"/>
        <v>0.86538704559176627</v>
      </c>
      <c r="V57">
        <v>55</v>
      </c>
      <c r="W57" s="3">
        <v>30733</v>
      </c>
      <c r="X57" s="3">
        <v>9795</v>
      </c>
      <c r="Y57" s="3">
        <v>2881</v>
      </c>
      <c r="AB57">
        <v>55</v>
      </c>
      <c r="AC57" s="23">
        <v>60730</v>
      </c>
      <c r="AD57" s="24">
        <v>18030</v>
      </c>
      <c r="AE57" s="3">
        <v>3045</v>
      </c>
    </row>
    <row r="58" spans="2:31" x14ac:dyDescent="0.25">
      <c r="B58">
        <v>56</v>
      </c>
      <c r="C58" s="3">
        <v>21659</v>
      </c>
      <c r="D58" s="3">
        <v>12327</v>
      </c>
      <c r="E58" s="3">
        <v>5152</v>
      </c>
      <c r="F58" s="6"/>
      <c r="H58">
        <v>56</v>
      </c>
      <c r="I58" s="25">
        <v>27926</v>
      </c>
      <c r="J58" s="26">
        <v>12199</v>
      </c>
      <c r="K58" s="3">
        <v>2716</v>
      </c>
      <c r="L58" s="3"/>
      <c r="N58">
        <v>56</v>
      </c>
      <c r="O58" s="3">
        <v>34211</v>
      </c>
      <c r="P58" s="3">
        <v>9066</v>
      </c>
      <c r="Q58" s="3">
        <v>2342</v>
      </c>
      <c r="R58">
        <f t="shared" si="0"/>
        <v>0.67811134694956277</v>
      </c>
      <c r="S58">
        <f t="shared" si="1"/>
        <v>0.70503225694958238</v>
      </c>
      <c r="V58">
        <v>56</v>
      </c>
      <c r="W58" s="21">
        <v>47368</v>
      </c>
      <c r="X58" s="22">
        <v>15085</v>
      </c>
      <c r="Y58" s="3">
        <v>2915</v>
      </c>
      <c r="AB58">
        <v>56</v>
      </c>
      <c r="AC58" s="3">
        <v>23773</v>
      </c>
      <c r="AD58" s="3">
        <v>9067</v>
      </c>
      <c r="AE58" s="3">
        <v>2360</v>
      </c>
    </row>
    <row r="59" spans="2:31" x14ac:dyDescent="0.25">
      <c r="B59">
        <v>57</v>
      </c>
      <c r="C59" s="3">
        <v>23029</v>
      </c>
      <c r="D59" s="3">
        <v>10515</v>
      </c>
      <c r="E59" s="3">
        <v>2252</v>
      </c>
      <c r="F59" s="6"/>
      <c r="H59">
        <v>57</v>
      </c>
      <c r="I59" s="3">
        <v>17319</v>
      </c>
      <c r="J59" s="3">
        <v>8387</v>
      </c>
      <c r="K59" s="3">
        <v>1975</v>
      </c>
      <c r="L59" s="3"/>
      <c r="N59">
        <v>57</v>
      </c>
      <c r="O59" s="21">
        <v>60095</v>
      </c>
      <c r="P59" s="22">
        <v>13453</v>
      </c>
      <c r="Q59" s="3">
        <v>3153</v>
      </c>
      <c r="R59">
        <f t="shared" si="0"/>
        <v>1.1911695476581794</v>
      </c>
      <c r="S59">
        <f t="shared" si="1"/>
        <v>1.0461944576155671</v>
      </c>
      <c r="V59">
        <v>57</v>
      </c>
      <c r="W59" s="23">
        <v>43413</v>
      </c>
      <c r="X59" s="24">
        <v>20798</v>
      </c>
      <c r="Y59" s="3">
        <v>2760</v>
      </c>
      <c r="AB59">
        <v>57</v>
      </c>
      <c r="AC59" s="25">
        <v>65397</v>
      </c>
      <c r="AD59" s="26">
        <v>14319</v>
      </c>
      <c r="AE59" s="3">
        <v>3095</v>
      </c>
    </row>
    <row r="60" spans="2:31" x14ac:dyDescent="0.25">
      <c r="B60">
        <v>58</v>
      </c>
      <c r="C60" s="14">
        <v>33572</v>
      </c>
      <c r="D60" s="15">
        <v>17705</v>
      </c>
      <c r="E60" s="3">
        <v>3129</v>
      </c>
      <c r="F60" s="6"/>
      <c r="H60">
        <v>58</v>
      </c>
      <c r="I60" s="3">
        <v>15180</v>
      </c>
      <c r="J60" s="3">
        <v>5475</v>
      </c>
      <c r="K60" s="3">
        <v>3518</v>
      </c>
      <c r="L60" s="3"/>
      <c r="N60">
        <v>58</v>
      </c>
      <c r="O60" s="27">
        <v>64108</v>
      </c>
      <c r="P60" s="28">
        <v>14063</v>
      </c>
      <c r="Q60" s="3">
        <v>2351</v>
      </c>
      <c r="R60">
        <f t="shared" si="0"/>
        <v>1.2707129937810226</v>
      </c>
      <c r="S60">
        <f t="shared" si="1"/>
        <v>1.0936321012003063</v>
      </c>
      <c r="V60">
        <v>58</v>
      </c>
      <c r="W60" s="3">
        <v>28855</v>
      </c>
      <c r="X60" s="3">
        <v>10539</v>
      </c>
      <c r="Y60" s="3">
        <v>2197</v>
      </c>
      <c r="AB60">
        <v>58</v>
      </c>
      <c r="AC60" s="3">
        <v>35105</v>
      </c>
      <c r="AD60" s="3">
        <v>14254</v>
      </c>
      <c r="AE60" s="3">
        <v>2009</v>
      </c>
    </row>
    <row r="61" spans="2:31" x14ac:dyDescent="0.25">
      <c r="B61">
        <v>59</v>
      </c>
      <c r="C61" s="18">
        <v>33112</v>
      </c>
      <c r="D61" s="19">
        <v>11559</v>
      </c>
      <c r="E61" s="3">
        <v>2867</v>
      </c>
      <c r="F61" s="6"/>
      <c r="H61">
        <v>59</v>
      </c>
      <c r="I61" s="3">
        <v>11429</v>
      </c>
      <c r="J61" s="3">
        <v>5303</v>
      </c>
      <c r="K61" s="3">
        <v>8193</v>
      </c>
      <c r="L61" s="3"/>
      <c r="N61">
        <v>59</v>
      </c>
      <c r="O61" s="23">
        <v>74256</v>
      </c>
      <c r="P61" s="24">
        <v>15603</v>
      </c>
      <c r="Q61" s="3">
        <v>2910</v>
      </c>
      <c r="R61">
        <f t="shared" si="0"/>
        <v>1.4718609856211957</v>
      </c>
      <c r="S61">
        <f t="shared" si="1"/>
        <v>1.2133927095945658</v>
      </c>
      <c r="V61">
        <v>59</v>
      </c>
      <c r="W61" s="3">
        <v>27958</v>
      </c>
      <c r="X61" s="3">
        <v>10951</v>
      </c>
      <c r="Y61" s="3">
        <v>2021</v>
      </c>
      <c r="AB61">
        <v>59</v>
      </c>
      <c r="AC61" s="3">
        <v>33571</v>
      </c>
      <c r="AD61" s="3">
        <v>9743</v>
      </c>
      <c r="AE61" s="3">
        <v>2429</v>
      </c>
    </row>
    <row r="62" spans="2:31" x14ac:dyDescent="0.25">
      <c r="B62">
        <v>60</v>
      </c>
      <c r="C62" s="3">
        <v>6908</v>
      </c>
      <c r="D62" s="3">
        <v>3656</v>
      </c>
      <c r="E62" s="3">
        <v>2076</v>
      </c>
      <c r="F62" s="6"/>
      <c r="H62">
        <v>60</v>
      </c>
      <c r="I62" s="3">
        <v>16252</v>
      </c>
      <c r="J62" s="3">
        <v>7180</v>
      </c>
      <c r="K62" s="3">
        <v>3345</v>
      </c>
      <c r="L62" s="3"/>
      <c r="N62">
        <v>60</v>
      </c>
      <c r="O62" s="3">
        <v>39520</v>
      </c>
      <c r="P62" s="3">
        <v>12642</v>
      </c>
      <c r="Q62" s="3">
        <v>1813</v>
      </c>
      <c r="R62">
        <f t="shared" si="0"/>
        <v>0.78334338170315743</v>
      </c>
      <c r="S62">
        <f t="shared" si="1"/>
        <v>0.98312572163651224</v>
      </c>
      <c r="V62">
        <v>60</v>
      </c>
      <c r="W62" s="21">
        <v>39411</v>
      </c>
      <c r="X62" s="22">
        <v>14894</v>
      </c>
      <c r="Y62" s="3">
        <v>3117</v>
      </c>
      <c r="AB62">
        <v>60</v>
      </c>
      <c r="AC62" s="25">
        <v>50716</v>
      </c>
      <c r="AD62" s="26">
        <v>15554</v>
      </c>
      <c r="AE62" s="3">
        <v>2887</v>
      </c>
    </row>
    <row r="63" spans="2:31" x14ac:dyDescent="0.25">
      <c r="B63">
        <v>61</v>
      </c>
      <c r="C63" s="3">
        <v>20686</v>
      </c>
      <c r="D63" s="3">
        <v>7583</v>
      </c>
      <c r="E63" s="3">
        <v>2202</v>
      </c>
      <c r="F63" s="6"/>
      <c r="H63">
        <v>61</v>
      </c>
      <c r="I63" s="3">
        <v>20511</v>
      </c>
      <c r="J63" s="3">
        <v>7381</v>
      </c>
      <c r="K63">
        <v>2</v>
      </c>
      <c r="N63">
        <v>61</v>
      </c>
      <c r="O63" s="25">
        <v>58919</v>
      </c>
      <c r="P63" s="26">
        <v>13597</v>
      </c>
      <c r="Q63" s="3">
        <v>3086</v>
      </c>
      <c r="R63">
        <f t="shared" si="0"/>
        <v>1.1678595320487939</v>
      </c>
      <c r="S63">
        <f t="shared" si="1"/>
        <v>1.0573928521667186</v>
      </c>
      <c r="V63">
        <v>61</v>
      </c>
      <c r="W63" s="23">
        <v>38183</v>
      </c>
      <c r="X63" s="24">
        <v>14667</v>
      </c>
      <c r="Y63" s="3">
        <v>2366</v>
      </c>
      <c r="AB63">
        <v>61</v>
      </c>
      <c r="AC63" s="3">
        <v>24654</v>
      </c>
      <c r="AD63" s="3">
        <v>8308</v>
      </c>
      <c r="AE63" s="3">
        <v>1766</v>
      </c>
    </row>
    <row r="64" spans="2:31" x14ac:dyDescent="0.25">
      <c r="B64">
        <v>62</v>
      </c>
      <c r="C64" s="12">
        <v>24967</v>
      </c>
      <c r="D64" s="13">
        <v>14050</v>
      </c>
      <c r="E64" s="3">
        <v>2911</v>
      </c>
      <c r="F64" s="6"/>
      <c r="H64">
        <v>62</v>
      </c>
      <c r="I64" s="25">
        <v>28102</v>
      </c>
      <c r="J64" s="26">
        <v>12298</v>
      </c>
      <c r="K64" s="3">
        <v>2587</v>
      </c>
      <c r="L64" s="3"/>
      <c r="N64">
        <v>62</v>
      </c>
      <c r="O64" s="3">
        <v>38450</v>
      </c>
      <c r="P64" s="3">
        <v>9623</v>
      </c>
      <c r="Q64" s="3">
        <v>3974</v>
      </c>
      <c r="R64">
        <f t="shared" si="0"/>
        <v>0.76213443892931187</v>
      </c>
      <c r="S64">
        <f t="shared" si="1"/>
        <v>0.74834826920646713</v>
      </c>
      <c r="V64">
        <v>62</v>
      </c>
      <c r="W64" s="3">
        <v>29869</v>
      </c>
      <c r="X64" s="3">
        <v>7331</v>
      </c>
      <c r="Y64" s="3">
        <v>4619</v>
      </c>
      <c r="AB64">
        <v>62</v>
      </c>
      <c r="AC64" s="25">
        <v>72923</v>
      </c>
      <c r="AD64" s="26">
        <v>17472</v>
      </c>
      <c r="AE64" s="3">
        <v>2887</v>
      </c>
    </row>
    <row r="65" spans="2:31" x14ac:dyDescent="0.25">
      <c r="B65">
        <v>63</v>
      </c>
      <c r="C65" s="3">
        <v>6681</v>
      </c>
      <c r="D65" s="3">
        <v>3331</v>
      </c>
      <c r="E65" s="3">
        <v>2365</v>
      </c>
      <c r="F65" s="6"/>
      <c r="H65">
        <v>63</v>
      </c>
      <c r="I65" s="3">
        <v>26996</v>
      </c>
      <c r="J65" s="3">
        <v>10538</v>
      </c>
      <c r="K65" s="3">
        <v>2819</v>
      </c>
      <c r="L65" s="3"/>
      <c r="N65">
        <v>63</v>
      </c>
      <c r="O65" s="21">
        <v>75055</v>
      </c>
      <c r="P65" s="22">
        <v>15546</v>
      </c>
      <c r="Q65" s="3">
        <v>3607</v>
      </c>
      <c r="R65">
        <f t="shared" si="0"/>
        <v>1.4876983176551235</v>
      </c>
      <c r="S65">
        <f t="shared" si="1"/>
        <v>1.2089600117514017</v>
      </c>
      <c r="V65">
        <v>63</v>
      </c>
      <c r="W65" s="3">
        <v>26224</v>
      </c>
      <c r="X65" s="3">
        <v>10197</v>
      </c>
      <c r="Y65" s="3">
        <v>2578</v>
      </c>
      <c r="AB65">
        <v>63</v>
      </c>
      <c r="AC65" s="3">
        <v>27211</v>
      </c>
      <c r="AD65" s="3">
        <v>9632</v>
      </c>
      <c r="AE65" s="3">
        <v>2329</v>
      </c>
    </row>
    <row r="66" spans="2:31" x14ac:dyDescent="0.25">
      <c r="B66">
        <v>64</v>
      </c>
      <c r="C66" s="12">
        <v>23519</v>
      </c>
      <c r="D66" s="13">
        <v>16904</v>
      </c>
      <c r="E66" s="3">
        <v>3757</v>
      </c>
      <c r="F66" s="6"/>
      <c r="H66">
        <v>64</v>
      </c>
      <c r="I66" s="3">
        <v>17854</v>
      </c>
      <c r="J66" s="3">
        <v>7628</v>
      </c>
      <c r="K66" s="3">
        <v>2270</v>
      </c>
      <c r="L66" s="3"/>
      <c r="N66">
        <v>64</v>
      </c>
      <c r="O66" s="23">
        <v>52763</v>
      </c>
      <c r="P66" s="24">
        <v>13108</v>
      </c>
      <c r="Q66" s="3">
        <v>2489</v>
      </c>
      <c r="R66">
        <f t="shared" si="0"/>
        <v>1.045838736052725</v>
      </c>
      <c r="S66">
        <f t="shared" si="1"/>
        <v>1.0193649706701</v>
      </c>
      <c r="V66">
        <v>64</v>
      </c>
      <c r="W66" s="25">
        <v>51354</v>
      </c>
      <c r="X66" s="26">
        <v>20132</v>
      </c>
      <c r="Y66" s="3">
        <v>3011</v>
      </c>
      <c r="AB66">
        <v>64</v>
      </c>
      <c r="AC66" s="3">
        <v>37713</v>
      </c>
      <c r="AD66" s="3">
        <v>14750</v>
      </c>
      <c r="AE66" s="3">
        <v>2718</v>
      </c>
    </row>
    <row r="67" spans="2:31" x14ac:dyDescent="0.25">
      <c r="B67">
        <v>65</v>
      </c>
      <c r="C67" s="3">
        <v>13989</v>
      </c>
      <c r="D67" s="3">
        <v>8011</v>
      </c>
      <c r="E67" s="3">
        <v>2355</v>
      </c>
      <c r="F67" s="6"/>
      <c r="H67">
        <v>65</v>
      </c>
      <c r="I67" s="3">
        <v>20460</v>
      </c>
      <c r="J67" s="3">
        <v>11716</v>
      </c>
      <c r="K67" s="3">
        <v>4619</v>
      </c>
      <c r="L67" s="3"/>
      <c r="N67">
        <v>65</v>
      </c>
      <c r="O67" s="3">
        <v>52817</v>
      </c>
      <c r="P67" s="3">
        <v>9086</v>
      </c>
      <c r="Q67" s="3">
        <v>2401</v>
      </c>
      <c r="R67">
        <f t="shared" si="0"/>
        <v>1.0469090939123398</v>
      </c>
      <c r="S67">
        <f t="shared" si="1"/>
        <v>0.70658758952613121</v>
      </c>
      <c r="V67">
        <v>65</v>
      </c>
      <c r="W67" s="3">
        <v>24352</v>
      </c>
      <c r="X67" s="3">
        <v>8136</v>
      </c>
      <c r="Y67" s="3">
        <v>2568</v>
      </c>
      <c r="AB67">
        <v>65</v>
      </c>
      <c r="AC67" s="3">
        <v>31778</v>
      </c>
      <c r="AD67" s="3">
        <v>8333</v>
      </c>
      <c r="AE67" s="3">
        <v>1988</v>
      </c>
    </row>
    <row r="68" spans="2:31" x14ac:dyDescent="0.25">
      <c r="B68">
        <v>66</v>
      </c>
      <c r="C68" s="3">
        <v>17773</v>
      </c>
      <c r="D68" s="3">
        <v>11427</v>
      </c>
      <c r="E68" s="3">
        <v>2913</v>
      </c>
      <c r="F68" s="6"/>
      <c r="H68">
        <v>66</v>
      </c>
      <c r="I68" s="3">
        <v>20120</v>
      </c>
      <c r="J68" s="3">
        <v>9138</v>
      </c>
      <c r="K68" s="3">
        <v>3569</v>
      </c>
      <c r="L68" s="3"/>
      <c r="N68">
        <v>66</v>
      </c>
      <c r="O68" s="3">
        <v>35806</v>
      </c>
      <c r="P68" s="3">
        <v>6239</v>
      </c>
      <c r="Q68" s="3">
        <v>1687</v>
      </c>
      <c r="R68">
        <f t="shared" ref="R68:R75" si="6">O68/$O$76</f>
        <v>0.70972654669188395</v>
      </c>
      <c r="S68">
        <f t="shared" ref="S68:S75" si="7">P68/$P$76</f>
        <v>0.48518599725440598</v>
      </c>
      <c r="V68">
        <v>66</v>
      </c>
      <c r="W68" s="25">
        <v>42670</v>
      </c>
      <c r="X68" s="26">
        <v>14866</v>
      </c>
      <c r="Y68" s="3">
        <v>3320</v>
      </c>
      <c r="AB68">
        <v>66</v>
      </c>
      <c r="AC68" s="21">
        <v>44652</v>
      </c>
      <c r="AD68" s="22">
        <v>11750</v>
      </c>
      <c r="AE68" s="3">
        <v>3016</v>
      </c>
    </row>
    <row r="69" spans="2:31" x14ac:dyDescent="0.25">
      <c r="B69">
        <v>67</v>
      </c>
      <c r="C69" s="3">
        <v>17618</v>
      </c>
      <c r="D69" s="3">
        <v>11037</v>
      </c>
      <c r="E69" s="3">
        <v>3396</v>
      </c>
      <c r="F69" s="6"/>
      <c r="H69">
        <v>67</v>
      </c>
      <c r="I69" s="3">
        <v>19274</v>
      </c>
      <c r="J69" s="3">
        <v>8420</v>
      </c>
      <c r="K69" s="3">
        <v>3178</v>
      </c>
      <c r="L69" s="3"/>
      <c r="N69">
        <v>67</v>
      </c>
      <c r="O69" s="3">
        <v>37296</v>
      </c>
      <c r="P69" s="3">
        <v>5951</v>
      </c>
      <c r="Q69" s="3">
        <v>1691</v>
      </c>
      <c r="R69">
        <f t="shared" si="6"/>
        <v>0.73926049504051006</v>
      </c>
      <c r="S69">
        <f t="shared" si="7"/>
        <v>0.46278920815210289</v>
      </c>
      <c r="V69">
        <v>67</v>
      </c>
      <c r="W69" s="3">
        <v>26902</v>
      </c>
      <c r="X69" s="3">
        <v>7607</v>
      </c>
      <c r="Y69" s="3">
        <v>2070</v>
      </c>
      <c r="AB69">
        <v>67</v>
      </c>
      <c r="AC69" s="27">
        <v>66504</v>
      </c>
      <c r="AD69" s="28">
        <v>19174</v>
      </c>
      <c r="AE69" s="3">
        <v>3025</v>
      </c>
    </row>
    <row r="70" spans="2:31" x14ac:dyDescent="0.25">
      <c r="B70">
        <v>68</v>
      </c>
      <c r="C70" s="12">
        <v>29378</v>
      </c>
      <c r="D70" s="13">
        <v>12924</v>
      </c>
      <c r="E70" s="3">
        <v>2836</v>
      </c>
      <c r="F70" s="6"/>
      <c r="H70">
        <v>68</v>
      </c>
      <c r="I70" s="25">
        <v>30585</v>
      </c>
      <c r="J70" s="26">
        <v>18146</v>
      </c>
      <c r="K70" s="3">
        <v>3205</v>
      </c>
      <c r="L70" s="3"/>
      <c r="N70">
        <v>68</v>
      </c>
      <c r="O70" s="3">
        <v>36217</v>
      </c>
      <c r="P70" s="3">
        <v>9901</v>
      </c>
      <c r="Q70" s="3">
        <v>2052</v>
      </c>
      <c r="R70">
        <f t="shared" si="6"/>
        <v>0.71787315929006201</v>
      </c>
      <c r="S70">
        <f t="shared" si="7"/>
        <v>0.7699673920204958</v>
      </c>
      <c r="V70">
        <v>68</v>
      </c>
      <c r="W70" s="25">
        <v>51122</v>
      </c>
      <c r="X70" s="26">
        <v>18429</v>
      </c>
      <c r="Y70" s="3">
        <v>2079</v>
      </c>
      <c r="AB70">
        <v>68</v>
      </c>
      <c r="AC70" s="23">
        <v>47107</v>
      </c>
      <c r="AD70" s="24">
        <v>15054</v>
      </c>
      <c r="AE70" s="3">
        <v>2286</v>
      </c>
    </row>
    <row r="71" spans="2:31" x14ac:dyDescent="0.25">
      <c r="B71">
        <v>69</v>
      </c>
      <c r="C71" s="3">
        <v>12312</v>
      </c>
      <c r="D71" s="3">
        <v>7324</v>
      </c>
      <c r="E71" s="3">
        <v>2195</v>
      </c>
      <c r="F71" s="6"/>
      <c r="H71">
        <v>69</v>
      </c>
      <c r="I71" s="3">
        <v>19782</v>
      </c>
      <c r="J71" s="3">
        <v>7733</v>
      </c>
      <c r="K71" s="3">
        <v>2436</v>
      </c>
      <c r="L71" s="3"/>
      <c r="N71">
        <v>69</v>
      </c>
      <c r="O71" s="3">
        <v>33446</v>
      </c>
      <c r="P71" s="3">
        <v>6429</v>
      </c>
      <c r="Q71" s="3">
        <v>2161</v>
      </c>
      <c r="R71">
        <f t="shared" si="6"/>
        <v>0.66294794393835532</v>
      </c>
      <c r="S71">
        <f t="shared" si="7"/>
        <v>0.4999616567316198</v>
      </c>
      <c r="V71">
        <v>69</v>
      </c>
      <c r="W71" s="3">
        <v>30091</v>
      </c>
      <c r="X71" s="3">
        <v>8511</v>
      </c>
      <c r="Y71" s="3">
        <v>2466</v>
      </c>
      <c r="AB71">
        <v>69</v>
      </c>
      <c r="AC71" s="3">
        <v>30826</v>
      </c>
      <c r="AD71" s="3">
        <v>11026</v>
      </c>
      <c r="AE71" s="3">
        <v>1923</v>
      </c>
    </row>
    <row r="72" spans="2:31" x14ac:dyDescent="0.25">
      <c r="B72">
        <v>70</v>
      </c>
      <c r="C72" s="12">
        <v>32695</v>
      </c>
      <c r="D72" s="13">
        <v>19252</v>
      </c>
      <c r="E72" s="3">
        <v>3575</v>
      </c>
      <c r="F72" s="6"/>
      <c r="H72">
        <v>70</v>
      </c>
      <c r="I72" s="25">
        <v>31351</v>
      </c>
      <c r="J72" s="26">
        <v>15185</v>
      </c>
      <c r="K72" s="3">
        <v>2969</v>
      </c>
      <c r="L72" s="3"/>
      <c r="N72">
        <v>70</v>
      </c>
      <c r="O72" s="3">
        <v>42607</v>
      </c>
      <c r="P72" s="3">
        <v>8594</v>
      </c>
      <c r="Q72" s="3">
        <v>2039</v>
      </c>
      <c r="R72">
        <f t="shared" si="6"/>
        <v>0.84453217267779424</v>
      </c>
      <c r="S72">
        <f t="shared" si="7"/>
        <v>0.66832640814303013</v>
      </c>
      <c r="V72">
        <v>70</v>
      </c>
      <c r="W72" s="3">
        <v>23609</v>
      </c>
      <c r="X72" s="3">
        <v>8116</v>
      </c>
      <c r="Y72" s="3">
        <v>2659</v>
      </c>
      <c r="AB72">
        <v>70</v>
      </c>
      <c r="AC72" s="3">
        <v>42035</v>
      </c>
      <c r="AD72" s="3">
        <v>10965</v>
      </c>
      <c r="AE72" s="3">
        <v>2184</v>
      </c>
    </row>
    <row r="73" spans="2:31" x14ac:dyDescent="0.25">
      <c r="B73">
        <v>71</v>
      </c>
      <c r="C73" s="3">
        <v>14056</v>
      </c>
      <c r="D73" s="3">
        <v>6736</v>
      </c>
      <c r="E73" s="3">
        <v>1736</v>
      </c>
      <c r="F73" s="6"/>
      <c r="H73">
        <v>71</v>
      </c>
      <c r="I73" s="3">
        <v>15701</v>
      </c>
      <c r="J73" s="3">
        <v>7507</v>
      </c>
      <c r="K73" s="3">
        <v>2757</v>
      </c>
      <c r="L73" s="3"/>
      <c r="N73">
        <v>71</v>
      </c>
      <c r="O73" s="3">
        <v>23636</v>
      </c>
      <c r="P73" s="3">
        <v>5458</v>
      </c>
      <c r="Q73" s="3">
        <v>1551</v>
      </c>
      <c r="R73">
        <f t="shared" si="6"/>
        <v>0.46849959944169606</v>
      </c>
      <c r="S73">
        <f t="shared" si="7"/>
        <v>0.42445026014017434</v>
      </c>
      <c r="V73">
        <v>71</v>
      </c>
      <c r="W73" s="3">
        <v>27325</v>
      </c>
      <c r="X73" s="3">
        <v>11450</v>
      </c>
      <c r="Y73" s="3">
        <v>1675</v>
      </c>
      <c r="AB73">
        <v>71</v>
      </c>
      <c r="AC73" s="3">
        <v>32008</v>
      </c>
      <c r="AD73" s="3">
        <v>9355</v>
      </c>
      <c r="AE73" s="3">
        <v>2752</v>
      </c>
    </row>
    <row r="74" spans="2:31" x14ac:dyDescent="0.25">
      <c r="B74">
        <v>72</v>
      </c>
      <c r="C74" s="3">
        <v>22296</v>
      </c>
      <c r="D74" s="3">
        <v>8133</v>
      </c>
      <c r="E74" s="3">
        <v>2332</v>
      </c>
      <c r="F74" s="6"/>
      <c r="H74">
        <v>72</v>
      </c>
      <c r="I74" s="3">
        <v>15555</v>
      </c>
      <c r="J74" s="3">
        <v>5838</v>
      </c>
      <c r="K74" s="3">
        <v>2694</v>
      </c>
      <c r="L74" s="3"/>
      <c r="N74">
        <v>72</v>
      </c>
      <c r="O74" s="3">
        <v>35535</v>
      </c>
      <c r="P74" s="3">
        <v>7764</v>
      </c>
      <c r="Q74" s="3">
        <v>1669</v>
      </c>
      <c r="R74">
        <f t="shared" si="6"/>
        <v>0.70435493595196608</v>
      </c>
      <c r="S74">
        <f t="shared" si="7"/>
        <v>0.60378010621625389</v>
      </c>
      <c r="V74">
        <v>72</v>
      </c>
      <c r="W74" s="3">
        <v>34451</v>
      </c>
      <c r="X74" s="3">
        <v>16833</v>
      </c>
      <c r="Y74" s="3">
        <v>2458</v>
      </c>
      <c r="AB74">
        <v>72</v>
      </c>
      <c r="AC74" s="3">
        <v>28361</v>
      </c>
      <c r="AD74" s="3">
        <v>10171</v>
      </c>
      <c r="AE74" s="3">
        <v>2949</v>
      </c>
    </row>
    <row r="75" spans="2:31" x14ac:dyDescent="0.25">
      <c r="B75">
        <v>73</v>
      </c>
      <c r="C75" s="3">
        <v>11468</v>
      </c>
      <c r="D75" s="3">
        <v>5478</v>
      </c>
      <c r="E75" s="3">
        <v>1768</v>
      </c>
      <c r="F75" s="6"/>
      <c r="H75">
        <v>73</v>
      </c>
      <c r="I75" s="3">
        <v>33716</v>
      </c>
      <c r="J75" s="3">
        <v>10905</v>
      </c>
      <c r="K75" s="3">
        <v>3600</v>
      </c>
      <c r="L75" s="3"/>
      <c r="N75">
        <v>73</v>
      </c>
      <c r="O75" s="25">
        <v>61338</v>
      </c>
      <c r="P75" s="26">
        <v>15758</v>
      </c>
      <c r="Q75" s="3">
        <v>2174</v>
      </c>
      <c r="R75">
        <f t="shared" si="6"/>
        <v>1.2158075998711606</v>
      </c>
      <c r="S75">
        <f t="shared" si="7"/>
        <v>1.2254465370628191</v>
      </c>
      <c r="V75">
        <v>73</v>
      </c>
      <c r="W75" s="3">
        <v>35648</v>
      </c>
      <c r="X75" s="3">
        <v>7273</v>
      </c>
      <c r="Y75" s="3">
        <v>3068</v>
      </c>
      <c r="AB75">
        <v>73</v>
      </c>
      <c r="AC75" s="3">
        <v>27960</v>
      </c>
      <c r="AD75" s="3">
        <v>6809</v>
      </c>
      <c r="AE75" s="3">
        <v>2925</v>
      </c>
    </row>
    <row r="76" spans="2:31" x14ac:dyDescent="0.25">
      <c r="B76">
        <v>74</v>
      </c>
      <c r="C76" s="3">
        <v>13027</v>
      </c>
      <c r="D76" s="3">
        <v>7630</v>
      </c>
      <c r="E76" s="3">
        <v>2329</v>
      </c>
      <c r="F76" s="6"/>
      <c r="H76">
        <v>74</v>
      </c>
      <c r="I76" s="3">
        <v>18916</v>
      </c>
      <c r="J76" s="3">
        <v>8504</v>
      </c>
      <c r="K76" s="3">
        <v>2038</v>
      </c>
      <c r="L76" s="3"/>
      <c r="N76" t="s">
        <v>5</v>
      </c>
      <c r="O76" s="3">
        <f>AVERAGE(O4:O75)</f>
        <v>50450.416666666664</v>
      </c>
      <c r="P76" s="3">
        <f>AVERAGE(P4:P75)</f>
        <v>12858.986111111111</v>
      </c>
      <c r="V76">
        <v>74</v>
      </c>
      <c r="W76" s="3">
        <v>30976</v>
      </c>
      <c r="X76" s="3">
        <v>5150</v>
      </c>
      <c r="Y76" s="3">
        <v>2094</v>
      </c>
      <c r="AB76">
        <v>74</v>
      </c>
      <c r="AC76" s="3">
        <v>24374</v>
      </c>
      <c r="AD76" s="3">
        <v>5223</v>
      </c>
      <c r="AE76" s="3">
        <v>1922</v>
      </c>
    </row>
    <row r="77" spans="2:31" x14ac:dyDescent="0.25">
      <c r="B77" t="s">
        <v>5</v>
      </c>
      <c r="C77" s="3">
        <f>AVERAGE(C3:C76)</f>
        <v>21840.45945945946</v>
      </c>
      <c r="D77" s="3">
        <f>AVERAGE(D3:D76)</f>
        <v>11171.716216216217</v>
      </c>
      <c r="H77">
        <v>75</v>
      </c>
      <c r="I77" s="3">
        <v>15923</v>
      </c>
      <c r="J77" s="3">
        <v>5124</v>
      </c>
      <c r="K77" s="3">
        <v>2165</v>
      </c>
      <c r="L77" s="3"/>
      <c r="N77" t="s">
        <v>8</v>
      </c>
      <c r="O77" s="3">
        <f>AVERAGE(O16:O75)</f>
        <v>46746.783333333333</v>
      </c>
      <c r="P77" s="3">
        <f>AVERAGE(P16:P75)</f>
        <v>12132.85</v>
      </c>
      <c r="V77">
        <v>75</v>
      </c>
      <c r="W77" s="25">
        <v>56582</v>
      </c>
      <c r="X77" s="26">
        <v>19564</v>
      </c>
      <c r="Y77" s="3">
        <v>3109</v>
      </c>
      <c r="AB77">
        <v>75</v>
      </c>
      <c r="AC77" s="25">
        <v>56614</v>
      </c>
      <c r="AD77" s="26">
        <v>13297</v>
      </c>
      <c r="AE77" s="3">
        <v>2014</v>
      </c>
    </row>
    <row r="78" spans="2:31" x14ac:dyDescent="0.25">
      <c r="B78" t="s">
        <v>8</v>
      </c>
      <c r="C78" s="3">
        <f>AVERAGE(C53:C76,C48:C51,C45:C46,C42,C39:C40,C36:C37,C29:C34,C26:C27,C19:C23,C16,C12:C13,C10,C6:C8,C3:C4)</f>
        <v>19257.543859649122</v>
      </c>
      <c r="D78" s="3">
        <f>AVERAGE(D53:D76,D48:D51,D45:D46,D42,D39:D40,D36:D37,D29:D34,D26:D27,D19:D23,D16,D12:D13,D10,D6:D8,D3:D4)</f>
        <v>10023.596491228071</v>
      </c>
      <c r="H78">
        <v>76</v>
      </c>
      <c r="I78" s="21">
        <v>28568</v>
      </c>
      <c r="J78" s="22">
        <v>12386</v>
      </c>
      <c r="K78" s="3">
        <v>3473</v>
      </c>
      <c r="L78" s="3"/>
      <c r="N78" s="5" t="s">
        <v>7</v>
      </c>
      <c r="O78" s="3">
        <f>AVERAGE(O3:O15)</f>
        <v>68901.769230769234</v>
      </c>
      <c r="P78" s="3">
        <f>AVERAGE(P3:P15)</f>
        <v>16243.615384615385</v>
      </c>
      <c r="V78">
        <v>76</v>
      </c>
      <c r="W78" s="3">
        <v>30841</v>
      </c>
      <c r="X78" s="3">
        <v>10834</v>
      </c>
      <c r="Y78" s="3">
        <v>1936</v>
      </c>
      <c r="AB78">
        <v>76</v>
      </c>
      <c r="AC78" s="3">
        <v>26171</v>
      </c>
      <c r="AD78" s="3">
        <v>8250</v>
      </c>
      <c r="AE78" s="3">
        <v>1500</v>
      </c>
    </row>
    <row r="79" spans="2:31" x14ac:dyDescent="0.25">
      <c r="B79" s="5" t="s">
        <v>7</v>
      </c>
      <c r="C79" s="3">
        <f>AVERAGE(C52,C47,C43:C44,C41,C38,C35,C28,C24:C25,C17:C18,C14:C15,C11,C5)</f>
        <v>30640.8125</v>
      </c>
      <c r="D79" s="3">
        <f>AVERAGE(D52,D47,D43:D44,D41,D38,D35,D28,D24:D25,D17:D18,D14:D15,D11,D5)</f>
        <v>15151.3125</v>
      </c>
      <c r="H79">
        <v>77</v>
      </c>
      <c r="I79" s="23">
        <v>26478</v>
      </c>
      <c r="J79" s="24">
        <v>16451</v>
      </c>
      <c r="K79" s="3">
        <v>2538</v>
      </c>
      <c r="L79" s="3"/>
      <c r="N79" t="s">
        <v>14</v>
      </c>
      <c r="O79">
        <f>COUNT(Q3:Q15)</f>
        <v>13</v>
      </c>
      <c r="Q79" s="3"/>
      <c r="R79" s="3"/>
      <c r="S79" s="3"/>
      <c r="T79" s="3"/>
      <c r="V79">
        <v>77</v>
      </c>
      <c r="W79" s="3">
        <v>19412</v>
      </c>
      <c r="X79" s="3">
        <v>6615</v>
      </c>
      <c r="Y79" s="3">
        <v>1946</v>
      </c>
      <c r="AB79">
        <v>77</v>
      </c>
      <c r="AC79" s="3">
        <v>26559</v>
      </c>
      <c r="AD79" s="3">
        <v>4905</v>
      </c>
      <c r="AE79" s="3">
        <v>1933</v>
      </c>
    </row>
    <row r="80" spans="2:31" x14ac:dyDescent="0.25">
      <c r="B80" t="s">
        <v>14</v>
      </c>
      <c r="C80">
        <f>COUNT(E52,E47,E43:E44,E41,E38,E35,E28,E24:E25,E17:E18,E14:E15,E11,E9,E5)</f>
        <v>17</v>
      </c>
      <c r="H80">
        <v>78</v>
      </c>
      <c r="I80" s="3">
        <v>16556</v>
      </c>
      <c r="J80" s="3">
        <v>5722</v>
      </c>
      <c r="K80" s="3">
        <v>1611</v>
      </c>
      <c r="L80" s="3"/>
      <c r="N80" s="3" t="s">
        <v>9</v>
      </c>
      <c r="O80" s="3">
        <f>(O79/N75)*100</f>
        <v>17.80821917808219</v>
      </c>
      <c r="P80" s="3"/>
      <c r="V80">
        <v>78</v>
      </c>
      <c r="W80" s="21">
        <v>43926</v>
      </c>
      <c r="X80" s="22">
        <v>15727</v>
      </c>
      <c r="Y80" s="3">
        <v>2736</v>
      </c>
      <c r="AB80">
        <v>78</v>
      </c>
      <c r="AC80" s="3">
        <v>35882</v>
      </c>
      <c r="AD80" s="3">
        <v>10050</v>
      </c>
      <c r="AE80" s="3">
        <v>1605</v>
      </c>
    </row>
    <row r="81" spans="2:81" x14ac:dyDescent="0.25">
      <c r="B81" s="3" t="s">
        <v>9</v>
      </c>
      <c r="C81" s="3">
        <f>(COUNT(E52,E47,E43:E44,E41,E38,E35,E28,E24:E25,E17:E18,E14:E15,E11,E9,E5)/B76)*100</f>
        <v>22.972972972972975</v>
      </c>
      <c r="D81" s="3"/>
      <c r="E81" s="3"/>
      <c r="F81" s="3"/>
      <c r="G81" s="3"/>
      <c r="H81">
        <v>79</v>
      </c>
      <c r="I81" s="3">
        <v>22516</v>
      </c>
      <c r="J81" s="3">
        <v>9774</v>
      </c>
      <c r="K81" s="3">
        <v>2380</v>
      </c>
      <c r="L81" s="3"/>
      <c r="M81" s="3"/>
      <c r="O81" t="s">
        <v>11</v>
      </c>
      <c r="P81" t="s">
        <v>6</v>
      </c>
      <c r="U81" s="3"/>
      <c r="V81">
        <v>79</v>
      </c>
      <c r="W81" s="23">
        <v>37556</v>
      </c>
      <c r="X81" s="24">
        <v>14657</v>
      </c>
      <c r="Y81" s="3">
        <v>1887</v>
      </c>
      <c r="Z81" s="3"/>
      <c r="AA81" s="3"/>
      <c r="AB81">
        <v>79</v>
      </c>
      <c r="AC81" s="3">
        <v>30265</v>
      </c>
      <c r="AD81" s="3">
        <v>7898</v>
      </c>
      <c r="AE81" s="3">
        <v>1959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2:81" x14ac:dyDescent="0.25">
      <c r="C82" t="s">
        <v>11</v>
      </c>
      <c r="D82" t="s">
        <v>6</v>
      </c>
      <c r="H82">
        <v>80</v>
      </c>
      <c r="I82" s="3">
        <v>13968</v>
      </c>
      <c r="J82" s="3">
        <v>5640</v>
      </c>
      <c r="K82" s="3">
        <v>2056</v>
      </c>
      <c r="L82" s="3"/>
      <c r="N82" s="29" t="s">
        <v>10</v>
      </c>
      <c r="O82">
        <f>(COUNT(O75,O65:O66,O63,O59:O61,O47,O42:O43,O34,O29:O30,O27,O25,O22,O20,O18,O3:O10,O12)/N75)*100</f>
        <v>36.986301369863014</v>
      </c>
      <c r="P82">
        <f>(COUNT(Q3:Q12)/O79)*100</f>
        <v>76.923076923076934</v>
      </c>
      <c r="Q82" s="3"/>
      <c r="R82" s="3"/>
      <c r="S82" s="3"/>
      <c r="T82" s="3"/>
      <c r="V82">
        <v>80</v>
      </c>
      <c r="W82" s="3">
        <v>25140</v>
      </c>
      <c r="X82" s="3">
        <v>17983</v>
      </c>
      <c r="Y82" s="3">
        <v>1653</v>
      </c>
      <c r="AB82">
        <v>80</v>
      </c>
      <c r="AC82" s="3">
        <v>26272</v>
      </c>
      <c r="AD82" s="3">
        <v>8173</v>
      </c>
      <c r="AE82" s="3">
        <v>1594</v>
      </c>
    </row>
    <row r="83" spans="2:81" x14ac:dyDescent="0.25">
      <c r="B83" s="29" t="s">
        <v>10</v>
      </c>
      <c r="C83">
        <f>(COUNT(C72,C70,C66,C64,C60:C61,C57,C52,C47,C44,C41,C38,C33,C28:C30,C24:C26,C17:C20,C14:C15,C11,C9)/B76)*100</f>
        <v>36.486486486486484</v>
      </c>
      <c r="D83">
        <f>(COUNT(E52,E47,E44,E41,E38,E28,E24:E25,E17:E18,E14:E15,E11,E9)/C80)*100</f>
        <v>82.35294117647058</v>
      </c>
      <c r="H83" t="s">
        <v>5</v>
      </c>
      <c r="I83" s="3">
        <f>AVERAGE(I9:I82)</f>
        <v>21998.04054054054</v>
      </c>
      <c r="J83" s="3">
        <f>AVERAGE(J9:J82)</f>
        <v>11467.081081081082</v>
      </c>
      <c r="N83" s="20" t="s">
        <v>12</v>
      </c>
      <c r="O83">
        <f>(COUNT(O67,O57,O54,O48,O45:O46,O35,O14:O15,O56,O51,O11)/N75)*100</f>
        <v>16.43835616438356</v>
      </c>
      <c r="P83">
        <f>((COUNT(Q14:Q15))/O79)*100</f>
        <v>15.384615384615385</v>
      </c>
      <c r="V83">
        <v>81</v>
      </c>
      <c r="W83" s="3">
        <v>20156</v>
      </c>
      <c r="X83" s="3">
        <v>6388</v>
      </c>
      <c r="Y83" s="3">
        <v>2816</v>
      </c>
      <c r="AB83">
        <v>81</v>
      </c>
      <c r="AC83" s="3">
        <v>18408</v>
      </c>
      <c r="AD83" s="3">
        <v>6342</v>
      </c>
      <c r="AE83" s="3">
        <v>1934</v>
      </c>
    </row>
    <row r="84" spans="2:81" x14ac:dyDescent="0.25">
      <c r="B84" s="20" t="s">
        <v>12</v>
      </c>
      <c r="C84">
        <f>(COUNT(C74,C59,C53,C50,C48,C45,C43,C35)/B76)*100</f>
        <v>10.810810810810811</v>
      </c>
      <c r="D84">
        <f>(COUNT(E43,E35)/C80)*100</f>
        <v>11.76470588235294</v>
      </c>
      <c r="E84" s="3"/>
      <c r="F84" s="3"/>
      <c r="G84" s="3"/>
      <c r="H84" t="s">
        <v>8</v>
      </c>
      <c r="I84" s="3">
        <f>AVERAGE(I17:I82)</f>
        <v>19927.757575757576</v>
      </c>
      <c r="J84" s="3">
        <f>AVERAGE(J17:J82)</f>
        <v>10642</v>
      </c>
      <c r="K84" s="3"/>
      <c r="L84" s="3"/>
      <c r="M84" s="3"/>
      <c r="N84" s="9" t="s">
        <v>13</v>
      </c>
      <c r="O84">
        <f>(COUNT(P62,P39:P41)/N75)*100</f>
        <v>5.4794520547945202</v>
      </c>
      <c r="P84">
        <f>(0/O79)*100</f>
        <v>0</v>
      </c>
      <c r="U84" s="3"/>
      <c r="V84">
        <v>82</v>
      </c>
      <c r="W84" s="3">
        <v>20664</v>
      </c>
      <c r="X84" s="3">
        <v>8511</v>
      </c>
      <c r="Y84" s="3">
        <v>2029</v>
      </c>
      <c r="Z84" s="3"/>
      <c r="AA84" s="3"/>
      <c r="AB84">
        <v>82</v>
      </c>
      <c r="AC84" s="3">
        <v>18468</v>
      </c>
      <c r="AD84" s="3">
        <v>3710</v>
      </c>
      <c r="AE84" s="3">
        <v>1306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</row>
    <row r="85" spans="2:81" x14ac:dyDescent="0.25">
      <c r="B85" s="9" t="s">
        <v>13</v>
      </c>
      <c r="C85">
        <f>(COUNT(D68,D58,D49,D16,D12,D73)/B76)*100</f>
        <v>8.1081081081081088</v>
      </c>
      <c r="D85">
        <f>(0/C80)*100</f>
        <v>0</v>
      </c>
      <c r="H85" s="5" t="s">
        <v>7</v>
      </c>
      <c r="I85" s="3">
        <f>AVERAGE(I3:I16)</f>
        <v>39563.214285714283</v>
      </c>
      <c r="J85" s="3">
        <f>AVERAGE(J3:J16)</f>
        <v>19267.714285714286</v>
      </c>
      <c r="N85" t="s">
        <v>15</v>
      </c>
      <c r="O85">
        <f>(COUNT(P68:P74,#REF!,P64,P58,P55,P52:P53,P49:P50,P44,P37,P36,P38,P31:P33,P28,P26,P23:P24,P21,P19,P16:P17,P13)/N75)*100</f>
        <v>41.095890410958901</v>
      </c>
      <c r="P85">
        <f>(1/O79)*100</f>
        <v>7.6923076923076925</v>
      </c>
      <c r="V85">
        <v>83</v>
      </c>
      <c r="W85" s="25">
        <v>40280</v>
      </c>
      <c r="X85" s="26">
        <v>13939</v>
      </c>
      <c r="Y85" s="3">
        <v>2045</v>
      </c>
      <c r="AB85">
        <v>83</v>
      </c>
      <c r="AC85" s="3">
        <v>21653</v>
      </c>
      <c r="AD85" s="3">
        <v>5878</v>
      </c>
      <c r="AE85" s="3">
        <v>1673</v>
      </c>
    </row>
    <row r="86" spans="2:81" x14ac:dyDescent="0.25">
      <c r="B86" t="s">
        <v>15</v>
      </c>
      <c r="C86">
        <f>(COUNT(C75:C76,C73,C71,C69,C67,C65,C62:C63,C54:C56,C51,C46,C42,C39:C40,C36:C37,C34,C31:C32,C27,C21:C23,C13,C10,C8,C3:C6)/B76)*100</f>
        <v>44.594594594594597</v>
      </c>
      <c r="D86">
        <f>(COUNT(E5)/C80)*100</f>
        <v>5.8823529411764701</v>
      </c>
      <c r="H86" t="s">
        <v>14</v>
      </c>
      <c r="I86">
        <f>COUNT(K3:K16)</f>
        <v>14</v>
      </c>
      <c r="N86" t="s">
        <v>11</v>
      </c>
      <c r="O86">
        <f>SUM(O82:O85)</f>
        <v>100</v>
      </c>
      <c r="P86">
        <f>SUM(P82:P85)</f>
        <v>100.00000000000001</v>
      </c>
      <c r="Q86" s="3"/>
      <c r="R86" s="3"/>
      <c r="S86" s="3"/>
      <c r="T86" s="3"/>
      <c r="V86">
        <v>84</v>
      </c>
      <c r="W86" s="3">
        <v>31898</v>
      </c>
      <c r="X86" s="3">
        <v>9078</v>
      </c>
      <c r="Y86" s="3">
        <v>2163</v>
      </c>
      <c r="AB86">
        <v>84</v>
      </c>
      <c r="AC86" s="3">
        <v>16400</v>
      </c>
      <c r="AD86" s="3">
        <v>3600</v>
      </c>
      <c r="AE86" s="3">
        <v>1667</v>
      </c>
    </row>
    <row r="87" spans="2:81" x14ac:dyDescent="0.25">
      <c r="B87" t="s">
        <v>11</v>
      </c>
      <c r="C87">
        <f>SUM(C83:C86)</f>
        <v>100</v>
      </c>
      <c r="D87">
        <f>SUM(D83:D86)</f>
        <v>99.999999999999986</v>
      </c>
      <c r="H87" s="3" t="s">
        <v>9</v>
      </c>
      <c r="I87" s="3">
        <f>(I86/H82)*100</f>
        <v>17.5</v>
      </c>
      <c r="J87" s="3"/>
      <c r="N87" s="3"/>
      <c r="O87" s="3"/>
      <c r="P87" s="3"/>
      <c r="V87">
        <v>85</v>
      </c>
      <c r="W87" s="3">
        <v>23168</v>
      </c>
      <c r="X87" s="3">
        <v>8521</v>
      </c>
      <c r="Y87" s="3">
        <v>1815</v>
      </c>
      <c r="AB87">
        <v>85</v>
      </c>
      <c r="AC87" s="3">
        <v>16321</v>
      </c>
      <c r="AD87" s="3">
        <v>4821</v>
      </c>
      <c r="AE87" s="3">
        <v>1393</v>
      </c>
    </row>
    <row r="88" spans="2:81" x14ac:dyDescent="0.25">
      <c r="B88" s="3"/>
      <c r="C88" s="3"/>
      <c r="D88" s="3"/>
      <c r="E88" s="3"/>
      <c r="F88" s="3"/>
      <c r="G88" s="3"/>
      <c r="I88" t="s">
        <v>11</v>
      </c>
      <c r="J88" t="s">
        <v>6</v>
      </c>
      <c r="K88" s="3"/>
      <c r="L88" s="3"/>
      <c r="M88" s="3"/>
      <c r="N88" t="s">
        <v>16</v>
      </c>
      <c r="O88" s="3">
        <f>AVERAGE(O65:O66,O59:O63,O56,O51,O47,O39:O43,O34,O29:O30,O27,O25,O22,O20,O18,O3:O12)</f>
        <v>65017.393939393936</v>
      </c>
      <c r="U88" s="3"/>
      <c r="V88">
        <v>86</v>
      </c>
      <c r="W88" s="3">
        <v>18752</v>
      </c>
      <c r="X88" s="3">
        <v>6057</v>
      </c>
      <c r="Y88" s="3">
        <v>2067</v>
      </c>
      <c r="Z88" s="3"/>
      <c r="AA88" s="3"/>
      <c r="AB88" t="s">
        <v>5</v>
      </c>
      <c r="AC88" s="3">
        <f>AVERAGE(AC14:AC87)</f>
        <v>41087.054054054053</v>
      </c>
      <c r="AD88" s="3">
        <f>AVERAGE(AD14:AD87)</f>
        <v>11461.094594594595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spans="2:81" x14ac:dyDescent="0.25">
      <c r="B89" t="s">
        <v>16</v>
      </c>
      <c r="C89" s="3">
        <f>AVERAGE(C72,C70,C68,C66,C64,C61,C60,C58,C57,C52,C49,C47,C44,C41,C38,C33,C28:C30,C25,C24,C26,C17:C20,C14:C15,C11,C9)</f>
        <v>29503.200000000001</v>
      </c>
      <c r="H89" s="29" t="s">
        <v>10</v>
      </c>
      <c r="I89">
        <f>(COUNT(I78:I79,I72,I70,I64,I58,I57,I46,I50,I43,I39:I40,I30,I3:I16)/H82)*100</f>
        <v>33.75</v>
      </c>
      <c r="J89">
        <f>(COUNT(J3:J16)/I86)*100</f>
        <v>100</v>
      </c>
      <c r="N89" t="s">
        <v>19</v>
      </c>
      <c r="O89" s="3">
        <f>AVERAGE(O67:O74,O64,O57:O58,O52:O55,O48:O50,O44:O46,O35:O38,O31:O33,O28,O26,O23:O24,O21,O19,O13:O17)</f>
        <v>38297.897435897437</v>
      </c>
      <c r="V89" t="s">
        <v>5</v>
      </c>
      <c r="W89" s="3">
        <f>AVERAGE(W15:W88)</f>
        <v>36351.527027027027</v>
      </c>
      <c r="X89" s="3">
        <f>AVERAGE(X15:X88)</f>
        <v>12270</v>
      </c>
      <c r="AB89" t="s">
        <v>8</v>
      </c>
      <c r="AC89" s="3">
        <f>AVERAGE(AC17:AC87)</f>
        <v>40678.507042253521</v>
      </c>
      <c r="AD89" s="3">
        <f>AVERAGE(AD17:AD87)</f>
        <v>11353.845070422536</v>
      </c>
    </row>
    <row r="90" spans="2:81" x14ac:dyDescent="0.25">
      <c r="B90" t="s">
        <v>19</v>
      </c>
      <c r="C90" s="3">
        <f>AVERAGE(C73:C76,C71,C69,C67,C65,C62:C63,C53:C56,C50:C51,C48,C45:C46,C42:C43,C39:C40,C34:C37,C31:C32,C27,C21:C23,C13,C10,C8,C3:C6)</f>
        <v>16217.525</v>
      </c>
      <c r="H90" s="20" t="s">
        <v>12</v>
      </c>
      <c r="I90">
        <f>(COUNT(I81,I75,I65,I56,I44)/H82)*100</f>
        <v>6.25</v>
      </c>
      <c r="J90">
        <f>(0/I86)*100</f>
        <v>0</v>
      </c>
      <c r="V90" t="s">
        <v>8</v>
      </c>
      <c r="W90" s="3">
        <f>AVERAGE(W18:W88)</f>
        <v>36078.281690140844</v>
      </c>
      <c r="X90" s="3">
        <f>AVERAGE(X18:X88)</f>
        <v>12324.830985915492</v>
      </c>
      <c r="AB90" s="5" t="s">
        <v>7</v>
      </c>
      <c r="AC90" s="3">
        <f>AVERAGE(AC3:AC16)</f>
        <v>63082.357142857145</v>
      </c>
      <c r="AD90" s="3">
        <f>AVERAGE(AD3:AD16)</f>
        <v>15667.857142857143</v>
      </c>
    </row>
    <row r="91" spans="2:81" x14ac:dyDescent="0.25">
      <c r="H91" s="9" t="s">
        <v>13</v>
      </c>
      <c r="I91">
        <f>(COUNT(J67,J54,J49,J42,J37,J33,J31,J28:J29,J24,J22,J18)/H82)*100</f>
        <v>15</v>
      </c>
      <c r="J91">
        <f>(0/I86)*100</f>
        <v>0</v>
      </c>
      <c r="N91" t="s">
        <v>17</v>
      </c>
      <c r="P91" s="3">
        <f>AVERAGE(P75,P67,P65:P66,P59:P63,P56:P57,P54,P51,P45:P48,P42:P43,P34:P35,P29:P30,P27,P25,P22,P20,P18,P14:P15,P3:P12)</f>
        <v>15710.4</v>
      </c>
      <c r="V91" s="5" t="s">
        <v>7</v>
      </c>
      <c r="W91" s="3">
        <f>AVERAGE(W3:W17)</f>
        <v>47637.866666666669</v>
      </c>
      <c r="X91" s="3">
        <f>AVERAGE(X3:X17)</f>
        <v>13064</v>
      </c>
      <c r="AB91" t="s">
        <v>14</v>
      </c>
      <c r="AC91">
        <f>COUNT(AE3:AE16)</f>
        <v>14</v>
      </c>
    </row>
    <row r="92" spans="2:81" x14ac:dyDescent="0.25">
      <c r="B92" t="s">
        <v>17</v>
      </c>
      <c r="D92" s="3">
        <f>AVERAGE(D74,D72,D70,D66,D64,D59:D61,D57,D52:D53,D50,D48,D47,D43:D45,D41,D38,D35,D33,D28:D30,D24:D26,D17:D20,D14:D15,D11,D9)</f>
        <v>14534.971428571429</v>
      </c>
      <c r="H92" t="s">
        <v>15</v>
      </c>
      <c r="I92">
        <f>(COUNT(I82,I80,I76:I77,I73:I74,I71,I68:I69,I66,I59:I63,I55,I51:I53,I47:I48,I45,I41,I38,I34:I36,I32,I26:I27,I25,I23,I19:I21,I17)/H82)*100</f>
        <v>45</v>
      </c>
      <c r="J92">
        <f>(0/I86)*100</f>
        <v>0</v>
      </c>
      <c r="N92" t="s">
        <v>18</v>
      </c>
      <c r="P92" s="3">
        <f>AVERAGE(P68:P74,P64,P62,P58,P55,P52:P53,P49:P50,P44,P36:P41,P31:P33,P28,P26,P23:P24,P21,P19,P16:P17,P13)</f>
        <v>9510.7058823529405</v>
      </c>
      <c r="V92" t="s">
        <v>14</v>
      </c>
      <c r="W92">
        <f>COUNT(Y3:Y17)</f>
        <v>15</v>
      </c>
      <c r="AB92" s="3" t="s">
        <v>9</v>
      </c>
      <c r="AC92" s="3">
        <f>(AC91/AB87)*100</f>
        <v>16.470588235294116</v>
      </c>
      <c r="AD92" s="3"/>
    </row>
    <row r="93" spans="2:81" x14ac:dyDescent="0.25">
      <c r="B93" t="s">
        <v>18</v>
      </c>
      <c r="D93" s="3">
        <f>AVERAGE(D75:D76,D73,D71,D69,D67,D65,D68,D62:D63,D58,D54:D56,D51,D49,D46,D42,D39:D40,D36:D37,D34,D31:D32,D27,D21:D23,D16,D13,D10,D8,D3:D6)</f>
        <v>7966.6216216216217</v>
      </c>
      <c r="H93" t="s">
        <v>11</v>
      </c>
      <c r="I93">
        <f>SUM(I89:I92)</f>
        <v>100</v>
      </c>
      <c r="J93">
        <f>SUM(J89:J92)</f>
        <v>100</v>
      </c>
      <c r="V93" s="3" t="s">
        <v>9</v>
      </c>
      <c r="W93" s="3">
        <f>(W92/V88)*100</f>
        <v>17.441860465116278</v>
      </c>
      <c r="X93" s="3"/>
      <c r="AC93" t="s">
        <v>11</v>
      </c>
      <c r="AD93" t="s">
        <v>6</v>
      </c>
    </row>
    <row r="94" spans="2:81" x14ac:dyDescent="0.25">
      <c r="H94" s="3"/>
      <c r="I94" s="3"/>
      <c r="J94" s="3"/>
      <c r="N94" s="3"/>
      <c r="O94" s="3"/>
      <c r="P94" s="3" t="s">
        <v>27</v>
      </c>
      <c r="Q94" s="3" t="s">
        <v>28</v>
      </c>
      <c r="R94" s="3" t="s">
        <v>29</v>
      </c>
      <c r="S94" s="3"/>
      <c r="T94" s="3"/>
      <c r="W94" t="s">
        <v>11</v>
      </c>
      <c r="X94" t="s">
        <v>6</v>
      </c>
      <c r="AB94" s="29" t="s">
        <v>10</v>
      </c>
      <c r="AC94">
        <f>(COUNT(AC77,AC68:AC70,AC64,AC62,AC59,AC56:AC57,AC53,AC46:AC48,AC43:AC44,AC41,AC39,AC34:AC35,AC31,AC22,AC11:AC16,AC3:AC8)/AB87)*100</f>
        <v>38.82352941176471</v>
      </c>
      <c r="AD94">
        <f>(COUNT(AD3:AD7,AD8,AD11:AD16)/AC91)*100</f>
        <v>85.714285714285708</v>
      </c>
    </row>
    <row r="95" spans="2:81" x14ac:dyDescent="0.25">
      <c r="H95" t="s">
        <v>16</v>
      </c>
      <c r="I95" s="3">
        <f>AVERAGE(I78:I79,I72,I70,I64,I67,I57:I58,I54,I50,I49,I46,I42:I43,I39:I40,I37,I33,I28:I31,I24,I22,I18,I3:I16)</f>
        <v>29810.384615384617</v>
      </c>
      <c r="N95" s="10" t="s">
        <v>20</v>
      </c>
      <c r="O95" s="10">
        <f>COUNT(O3:O12,O14:O15,O18,O20,O22,O25,O27,O29:O30,O34:O35,O42:O43,O45:O48,O51,O54,O56:O57,O59:O61,O63,O65:O66,O67,O75)</f>
        <v>39</v>
      </c>
      <c r="P95" s="10">
        <f t="shared" ref="P95:P101" si="8">(O95/$N$75)*100</f>
        <v>53.424657534246577</v>
      </c>
      <c r="Q95" s="10">
        <f>(O95/$O$95)*100</f>
        <v>100</v>
      </c>
      <c r="R95" s="10"/>
      <c r="S95" s="10"/>
      <c r="T95" s="10"/>
      <c r="V95" s="29" t="s">
        <v>10</v>
      </c>
      <c r="W95">
        <f>(COUNT(W85,W80:W81,W77,W70,W68,W66,W62:W63,W58:W59,W55,W50:W51,W46:W47,W42:W44,W29:W30,W26,W19,W14,W11,W7:W9,W3:W4)/V88)*100</f>
        <v>34.883720930232556</v>
      </c>
      <c r="X95">
        <f>(COUNT(X3:X4,X7:X9,X11,X14)/W92)*100</f>
        <v>46.666666666666664</v>
      </c>
      <c r="AB95" s="20" t="s">
        <v>12</v>
      </c>
      <c r="AC95">
        <f>(COUNT(AC72,AC24:AC26,AC9:AC10)/AB87)*100</f>
        <v>7.0588235294117645</v>
      </c>
      <c r="AD95">
        <f>(2/AC91)*100</f>
        <v>14.285714285714285</v>
      </c>
    </row>
    <row r="96" spans="2:81" x14ac:dyDescent="0.25">
      <c r="B96" s="3"/>
      <c r="C96" s="3"/>
      <c r="D96" s="3" t="s">
        <v>27</v>
      </c>
      <c r="E96" s="3" t="s">
        <v>28</v>
      </c>
      <c r="F96" s="3" t="s">
        <v>29</v>
      </c>
      <c r="H96" t="s">
        <v>19</v>
      </c>
      <c r="I96" s="3">
        <f>AVERAGE(I82,I81,I80,I73:I77,I71,I68:I69,I65:I66,I59:I63,I55:I56,I51:I53,I47:I48,I45,I41,I38,I34:I36,I32,I25:I27,I23,I19:I21,I17)</f>
        <v>17071.349999999999</v>
      </c>
      <c r="N96" s="9" t="s">
        <v>21</v>
      </c>
      <c r="O96" s="9">
        <f>COUNT(P75,P65:P66,P59:P63,P56,P51,P47,P39:P43,P34,P29:P30,P27,P25,P22,P20,P18,P3:P12)</f>
        <v>34</v>
      </c>
      <c r="P96" s="8">
        <f t="shared" si="8"/>
        <v>46.575342465753423</v>
      </c>
      <c r="Q96" s="8"/>
      <c r="R96" s="9">
        <f>(O96/$O$96)*100</f>
        <v>100</v>
      </c>
      <c r="S96" s="9"/>
      <c r="T96" s="9"/>
      <c r="U96" s="3"/>
      <c r="V96" s="20" t="s">
        <v>12</v>
      </c>
      <c r="W96">
        <f>(COUNT(W52,W38,W33,W25,W17,W15,W10,W5)/V88)*100</f>
        <v>9.3023255813953494</v>
      </c>
      <c r="X96">
        <f>(COUNT(W17,W15,W10,W5)/W92)*100</f>
        <v>26.666666666666668</v>
      </c>
      <c r="AB96" s="9" t="s">
        <v>13</v>
      </c>
      <c r="AC96">
        <f>(COUNT(AD66,AD60,AD55,AD52)/AB87)*100</f>
        <v>4.7058823529411766</v>
      </c>
      <c r="AD96">
        <f>(0/AB87)*100</f>
        <v>0</v>
      </c>
    </row>
    <row r="97" spans="2:96" x14ac:dyDescent="0.25">
      <c r="B97" s="10" t="s">
        <v>20</v>
      </c>
      <c r="C97" s="10">
        <f>COUNT(C9,C11,C14:C15,C17:C20,C24:C26,C28:C30,C33,C35,C38,C41,C43:C45,C47:C48,C50,C52:C53,C57,C59:C61,C64,C66,C70,C72,C74)</f>
        <v>35</v>
      </c>
      <c r="D97" s="10">
        <f>(C97/$B$76)*100</f>
        <v>47.297297297297298</v>
      </c>
      <c r="E97" s="10">
        <f>(C97/$C$97)*100</f>
        <v>100</v>
      </c>
      <c r="F97" s="10"/>
      <c r="N97" s="20" t="s">
        <v>22</v>
      </c>
      <c r="O97" s="20">
        <f>COUNT(O67,#REF!,O57,O54,O48,O46,O45,O35,O14:O15)</f>
        <v>9</v>
      </c>
      <c r="P97" s="10">
        <f t="shared" si="8"/>
        <v>12.328767123287671</v>
      </c>
      <c r="Q97" s="10">
        <f>(O97/$O$95)*100</f>
        <v>23.076923076923077</v>
      </c>
      <c r="R97" s="20"/>
      <c r="S97" s="20"/>
      <c r="T97" s="20"/>
      <c r="U97" s="3"/>
      <c r="V97" s="9" t="s">
        <v>13</v>
      </c>
      <c r="W97">
        <f>(COUNT(X82,X74,X34,X31,X22,X21)/V88)*100</f>
        <v>6.9767441860465116</v>
      </c>
      <c r="X97">
        <f>(0/W92)*100</f>
        <v>0</v>
      </c>
      <c r="AB97" t="s">
        <v>15</v>
      </c>
      <c r="AC97">
        <f>(COUNT(AC78:AC87,AC73:AC76,AC71,AC67,AC65,AC63,AC61,AC58,AC54,AC49:AC51,AC45,AC42,AC40,AC36:AC38,AC32:AC33,AC27:AC30,AC23,AC17:AC21)/AB87)*100</f>
        <v>49.411764705882355</v>
      </c>
      <c r="AD97">
        <f>(0/AB87)*100</f>
        <v>0</v>
      </c>
    </row>
    <row r="98" spans="2:96" x14ac:dyDescent="0.25">
      <c r="B98" s="9" t="s">
        <v>21</v>
      </c>
      <c r="C98" s="9">
        <f>COUNT(D72,D70,D68,D66,D64,D60:D61,D57:D58,D52,D49,D47,D44,D41,D38,D33,D28:D30,D25:D26,D24,D14:D20,D11:D12,D9,D7)</f>
        <v>33</v>
      </c>
      <c r="D98" s="8">
        <f t="shared" ref="D98:D103" si="9">(C98/$B$76)*100</f>
        <v>44.594594594594597</v>
      </c>
      <c r="E98" s="8"/>
      <c r="F98" s="9">
        <f>(C98/$C$98)*100</f>
        <v>100</v>
      </c>
      <c r="H98" t="s">
        <v>17</v>
      </c>
      <c r="J98" s="3">
        <f>AVERAGE(J81,J79,J78,J75,J72,J70,J64:J65,J56:J58,J50,J46,J43:J44,J39:J40,J30,J3:J16)</f>
        <v>16044.0625</v>
      </c>
      <c r="N98" s="9" t="s">
        <v>23</v>
      </c>
      <c r="O98" s="9">
        <f>COUNT(P62,P39:P41)</f>
        <v>4</v>
      </c>
      <c r="P98" s="8">
        <f t="shared" si="8"/>
        <v>5.4794520547945202</v>
      </c>
      <c r="Q98" s="8"/>
      <c r="R98" s="9">
        <f>(O98/$O$96)*100</f>
        <v>11.76470588235294</v>
      </c>
      <c r="S98" s="9"/>
      <c r="T98" s="9"/>
      <c r="V98" t="s">
        <v>15</v>
      </c>
      <c r="W98">
        <f>(COUNT(W86:W88,W83:W84,W78:W79,W75:W76,W71:W73,W69,W67,W64:W65,W60:W61,W56:W57,W53:W54,W48:W49,W45,W39:W41,W35:W37,W32,W27:W28,W23:W24,W20,W18,W16,W12:W13,W6)/V88)*100</f>
        <v>48.837209302325576</v>
      </c>
      <c r="X98">
        <f>(COUNT(X16,X12:X13,X6)/W92)*100</f>
        <v>26.666666666666668</v>
      </c>
      <c r="AB98" t="s">
        <v>11</v>
      </c>
      <c r="AC98">
        <f>SUM(AC94:AC97)</f>
        <v>100</v>
      </c>
      <c r="AD98">
        <f>SUM(AD94:AD97)</f>
        <v>100</v>
      </c>
    </row>
    <row r="99" spans="2:96" x14ac:dyDescent="0.25">
      <c r="B99" s="20" t="s">
        <v>22</v>
      </c>
      <c r="C99" s="20">
        <f>COUNT(C74,C59,C53,C50,C48,C45,C43,C35)</f>
        <v>8</v>
      </c>
      <c r="D99" s="10">
        <f t="shared" si="9"/>
        <v>10.810810810810811</v>
      </c>
      <c r="E99" s="10">
        <f>(C99/$C$97)*100</f>
        <v>22.857142857142858</v>
      </c>
      <c r="F99" s="20"/>
      <c r="H99" t="s">
        <v>18</v>
      </c>
      <c r="J99" s="3">
        <f>AVERAGE(J82,J80,J76:J77,J73:J74,J71,J66:J69,J59:J63,J55,J51:J54,J47:J49,J45,J41:J42,J31:J38,J17:J29)</f>
        <v>9556.4583333333339</v>
      </c>
      <c r="N99" t="s">
        <v>24</v>
      </c>
      <c r="O99" s="6">
        <f>N75-O95</f>
        <v>34</v>
      </c>
      <c r="P99" s="6">
        <f t="shared" si="8"/>
        <v>46.575342465753423</v>
      </c>
      <c r="Q99" s="3"/>
      <c r="V99" t="s">
        <v>11</v>
      </c>
      <c r="W99">
        <f>SUM(W95:W98)</f>
        <v>100</v>
      </c>
      <c r="X99">
        <f>SUM(X95:X98)</f>
        <v>100</v>
      </c>
      <c r="AB99" s="3"/>
      <c r="AC99" s="3"/>
      <c r="AD99" s="3"/>
    </row>
    <row r="100" spans="2:96" x14ac:dyDescent="0.25">
      <c r="B100" s="9" t="s">
        <v>23</v>
      </c>
      <c r="C100" s="9">
        <f>COUNT(D68,D49,D16,D12,D7,D58)</f>
        <v>6</v>
      </c>
      <c r="D100" s="8">
        <f t="shared" si="9"/>
        <v>8.1081081081081088</v>
      </c>
      <c r="E100" s="8"/>
      <c r="F100" s="9">
        <f>(C100/$C$98)*100</f>
        <v>18.181818181818183</v>
      </c>
      <c r="N100" t="s">
        <v>25</v>
      </c>
      <c r="O100" s="7">
        <f>N75-O96</f>
        <v>39</v>
      </c>
      <c r="P100" s="6">
        <f t="shared" si="8"/>
        <v>53.424657534246577</v>
      </c>
      <c r="Q100" s="3"/>
      <c r="V100" s="3"/>
      <c r="W100" s="3"/>
      <c r="X100" s="3"/>
      <c r="AB100" t="s">
        <v>16</v>
      </c>
      <c r="AC100" s="3">
        <f>AVERAGE(AC77,AC68:AC70,AC66,AC64,AC62,AC59:AC60,AC55:AC57,AC52:AC53,AC46:AC48,AC43:AC44,AC41,AC39,AC34:AC35,AC31,AC22,AC11:AC16,AC3:AC8)</f>
        <v>60421.108108108107</v>
      </c>
    </row>
    <row r="101" spans="2:96" x14ac:dyDescent="0.25">
      <c r="B101" s="7" t="s">
        <v>24</v>
      </c>
      <c r="C101" s="6">
        <f>B76-C97</f>
        <v>39</v>
      </c>
      <c r="D101" s="6">
        <f t="shared" si="9"/>
        <v>52.702702702702695</v>
      </c>
      <c r="E101" s="6"/>
      <c r="F101" s="7"/>
      <c r="H101" s="3"/>
      <c r="I101" s="3"/>
      <c r="J101" s="3" t="s">
        <v>27</v>
      </c>
      <c r="K101" s="3" t="s">
        <v>28</v>
      </c>
      <c r="L101" s="3" t="s">
        <v>29</v>
      </c>
      <c r="N101" s="31" t="s">
        <v>26</v>
      </c>
      <c r="O101" s="33">
        <f>O95-O97</f>
        <v>30</v>
      </c>
      <c r="P101" s="33">
        <f t="shared" si="8"/>
        <v>41.095890410958901</v>
      </c>
      <c r="Q101" s="32">
        <f>(O101/$O$95)*100</f>
        <v>76.923076923076934</v>
      </c>
      <c r="R101" s="34">
        <f>(O101/$O$96)*100</f>
        <v>88.235294117647058</v>
      </c>
      <c r="S101" s="50"/>
      <c r="T101" s="50"/>
      <c r="V101" t="s">
        <v>16</v>
      </c>
      <c r="W101" s="3">
        <f>AVERAGE(W85,W80:W82,W77,W70,W68,W66,W62:W63,W58:W59,W55,W50:W51,W46:W47,W42:W44,W29:W30,W26,W34,W21:W22,W19,W14,W11,W7:W9,W3:W4)</f>
        <v>49341.73529411765</v>
      </c>
      <c r="AB101" t="s">
        <v>19</v>
      </c>
      <c r="AC101" s="3">
        <f>AVERAGE(AC78:AC87,AC73:AC76,AC71,AC67,AC65,AC63,AC61,AC58,AC54,AC49:AC51,AC45,AC42,AC40,AC36:AC38,AC33,AC32,AC23:AC30,AC17:AC21,AC9:AC10)</f>
        <v>31781.08510638298</v>
      </c>
      <c r="AE101" s="3"/>
      <c r="AF101" s="3"/>
    </row>
    <row r="102" spans="2:96" x14ac:dyDescent="0.25">
      <c r="B102" s="7" t="s">
        <v>25</v>
      </c>
      <c r="C102" s="7">
        <f>B76-C98</f>
        <v>41</v>
      </c>
      <c r="D102" s="6">
        <f t="shared" si="9"/>
        <v>55.405405405405403</v>
      </c>
      <c r="E102" s="6"/>
      <c r="F102" s="7"/>
      <c r="G102" s="3"/>
      <c r="H102" s="10" t="s">
        <v>20</v>
      </c>
      <c r="I102" s="10">
        <f>COUNT(I81,I78:I79,I75,I72,I70,I64:I65,I56:I58,I50,I46,I43:I44,I39:I40,I30,I3:I16)</f>
        <v>32</v>
      </c>
      <c r="J102" s="10">
        <f>(I102/$H$82)*100</f>
        <v>40</v>
      </c>
      <c r="K102" s="10">
        <f>(I102/$I$102)*100</f>
        <v>100</v>
      </c>
      <c r="L102" s="10"/>
      <c r="M102" s="3"/>
      <c r="V102" t="s">
        <v>19</v>
      </c>
      <c r="W102" s="3">
        <f>AVERAGE(W5:W6,W12:W13,W15:W18,W20,W23:W25,W27:W28,W32:W33,W35:W41,W45,W48:W49,W52:W54,W56:W57,W60:W61,W64:W65,W67,W69:W73,W78:W79,W75:W76,W83:W84,W86:W88)</f>
        <v>30734.52</v>
      </c>
      <c r="Y102" s="3"/>
      <c r="Z102" s="3"/>
      <c r="AA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2:96" x14ac:dyDescent="0.25">
      <c r="B103" s="36" t="s">
        <v>26</v>
      </c>
      <c r="C103" s="33">
        <f>C97-C99</f>
        <v>27</v>
      </c>
      <c r="D103" s="33">
        <f t="shared" si="9"/>
        <v>36.486486486486484</v>
      </c>
      <c r="E103" s="33">
        <f>(C103/$C$97)*100</f>
        <v>77.142857142857153</v>
      </c>
      <c r="F103" s="35">
        <f>(C103/$C$98)*100</f>
        <v>81.818181818181827</v>
      </c>
      <c r="G103" s="3"/>
      <c r="H103" s="9" t="s">
        <v>21</v>
      </c>
      <c r="I103" s="9">
        <f>COUNT(J78:J79,J72,J70,J67,J64,J57:J58,J54,J49:J50,J46,J42:J43,J39:J40,J37,J33,J28:J31,J24,J22,J18,J3:J16)</f>
        <v>39</v>
      </c>
      <c r="J103" s="8">
        <f t="shared" ref="J103:J108" si="10">(I103/$H$82)*100</f>
        <v>48.75</v>
      </c>
      <c r="K103" s="8"/>
      <c r="L103" s="9">
        <f>(I103/$I$103)*100</f>
        <v>100</v>
      </c>
      <c r="M103" s="3"/>
      <c r="N103" s="58"/>
      <c r="O103" s="59" t="s">
        <v>1</v>
      </c>
      <c r="P103" s="59" t="s">
        <v>2</v>
      </c>
      <c r="Q103" s="59" t="s">
        <v>39</v>
      </c>
      <c r="R103" s="60" t="s">
        <v>40</v>
      </c>
      <c r="S103" s="39"/>
      <c r="T103" s="39"/>
      <c r="Y103" s="3"/>
      <c r="Z103" s="3"/>
      <c r="AA103" s="3"/>
      <c r="AB103" t="s">
        <v>17</v>
      </c>
      <c r="AD103" s="3">
        <f>AVERAGE(AD77,AD72,AD68:AD70,AD64,AD62,AD59,AD56:AD57,AD53,AD46:AD48,AD46,AD43:AD44,AD41,AD39,AD34:AD35,AD31,AD24:AD26,AD22,AD3:AD16)</f>
        <v>16646.45</v>
      </c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 spans="2:96" x14ac:dyDescent="0.25">
      <c r="C104" s="3"/>
      <c r="D104" s="3"/>
      <c r="E104" s="3"/>
      <c r="F104" s="3"/>
      <c r="G104" s="3"/>
      <c r="H104" s="20" t="s">
        <v>22</v>
      </c>
      <c r="I104" s="20">
        <f>COUNT(I75,I81,I65,I56,I44)</f>
        <v>5</v>
      </c>
      <c r="J104" s="10">
        <f t="shared" si="10"/>
        <v>6.25</v>
      </c>
      <c r="K104" s="10">
        <f>(I104/$I$102)*100</f>
        <v>15.625</v>
      </c>
      <c r="L104" s="20"/>
      <c r="M104" s="3"/>
      <c r="N104" s="61" t="s">
        <v>37</v>
      </c>
      <c r="O104">
        <v>20899</v>
      </c>
      <c r="P104">
        <v>5458</v>
      </c>
      <c r="Q104" s="39">
        <f>O104/$O$106</f>
        <v>0.41424831311270971</v>
      </c>
      <c r="R104" s="62">
        <f>P104/$P$106</f>
        <v>0.42445026014017434</v>
      </c>
      <c r="S104" s="39"/>
      <c r="T104" s="39"/>
      <c r="U104" s="3"/>
      <c r="V104" t="s">
        <v>17</v>
      </c>
      <c r="X104" s="3">
        <f>AVERAGE(X3:X5,X7:X11,X14:X15,X17,X19,X25:X26,X29:X30,X33,X38,X42:X44,X46:X47,X50:X52,X55,X58:X59,X62:X63,X66,X68,X70,X77,X80:X81,X85)</f>
        <v>15948.552631578947</v>
      </c>
      <c r="Y104" s="3"/>
      <c r="Z104" s="3"/>
      <c r="AA104" s="3"/>
      <c r="AB104" t="s">
        <v>18</v>
      </c>
      <c r="AD104" s="3">
        <f>AVERAGE(AD78:AD87,AD73:AD76,AD71,AD67,AD65,AD63,AD61,AD58,AD54,AD49:AD51,AD45,AD42,AD40,AD36:AD38,AD32:AD33,AD27:AD30,AD23,AD17:AD21)</f>
        <v>7914.4047619047615</v>
      </c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 spans="2:96" x14ac:dyDescent="0.25">
      <c r="B105" s="58"/>
      <c r="C105" s="59" t="s">
        <v>1</v>
      </c>
      <c r="D105" s="59" t="s">
        <v>2</v>
      </c>
      <c r="E105" s="59" t="s">
        <v>39</v>
      </c>
      <c r="F105" s="60" t="s">
        <v>40</v>
      </c>
      <c r="G105" s="3"/>
      <c r="H105" s="9" t="s">
        <v>23</v>
      </c>
      <c r="I105" s="9">
        <f>COUNT(J67,J54,J49,J42,J37,J33,J31,J28:J29,J24,J22,J18)</f>
        <v>12</v>
      </c>
      <c r="J105" s="8">
        <f t="shared" si="10"/>
        <v>15</v>
      </c>
      <c r="K105" s="8"/>
      <c r="L105" s="9">
        <f>(I105/$I$103)*100</f>
        <v>30.76923076923077</v>
      </c>
      <c r="M105" s="3"/>
      <c r="N105" s="61" t="s">
        <v>38</v>
      </c>
      <c r="O105">
        <v>90293</v>
      </c>
      <c r="P105">
        <v>25985</v>
      </c>
      <c r="Q105" s="39">
        <f>O105/$O$106</f>
        <v>1.7897374484848987</v>
      </c>
      <c r="R105" s="62">
        <f>P105/$P$106</f>
        <v>2.020765850081061</v>
      </c>
      <c r="S105" s="39"/>
      <c r="T105" s="39"/>
      <c r="U105" s="3"/>
      <c r="V105" t="s">
        <v>18</v>
      </c>
      <c r="X105" s="3">
        <f>AVERAGE(X86:X88,X82:X84,X78:X79,X71:X76,X69,X67,X64:X65,X60:X61,X56:X57,X53:X54,X48:X49,X45,X41,X39:X40,X34:X37,X31:X32,X27:X28,X20:X24,X18,X16,X12:X13,X6)</f>
        <v>9687.0416666666661</v>
      </c>
      <c r="Y105" s="3"/>
      <c r="Z105" s="3"/>
      <c r="AA105" s="3"/>
      <c r="AB105" s="3"/>
      <c r="AC105" s="3"/>
      <c r="AD105" s="3" t="s">
        <v>27</v>
      </c>
      <c r="AE105" s="3" t="s">
        <v>28</v>
      </c>
      <c r="AF105" s="3" t="s">
        <v>29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2:96" x14ac:dyDescent="0.25">
      <c r="B106" s="61" t="s">
        <v>37</v>
      </c>
      <c r="C106" s="38">
        <v>6681</v>
      </c>
      <c r="D106" s="38">
        <v>3331</v>
      </c>
      <c r="E106" s="39">
        <f>C106/$C$108</f>
        <v>0.30590015802558357</v>
      </c>
      <c r="F106" s="62">
        <f>D106/$D$108</f>
        <v>0.29816367830440532</v>
      </c>
      <c r="G106" s="3"/>
      <c r="H106" t="s">
        <v>24</v>
      </c>
      <c r="I106" s="6">
        <f>H82-I102</f>
        <v>48</v>
      </c>
      <c r="J106" s="6">
        <f t="shared" si="10"/>
        <v>60</v>
      </c>
      <c r="K106" s="6"/>
      <c r="L106" s="7"/>
      <c r="M106" s="3"/>
      <c r="N106" s="63" t="s">
        <v>4</v>
      </c>
      <c r="O106" s="64">
        <v>50450.416666666664</v>
      </c>
      <c r="P106" s="65">
        <v>12858.986111111111</v>
      </c>
      <c r="Q106" s="65"/>
      <c r="R106" s="66"/>
      <c r="S106" s="39"/>
      <c r="T106" s="39"/>
      <c r="U106" s="3"/>
      <c r="V106" s="3"/>
      <c r="W106" s="3"/>
      <c r="X106" s="3" t="s">
        <v>27</v>
      </c>
      <c r="Y106" s="3" t="s">
        <v>28</v>
      </c>
      <c r="Z106" s="3" t="s">
        <v>29</v>
      </c>
      <c r="AA106" s="3"/>
      <c r="AB106" s="10" t="s">
        <v>20</v>
      </c>
      <c r="AC106" s="10">
        <f>COUNT(AC77,AC72,AC68:AC70,AC64,AC62,AC59,AC56:AC57,AC53,AC46:AC48,AC43:AC44,AC41,AC39,AC34:AC35,AC31,AC24:AC26,AC22,AC3:AC16)</f>
        <v>39</v>
      </c>
      <c r="AD106" s="10">
        <f>(AC106/$AB$87)*100</f>
        <v>45.882352941176471</v>
      </c>
      <c r="AE106" s="10">
        <f>(AC106/$AC$106)*100</f>
        <v>100</v>
      </c>
      <c r="AF106" s="10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</row>
    <row r="107" spans="2:96" x14ac:dyDescent="0.25">
      <c r="B107" s="61" t="s">
        <v>38</v>
      </c>
      <c r="C107" s="38">
        <v>46059</v>
      </c>
      <c r="D107" s="38">
        <v>25146</v>
      </c>
      <c r="E107" s="39">
        <f>C107/$C$108</f>
        <v>2.1088842057327275</v>
      </c>
      <c r="F107" s="62">
        <f>D107/$D$108</f>
        <v>2.250862760325</v>
      </c>
      <c r="G107" s="3"/>
      <c r="H107" t="s">
        <v>25</v>
      </c>
      <c r="I107" s="7">
        <f>H82-I103</f>
        <v>41</v>
      </c>
      <c r="J107" s="6">
        <f t="shared" si="10"/>
        <v>51.249999999999993</v>
      </c>
      <c r="K107" s="6"/>
      <c r="L107" s="7"/>
      <c r="M107" s="3"/>
      <c r="N107" s="3"/>
      <c r="O107" s="3"/>
      <c r="P107" s="3"/>
      <c r="Q107" s="3"/>
      <c r="R107" s="3"/>
      <c r="S107" s="3"/>
      <c r="T107" s="3"/>
      <c r="U107" s="3"/>
      <c r="V107" s="10" t="s">
        <v>20</v>
      </c>
      <c r="W107" s="10">
        <f>COUNT(W85,W80:W81,W77,W70,W68,W66,W62:W63,W58:W59,W55,W50:W52,W46:W47,W43,W42,W44,W38,W33,W29:W30,W25:W26,W19,W17,W14:W15,W7:W11,W3:W5)</f>
        <v>38</v>
      </c>
      <c r="X107" s="10">
        <f>(W107/$V$88)*100</f>
        <v>44.186046511627907</v>
      </c>
      <c r="Y107" s="10">
        <f>(W107/$W$107)*100</f>
        <v>100</v>
      </c>
      <c r="Z107" s="10"/>
      <c r="AA107" s="3"/>
      <c r="AB107" s="9" t="s">
        <v>21</v>
      </c>
      <c r="AC107" s="9">
        <f>COUNT(AD77,AD68:AD70,AD66,AD64,AD62,AD59:AD60,AD55:AD57,AD52:AD53,AD46:AD48,AD43:AD44,AD41,AD39,AD34:AD35,AD31,AD22,AD11:AD16,AD3:AD8)</f>
        <v>37</v>
      </c>
      <c r="AD107" s="8">
        <f t="shared" ref="AD107:AD112" si="11">(AC107/$AB$87)*100</f>
        <v>43.529411764705884</v>
      </c>
      <c r="AE107" s="8"/>
      <c r="AF107" s="9">
        <f>(AC107/$AC$107)*100</f>
        <v>100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2:96" x14ac:dyDescent="0.25">
      <c r="B108" s="63" t="s">
        <v>4</v>
      </c>
      <c r="C108" s="64">
        <v>21840.45945945946</v>
      </c>
      <c r="D108" s="65">
        <v>11171.716216216217</v>
      </c>
      <c r="E108" s="65"/>
      <c r="F108" s="66"/>
      <c r="H108" s="31" t="s">
        <v>26</v>
      </c>
      <c r="I108" s="33">
        <f>I102-I104</f>
        <v>27</v>
      </c>
      <c r="J108" s="33">
        <f t="shared" si="10"/>
        <v>33.75</v>
      </c>
      <c r="K108" s="33">
        <f>(I108/$I$102)*100</f>
        <v>84.375</v>
      </c>
      <c r="L108" s="35">
        <f>(I108/$I$103)*100</f>
        <v>69.230769230769226</v>
      </c>
      <c r="V108" s="9" t="s">
        <v>21</v>
      </c>
      <c r="W108" s="9">
        <f>COUNT(X85,X80:X82,X77,X74,X70,X68,X66,X62:X63,X58:X59,X55,X50:X51,X46:X47,X42:X44,X34,X31,X29:X30,X26,X21:X22,X19,X14,X11,X7:X9,X3:X4)</f>
        <v>36</v>
      </c>
      <c r="X108" s="8">
        <f t="shared" ref="X108:X113" si="12">(W108/$V$88)*100</f>
        <v>41.860465116279073</v>
      </c>
      <c r="Y108" s="8"/>
      <c r="Z108" s="9">
        <f>(W108/$W$108)*100</f>
        <v>100</v>
      </c>
      <c r="AB108" s="20" t="s">
        <v>22</v>
      </c>
      <c r="AC108" s="20">
        <f>COUNT(AC72,AC24:AC26,AC9:AC10)</f>
        <v>6</v>
      </c>
      <c r="AD108" s="10">
        <f t="shared" si="11"/>
        <v>7.0588235294117645</v>
      </c>
      <c r="AE108" s="10">
        <f>(AC108/$AC$106)*100</f>
        <v>15.384615384615385</v>
      </c>
      <c r="AF108" s="20"/>
    </row>
    <row r="109" spans="2:96" x14ac:dyDescent="0.25">
      <c r="H109" s="3"/>
      <c r="I109" s="6"/>
      <c r="J109" s="6"/>
      <c r="K109" s="6"/>
      <c r="L109" s="6"/>
      <c r="V109" s="20" t="s">
        <v>22</v>
      </c>
      <c r="W109" s="20">
        <f>COUNT(W52,W38,W33,W25,W17,W15,W10,W5)</f>
        <v>8</v>
      </c>
      <c r="X109" s="10">
        <f t="shared" si="12"/>
        <v>9.3023255813953494</v>
      </c>
      <c r="Y109" s="10">
        <f>(W109/$W$107)*100</f>
        <v>21.052631578947366</v>
      </c>
      <c r="Z109" s="20"/>
      <c r="AB109" s="9" t="s">
        <v>23</v>
      </c>
      <c r="AC109" s="9">
        <f>COUNT(AD66,AD60,AD55,AD52)</f>
        <v>4</v>
      </c>
      <c r="AD109" s="8">
        <f t="shared" si="11"/>
        <v>4.7058823529411766</v>
      </c>
      <c r="AE109" s="8"/>
      <c r="AF109" s="9">
        <f>(AC109/$AC$107)*100</f>
        <v>10.810810810810811</v>
      </c>
    </row>
    <row r="110" spans="2:96" x14ac:dyDescent="0.25">
      <c r="H110" s="58"/>
      <c r="I110" s="59" t="s">
        <v>1</v>
      </c>
      <c r="J110" s="59" t="s">
        <v>2</v>
      </c>
      <c r="K110" s="59" t="s">
        <v>39</v>
      </c>
      <c r="L110" s="60" t="s">
        <v>40</v>
      </c>
      <c r="V110" s="9" t="s">
        <v>23</v>
      </c>
      <c r="W110" s="9">
        <f>COUNT(X82,X74,X34,X31,X22,X21)</f>
        <v>6</v>
      </c>
      <c r="X110" s="8">
        <f t="shared" si="12"/>
        <v>6.9767441860465116</v>
      </c>
      <c r="Y110" s="8"/>
      <c r="Z110" s="9">
        <f>(W110/$W$108)*100</f>
        <v>16.666666666666664</v>
      </c>
      <c r="AB110" s="7" t="s">
        <v>24</v>
      </c>
      <c r="AC110" s="6">
        <f>AB87-AC106</f>
        <v>46</v>
      </c>
      <c r="AD110" s="6">
        <f t="shared" si="11"/>
        <v>54.117647058823529</v>
      </c>
      <c r="AE110" s="6"/>
      <c r="AF110" s="7"/>
    </row>
    <row r="111" spans="2:96" x14ac:dyDescent="0.25">
      <c r="H111" s="61" t="s">
        <v>37</v>
      </c>
      <c r="I111">
        <v>6880</v>
      </c>
      <c r="J111">
        <v>5124</v>
      </c>
      <c r="K111" s="39">
        <f>I111/$I$113</f>
        <v>0.31275512868160865</v>
      </c>
      <c r="L111" s="62">
        <f>J111/$J$113</f>
        <v>0.44684431580882522</v>
      </c>
      <c r="V111" t="s">
        <v>24</v>
      </c>
      <c r="W111" s="3">
        <f>V88-W107</f>
        <v>48</v>
      </c>
      <c r="X111" s="3">
        <f t="shared" si="12"/>
        <v>55.813953488372093</v>
      </c>
      <c r="Y111" s="3"/>
      <c r="AB111" s="7" t="s">
        <v>25</v>
      </c>
      <c r="AC111" s="7">
        <f>AB87-AC107</f>
        <v>48</v>
      </c>
      <c r="AD111" s="6">
        <f t="shared" si="11"/>
        <v>56.470588235294116</v>
      </c>
      <c r="AE111" s="6"/>
      <c r="AF111" s="7"/>
    </row>
    <row r="112" spans="2:96" x14ac:dyDescent="0.25">
      <c r="H112" s="61" t="s">
        <v>38</v>
      </c>
      <c r="I112">
        <v>56971</v>
      </c>
      <c r="J112">
        <v>27864</v>
      </c>
      <c r="K112" s="39">
        <f>I112/$I$113</f>
        <v>2.5898215750174312</v>
      </c>
      <c r="L112" s="62">
        <f>J112/$J$113</f>
        <v>2.4299121810493962</v>
      </c>
      <c r="V112" t="s">
        <v>25</v>
      </c>
      <c r="W112">
        <f>V88-W108</f>
        <v>50</v>
      </c>
      <c r="X112" s="3">
        <f t="shared" si="12"/>
        <v>58.139534883720934</v>
      </c>
      <c r="Y112" s="3"/>
      <c r="AB112" s="36" t="s">
        <v>26</v>
      </c>
      <c r="AC112" s="33">
        <f>AC106-AC108</f>
        <v>33</v>
      </c>
      <c r="AD112" s="33">
        <f t="shared" si="11"/>
        <v>38.82352941176471</v>
      </c>
      <c r="AE112" s="33">
        <f>(AC112/$AC$106)*100</f>
        <v>84.615384615384613</v>
      </c>
      <c r="AF112" s="35">
        <f>(AC112/$AC$107)*100</f>
        <v>89.189189189189193</v>
      </c>
    </row>
    <row r="113" spans="5:96" x14ac:dyDescent="0.25">
      <c r="H113" s="63" t="s">
        <v>4</v>
      </c>
      <c r="I113" s="64">
        <v>21998.04054054054</v>
      </c>
      <c r="J113" s="65">
        <v>11467.081081081082</v>
      </c>
      <c r="K113" s="65"/>
      <c r="L113" s="66"/>
      <c r="V113" s="91" t="s">
        <v>26</v>
      </c>
      <c r="W113" s="114">
        <f>W107-W109</f>
        <v>30</v>
      </c>
      <c r="X113" s="114">
        <f t="shared" si="12"/>
        <v>34.883720930232556</v>
      </c>
      <c r="Y113" s="114">
        <f>(W113/$W$107)*100</f>
        <v>78.94736842105263</v>
      </c>
      <c r="Z113" s="93">
        <f>(W113/$W$108)*100</f>
        <v>83.333333333333343</v>
      </c>
    </row>
    <row r="115" spans="5:96" x14ac:dyDescent="0.25">
      <c r="V115" s="58"/>
      <c r="W115" s="59" t="s">
        <v>1</v>
      </c>
      <c r="X115" s="59" t="s">
        <v>2</v>
      </c>
      <c r="Y115" s="59" t="s">
        <v>39</v>
      </c>
      <c r="Z115" s="60" t="s">
        <v>40</v>
      </c>
      <c r="AB115" s="58"/>
      <c r="AC115" s="59" t="s">
        <v>1</v>
      </c>
      <c r="AD115" s="59" t="s">
        <v>2</v>
      </c>
      <c r="AE115" s="59" t="s">
        <v>39</v>
      </c>
      <c r="AF115" s="60" t="s">
        <v>40</v>
      </c>
    </row>
    <row r="116" spans="5:96" x14ac:dyDescent="0.25">
      <c r="V116" s="61" t="s">
        <v>37</v>
      </c>
      <c r="W116" s="3">
        <v>18752</v>
      </c>
      <c r="X116" s="3">
        <v>5150</v>
      </c>
      <c r="Y116" s="39">
        <f>W116/$W$118</f>
        <v>0.5158517821289339</v>
      </c>
      <c r="Z116" s="62">
        <f>X116/$X$118</f>
        <v>0.41972290138549306</v>
      </c>
      <c r="AB116" s="61" t="s">
        <v>37</v>
      </c>
      <c r="AC116" s="3">
        <v>16321</v>
      </c>
      <c r="AD116" s="3">
        <v>3600</v>
      </c>
      <c r="AE116" s="39">
        <f>AC116/$AC$118</f>
        <v>0.3972297448857765</v>
      </c>
      <c r="AF116" s="62">
        <f>AD116/$AD$118</f>
        <v>0.31410612400824883</v>
      </c>
    </row>
    <row r="117" spans="5:96" x14ac:dyDescent="0.25">
      <c r="V117" s="61" t="s">
        <v>38</v>
      </c>
      <c r="W117">
        <v>77965</v>
      </c>
      <c r="X117">
        <v>34979</v>
      </c>
      <c r="Y117" s="39">
        <f>W117/$W$118</f>
        <v>2.1447517168132646</v>
      </c>
      <c r="Z117" s="62">
        <f>X117/$X$118</f>
        <v>2.8507742461287693</v>
      </c>
      <c r="AB117" s="61" t="s">
        <v>38</v>
      </c>
      <c r="AC117">
        <v>110673</v>
      </c>
      <c r="AD117">
        <v>30037</v>
      </c>
      <c r="AE117" s="39">
        <f>AC117/$AC$118</f>
        <v>2.6936221773018527</v>
      </c>
      <c r="AF117" s="62">
        <f>AD117/$AD$118</f>
        <v>2.6207793463432694</v>
      </c>
    </row>
    <row r="118" spans="5:96" x14ac:dyDescent="0.25">
      <c r="V118" s="63" t="s">
        <v>4</v>
      </c>
      <c r="W118" s="64">
        <v>36351.527027027027</v>
      </c>
      <c r="X118" s="65">
        <v>12270</v>
      </c>
      <c r="Y118" s="65"/>
      <c r="Z118" s="66"/>
      <c r="AB118" s="63" t="s">
        <v>4</v>
      </c>
      <c r="AC118" s="64">
        <v>41087.054054054053</v>
      </c>
      <c r="AD118" s="65">
        <v>11461.094594594595</v>
      </c>
      <c r="AE118" s="65"/>
      <c r="AF118" s="66"/>
    </row>
    <row r="121" spans="5:96" x14ac:dyDescent="0.25"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Y121" s="3"/>
      <c r="Z121" s="3"/>
      <c r="AA121" s="3"/>
      <c r="AB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</row>
    <row r="123" spans="5:96" x14ac:dyDescent="0.25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6" spans="5:96" x14ac:dyDescent="0.25"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</row>
  </sheetData>
  <mergeCells count="6">
    <mergeCell ref="AI3:AM3"/>
    <mergeCell ref="N1:S1"/>
    <mergeCell ref="B1:E1"/>
    <mergeCell ref="H1:K1"/>
    <mergeCell ref="V1:Y1"/>
    <mergeCell ref="AB1:AE1"/>
  </mergeCells>
  <conditionalFormatting sqref="C3:C76">
    <cfRule type="top10" dxfId="151" priority="19" bottom="1" rank="1"/>
    <cfRule type="top10" dxfId="150" priority="20" rank="1"/>
    <cfRule type="cellIs" dxfId="149" priority="31" operator="greaterThan">
      <formula>$C$77</formula>
    </cfRule>
  </conditionalFormatting>
  <conditionalFormatting sqref="D3:D76">
    <cfRule type="top10" dxfId="148" priority="17" bottom="1" rank="1"/>
    <cfRule type="top10" dxfId="147" priority="18" rank="1"/>
    <cfRule type="cellIs" dxfId="146" priority="30" operator="greaterThan">
      <formula>$D$77</formula>
    </cfRule>
  </conditionalFormatting>
  <conditionalFormatting sqref="I3:I82">
    <cfRule type="top10" dxfId="145" priority="15" bottom="1" rank="1"/>
    <cfRule type="top10" dxfId="144" priority="16" rank="1"/>
    <cfRule type="cellIs" dxfId="143" priority="29" operator="greaterThan">
      <formula>$I$83</formula>
    </cfRule>
  </conditionalFormatting>
  <conditionalFormatting sqref="J3:J82">
    <cfRule type="top10" dxfId="142" priority="13" bottom="1" rank="1"/>
    <cfRule type="top10" dxfId="141" priority="14" rank="1"/>
    <cfRule type="cellIs" dxfId="140" priority="28" operator="greaterThan">
      <formula>$J$83</formula>
    </cfRule>
  </conditionalFormatting>
  <conditionalFormatting sqref="W3:W88">
    <cfRule type="top10" dxfId="139" priority="7" bottom="1" rank="1"/>
    <cfRule type="top10" dxfId="138" priority="8" rank="1"/>
    <cfRule type="cellIs" dxfId="137" priority="25" operator="greaterThan">
      <formula>$W$89</formula>
    </cfRule>
  </conditionalFormatting>
  <conditionalFormatting sqref="X3:X88">
    <cfRule type="top10" dxfId="136" priority="5" bottom="1" rank="1"/>
    <cfRule type="top10" dxfId="135" priority="6" rank="1"/>
    <cfRule type="cellIs" dxfId="134" priority="24" operator="greaterThan">
      <formula>$X$89</formula>
    </cfRule>
  </conditionalFormatting>
  <conditionalFormatting sqref="AC3:AC87">
    <cfRule type="top10" dxfId="133" priority="3" bottom="1" rank="1"/>
    <cfRule type="top10" dxfId="132" priority="4" rank="1"/>
    <cfRule type="cellIs" dxfId="131" priority="23" operator="greaterThan">
      <formula>$AC$88</formula>
    </cfRule>
  </conditionalFormatting>
  <conditionalFormatting sqref="AD3:AD87">
    <cfRule type="top10" dxfId="130" priority="1" bottom="1" rank="1"/>
    <cfRule type="top10" dxfId="129" priority="2" rank="1"/>
    <cfRule type="cellIs" dxfId="128" priority="21" operator="greaterThan">
      <formula>$AD$88</formula>
    </cfRule>
    <cfRule type="cellIs" dxfId="127" priority="22" operator="greaterThan">
      <formula>$AD$88</formula>
    </cfRule>
  </conditionalFormatting>
  <conditionalFormatting sqref="P3:P75">
    <cfRule type="top10" dxfId="126" priority="9" bottom="1" rank="1"/>
    <cfRule type="top10" dxfId="125" priority="10" rank="1"/>
    <cfRule type="cellIs" dxfId="124" priority="32" operator="greaterThan">
      <formula>$P$76</formula>
    </cfRule>
  </conditionalFormatting>
  <conditionalFormatting sqref="O3:O75">
    <cfRule type="top10" dxfId="123" priority="11" bottom="1" rank="1"/>
    <cfRule type="top10" dxfId="122" priority="12" rank="1"/>
    <cfRule type="cellIs" dxfId="121" priority="33" operator="greaterThan">
      <formula>$O$76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126"/>
  <sheetViews>
    <sheetView topLeftCell="A10" zoomScale="55" zoomScaleNormal="55" workbookViewId="0">
      <selection activeCell="AI3" sqref="AI3:AJ78"/>
    </sheetView>
  </sheetViews>
  <sheetFormatPr defaultColWidth="8.85546875" defaultRowHeight="15" x14ac:dyDescent="0.25"/>
  <cols>
    <col min="2" max="2" width="20.28515625" bestFit="1" customWidth="1"/>
    <col min="5" max="5" width="11.140625" bestFit="1" customWidth="1"/>
    <col min="6" max="6" width="12" bestFit="1" customWidth="1"/>
    <col min="7" max="7" width="12" customWidth="1"/>
    <col min="9" max="9" width="22.85546875" bestFit="1" customWidth="1"/>
    <col min="16" max="16" width="21.42578125" bestFit="1" customWidth="1"/>
    <col min="20" max="20" width="12" bestFit="1" customWidth="1"/>
    <col min="21" max="22" width="12" customWidth="1"/>
    <col min="23" max="23" width="22.85546875" bestFit="1" customWidth="1"/>
    <col min="26" max="26" width="11.140625" bestFit="1" customWidth="1"/>
    <col min="27" max="27" width="12" bestFit="1" customWidth="1"/>
    <col min="28" max="29" width="12" customWidth="1"/>
    <col min="31" max="31" width="20.7109375" bestFit="1" customWidth="1"/>
    <col min="39" max="39" width="22.85546875" bestFit="1" customWidth="1"/>
  </cols>
  <sheetData>
    <row r="1" spans="2:44" x14ac:dyDescent="0.25">
      <c r="B1" s="122">
        <v>1</v>
      </c>
      <c r="C1" s="122"/>
      <c r="D1" s="122"/>
      <c r="E1" s="122"/>
      <c r="I1" s="122">
        <v>2</v>
      </c>
      <c r="J1" s="122"/>
      <c r="K1" s="122"/>
      <c r="L1" s="122"/>
      <c r="P1" s="122">
        <v>3</v>
      </c>
      <c r="Q1" s="122"/>
      <c r="R1" s="122"/>
      <c r="S1" s="122"/>
      <c r="W1" s="121">
        <v>4</v>
      </c>
      <c r="X1" s="121"/>
      <c r="Y1" s="121"/>
      <c r="Z1" s="121"/>
      <c r="AA1" s="121"/>
      <c r="AB1" s="121"/>
      <c r="AE1" s="122">
        <v>5</v>
      </c>
      <c r="AF1" s="122"/>
      <c r="AG1" s="122"/>
      <c r="AH1" s="122"/>
    </row>
    <row r="2" spans="2:44" x14ac:dyDescent="0.25">
      <c r="C2" t="s">
        <v>1</v>
      </c>
      <c r="D2" t="s">
        <v>2</v>
      </c>
      <c r="E2" t="s">
        <v>0</v>
      </c>
      <c r="F2" t="s">
        <v>39</v>
      </c>
      <c r="G2" t="s">
        <v>40</v>
      </c>
      <c r="J2" t="s">
        <v>1</v>
      </c>
      <c r="K2" t="s">
        <v>2</v>
      </c>
      <c r="L2" t="s">
        <v>0</v>
      </c>
      <c r="M2" t="s">
        <v>39</v>
      </c>
      <c r="N2" t="s">
        <v>40</v>
      </c>
      <c r="Q2" t="s">
        <v>1</v>
      </c>
      <c r="R2" t="s">
        <v>2</v>
      </c>
      <c r="S2" t="s">
        <v>0</v>
      </c>
      <c r="T2" t="s">
        <v>39</v>
      </c>
      <c r="U2" t="s">
        <v>40</v>
      </c>
      <c r="X2" t="s">
        <v>1</v>
      </c>
      <c r="Y2" t="s">
        <v>2</v>
      </c>
      <c r="Z2" t="s">
        <v>0</v>
      </c>
      <c r="AA2" t="s">
        <v>39</v>
      </c>
      <c r="AB2" t="s">
        <v>40</v>
      </c>
      <c r="AF2" t="s">
        <v>1</v>
      </c>
      <c r="AG2" t="s">
        <v>2</v>
      </c>
      <c r="AH2" t="s">
        <v>0</v>
      </c>
      <c r="AI2" t="s">
        <v>39</v>
      </c>
      <c r="AJ2" t="s">
        <v>40</v>
      </c>
    </row>
    <row r="3" spans="2:44" x14ac:dyDescent="0.25">
      <c r="B3">
        <v>1</v>
      </c>
      <c r="C3" s="3">
        <v>43361</v>
      </c>
      <c r="D3" s="3">
        <v>13494</v>
      </c>
      <c r="E3" s="4">
        <v>31261</v>
      </c>
      <c r="F3" s="120">
        <f>C3/$C$78</f>
        <v>0.5434755361432978</v>
      </c>
      <c r="G3" s="120">
        <f>D3/$D$78</f>
        <v>0.68835185284689482</v>
      </c>
      <c r="I3">
        <v>1</v>
      </c>
      <c r="J3" s="3">
        <v>68374</v>
      </c>
      <c r="K3" s="3">
        <v>17159</v>
      </c>
      <c r="L3" s="4">
        <v>36626</v>
      </c>
      <c r="M3" s="70">
        <f>J3/$J$69</f>
        <v>0.81274723280531569</v>
      </c>
      <c r="N3" s="70">
        <f>K3/$K$69</f>
        <v>0.75939395414604138</v>
      </c>
      <c r="P3">
        <v>1</v>
      </c>
      <c r="Q3" s="3">
        <v>49589</v>
      </c>
      <c r="R3" s="3">
        <v>15488</v>
      </c>
      <c r="S3" s="4">
        <v>42601</v>
      </c>
      <c r="T3">
        <f>Q3/$Q$68</f>
        <v>0.5403128326204516</v>
      </c>
      <c r="U3">
        <f>R3/$R$68</f>
        <v>0.61794616835247729</v>
      </c>
      <c r="W3">
        <v>1</v>
      </c>
      <c r="X3" s="3">
        <v>59593</v>
      </c>
      <c r="Y3" s="3">
        <v>18744</v>
      </c>
      <c r="Z3" s="4">
        <v>35663</v>
      </c>
      <c r="AA3">
        <f>X3/$X$77</f>
        <v>0.8400145050932657</v>
      </c>
      <c r="AB3">
        <f>Y3/$Y$77</f>
        <v>0.68195757775631327</v>
      </c>
      <c r="AE3">
        <v>1</v>
      </c>
      <c r="AF3" s="3">
        <v>56214</v>
      </c>
      <c r="AG3" s="3">
        <v>20424</v>
      </c>
      <c r="AH3" s="4">
        <v>29486</v>
      </c>
      <c r="AI3">
        <f>AF3/$AF$79</f>
        <v>0.75854835927180064</v>
      </c>
      <c r="AJ3">
        <f>AG3/$AG$79</f>
        <v>0.68607893763087879</v>
      </c>
      <c r="AM3" s="122" t="s">
        <v>34</v>
      </c>
      <c r="AN3" s="122"/>
      <c r="AO3" s="122"/>
      <c r="AP3" s="122"/>
      <c r="AQ3" s="122"/>
    </row>
    <row r="4" spans="2:44" x14ac:dyDescent="0.25">
      <c r="B4">
        <v>2</v>
      </c>
      <c r="C4" s="3">
        <v>32363</v>
      </c>
      <c r="D4" s="3">
        <v>9725</v>
      </c>
      <c r="E4" s="4">
        <v>26549</v>
      </c>
      <c r="F4" s="120">
        <f t="shared" ref="F4:F67" si="0">C4/$C$78</f>
        <v>0.40562945449149107</v>
      </c>
      <c r="G4" s="120">
        <f t="shared" ref="G4:G67" si="1">D4/$D$78</f>
        <v>0.49608876307514838</v>
      </c>
      <c r="I4">
        <v>2</v>
      </c>
      <c r="J4" s="3">
        <v>60559</v>
      </c>
      <c r="K4" s="3">
        <v>17586</v>
      </c>
      <c r="L4" s="4">
        <v>28297</v>
      </c>
      <c r="M4" s="70">
        <f t="shared" ref="M4:M67" si="2">J4/$J$69</f>
        <v>0.71985198571762821</v>
      </c>
      <c r="N4" s="70">
        <f t="shared" ref="N4:N67" si="3">K4/$K$69</f>
        <v>0.77829139679540082</v>
      </c>
      <c r="P4">
        <v>2</v>
      </c>
      <c r="Q4" s="3">
        <v>80380</v>
      </c>
      <c r="R4" s="3">
        <v>20728</v>
      </c>
      <c r="S4" s="4">
        <v>42808</v>
      </c>
      <c r="T4">
        <f t="shared" ref="T4:T67" si="4">Q4/$Q$68</f>
        <v>0.87580603533105927</v>
      </c>
      <c r="U4">
        <f t="shared" ref="U4:U67" si="5">R4/$R$68</f>
        <v>0.8270136994841264</v>
      </c>
      <c r="W4">
        <v>2</v>
      </c>
      <c r="X4" s="3">
        <v>68067</v>
      </c>
      <c r="Y4" s="3">
        <v>25855</v>
      </c>
      <c r="Z4" s="4">
        <v>37771</v>
      </c>
      <c r="AA4">
        <f t="shared" ref="AA4:AA67" si="6">X4/$X$77</f>
        <v>0.95946281137353906</v>
      </c>
      <c r="AB4">
        <f t="shared" ref="AB4:AB67" si="7">Y4/$Y$77</f>
        <v>0.94067505190404821</v>
      </c>
      <c r="AE4">
        <v>2</v>
      </c>
      <c r="AF4" s="3">
        <v>64409</v>
      </c>
      <c r="AG4" s="3">
        <v>29912</v>
      </c>
      <c r="AH4" s="4">
        <v>49358</v>
      </c>
      <c r="AI4">
        <f t="shared" ref="AI4:AI67" si="8">AF4/$AF$79</f>
        <v>0.86913119992061416</v>
      </c>
      <c r="AJ4">
        <f t="shared" ref="AJ4:AJ67" si="9">AG4/$AG$79</f>
        <v>1.0047979427347653</v>
      </c>
      <c r="AM4" t="s">
        <v>5</v>
      </c>
      <c r="AN4" s="3">
        <f t="shared" ref="AN4:AO6" si="10">AVERAGE(C78,J69,Q68,X77,AF79)</f>
        <v>80148.026041770048</v>
      </c>
      <c r="AO4" s="3">
        <f t="shared" si="10"/>
        <v>24903.483683519436</v>
      </c>
      <c r="AR4" s="3"/>
    </row>
    <row r="5" spans="2:44" x14ac:dyDescent="0.25">
      <c r="B5">
        <v>3</v>
      </c>
      <c r="C5" s="3">
        <v>50354</v>
      </c>
      <c r="D5" s="3">
        <v>13580</v>
      </c>
      <c r="E5" s="4">
        <v>31972</v>
      </c>
      <c r="F5" s="120">
        <f t="shared" si="0"/>
        <v>0.63112398576969198</v>
      </c>
      <c r="G5" s="120">
        <f t="shared" si="1"/>
        <v>0.69273885887511721</v>
      </c>
      <c r="I5">
        <v>3</v>
      </c>
      <c r="J5" s="3">
        <v>58199</v>
      </c>
      <c r="K5" s="3">
        <v>10806</v>
      </c>
      <c r="L5" s="4">
        <v>35887</v>
      </c>
      <c r="M5" s="70">
        <f t="shared" si="2"/>
        <v>0.69179916637956773</v>
      </c>
      <c r="N5" s="70">
        <f t="shared" si="3"/>
        <v>0.47823364231610949</v>
      </c>
      <c r="P5">
        <v>3</v>
      </c>
      <c r="Q5" s="3">
        <v>34500</v>
      </c>
      <c r="R5" s="3">
        <v>10096</v>
      </c>
      <c r="S5" s="4">
        <v>26061</v>
      </c>
      <c r="T5">
        <f t="shared" si="4"/>
        <v>0.37590580018563752</v>
      </c>
      <c r="U5">
        <f t="shared" si="5"/>
        <v>0.40281408288265824</v>
      </c>
      <c r="W5">
        <v>3</v>
      </c>
      <c r="X5" s="3">
        <v>53195</v>
      </c>
      <c r="Y5" s="3">
        <v>21778</v>
      </c>
      <c r="Z5" s="4">
        <v>63816</v>
      </c>
      <c r="AA5">
        <f t="shared" si="6"/>
        <v>0.74982920139003351</v>
      </c>
      <c r="AB5">
        <f t="shared" si="7"/>
        <v>0.79234272985365928</v>
      </c>
      <c r="AE5">
        <v>3</v>
      </c>
      <c r="AF5" s="3">
        <v>42160</v>
      </c>
      <c r="AG5" s="3">
        <v>15840</v>
      </c>
      <c r="AH5" s="4">
        <v>39258</v>
      </c>
      <c r="AI5">
        <f t="shared" si="8"/>
        <v>0.56890452248370715</v>
      </c>
      <c r="AJ5">
        <f t="shared" si="9"/>
        <v>0.5320941231919859</v>
      </c>
      <c r="AM5" t="s">
        <v>8</v>
      </c>
      <c r="AN5" s="3">
        <f t="shared" si="10"/>
        <v>94594.940696240199</v>
      </c>
      <c r="AO5" s="3">
        <f t="shared" si="10"/>
        <v>30681.100328917139</v>
      </c>
    </row>
    <row r="6" spans="2:44" x14ac:dyDescent="0.25">
      <c r="B6">
        <v>4</v>
      </c>
      <c r="C6" s="3">
        <v>53941</v>
      </c>
      <c r="D6" s="3">
        <v>11072</v>
      </c>
      <c r="E6" s="4">
        <v>32688</v>
      </c>
      <c r="F6" s="120">
        <f t="shared" si="0"/>
        <v>0.67608251412803266</v>
      </c>
      <c r="G6" s="120">
        <f t="shared" si="1"/>
        <v>0.5648015202846316</v>
      </c>
      <c r="I6">
        <v>4</v>
      </c>
      <c r="J6" s="3">
        <v>79138</v>
      </c>
      <c r="K6" s="3">
        <v>12854</v>
      </c>
      <c r="L6" s="4">
        <v>39667</v>
      </c>
      <c r="M6" s="70">
        <f t="shared" si="2"/>
        <v>0.94069661727772358</v>
      </c>
      <c r="N6" s="70">
        <f t="shared" si="3"/>
        <v>0.56887055694348243</v>
      </c>
      <c r="P6">
        <v>4</v>
      </c>
      <c r="Q6" s="3">
        <v>59419</v>
      </c>
      <c r="R6" s="3">
        <v>13972</v>
      </c>
      <c r="S6" s="4">
        <v>51391</v>
      </c>
      <c r="T6">
        <f t="shared" si="4"/>
        <v>0.64741874612262018</v>
      </c>
      <c r="U6">
        <f t="shared" si="5"/>
        <v>0.55746021850599259</v>
      </c>
      <c r="W6">
        <v>4</v>
      </c>
      <c r="X6" s="3">
        <v>45714</v>
      </c>
      <c r="Y6" s="3">
        <v>17708</v>
      </c>
      <c r="Z6" s="4">
        <v>46764</v>
      </c>
      <c r="AA6">
        <f t="shared" si="6"/>
        <v>0.64437808275860498</v>
      </c>
      <c r="AB6">
        <f t="shared" si="7"/>
        <v>0.64426508679624384</v>
      </c>
      <c r="AE6">
        <v>4</v>
      </c>
      <c r="AF6" s="3">
        <v>56910</v>
      </c>
      <c r="AG6" s="3">
        <v>17880</v>
      </c>
      <c r="AH6" s="4">
        <v>49599</v>
      </c>
      <c r="AI6">
        <f t="shared" si="8"/>
        <v>0.767940141711285</v>
      </c>
      <c r="AJ6">
        <f t="shared" si="9"/>
        <v>0.60062139663337799</v>
      </c>
      <c r="AM6" s="5" t="s">
        <v>30</v>
      </c>
      <c r="AN6" s="3">
        <f t="shared" si="10"/>
        <v>64196.730583214798</v>
      </c>
      <c r="AO6" s="3">
        <f t="shared" si="10"/>
        <v>18351.296029262347</v>
      </c>
    </row>
    <row r="7" spans="2:44" x14ac:dyDescent="0.25">
      <c r="B7">
        <v>5</v>
      </c>
      <c r="C7" s="3">
        <v>65844</v>
      </c>
      <c r="D7" s="3">
        <v>14430</v>
      </c>
      <c r="E7" s="4">
        <v>45859</v>
      </c>
      <c r="F7" s="120">
        <f t="shared" si="0"/>
        <v>0.82527163123127456</v>
      </c>
      <c r="G7" s="120">
        <f t="shared" si="1"/>
        <v>0.73609880217731527</v>
      </c>
      <c r="I7">
        <v>5</v>
      </c>
      <c r="J7" s="3">
        <v>87702</v>
      </c>
      <c r="K7" s="3">
        <v>17679</v>
      </c>
      <c r="L7" s="4">
        <v>41878</v>
      </c>
      <c r="M7" s="70">
        <f t="shared" si="2"/>
        <v>1.0424950684688887</v>
      </c>
      <c r="N7" s="70">
        <f t="shared" si="3"/>
        <v>0.78240723325064776</v>
      </c>
      <c r="P7">
        <v>5</v>
      </c>
      <c r="Q7" s="3">
        <v>79273</v>
      </c>
      <c r="R7" s="3">
        <v>18061</v>
      </c>
      <c r="S7" s="4">
        <v>38737</v>
      </c>
      <c r="T7">
        <f t="shared" si="4"/>
        <v>0.86374436226423312</v>
      </c>
      <c r="U7">
        <f t="shared" si="5"/>
        <v>0.72060470987952563</v>
      </c>
      <c r="W7">
        <v>5</v>
      </c>
      <c r="X7" s="3">
        <v>53438</v>
      </c>
      <c r="Y7" s="3">
        <v>30587</v>
      </c>
      <c r="Z7" s="4">
        <v>32058</v>
      </c>
      <c r="AA7">
        <f t="shared" si="6"/>
        <v>0.75325449504428255</v>
      </c>
      <c r="AB7">
        <f t="shared" si="7"/>
        <v>1.1128380511540947</v>
      </c>
      <c r="AE7">
        <v>5</v>
      </c>
      <c r="AF7" s="3">
        <v>53802</v>
      </c>
      <c r="AG7" s="3">
        <v>19147</v>
      </c>
      <c r="AH7" s="4">
        <v>27353</v>
      </c>
      <c r="AI7">
        <f t="shared" si="8"/>
        <v>0.72600097530048413</v>
      </c>
      <c r="AJ7">
        <f t="shared" si="9"/>
        <v>0.64318220812859561</v>
      </c>
      <c r="AM7" t="s">
        <v>31</v>
      </c>
      <c r="AN7" s="3">
        <f>AVERAGE(C81,J72,Q71,X80,AF82)</f>
        <v>37</v>
      </c>
      <c r="AO7" s="3"/>
    </row>
    <row r="8" spans="2:44" x14ac:dyDescent="0.25">
      <c r="B8">
        <v>6</v>
      </c>
      <c r="C8" s="3">
        <v>72943</v>
      </c>
      <c r="D8" s="3">
        <v>10374</v>
      </c>
      <c r="E8" s="4">
        <v>30683</v>
      </c>
      <c r="F8" s="120">
        <f t="shared" si="0"/>
        <v>0.91424865738568228</v>
      </c>
      <c r="G8" s="120">
        <f t="shared" si="1"/>
        <v>0.52919535507882665</v>
      </c>
      <c r="I8">
        <v>6</v>
      </c>
      <c r="J8" s="3">
        <v>73364</v>
      </c>
      <c r="K8" s="3">
        <v>15445</v>
      </c>
      <c r="L8" s="4">
        <v>45642</v>
      </c>
      <c r="M8" s="70">
        <f t="shared" si="2"/>
        <v>0.87206230420231634</v>
      </c>
      <c r="N8" s="70">
        <f t="shared" si="3"/>
        <v>0.683538645712781</v>
      </c>
      <c r="P8">
        <v>6</v>
      </c>
      <c r="Q8" s="3">
        <v>93416</v>
      </c>
      <c r="R8" s="3">
        <v>21522</v>
      </c>
      <c r="S8" s="4">
        <v>49327</v>
      </c>
      <c r="T8">
        <f t="shared" si="4"/>
        <v>1.0178439486997541</v>
      </c>
      <c r="U8">
        <f t="shared" si="5"/>
        <v>0.85869301622430372</v>
      </c>
      <c r="W8">
        <v>6</v>
      </c>
      <c r="X8" s="3">
        <v>42575</v>
      </c>
      <c r="Y8" s="3">
        <v>13637</v>
      </c>
      <c r="Z8" s="4">
        <v>44398</v>
      </c>
      <c r="AA8">
        <f t="shared" si="6"/>
        <v>0.60013118242655661</v>
      </c>
      <c r="AB8">
        <f t="shared" si="7"/>
        <v>0.49615106102554651</v>
      </c>
      <c r="AE8">
        <v>6</v>
      </c>
      <c r="AF8" s="3">
        <v>72642</v>
      </c>
      <c r="AG8" s="3">
        <v>20228</v>
      </c>
      <c r="AH8" s="4">
        <v>50854</v>
      </c>
      <c r="AI8">
        <f t="shared" si="8"/>
        <v>0.98022681030031911</v>
      </c>
      <c r="AJ8">
        <f t="shared" si="9"/>
        <v>0.67949494469239213</v>
      </c>
      <c r="AM8" s="3" t="s">
        <v>32</v>
      </c>
      <c r="AN8" s="3">
        <f>AVERAGE(C82,J73,Q72,X81,AF83)</f>
        <v>52.172147340568394</v>
      </c>
      <c r="AO8" s="3"/>
    </row>
    <row r="9" spans="2:44" x14ac:dyDescent="0.25">
      <c r="B9">
        <v>7</v>
      </c>
      <c r="C9" s="3">
        <v>75705</v>
      </c>
      <c r="D9" s="3">
        <v>11274</v>
      </c>
      <c r="E9" s="4">
        <v>33737</v>
      </c>
      <c r="F9" s="120">
        <f t="shared" si="0"/>
        <v>0.9488668495590129</v>
      </c>
      <c r="G9" s="120">
        <f t="shared" si="1"/>
        <v>0.57510588328115397</v>
      </c>
      <c r="I9">
        <v>7</v>
      </c>
      <c r="J9" s="3">
        <v>64668</v>
      </c>
      <c r="K9" s="3">
        <v>13723</v>
      </c>
      <c r="L9" s="4">
        <v>41836</v>
      </c>
      <c r="M9" s="70">
        <f t="shared" si="2"/>
        <v>0.76869479701427668</v>
      </c>
      <c r="N9" s="70">
        <f t="shared" si="3"/>
        <v>0.60732928683175735</v>
      </c>
      <c r="P9">
        <v>7</v>
      </c>
      <c r="Q9" s="3">
        <v>105263</v>
      </c>
      <c r="R9" s="3">
        <v>22790</v>
      </c>
      <c r="S9" s="4">
        <v>51586</v>
      </c>
      <c r="T9">
        <f t="shared" si="4"/>
        <v>1.1469267317374134</v>
      </c>
      <c r="U9">
        <f t="shared" si="5"/>
        <v>0.9092841668874585</v>
      </c>
      <c r="W9">
        <v>7</v>
      </c>
      <c r="X9" s="3">
        <v>35676</v>
      </c>
      <c r="Y9" s="3">
        <v>18958</v>
      </c>
      <c r="Z9" s="4">
        <v>31676</v>
      </c>
      <c r="AA9">
        <f t="shared" si="6"/>
        <v>0.50288385353493437</v>
      </c>
      <c r="AB9">
        <f t="shared" si="7"/>
        <v>0.68974347839864414</v>
      </c>
      <c r="AE9">
        <v>7</v>
      </c>
      <c r="AF9" s="3">
        <v>60015</v>
      </c>
      <c r="AG9" s="3">
        <v>16297</v>
      </c>
      <c r="AH9" s="4">
        <v>54923</v>
      </c>
      <c r="AI9">
        <f t="shared" si="8"/>
        <v>0.80983882630122594</v>
      </c>
      <c r="AJ9">
        <f t="shared" si="9"/>
        <v>0.54744557611488598</v>
      </c>
      <c r="AN9" t="s">
        <v>11</v>
      </c>
      <c r="AO9" t="s">
        <v>0</v>
      </c>
    </row>
    <row r="10" spans="2:44" x14ac:dyDescent="0.25">
      <c r="B10">
        <v>8</v>
      </c>
      <c r="C10" s="3">
        <v>77185</v>
      </c>
      <c r="D10" s="3">
        <v>13227</v>
      </c>
      <c r="E10" s="4">
        <v>35347</v>
      </c>
      <c r="F10" s="120">
        <f t="shared" si="0"/>
        <v>0.96741678598787939</v>
      </c>
      <c r="G10" s="120">
        <f t="shared" si="1"/>
        <v>0.67473172948020432</v>
      </c>
      <c r="I10">
        <v>8</v>
      </c>
      <c r="J10" s="3">
        <v>83089</v>
      </c>
      <c r="K10" s="3">
        <v>21190</v>
      </c>
      <c r="L10" s="4">
        <v>44544</v>
      </c>
      <c r="M10" s="70">
        <f t="shared" si="2"/>
        <v>0.98766131609326457</v>
      </c>
      <c r="N10" s="70">
        <f t="shared" si="3"/>
        <v>0.93779112351271143</v>
      </c>
      <c r="P10">
        <v>8</v>
      </c>
      <c r="Q10" s="3">
        <v>82573</v>
      </c>
      <c r="R10" s="3">
        <v>20076</v>
      </c>
      <c r="S10" s="4">
        <v>51602</v>
      </c>
      <c r="T10">
        <f t="shared" si="4"/>
        <v>0.89970056923851149</v>
      </c>
      <c r="U10">
        <f t="shared" si="5"/>
        <v>0.80099995324408146</v>
      </c>
      <c r="W10">
        <v>8</v>
      </c>
      <c r="X10" s="3">
        <v>57929</v>
      </c>
      <c r="Y10" s="3">
        <v>21624</v>
      </c>
      <c r="Z10" s="4">
        <v>67046</v>
      </c>
      <c r="AA10">
        <f t="shared" si="6"/>
        <v>0.81655899628392237</v>
      </c>
      <c r="AB10">
        <f t="shared" si="7"/>
        <v>0.78673979200824362</v>
      </c>
      <c r="AE10">
        <v>8</v>
      </c>
      <c r="AF10" s="3">
        <v>66524</v>
      </c>
      <c r="AG10" s="3">
        <v>29917</v>
      </c>
      <c r="AH10" s="4">
        <v>54821</v>
      </c>
      <c r="AI10">
        <f t="shared" si="8"/>
        <v>0.8976708836268058</v>
      </c>
      <c r="AJ10">
        <f t="shared" si="9"/>
        <v>1.0049659017382981</v>
      </c>
      <c r="AM10" s="29" t="s">
        <v>10</v>
      </c>
      <c r="AN10" s="53">
        <f t="shared" ref="AN10:AO14" si="11">AVERAGE(C84,J75,Q74,X83,AF85)</f>
        <v>30.664419885472519</v>
      </c>
      <c r="AO10" s="53">
        <f t="shared" si="11"/>
        <v>3.8171103434261324</v>
      </c>
    </row>
    <row r="11" spans="2:44" x14ac:dyDescent="0.25">
      <c r="B11">
        <v>9</v>
      </c>
      <c r="C11" s="3">
        <v>76972</v>
      </c>
      <c r="D11" s="3">
        <v>12779</v>
      </c>
      <c r="E11" s="4">
        <v>45643</v>
      </c>
      <c r="F11" s="120">
        <f t="shared" si="0"/>
        <v>0.96474709919102219</v>
      </c>
      <c r="G11" s="120">
        <f t="shared" si="1"/>
        <v>0.65187848877504584</v>
      </c>
      <c r="I11">
        <v>9</v>
      </c>
      <c r="J11" s="3">
        <v>62823</v>
      </c>
      <c r="K11" s="3">
        <v>19265</v>
      </c>
      <c r="L11" s="4">
        <v>28885</v>
      </c>
      <c r="M11" s="70">
        <f t="shared" si="2"/>
        <v>0.746763673421598</v>
      </c>
      <c r="N11" s="70">
        <f t="shared" si="3"/>
        <v>0.85259773451969734</v>
      </c>
      <c r="P11">
        <v>9</v>
      </c>
      <c r="Q11" s="3">
        <v>59869</v>
      </c>
      <c r="R11" s="3">
        <v>15845</v>
      </c>
      <c r="S11" s="4">
        <v>36405</v>
      </c>
      <c r="T11">
        <f t="shared" si="4"/>
        <v>0.65232186525547631</v>
      </c>
      <c r="U11">
        <f t="shared" si="5"/>
        <v>0.63218989137041592</v>
      </c>
      <c r="W11">
        <v>9</v>
      </c>
      <c r="X11" s="3">
        <v>51169</v>
      </c>
      <c r="Y11" s="3">
        <v>15100</v>
      </c>
      <c r="Z11" s="4">
        <v>43669</v>
      </c>
      <c r="AA11">
        <f t="shared" si="6"/>
        <v>0.72127099174596532</v>
      </c>
      <c r="AB11">
        <f t="shared" si="7"/>
        <v>0.5493789705569958</v>
      </c>
      <c r="AE11">
        <v>9</v>
      </c>
      <c r="AF11" s="3">
        <v>70571</v>
      </c>
      <c r="AG11" s="3">
        <v>32455</v>
      </c>
      <c r="AH11" s="4">
        <v>46054</v>
      </c>
      <c r="AI11">
        <f t="shared" si="8"/>
        <v>0.9522808599667385</v>
      </c>
      <c r="AJ11">
        <f t="shared" si="9"/>
        <v>1.0902218919315596</v>
      </c>
      <c r="AM11" s="20" t="s">
        <v>12</v>
      </c>
      <c r="AN11" s="53">
        <f t="shared" si="11"/>
        <v>9.1341476920424292</v>
      </c>
      <c r="AO11" s="53">
        <f t="shared" si="11"/>
        <v>9.1822800243852871</v>
      </c>
    </row>
    <row r="12" spans="2:44" x14ac:dyDescent="0.25">
      <c r="B12">
        <v>10</v>
      </c>
      <c r="C12" s="3">
        <v>61774</v>
      </c>
      <c r="D12" s="3">
        <v>12880</v>
      </c>
      <c r="E12" s="4">
        <v>37</v>
      </c>
      <c r="F12" s="120">
        <f t="shared" si="0"/>
        <v>0.77425930605189175</v>
      </c>
      <c r="G12" s="120">
        <f t="shared" si="1"/>
        <v>0.65703067027330697</v>
      </c>
      <c r="I12">
        <v>10</v>
      </c>
      <c r="J12" s="3">
        <v>81091</v>
      </c>
      <c r="K12" s="3">
        <v>15713</v>
      </c>
      <c r="L12" s="4">
        <v>57336</v>
      </c>
      <c r="M12" s="70">
        <f t="shared" si="2"/>
        <v>0.96391151395875407</v>
      </c>
      <c r="N12" s="70">
        <f t="shared" si="3"/>
        <v>0.69539933571284729</v>
      </c>
      <c r="P12">
        <v>10</v>
      </c>
      <c r="Q12" s="3">
        <v>101824</v>
      </c>
      <c r="R12" s="3">
        <v>24615</v>
      </c>
      <c r="S12" s="4">
        <v>55544</v>
      </c>
      <c r="T12">
        <f t="shared" si="4"/>
        <v>1.1094560057420972</v>
      </c>
      <c r="U12">
        <f t="shared" si="5"/>
        <v>0.98209871732930198</v>
      </c>
      <c r="W12">
        <v>10</v>
      </c>
      <c r="X12" s="3">
        <v>46922</v>
      </c>
      <c r="Y12" s="3">
        <v>21993</v>
      </c>
      <c r="Z12" s="4">
        <v>41745</v>
      </c>
      <c r="AA12">
        <f t="shared" si="6"/>
        <v>0.66140588001923395</v>
      </c>
      <c r="AB12">
        <f t="shared" si="7"/>
        <v>0.80016501320927214</v>
      </c>
      <c r="AE12">
        <v>10</v>
      </c>
      <c r="AF12" s="3">
        <v>44278</v>
      </c>
      <c r="AG12" s="3">
        <v>18381</v>
      </c>
      <c r="AH12" s="4">
        <v>43</v>
      </c>
      <c r="AI12">
        <f t="shared" si="8"/>
        <v>0.5974846880107586</v>
      </c>
      <c r="AJ12">
        <f t="shared" si="9"/>
        <v>0.61745088878736698</v>
      </c>
      <c r="AM12" s="9" t="s">
        <v>13</v>
      </c>
      <c r="AN12" s="53">
        <f t="shared" si="11"/>
        <v>6.829221418695103</v>
      </c>
      <c r="AO12" s="53">
        <f t="shared" si="11"/>
        <v>3.7411095305832149</v>
      </c>
    </row>
    <row r="13" spans="2:44" x14ac:dyDescent="0.25">
      <c r="B13">
        <v>11</v>
      </c>
      <c r="C13" s="3">
        <v>65625</v>
      </c>
      <c r="D13" s="3">
        <v>14812</v>
      </c>
      <c r="E13" s="4">
        <v>34</v>
      </c>
      <c r="F13" s="120">
        <f t="shared" si="0"/>
        <v>0.82252674198943554</v>
      </c>
      <c r="G13" s="120">
        <f t="shared" si="1"/>
        <v>0.75558527081430304</v>
      </c>
      <c r="I13">
        <v>11</v>
      </c>
      <c r="J13" s="21">
        <v>92692</v>
      </c>
      <c r="K13" s="22">
        <v>25280</v>
      </c>
      <c r="L13" s="4">
        <v>63417</v>
      </c>
      <c r="M13" s="70">
        <f t="shared" si="2"/>
        <v>1.1018101398658893</v>
      </c>
      <c r="N13" s="70">
        <f t="shared" si="3"/>
        <v>1.1187994149316349</v>
      </c>
      <c r="P13">
        <v>11</v>
      </c>
      <c r="Q13" s="3">
        <v>96014</v>
      </c>
      <c r="R13" s="3">
        <v>22192</v>
      </c>
      <c r="S13" s="4">
        <v>61151</v>
      </c>
      <c r="T13">
        <f t="shared" si="4"/>
        <v>1.0461512898267769</v>
      </c>
      <c r="U13">
        <f t="shared" si="5"/>
        <v>0.88542493337281614</v>
      </c>
      <c r="W13">
        <v>11</v>
      </c>
      <c r="X13" s="3">
        <v>47164</v>
      </c>
      <c r="Y13" s="3">
        <v>16131</v>
      </c>
      <c r="Z13" s="4">
        <v>44525</v>
      </c>
      <c r="AA13">
        <f t="shared" si="6"/>
        <v>0.66481707781482358</v>
      </c>
      <c r="AB13">
        <f t="shared" si="7"/>
        <v>0.58688954795065562</v>
      </c>
      <c r="AE13">
        <v>11</v>
      </c>
      <c r="AF13" s="3">
        <v>55912</v>
      </c>
      <c r="AG13" s="3">
        <v>19608</v>
      </c>
      <c r="AH13" s="4">
        <v>62104</v>
      </c>
      <c r="AI13">
        <f t="shared" si="8"/>
        <v>0.75447318930524276</v>
      </c>
      <c r="AJ13">
        <f t="shared" si="9"/>
        <v>0.65866802825432191</v>
      </c>
      <c r="AM13" t="s">
        <v>15</v>
      </c>
      <c r="AN13" s="53">
        <f t="shared" si="11"/>
        <v>53.37221100378995</v>
      </c>
      <c r="AO13" s="53">
        <f t="shared" si="11"/>
        <v>83.259500101605369</v>
      </c>
    </row>
    <row r="14" spans="2:44" x14ac:dyDescent="0.25">
      <c r="B14">
        <v>12</v>
      </c>
      <c r="C14" s="3">
        <v>75584</v>
      </c>
      <c r="D14" s="3">
        <v>14205</v>
      </c>
      <c r="E14" s="4">
        <v>44724</v>
      </c>
      <c r="F14" s="120">
        <f t="shared" si="0"/>
        <v>0.94735026691854474</v>
      </c>
      <c r="G14" s="120">
        <f t="shared" si="1"/>
        <v>0.72462117012673344</v>
      </c>
      <c r="I14">
        <v>12</v>
      </c>
      <c r="J14" s="23">
        <v>86271</v>
      </c>
      <c r="K14" s="24">
        <v>26409</v>
      </c>
      <c r="L14" s="4">
        <v>42621</v>
      </c>
      <c r="M14" s="70">
        <f t="shared" si="2"/>
        <v>1.0254850750482258</v>
      </c>
      <c r="N14" s="70">
        <f t="shared" si="3"/>
        <v>1.1687647843722131</v>
      </c>
      <c r="P14">
        <v>12</v>
      </c>
      <c r="Q14" s="3">
        <v>83656</v>
      </c>
      <c r="R14" s="3">
        <v>24792</v>
      </c>
      <c r="S14" s="4">
        <v>53639</v>
      </c>
      <c r="T14">
        <f t="shared" si="4"/>
        <v>0.91150074261825198</v>
      </c>
      <c r="U14">
        <f t="shared" si="5"/>
        <v>0.98916073126256565</v>
      </c>
      <c r="W14">
        <v>12</v>
      </c>
      <c r="X14" s="3">
        <v>56178</v>
      </c>
      <c r="Y14" s="3">
        <v>17039</v>
      </c>
      <c r="Z14" s="4">
        <v>43504</v>
      </c>
      <c r="AA14">
        <f t="shared" si="6"/>
        <v>0.79187714777120599</v>
      </c>
      <c r="AB14">
        <f t="shared" si="7"/>
        <v>0.61992505161063927</v>
      </c>
      <c r="AE14">
        <v>12</v>
      </c>
      <c r="AF14" s="3">
        <v>44373</v>
      </c>
      <c r="AG14" s="3">
        <v>17096</v>
      </c>
      <c r="AH14" s="4">
        <v>48157</v>
      </c>
      <c r="AI14">
        <f t="shared" si="8"/>
        <v>0.59876661233798711</v>
      </c>
      <c r="AJ14">
        <f t="shared" si="9"/>
        <v>0.57428542487943124</v>
      </c>
      <c r="AM14" t="s">
        <v>11</v>
      </c>
      <c r="AN14" s="3">
        <f t="shared" si="11"/>
        <v>100</v>
      </c>
      <c r="AO14" s="3">
        <f t="shared" si="11"/>
        <v>100</v>
      </c>
    </row>
    <row r="15" spans="2:44" x14ac:dyDescent="0.25">
      <c r="B15">
        <v>13</v>
      </c>
      <c r="C15" s="3">
        <v>100699</v>
      </c>
      <c r="D15" s="3">
        <v>19566</v>
      </c>
      <c r="E15" s="4">
        <v>42434</v>
      </c>
      <c r="F15" s="120">
        <f t="shared" si="0"/>
        <v>1.2621351678719113</v>
      </c>
      <c r="G15" s="120">
        <f t="shared" si="1"/>
        <v>0.99809488311859673</v>
      </c>
      <c r="I15">
        <v>13</v>
      </c>
      <c r="J15" s="3">
        <v>80839</v>
      </c>
      <c r="K15" s="3">
        <v>19166</v>
      </c>
      <c r="L15" s="4">
        <v>49556</v>
      </c>
      <c r="M15" s="70">
        <f t="shared" si="2"/>
        <v>0.96091604341926629</v>
      </c>
      <c r="N15" s="70">
        <f t="shared" si="3"/>
        <v>0.84821636022862801</v>
      </c>
      <c r="P15">
        <v>13</v>
      </c>
      <c r="Q15" s="3">
        <v>83753</v>
      </c>
      <c r="R15" s="3">
        <v>19941</v>
      </c>
      <c r="S15" s="4">
        <v>41582</v>
      </c>
      <c r="T15">
        <f t="shared" si="4"/>
        <v>0.91255763718688987</v>
      </c>
      <c r="U15">
        <f t="shared" si="5"/>
        <v>0.79561367143057526</v>
      </c>
      <c r="W15">
        <v>13</v>
      </c>
      <c r="X15" s="3">
        <v>42765</v>
      </c>
      <c r="Y15" s="3">
        <v>21346</v>
      </c>
      <c r="Z15" s="4">
        <v>41975</v>
      </c>
      <c r="AA15">
        <f t="shared" si="6"/>
        <v>0.6028093955718542</v>
      </c>
      <c r="AB15">
        <f t="shared" si="7"/>
        <v>0.7766253977158698</v>
      </c>
      <c r="AE15">
        <v>13</v>
      </c>
      <c r="AF15" s="3">
        <v>28699</v>
      </c>
      <c r="AG15" s="3">
        <v>10847</v>
      </c>
      <c r="AH15" s="4">
        <v>44086</v>
      </c>
      <c r="AI15">
        <f t="shared" si="8"/>
        <v>0.38726259228557663</v>
      </c>
      <c r="AJ15">
        <f t="shared" si="9"/>
        <v>0.36437026226410801</v>
      </c>
      <c r="AM15" s="3"/>
      <c r="AN15" s="3"/>
      <c r="AO15" s="3"/>
    </row>
    <row r="16" spans="2:44" x14ac:dyDescent="0.25">
      <c r="B16">
        <v>14</v>
      </c>
      <c r="C16" s="3">
        <v>90550</v>
      </c>
      <c r="D16" s="3">
        <v>14076</v>
      </c>
      <c r="E16" s="4">
        <v>31318</v>
      </c>
      <c r="F16" s="120">
        <f t="shared" si="0"/>
        <v>1.1349302321850421</v>
      </c>
      <c r="G16" s="120">
        <f t="shared" si="1"/>
        <v>0.71804066108439979</v>
      </c>
      <c r="I16">
        <v>14</v>
      </c>
      <c r="J16" s="3">
        <v>61252</v>
      </c>
      <c r="K16" s="3">
        <v>10267</v>
      </c>
      <c r="L16" s="4">
        <v>44763</v>
      </c>
      <c r="M16" s="70">
        <f t="shared" si="2"/>
        <v>0.72808952970121965</v>
      </c>
      <c r="N16" s="70">
        <f t="shared" si="3"/>
        <v>0.45437949339806555</v>
      </c>
      <c r="P16">
        <v>14</v>
      </c>
      <c r="Q16" s="3">
        <v>89963</v>
      </c>
      <c r="R16" s="3">
        <v>20921</v>
      </c>
      <c r="S16" s="4">
        <v>38572</v>
      </c>
      <c r="T16">
        <f t="shared" si="4"/>
        <v>0.98022068122030459</v>
      </c>
      <c r="U16">
        <f t="shared" si="5"/>
        <v>0.83471408755825005</v>
      </c>
      <c r="W16">
        <v>14</v>
      </c>
      <c r="X16" s="3">
        <v>49550</v>
      </c>
      <c r="Y16" s="3">
        <v>19200</v>
      </c>
      <c r="Z16" s="4">
        <v>43360</v>
      </c>
      <c r="AA16">
        <f t="shared" si="6"/>
        <v>0.6984497965762978</v>
      </c>
      <c r="AB16">
        <f t="shared" si="7"/>
        <v>0.69854809501286885</v>
      </c>
      <c r="AE16">
        <v>14</v>
      </c>
      <c r="AF16" s="3">
        <v>44877</v>
      </c>
      <c r="AG16" s="3">
        <v>17545</v>
      </c>
      <c r="AH16" s="4">
        <v>49119</v>
      </c>
      <c r="AI16">
        <f t="shared" si="8"/>
        <v>0.60556755824244135</v>
      </c>
      <c r="AJ16">
        <f t="shared" si="9"/>
        <v>0.58936814339667887</v>
      </c>
      <c r="AM16" t="s">
        <v>16</v>
      </c>
      <c r="AN16" s="3">
        <f>AVERAGE(C90,J81,Q80,X89,AF91)</f>
        <v>100685.64499675666</v>
      </c>
    </row>
    <row r="17" spans="2:44" x14ac:dyDescent="0.25">
      <c r="B17">
        <v>15</v>
      </c>
      <c r="C17" s="3">
        <v>75685</v>
      </c>
      <c r="D17" s="3">
        <v>17046</v>
      </c>
      <c r="E17" s="4">
        <v>36279</v>
      </c>
      <c r="F17" s="120">
        <f t="shared" si="0"/>
        <v>0.94861617474240656</v>
      </c>
      <c r="G17" s="120">
        <f t="shared" si="1"/>
        <v>0.86954540415208004</v>
      </c>
      <c r="I17">
        <v>15</v>
      </c>
      <c r="J17" s="3">
        <v>100862</v>
      </c>
      <c r="K17" s="3">
        <v>18586</v>
      </c>
      <c r="L17" s="4">
        <v>49190</v>
      </c>
      <c r="M17" s="70">
        <f t="shared" si="2"/>
        <v>1.198925196642141</v>
      </c>
      <c r="N17" s="70">
        <f t="shared" si="3"/>
        <v>0.82254770276579781</v>
      </c>
      <c r="P17">
        <v>15</v>
      </c>
      <c r="Q17" s="3">
        <v>86282</v>
      </c>
      <c r="R17" s="3">
        <v>19030</v>
      </c>
      <c r="S17" s="4">
        <v>57550</v>
      </c>
      <c r="T17">
        <f t="shared" si="4"/>
        <v>0.94011316671354139</v>
      </c>
      <c r="U17">
        <f t="shared" si="5"/>
        <v>0.75926624378535912</v>
      </c>
      <c r="W17">
        <v>15</v>
      </c>
      <c r="X17" s="3">
        <v>54460</v>
      </c>
      <c r="Y17" s="3">
        <v>18944</v>
      </c>
      <c r="Z17" s="4">
        <v>50075</v>
      </c>
      <c r="AA17">
        <f t="shared" si="6"/>
        <v>0.7676604625942518</v>
      </c>
      <c r="AB17">
        <f t="shared" si="7"/>
        <v>0.68923412041269727</v>
      </c>
      <c r="AE17">
        <v>15</v>
      </c>
      <c r="AF17" s="3">
        <v>53138</v>
      </c>
      <c r="AG17" s="3">
        <v>22464</v>
      </c>
      <c r="AH17" s="4">
        <v>56153</v>
      </c>
      <c r="AI17">
        <f t="shared" si="8"/>
        <v>0.71704099895017148</v>
      </c>
      <c r="AJ17">
        <f t="shared" si="9"/>
        <v>0.75460621107227088</v>
      </c>
      <c r="AM17" t="s">
        <v>19</v>
      </c>
      <c r="AN17" s="3">
        <f>AVERAGE(C91,J82,Q81,X90,AF92)</f>
        <v>65041.278675823683</v>
      </c>
      <c r="AP17" s="3"/>
      <c r="AQ17" s="3"/>
    </row>
    <row r="18" spans="2:44" x14ac:dyDescent="0.25">
      <c r="B18">
        <v>16</v>
      </c>
      <c r="C18" s="25">
        <v>91842</v>
      </c>
      <c r="D18" s="26">
        <v>24793</v>
      </c>
      <c r="E18" s="4">
        <v>26560</v>
      </c>
      <c r="F18" s="120">
        <f t="shared" si="0"/>
        <v>1.1511238253378093</v>
      </c>
      <c r="G18" s="120">
        <f t="shared" si="1"/>
        <v>1.2647330285781135</v>
      </c>
      <c r="I18">
        <v>16</v>
      </c>
      <c r="J18" s="3">
        <v>94144</v>
      </c>
      <c r="K18" s="3">
        <v>18315</v>
      </c>
      <c r="L18" s="4">
        <v>44658</v>
      </c>
      <c r="M18" s="70">
        <f t="shared" si="2"/>
        <v>1.1190697558315097</v>
      </c>
      <c r="N18" s="70">
        <f t="shared" si="3"/>
        <v>0.81055424384782027</v>
      </c>
      <c r="P18">
        <v>16</v>
      </c>
      <c r="Q18" s="3">
        <v>83883</v>
      </c>
      <c r="R18" s="3">
        <v>24039</v>
      </c>
      <c r="S18" s="4">
        <v>53492</v>
      </c>
      <c r="T18">
        <f t="shared" si="4"/>
        <v>0.91397409382527051</v>
      </c>
      <c r="U18">
        <f t="shared" si="5"/>
        <v>0.95911724825834199</v>
      </c>
      <c r="W18">
        <v>16</v>
      </c>
      <c r="X18" s="3">
        <v>48395</v>
      </c>
      <c r="Y18" s="3">
        <v>14057</v>
      </c>
      <c r="Z18" s="4">
        <v>50952</v>
      </c>
      <c r="AA18">
        <f t="shared" si="6"/>
        <v>0.68216907982462016</v>
      </c>
      <c r="AB18">
        <f t="shared" si="7"/>
        <v>0.51143180060395299</v>
      </c>
      <c r="AE18">
        <v>16</v>
      </c>
      <c r="AF18" s="3">
        <v>49688</v>
      </c>
      <c r="AG18" s="3">
        <v>21554</v>
      </c>
      <c r="AH18" s="4">
        <v>56231</v>
      </c>
      <c r="AI18">
        <f t="shared" si="8"/>
        <v>0.67048690496134822</v>
      </c>
      <c r="AJ18">
        <f t="shared" si="9"/>
        <v>0.72403767242929695</v>
      </c>
      <c r="AN18" s="3"/>
      <c r="AP18" s="3"/>
      <c r="AQ18" s="3"/>
      <c r="AR18" s="3"/>
    </row>
    <row r="19" spans="2:44" x14ac:dyDescent="0.25">
      <c r="B19">
        <v>17</v>
      </c>
      <c r="C19" s="3">
        <v>73175</v>
      </c>
      <c r="D19" s="3">
        <v>10983</v>
      </c>
      <c r="E19" s="4">
        <v>40783</v>
      </c>
      <c r="F19" s="120">
        <f t="shared" si="0"/>
        <v>0.91715648525831539</v>
      </c>
      <c r="G19" s="120">
        <f t="shared" si="1"/>
        <v>0.56026147916240143</v>
      </c>
      <c r="I19">
        <v>17</v>
      </c>
      <c r="J19" s="3">
        <v>72085</v>
      </c>
      <c r="K19" s="3">
        <v>19256</v>
      </c>
      <c r="L19" s="4">
        <v>51023</v>
      </c>
      <c r="M19" s="70">
        <f t="shared" si="2"/>
        <v>0.85685910253563025</v>
      </c>
      <c r="N19" s="70">
        <f t="shared" si="3"/>
        <v>0.8521994277659638</v>
      </c>
      <c r="P19">
        <v>17</v>
      </c>
      <c r="Q19" s="3">
        <v>71457</v>
      </c>
      <c r="R19" s="3">
        <v>16652</v>
      </c>
      <c r="S19" s="4">
        <v>55891</v>
      </c>
      <c r="T19">
        <f t="shared" si="4"/>
        <v>0.77858263083666956</v>
      </c>
      <c r="U19">
        <f t="shared" si="5"/>
        <v>0.66438788710004204</v>
      </c>
      <c r="W19">
        <v>17</v>
      </c>
      <c r="X19" s="3">
        <v>49280</v>
      </c>
      <c r="Y19" s="3">
        <v>24104</v>
      </c>
      <c r="Z19" s="4">
        <v>40552</v>
      </c>
      <c r="AA19">
        <f t="shared" si="6"/>
        <v>0.69464391473824327</v>
      </c>
      <c r="AB19">
        <f t="shared" si="7"/>
        <v>0.87696892094740586</v>
      </c>
      <c r="AE19">
        <v>17</v>
      </c>
      <c r="AF19" s="3">
        <v>44975</v>
      </c>
      <c r="AG19" s="3">
        <v>15717</v>
      </c>
      <c r="AH19" s="4">
        <v>41258</v>
      </c>
      <c r="AI19">
        <f t="shared" si="8"/>
        <v>0.60688996439052967</v>
      </c>
      <c r="AJ19">
        <f t="shared" si="9"/>
        <v>0.52796233170507845</v>
      </c>
      <c r="AM19" t="s">
        <v>17</v>
      </c>
      <c r="AO19" s="3">
        <f>AVERAGE(AG94,Y92,R83,K84,D93)</f>
        <v>32500.558922367949</v>
      </c>
      <c r="AP19" s="3"/>
      <c r="AQ19" s="3"/>
      <c r="AR19" s="3"/>
    </row>
    <row r="20" spans="2:44" x14ac:dyDescent="0.25">
      <c r="B20">
        <v>18</v>
      </c>
      <c r="C20" s="3">
        <v>102051</v>
      </c>
      <c r="D20" s="3">
        <v>18077</v>
      </c>
      <c r="E20" s="4">
        <v>42547</v>
      </c>
      <c r="F20" s="120">
        <f t="shared" si="0"/>
        <v>1.2790807854744974</v>
      </c>
      <c r="G20" s="120">
        <f t="shared" si="1"/>
        <v>0.92213846479274619</v>
      </c>
      <c r="H20" s="7"/>
      <c r="I20">
        <v>18</v>
      </c>
      <c r="J20" s="3">
        <v>57576</v>
      </c>
      <c r="K20" s="3">
        <v>15455</v>
      </c>
      <c r="L20" s="4">
        <v>41503</v>
      </c>
      <c r="M20" s="70">
        <f t="shared" si="2"/>
        <v>0.68439369754583401</v>
      </c>
      <c r="N20" s="70">
        <f t="shared" si="3"/>
        <v>0.68398120877248492</v>
      </c>
      <c r="P20">
        <v>18</v>
      </c>
      <c r="Q20" s="3">
        <v>81609</v>
      </c>
      <c r="R20" s="3">
        <v>19562</v>
      </c>
      <c r="S20" s="4">
        <v>47625</v>
      </c>
      <c r="T20">
        <f t="shared" si="4"/>
        <v>0.88919699847390421</v>
      </c>
      <c r="U20">
        <f t="shared" si="5"/>
        <v>0.78049218396895403</v>
      </c>
      <c r="W20">
        <v>18</v>
      </c>
      <c r="X20" s="3">
        <v>44819</v>
      </c>
      <c r="Y20" s="3">
        <v>16433</v>
      </c>
      <c r="Z20" s="4">
        <v>49064</v>
      </c>
      <c r="AA20">
        <f t="shared" si="6"/>
        <v>0.63176228925838729</v>
      </c>
      <c r="AB20">
        <f t="shared" si="7"/>
        <v>0.59787712736179555</v>
      </c>
      <c r="AE20">
        <v>18</v>
      </c>
      <c r="AF20" s="3">
        <v>46400</v>
      </c>
      <c r="AG20" s="3">
        <v>20392</v>
      </c>
      <c r="AH20" s="4">
        <v>65940</v>
      </c>
      <c r="AI20">
        <f t="shared" si="8"/>
        <v>0.62611882929895668</v>
      </c>
      <c r="AJ20">
        <f t="shared" si="9"/>
        <v>0.68500400000826878</v>
      </c>
      <c r="AM20" t="s">
        <v>18</v>
      </c>
      <c r="AO20" s="3">
        <f>AVERAGE(AG95,Y93,R84,K85,D94)</f>
        <v>18490.332138398699</v>
      </c>
      <c r="AP20" s="3"/>
      <c r="AQ20" s="3"/>
      <c r="AR20" s="3"/>
    </row>
    <row r="21" spans="2:44" x14ac:dyDescent="0.25">
      <c r="B21">
        <v>19</v>
      </c>
      <c r="C21" s="3">
        <v>84589</v>
      </c>
      <c r="D21" s="3">
        <v>19363</v>
      </c>
      <c r="E21" s="4">
        <v>42381</v>
      </c>
      <c r="F21" s="120">
        <f t="shared" si="0"/>
        <v>1.0602166030955331</v>
      </c>
      <c r="G21" s="120">
        <f t="shared" si="1"/>
        <v>0.98773950842407177</v>
      </c>
      <c r="I21">
        <v>19</v>
      </c>
      <c r="J21" s="3">
        <v>68418</v>
      </c>
      <c r="K21" s="3">
        <v>18273</v>
      </c>
      <c r="L21" s="4">
        <v>29641</v>
      </c>
      <c r="M21" s="70">
        <f t="shared" si="2"/>
        <v>0.81327025147094045</v>
      </c>
      <c r="N21" s="70">
        <f t="shared" si="3"/>
        <v>0.80869547899706351</v>
      </c>
      <c r="P21">
        <v>19</v>
      </c>
      <c r="Q21" s="25">
        <v>95834</v>
      </c>
      <c r="R21" s="26">
        <v>28071</v>
      </c>
      <c r="S21" s="4">
        <v>73490</v>
      </c>
      <c r="T21">
        <f t="shared" si="4"/>
        <v>1.0441900421736345</v>
      </c>
      <c r="U21">
        <f t="shared" si="5"/>
        <v>1.1199875317550614</v>
      </c>
      <c r="W21">
        <v>19</v>
      </c>
      <c r="X21" s="3">
        <v>46174</v>
      </c>
      <c r="Y21" s="3">
        <v>19154</v>
      </c>
      <c r="Z21" s="4">
        <v>43236</v>
      </c>
      <c r="AA21">
        <f t="shared" si="6"/>
        <v>0.65086217774195709</v>
      </c>
      <c r="AB21">
        <f t="shared" si="7"/>
        <v>0.69687449020190051</v>
      </c>
      <c r="AE21">
        <v>19</v>
      </c>
      <c r="AF21" s="3">
        <v>63772</v>
      </c>
      <c r="AG21" s="3">
        <v>23754</v>
      </c>
      <c r="AH21" s="4">
        <v>50024</v>
      </c>
      <c r="AI21">
        <f t="shared" si="8"/>
        <v>0.8605355599580401</v>
      </c>
      <c r="AJ21">
        <f t="shared" si="9"/>
        <v>0.79793963398373946</v>
      </c>
      <c r="AM21" s="3"/>
      <c r="AN21" s="3"/>
      <c r="AO21" s="3" t="s">
        <v>27</v>
      </c>
      <c r="AP21" s="3" t="s">
        <v>28</v>
      </c>
      <c r="AQ21" s="3" t="s">
        <v>29</v>
      </c>
      <c r="AR21" s="3"/>
    </row>
    <row r="22" spans="2:44" x14ac:dyDescent="0.25">
      <c r="B22">
        <v>20</v>
      </c>
      <c r="C22" s="3">
        <v>70652</v>
      </c>
      <c r="D22" s="3">
        <v>17617</v>
      </c>
      <c r="E22" s="4">
        <v>33457</v>
      </c>
      <c r="F22" s="120">
        <f t="shared" si="0"/>
        <v>0.88553385714343014</v>
      </c>
      <c r="G22" s="120">
        <f t="shared" si="1"/>
        <v>0.89867308371155663</v>
      </c>
      <c r="I22">
        <v>20</v>
      </c>
      <c r="J22" s="3">
        <v>59569</v>
      </c>
      <c r="K22" s="3">
        <v>13210</v>
      </c>
      <c r="L22" s="4">
        <v>51276</v>
      </c>
      <c r="M22" s="70">
        <f t="shared" si="2"/>
        <v>0.70808406574106897</v>
      </c>
      <c r="N22" s="70">
        <f t="shared" si="3"/>
        <v>0.58462580186894375</v>
      </c>
      <c r="P22">
        <v>20</v>
      </c>
      <c r="Q22" s="3">
        <v>92072</v>
      </c>
      <c r="R22" s="3">
        <v>23292</v>
      </c>
      <c r="S22" s="4">
        <v>64377</v>
      </c>
      <c r="T22">
        <f t="shared" si="4"/>
        <v>1.0031999662229572</v>
      </c>
      <c r="U22">
        <f t="shared" si="5"/>
        <v>0.92931315555694094</v>
      </c>
      <c r="W22">
        <v>20</v>
      </c>
      <c r="X22" s="3">
        <v>51227</v>
      </c>
      <c r="Y22" s="3">
        <v>28469</v>
      </c>
      <c r="Z22" s="4">
        <v>55930</v>
      </c>
      <c r="AA22">
        <f t="shared" si="6"/>
        <v>0.72208855154821405</v>
      </c>
      <c r="AB22">
        <f t="shared" si="7"/>
        <v>1.0357794644229876</v>
      </c>
      <c r="AE22">
        <v>20</v>
      </c>
      <c r="AF22" s="3">
        <v>51551</v>
      </c>
      <c r="AG22" s="3">
        <v>17886</v>
      </c>
      <c r="AH22" s="4">
        <v>53861</v>
      </c>
      <c r="AI22">
        <f t="shared" si="8"/>
        <v>0.69562611571531274</v>
      </c>
      <c r="AJ22">
        <f t="shared" si="9"/>
        <v>0.60082294743761744</v>
      </c>
      <c r="AM22" s="10" t="s">
        <v>20</v>
      </c>
      <c r="AN22" s="10">
        <f>AVERAGE(C98,J88,Q87,X95,AF97)</f>
        <v>28.2</v>
      </c>
      <c r="AO22" s="10">
        <f>AVERAGE(D98,K88,R87,Y95,AG97)</f>
        <v>39.798567577514945</v>
      </c>
      <c r="AP22" s="10">
        <f>AVERAGE(E98,L88,S87,Z95,AH97)</f>
        <v>100</v>
      </c>
      <c r="AQ22" s="10"/>
      <c r="AR22" s="3"/>
    </row>
    <row r="23" spans="2:44" x14ac:dyDescent="0.25">
      <c r="B23">
        <v>21</v>
      </c>
      <c r="C23" s="3">
        <v>74129</v>
      </c>
      <c r="D23" s="3">
        <v>13019</v>
      </c>
      <c r="E23" s="4">
        <v>43871</v>
      </c>
      <c r="F23" s="120">
        <f t="shared" si="0"/>
        <v>0.9291136740104361</v>
      </c>
      <c r="G23" s="120">
        <f t="shared" si="1"/>
        <v>0.66412129629566652</v>
      </c>
      <c r="I23">
        <v>21</v>
      </c>
      <c r="J23" s="3">
        <v>74682</v>
      </c>
      <c r="K23" s="3">
        <v>20871</v>
      </c>
      <c r="L23" s="4">
        <v>43023</v>
      </c>
      <c r="M23" s="70">
        <f t="shared" si="2"/>
        <v>0.88772909059535177</v>
      </c>
      <c r="N23" s="70">
        <f t="shared" si="3"/>
        <v>0.92367336190815486</v>
      </c>
      <c r="P23">
        <v>21</v>
      </c>
      <c r="Q23" s="3">
        <v>65538</v>
      </c>
      <c r="R23" s="3">
        <v>14727</v>
      </c>
      <c r="S23" s="4">
        <v>48937</v>
      </c>
      <c r="T23">
        <f t="shared" si="4"/>
        <v>0.71409027050916851</v>
      </c>
      <c r="U23">
        <f t="shared" si="5"/>
        <v>0.58758349827782363</v>
      </c>
      <c r="W23">
        <v>21</v>
      </c>
      <c r="X23" s="3">
        <v>61096</v>
      </c>
      <c r="Y23" s="3">
        <v>20995</v>
      </c>
      <c r="Z23" s="4">
        <v>39881</v>
      </c>
      <c r="AA23">
        <f t="shared" si="6"/>
        <v>0.86120058065843563</v>
      </c>
      <c r="AB23">
        <f t="shared" si="7"/>
        <v>0.76385506535391579</v>
      </c>
      <c r="AE23">
        <v>21</v>
      </c>
      <c r="AF23" s="3">
        <v>55401</v>
      </c>
      <c r="AG23" s="3">
        <v>17987</v>
      </c>
      <c r="AH23" s="4">
        <v>45076</v>
      </c>
      <c r="AI23">
        <f t="shared" si="8"/>
        <v>0.7475777858187822</v>
      </c>
      <c r="AJ23">
        <f t="shared" si="9"/>
        <v>0.60421571930898044</v>
      </c>
      <c r="AM23" s="9" t="s">
        <v>21</v>
      </c>
      <c r="AN23" s="8">
        <f t="shared" ref="AN23:AO28" si="12">AVERAGE(C99,J89,Q88,X96,AF98)</f>
        <v>26.8</v>
      </c>
      <c r="AO23" s="8">
        <f t="shared" si="12"/>
        <v>37.493641304167618</v>
      </c>
      <c r="AP23" s="8"/>
      <c r="AQ23" s="8">
        <f>AVERAGE(F99,M89,T88,AA96,AI98)</f>
        <v>100</v>
      </c>
      <c r="AR23" s="3"/>
    </row>
    <row r="24" spans="2:44" x14ac:dyDescent="0.25">
      <c r="B24">
        <v>22</v>
      </c>
      <c r="C24" s="3">
        <v>71397</v>
      </c>
      <c r="D24" s="3">
        <v>16124</v>
      </c>
      <c r="E24" s="4">
        <v>37860</v>
      </c>
      <c r="F24" s="120">
        <f t="shared" si="0"/>
        <v>0.89487149406201494</v>
      </c>
      <c r="G24" s="120">
        <f t="shared" si="1"/>
        <v>0.82251261859369584</v>
      </c>
      <c r="I24">
        <v>22</v>
      </c>
      <c r="J24" s="3">
        <v>68972</v>
      </c>
      <c r="K24" s="3">
        <v>15437</v>
      </c>
      <c r="L24" s="4">
        <v>56437</v>
      </c>
      <c r="M24" s="70">
        <f t="shared" si="2"/>
        <v>0.81985553194267169</v>
      </c>
      <c r="N24" s="70">
        <f t="shared" si="3"/>
        <v>0.68318459526501774</v>
      </c>
      <c r="P24">
        <v>22</v>
      </c>
      <c r="Q24" s="25">
        <v>94071</v>
      </c>
      <c r="R24" s="26">
        <v>33574</v>
      </c>
      <c r="S24" s="4">
        <v>58266</v>
      </c>
      <c r="T24">
        <f t="shared" si="4"/>
        <v>1.0249807109931335</v>
      </c>
      <c r="U24">
        <f t="shared" si="5"/>
        <v>1.3395483378270967</v>
      </c>
      <c r="W24">
        <v>22</v>
      </c>
      <c r="X24" s="3">
        <v>62841</v>
      </c>
      <c r="Y24" s="3">
        <v>21297</v>
      </c>
      <c r="Z24" s="4">
        <v>59500</v>
      </c>
      <c r="AA24">
        <f t="shared" si="6"/>
        <v>0.88579785401919531</v>
      </c>
      <c r="AB24">
        <f t="shared" si="7"/>
        <v>0.77484264476505571</v>
      </c>
      <c r="AE24">
        <v>22</v>
      </c>
      <c r="AF24" s="3">
        <v>51860</v>
      </c>
      <c r="AG24" s="3">
        <v>17468</v>
      </c>
      <c r="AH24" s="4">
        <v>46102</v>
      </c>
      <c r="AI24">
        <f t="shared" si="8"/>
        <v>0.69979574326387695</v>
      </c>
      <c r="AJ24">
        <f t="shared" si="9"/>
        <v>0.58678157474227333</v>
      </c>
      <c r="AM24" s="20" t="s">
        <v>22</v>
      </c>
      <c r="AN24" s="10">
        <f t="shared" si="12"/>
        <v>6.4</v>
      </c>
      <c r="AO24" s="10">
        <f t="shared" si="12"/>
        <v>9.1341476920424292</v>
      </c>
      <c r="AP24" s="10">
        <f>AVERAGE(E100,L90,S89,Z97,AH99)</f>
        <v>22.485218007798654</v>
      </c>
      <c r="AQ24" s="10"/>
    </row>
    <row r="25" spans="2:44" x14ac:dyDescent="0.25">
      <c r="B25">
        <v>23</v>
      </c>
      <c r="C25" s="3">
        <v>47012</v>
      </c>
      <c r="D25" s="3">
        <v>8025</v>
      </c>
      <c r="E25" s="4">
        <v>22926</v>
      </c>
      <c r="F25" s="120">
        <f t="shared" si="0"/>
        <v>0.58923622391477859</v>
      </c>
      <c r="G25" s="120">
        <f t="shared" si="1"/>
        <v>0.40936887647075226</v>
      </c>
      <c r="I25">
        <v>23</v>
      </c>
      <c r="J25" s="3">
        <v>57899</v>
      </c>
      <c r="K25" s="3">
        <v>13975</v>
      </c>
      <c r="L25" s="4">
        <v>31304</v>
      </c>
      <c r="M25" s="70">
        <f t="shared" si="2"/>
        <v>0.68823313002303466</v>
      </c>
      <c r="N25" s="70">
        <f t="shared" si="3"/>
        <v>0.61848187593629744</v>
      </c>
      <c r="P25">
        <v>23</v>
      </c>
      <c r="Q25" s="3">
        <v>84836</v>
      </c>
      <c r="R25" s="3">
        <v>20534</v>
      </c>
      <c r="S25" s="4">
        <v>56329</v>
      </c>
      <c r="T25">
        <f t="shared" si="4"/>
        <v>0.92435781056663036</v>
      </c>
      <c r="U25">
        <f t="shared" si="5"/>
        <v>0.81927341302619894</v>
      </c>
      <c r="W25">
        <v>23</v>
      </c>
      <c r="X25" s="3">
        <v>60395</v>
      </c>
      <c r="Y25" s="3">
        <v>20098</v>
      </c>
      <c r="Z25" s="4">
        <v>50498</v>
      </c>
      <c r="AA25">
        <f t="shared" si="6"/>
        <v>0.85131938373815341</v>
      </c>
      <c r="AB25">
        <f t="shared" si="7"/>
        <v>0.73121977154003326</v>
      </c>
      <c r="AE25">
        <v>23</v>
      </c>
      <c r="AF25" s="3">
        <v>82944</v>
      </c>
      <c r="AG25" s="3">
        <v>22975</v>
      </c>
      <c r="AH25" s="4">
        <v>45807</v>
      </c>
      <c r="AI25">
        <f t="shared" si="8"/>
        <v>1.1192413831330315</v>
      </c>
      <c r="AJ25">
        <f t="shared" si="9"/>
        <v>0.77177162123332554</v>
      </c>
      <c r="AM25" s="9" t="s">
        <v>23</v>
      </c>
      <c r="AN25" s="8">
        <f t="shared" si="12"/>
        <v>5</v>
      </c>
      <c r="AO25" s="8">
        <f t="shared" si="12"/>
        <v>6.829221418695103</v>
      </c>
      <c r="AP25" s="8"/>
      <c r="AQ25" s="8">
        <f>AVERAGE(F101,M91,T90,AA98,AI100)</f>
        <v>17.988360617670963</v>
      </c>
    </row>
    <row r="26" spans="2:44" x14ac:dyDescent="0.25">
      <c r="B26">
        <v>24</v>
      </c>
      <c r="C26" s="3">
        <v>95081</v>
      </c>
      <c r="D26" s="3">
        <v>17564</v>
      </c>
      <c r="E26" s="4">
        <v>39859</v>
      </c>
      <c r="F26" s="120">
        <f t="shared" si="0"/>
        <v>1.1917206118872004</v>
      </c>
      <c r="G26" s="120">
        <f t="shared" si="1"/>
        <v>0.89596946371741959</v>
      </c>
      <c r="I26">
        <v>24</v>
      </c>
      <c r="J26" s="3">
        <v>83932</v>
      </c>
      <c r="K26" s="3">
        <v>18872</v>
      </c>
      <c r="L26" s="4">
        <v>51295</v>
      </c>
      <c r="M26" s="70">
        <f t="shared" si="2"/>
        <v>0.99768187825512256</v>
      </c>
      <c r="N26" s="70">
        <f t="shared" si="3"/>
        <v>0.83520500627333127</v>
      </c>
      <c r="P26">
        <v>24</v>
      </c>
      <c r="Q26" s="30">
        <v>91384</v>
      </c>
      <c r="R26" s="30">
        <v>29172</v>
      </c>
      <c r="S26" s="4">
        <v>42815</v>
      </c>
      <c r="T26">
        <f t="shared" si="4"/>
        <v>0.99570364185983484</v>
      </c>
      <c r="U26">
        <f t="shared" si="5"/>
        <v>1.1639156523229899</v>
      </c>
      <c r="W26">
        <v>24</v>
      </c>
      <c r="X26" s="3">
        <v>59174</v>
      </c>
      <c r="Y26" s="3">
        <v>19465</v>
      </c>
      <c r="Z26" s="4">
        <v>34628</v>
      </c>
      <c r="AA26">
        <f t="shared" si="6"/>
        <v>0.8341083403149514</v>
      </c>
      <c r="AB26">
        <f t="shared" si="7"/>
        <v>0.70818951403257779</v>
      </c>
      <c r="AE26">
        <v>24</v>
      </c>
      <c r="AF26" s="3">
        <v>80273</v>
      </c>
      <c r="AG26" s="3">
        <v>23286</v>
      </c>
      <c r="AH26" s="4">
        <v>42416</v>
      </c>
      <c r="AI26">
        <f t="shared" si="8"/>
        <v>1.0831990686274815</v>
      </c>
      <c r="AJ26">
        <f t="shared" si="9"/>
        <v>0.78221867125306721</v>
      </c>
      <c r="AM26" s="7" t="s">
        <v>24</v>
      </c>
      <c r="AN26" s="6">
        <f t="shared" si="12"/>
        <v>43</v>
      </c>
      <c r="AO26" s="6">
        <f t="shared" si="12"/>
        <v>60.201432422485063</v>
      </c>
      <c r="AP26" s="6"/>
      <c r="AQ26" s="6"/>
    </row>
    <row r="27" spans="2:44" x14ac:dyDescent="0.25">
      <c r="B27">
        <v>25</v>
      </c>
      <c r="C27" s="3">
        <v>62624</v>
      </c>
      <c r="D27" s="3">
        <v>16840</v>
      </c>
      <c r="E27" s="4">
        <v>31632</v>
      </c>
      <c r="F27" s="120">
        <f t="shared" si="0"/>
        <v>0.78491298575765966</v>
      </c>
      <c r="G27" s="120">
        <f t="shared" si="1"/>
        <v>0.85903699436354741</v>
      </c>
      <c r="I27">
        <v>25</v>
      </c>
      <c r="J27" s="3">
        <v>63297</v>
      </c>
      <c r="K27" s="3">
        <v>13005</v>
      </c>
      <c r="L27" s="4">
        <v>51836</v>
      </c>
      <c r="M27" s="70">
        <f t="shared" si="2"/>
        <v>0.75239801086492031</v>
      </c>
      <c r="N27" s="70">
        <f t="shared" si="3"/>
        <v>0.57555325914501243</v>
      </c>
      <c r="P27">
        <v>25</v>
      </c>
      <c r="Q27" s="3">
        <v>71373</v>
      </c>
      <c r="R27" s="3">
        <v>17359</v>
      </c>
      <c r="S27" s="4">
        <v>42654</v>
      </c>
      <c r="T27">
        <f t="shared" si="4"/>
        <v>0.77766738193186979</v>
      </c>
      <c r="U27">
        <f t="shared" si="5"/>
        <v>0.69259604444929324</v>
      </c>
      <c r="W27">
        <v>25</v>
      </c>
      <c r="X27" s="3">
        <v>66048</v>
      </c>
      <c r="Y27" s="3">
        <v>24480</v>
      </c>
      <c r="Z27" s="4">
        <v>38880</v>
      </c>
      <c r="AA27">
        <f t="shared" si="6"/>
        <v>0.9310032727400871</v>
      </c>
      <c r="AB27">
        <f t="shared" si="7"/>
        <v>0.89064882114140786</v>
      </c>
      <c r="AE27">
        <v>25</v>
      </c>
      <c r="AF27" s="3">
        <v>52831</v>
      </c>
      <c r="AG27" s="3">
        <v>17915</v>
      </c>
      <c r="AH27" s="4">
        <v>45127</v>
      </c>
      <c r="AI27">
        <f t="shared" si="8"/>
        <v>0.71289835928218059</v>
      </c>
      <c r="AJ27">
        <f t="shared" si="9"/>
        <v>0.60179710965810784</v>
      </c>
      <c r="AM27" s="7" t="s">
        <v>25</v>
      </c>
      <c r="AN27" s="6">
        <f t="shared" si="12"/>
        <v>44.4</v>
      </c>
      <c r="AO27" s="6">
        <f t="shared" si="12"/>
        <v>62.50635869583239</v>
      </c>
      <c r="AP27" s="6"/>
      <c r="AQ27" s="6"/>
    </row>
    <row r="28" spans="2:44" x14ac:dyDescent="0.25">
      <c r="B28">
        <v>26</v>
      </c>
      <c r="C28" s="3">
        <v>61779</v>
      </c>
      <c r="D28" s="3">
        <v>11867</v>
      </c>
      <c r="E28" s="4">
        <v>35487</v>
      </c>
      <c r="F28" s="120">
        <f t="shared" si="0"/>
        <v>0.77432197475604325</v>
      </c>
      <c r="G28" s="120">
        <f t="shared" si="1"/>
        <v>0.60535582019668743</v>
      </c>
      <c r="I28">
        <v>26</v>
      </c>
      <c r="J28" s="3">
        <v>76394</v>
      </c>
      <c r="K28" s="3">
        <v>17903</v>
      </c>
      <c r="L28" s="4">
        <v>27487</v>
      </c>
      <c r="M28" s="70">
        <f t="shared" si="2"/>
        <v>0.90807927140330069</v>
      </c>
      <c r="N28" s="70">
        <f t="shared" si="3"/>
        <v>0.79232064578801664</v>
      </c>
      <c r="P28">
        <v>26</v>
      </c>
      <c r="Q28" s="3">
        <v>60324</v>
      </c>
      <c r="R28" s="3">
        <v>18324</v>
      </c>
      <c r="S28" s="4">
        <v>48604</v>
      </c>
      <c r="T28">
        <f t="shared" si="4"/>
        <v>0.6572794634898087</v>
      </c>
      <c r="U28">
        <f t="shared" si="5"/>
        <v>0.73109798481991184</v>
      </c>
      <c r="W28">
        <v>26</v>
      </c>
      <c r="X28" s="3">
        <v>95069</v>
      </c>
      <c r="Y28" s="3">
        <v>26358</v>
      </c>
      <c r="Z28" s="4">
        <v>55629</v>
      </c>
      <c r="AA28">
        <f t="shared" si="6"/>
        <v>1.3400791868963078</v>
      </c>
      <c r="AB28">
        <f t="shared" si="7"/>
        <v>0.95897555668485401</v>
      </c>
      <c r="AE28">
        <v>26</v>
      </c>
      <c r="AF28" s="3">
        <v>67974</v>
      </c>
      <c r="AG28" s="3">
        <v>24643</v>
      </c>
      <c r="AH28" s="4">
        <v>34370</v>
      </c>
      <c r="AI28">
        <f t="shared" si="8"/>
        <v>0.9172370970423982</v>
      </c>
      <c r="AJ28">
        <f t="shared" si="9"/>
        <v>0.82780274481187555</v>
      </c>
      <c r="AM28" s="36" t="s">
        <v>26</v>
      </c>
      <c r="AN28" s="33">
        <f t="shared" si="12"/>
        <v>21.8</v>
      </c>
      <c r="AO28" s="33">
        <f t="shared" si="12"/>
        <v>30.664419885472519</v>
      </c>
      <c r="AP28" s="33">
        <f>AVERAGE(E104,L94,S93,Z101,AH103)</f>
        <v>77.51478199220135</v>
      </c>
      <c r="AQ28" s="37">
        <f>AVERAGE(F104,M94,T93,AA101,AI103)</f>
        <v>82.011639382329037</v>
      </c>
    </row>
    <row r="29" spans="2:44" x14ac:dyDescent="0.25">
      <c r="B29">
        <v>27</v>
      </c>
      <c r="C29" s="3">
        <v>74344</v>
      </c>
      <c r="D29" s="3">
        <v>20918</v>
      </c>
      <c r="E29" s="4">
        <v>39377</v>
      </c>
      <c r="F29" s="120">
        <f t="shared" si="0"/>
        <v>0.93180842828895383</v>
      </c>
      <c r="G29" s="120">
        <f t="shared" si="1"/>
        <v>1.0670626988180929</v>
      </c>
      <c r="I29">
        <v>27</v>
      </c>
      <c r="J29" s="3">
        <v>55441</v>
      </c>
      <c r="K29" s="3">
        <v>14626</v>
      </c>
      <c r="L29" s="4">
        <v>37235</v>
      </c>
      <c r="M29" s="70">
        <f t="shared" si="2"/>
        <v>0.65901540547517334</v>
      </c>
      <c r="N29" s="70">
        <f t="shared" si="3"/>
        <v>0.64729273112302588</v>
      </c>
      <c r="P29">
        <v>27</v>
      </c>
      <c r="Q29" s="3">
        <v>55155</v>
      </c>
      <c r="R29" s="3">
        <v>16335</v>
      </c>
      <c r="S29" s="4">
        <v>50789</v>
      </c>
      <c r="T29">
        <f t="shared" si="4"/>
        <v>0.60095896838373442</v>
      </c>
      <c r="U29">
        <f t="shared" si="5"/>
        <v>0.65174009943425337</v>
      </c>
      <c r="W29">
        <v>27</v>
      </c>
      <c r="X29" s="3">
        <v>65600</v>
      </c>
      <c r="Y29" s="3">
        <v>26813</v>
      </c>
      <c r="Z29" s="4">
        <v>46507</v>
      </c>
      <c r="AA29">
        <f t="shared" si="6"/>
        <v>0.92468832806064849</v>
      </c>
      <c r="AB29">
        <f t="shared" si="7"/>
        <v>0.97552969122812783</v>
      </c>
      <c r="AE29">
        <v>27</v>
      </c>
      <c r="AF29" s="3">
        <v>38085</v>
      </c>
      <c r="AG29" s="3">
        <v>12024</v>
      </c>
      <c r="AH29" s="4">
        <v>26152</v>
      </c>
      <c r="AI29">
        <f t="shared" si="8"/>
        <v>0.51391671581574916</v>
      </c>
      <c r="AJ29">
        <f t="shared" si="9"/>
        <v>0.40390781169573475</v>
      </c>
    </row>
    <row r="30" spans="2:44" x14ac:dyDescent="0.25">
      <c r="B30">
        <v>28</v>
      </c>
      <c r="C30" s="3">
        <v>40556</v>
      </c>
      <c r="D30" s="3">
        <v>9603</v>
      </c>
      <c r="E30" s="4">
        <v>26095</v>
      </c>
      <c r="F30" s="120">
        <f t="shared" si="0"/>
        <v>0.50831839311426363</v>
      </c>
      <c r="G30" s="120">
        <f t="shared" si="1"/>
        <v>0.48986533591883286</v>
      </c>
      <c r="I30">
        <v>28</v>
      </c>
      <c r="J30" s="3">
        <v>76262</v>
      </c>
      <c r="K30" s="3">
        <v>13938</v>
      </c>
      <c r="L30" s="4">
        <v>41169</v>
      </c>
      <c r="M30" s="70">
        <f t="shared" si="2"/>
        <v>0.90651021540642618</v>
      </c>
      <c r="N30" s="70">
        <f t="shared" si="3"/>
        <v>0.6168443926153927</v>
      </c>
      <c r="P30">
        <v>28</v>
      </c>
      <c r="Q30" s="3">
        <v>63980</v>
      </c>
      <c r="R30" s="3">
        <v>24260</v>
      </c>
      <c r="S30" s="4">
        <v>45920</v>
      </c>
      <c r="T30">
        <f t="shared" si="4"/>
        <v>0.697114582489191</v>
      </c>
      <c r="U30">
        <f t="shared" si="5"/>
        <v>0.96793479107897074</v>
      </c>
      <c r="W30">
        <v>28</v>
      </c>
      <c r="X30" s="3">
        <v>55863</v>
      </c>
      <c r="Y30" s="3">
        <v>23253</v>
      </c>
      <c r="Z30" s="4">
        <v>37060</v>
      </c>
      <c r="AA30">
        <f t="shared" si="6"/>
        <v>0.78743695229347577</v>
      </c>
      <c r="AB30">
        <f t="shared" si="7"/>
        <v>0.84600723194449168</v>
      </c>
      <c r="AE30">
        <v>28</v>
      </c>
      <c r="AF30" s="25">
        <v>79804</v>
      </c>
      <c r="AG30" s="26">
        <v>40638</v>
      </c>
      <c r="AH30" s="4">
        <v>30435</v>
      </c>
      <c r="AI30">
        <f t="shared" si="8"/>
        <v>1.0768704106330589</v>
      </c>
      <c r="AJ30">
        <f t="shared" si="9"/>
        <v>1.3651035971133789</v>
      </c>
    </row>
    <row r="31" spans="2:44" x14ac:dyDescent="0.25">
      <c r="B31">
        <v>29</v>
      </c>
      <c r="C31" s="3">
        <v>53509</v>
      </c>
      <c r="D31" s="3">
        <v>15906</v>
      </c>
      <c r="E31" s="4">
        <v>25031</v>
      </c>
      <c r="F31" s="120">
        <f t="shared" si="0"/>
        <v>0.67066793808933645</v>
      </c>
      <c r="G31" s="120">
        <f t="shared" si="1"/>
        <v>0.81139206842913214</v>
      </c>
      <c r="I31">
        <v>29</v>
      </c>
      <c r="J31" s="3">
        <v>82827</v>
      </c>
      <c r="K31" s="3">
        <v>16327</v>
      </c>
      <c r="L31" s="4">
        <v>49206</v>
      </c>
      <c r="M31" s="70">
        <f t="shared" si="2"/>
        <v>0.9845469776752257</v>
      </c>
      <c r="N31" s="70">
        <f t="shared" si="3"/>
        <v>0.72257270757867109</v>
      </c>
      <c r="P31">
        <v>29</v>
      </c>
      <c r="Q31" s="3">
        <v>112712</v>
      </c>
      <c r="R31" s="3">
        <v>24082</v>
      </c>
      <c r="S31" s="4">
        <v>41932</v>
      </c>
      <c r="T31">
        <f t="shared" si="4"/>
        <v>1.2280896971166255</v>
      </c>
      <c r="U31">
        <f t="shared" si="5"/>
        <v>0.96083287876190326</v>
      </c>
      <c r="W31">
        <v>29</v>
      </c>
      <c r="X31" s="3">
        <v>47387</v>
      </c>
      <c r="Y31" s="3">
        <v>19882</v>
      </c>
      <c r="Z31" s="4">
        <v>52255</v>
      </c>
      <c r="AA31">
        <f t="shared" si="6"/>
        <v>0.66796045429588335</v>
      </c>
      <c r="AB31">
        <f t="shared" si="7"/>
        <v>0.72336110547113852</v>
      </c>
      <c r="AE31">
        <v>29</v>
      </c>
      <c r="AF31" s="3">
        <v>55278</v>
      </c>
      <c r="AG31" s="3">
        <v>17907</v>
      </c>
      <c r="AH31" s="4">
        <v>33325</v>
      </c>
      <c r="AI31">
        <f t="shared" si="8"/>
        <v>0.74591803116352851</v>
      </c>
      <c r="AJ31">
        <f t="shared" si="9"/>
        <v>0.60152837525245528</v>
      </c>
      <c r="AM31" s="81" t="s">
        <v>46</v>
      </c>
      <c r="AN31" s="73" t="s">
        <v>1</v>
      </c>
      <c r="AO31" s="73" t="s">
        <v>2</v>
      </c>
      <c r="AP31" s="73" t="s">
        <v>39</v>
      </c>
      <c r="AQ31" s="74" t="s">
        <v>40</v>
      </c>
    </row>
    <row r="32" spans="2:44" x14ac:dyDescent="0.25">
      <c r="B32">
        <v>30</v>
      </c>
      <c r="C32" s="3">
        <v>38145</v>
      </c>
      <c r="D32" s="3">
        <v>9795</v>
      </c>
      <c r="E32" s="4">
        <v>19867</v>
      </c>
      <c r="F32" s="120">
        <f t="shared" si="0"/>
        <v>0.47809954397237364</v>
      </c>
      <c r="G32" s="120">
        <f t="shared" si="1"/>
        <v>0.49965958193532939</v>
      </c>
      <c r="I32">
        <v>30</v>
      </c>
      <c r="J32" s="3">
        <v>61593</v>
      </c>
      <c r="K32" s="3">
        <v>10291</v>
      </c>
      <c r="L32" s="4">
        <v>47783</v>
      </c>
      <c r="M32" s="70">
        <f t="shared" si="2"/>
        <v>0.73214292435981232</v>
      </c>
      <c r="N32" s="70">
        <f t="shared" si="3"/>
        <v>0.45544164474135507</v>
      </c>
      <c r="P32">
        <v>30</v>
      </c>
      <c r="Q32" s="3">
        <v>76641</v>
      </c>
      <c r="R32" s="3">
        <v>19456</v>
      </c>
      <c r="S32" s="4">
        <v>44256</v>
      </c>
      <c r="T32">
        <f t="shared" si="4"/>
        <v>0.83506656324717232</v>
      </c>
      <c r="U32">
        <f t="shared" si="5"/>
        <v>0.77626295528575662</v>
      </c>
      <c r="W32">
        <v>30</v>
      </c>
      <c r="X32" s="3">
        <v>57178</v>
      </c>
      <c r="Y32" s="3">
        <v>21987</v>
      </c>
      <c r="Z32" s="4">
        <v>53631</v>
      </c>
      <c r="AA32">
        <f t="shared" si="6"/>
        <v>0.80597300643066705</v>
      </c>
      <c r="AB32">
        <f t="shared" si="7"/>
        <v>0.79994671692958064</v>
      </c>
      <c r="AE32">
        <v>30</v>
      </c>
      <c r="AF32" s="25">
        <v>76667</v>
      </c>
      <c r="AG32" s="26">
        <v>33115</v>
      </c>
      <c r="AH32" s="4">
        <v>28396</v>
      </c>
      <c r="AI32">
        <f t="shared" si="8"/>
        <v>1.0345399199539462</v>
      </c>
      <c r="AJ32">
        <f t="shared" si="9"/>
        <v>1.1123924803978922</v>
      </c>
      <c r="AM32" s="75" t="s">
        <v>37</v>
      </c>
      <c r="AN32" s="38">
        <f t="shared" ref="AN32:AQ33" si="13">AVERAGE(AF106,X105,Q97,J97,C108)</f>
        <v>33721.599999999999</v>
      </c>
      <c r="AO32" s="38">
        <f t="shared" si="13"/>
        <v>9844</v>
      </c>
      <c r="AP32" s="70">
        <f t="shared" si="13"/>
        <v>0.42126513721205494</v>
      </c>
      <c r="AQ32" s="70">
        <f t="shared" si="13"/>
        <v>0.39246602560621879</v>
      </c>
    </row>
    <row r="33" spans="2:44" x14ac:dyDescent="0.25">
      <c r="B33">
        <v>31</v>
      </c>
      <c r="C33" s="3">
        <v>49881</v>
      </c>
      <c r="D33" s="3">
        <v>11261</v>
      </c>
      <c r="E33" s="4">
        <v>34948</v>
      </c>
      <c r="F33" s="120">
        <f t="shared" si="0"/>
        <v>0.62519552635695297</v>
      </c>
      <c r="G33" s="120">
        <f t="shared" si="1"/>
        <v>0.57444273120712042</v>
      </c>
      <c r="I33">
        <v>31</v>
      </c>
      <c r="J33" s="3">
        <v>56812</v>
      </c>
      <c r="K33" s="3">
        <v>16130</v>
      </c>
      <c r="L33" s="4">
        <v>35690</v>
      </c>
      <c r="M33" s="70">
        <f t="shared" si="2"/>
        <v>0.67531219162452971</v>
      </c>
      <c r="N33" s="70">
        <f t="shared" si="3"/>
        <v>0.71385421530250281</v>
      </c>
      <c r="P33">
        <v>31</v>
      </c>
      <c r="Q33" s="3">
        <v>78336</v>
      </c>
      <c r="R33" s="3">
        <v>17793</v>
      </c>
      <c r="S33" s="4">
        <v>41788</v>
      </c>
      <c r="T33">
        <f t="shared" si="4"/>
        <v>0.8535349786475972</v>
      </c>
      <c r="U33">
        <f t="shared" si="5"/>
        <v>0.70991194302012062</v>
      </c>
      <c r="W33">
        <v>31</v>
      </c>
      <c r="X33" s="3">
        <v>44841</v>
      </c>
      <c r="Y33" s="3">
        <v>17598</v>
      </c>
      <c r="Z33" s="4">
        <v>44188</v>
      </c>
      <c r="AA33">
        <f t="shared" si="6"/>
        <v>0.63207239814889538</v>
      </c>
      <c r="AB33">
        <f t="shared" si="7"/>
        <v>0.64026298833523265</v>
      </c>
      <c r="AE33">
        <v>31</v>
      </c>
      <c r="AF33" s="3">
        <v>44485</v>
      </c>
      <c r="AG33" s="3">
        <v>21576</v>
      </c>
      <c r="AH33" s="4">
        <v>47924</v>
      </c>
      <c r="AI33">
        <f t="shared" si="8"/>
        <v>0.60027793365008808</v>
      </c>
      <c r="AJ33">
        <f t="shared" si="9"/>
        <v>0.72477669204484141</v>
      </c>
      <c r="AM33" s="75" t="s">
        <v>38</v>
      </c>
      <c r="AN33" s="38">
        <f t="shared" si="13"/>
        <v>143211.4</v>
      </c>
      <c r="AO33" s="38">
        <f t="shared" si="13"/>
        <v>50448.4</v>
      </c>
      <c r="AP33" s="70">
        <f t="shared" si="13"/>
        <v>1.7913489238815796</v>
      </c>
      <c r="AQ33" s="70">
        <f t="shared" si="13"/>
        <v>2.0300230800192951</v>
      </c>
    </row>
    <row r="34" spans="2:44" x14ac:dyDescent="0.25">
      <c r="B34">
        <v>32</v>
      </c>
      <c r="C34" s="3">
        <v>40937</v>
      </c>
      <c r="D34" s="3">
        <v>13136</v>
      </c>
      <c r="E34" s="4">
        <v>30269</v>
      </c>
      <c r="F34" s="120">
        <f t="shared" si="0"/>
        <v>0.51309374837061372</v>
      </c>
      <c r="G34" s="120">
        <f t="shared" si="1"/>
        <v>0.67008966496196898</v>
      </c>
      <c r="I34">
        <v>32</v>
      </c>
      <c r="J34" s="3">
        <v>41700</v>
      </c>
      <c r="K34" s="3">
        <v>12811</v>
      </c>
      <c r="L34" s="4">
        <v>44826</v>
      </c>
      <c r="M34" s="70">
        <f t="shared" si="2"/>
        <v>0.49567905355810193</v>
      </c>
      <c r="N34" s="70">
        <f t="shared" si="3"/>
        <v>0.56696753578675541</v>
      </c>
      <c r="P34">
        <v>32</v>
      </c>
      <c r="Q34" s="3">
        <v>81216</v>
      </c>
      <c r="R34" s="3">
        <v>23819</v>
      </c>
      <c r="S34" s="4">
        <v>43404</v>
      </c>
      <c r="T34">
        <f t="shared" si="4"/>
        <v>0.8849149410978765</v>
      </c>
      <c r="U34">
        <f t="shared" si="5"/>
        <v>0.95033960382151705</v>
      </c>
      <c r="W34">
        <v>32</v>
      </c>
      <c r="X34" s="3">
        <v>39733</v>
      </c>
      <c r="Y34" s="3">
        <v>20030</v>
      </c>
      <c r="Z34" s="4">
        <v>45446</v>
      </c>
      <c r="AA34">
        <f t="shared" si="6"/>
        <v>0.56007075211636814</v>
      </c>
      <c r="AB34">
        <f t="shared" si="7"/>
        <v>0.72874574703686268</v>
      </c>
      <c r="AE34">
        <v>32</v>
      </c>
      <c r="AF34" s="3">
        <v>54774</v>
      </c>
      <c r="AG34" s="3">
        <v>20387</v>
      </c>
      <c r="AH34" s="4">
        <v>43244</v>
      </c>
      <c r="AI34">
        <f t="shared" si="8"/>
        <v>0.73911708525907438</v>
      </c>
      <c r="AJ34">
        <f t="shared" si="9"/>
        <v>0.68483604100473594</v>
      </c>
      <c r="AM34" s="77" t="s">
        <v>4</v>
      </c>
      <c r="AN34" s="38">
        <f>AVERAGE(AF108,X107,Q99,J99,C110)</f>
        <v>80148.026041770063</v>
      </c>
      <c r="AO34" s="38">
        <f>AVERAGE(AG108,Y107,R99,K99,D110)</f>
        <v>24903.483683519436</v>
      </c>
      <c r="AP34" s="79"/>
      <c r="AQ34" s="80"/>
    </row>
    <row r="35" spans="2:44" x14ac:dyDescent="0.25">
      <c r="B35">
        <v>33</v>
      </c>
      <c r="C35" s="3">
        <v>38234</v>
      </c>
      <c r="D35" s="3">
        <v>11300</v>
      </c>
      <c r="E35" s="4">
        <v>28621</v>
      </c>
      <c r="F35" s="120">
        <f t="shared" si="0"/>
        <v>0.4792150469062717</v>
      </c>
      <c r="G35" s="120">
        <f t="shared" si="1"/>
        <v>0.5764321874292212</v>
      </c>
      <c r="I35">
        <v>33</v>
      </c>
      <c r="J35" s="3">
        <v>47502</v>
      </c>
      <c r="K35" s="3">
        <v>15376</v>
      </c>
      <c r="L35" s="4">
        <v>35456</v>
      </c>
      <c r="M35" s="70">
        <f t="shared" si="2"/>
        <v>0.56464619669345228</v>
      </c>
      <c r="N35" s="70">
        <f t="shared" si="3"/>
        <v>0.68048496060082353</v>
      </c>
      <c r="P35">
        <v>33</v>
      </c>
      <c r="Q35" s="3">
        <v>65178</v>
      </c>
      <c r="R35" s="3">
        <v>15573</v>
      </c>
      <c r="S35" s="4">
        <v>34654</v>
      </c>
      <c r="T35">
        <f t="shared" si="4"/>
        <v>0.71016777520288354</v>
      </c>
      <c r="U35">
        <f t="shared" si="5"/>
        <v>0.62133753097579603</v>
      </c>
      <c r="W35">
        <v>33</v>
      </c>
      <c r="X35" s="3">
        <v>53112</v>
      </c>
      <c r="Y35" s="3">
        <v>23582</v>
      </c>
      <c r="Z35" s="4">
        <v>40051</v>
      </c>
      <c r="AA35">
        <f t="shared" si="6"/>
        <v>0.74865924512129822</v>
      </c>
      <c r="AB35">
        <f t="shared" si="7"/>
        <v>0.85797714461424346</v>
      </c>
      <c r="AE35">
        <v>33</v>
      </c>
      <c r="AF35" s="3">
        <v>54068</v>
      </c>
      <c r="AG35" s="3">
        <v>20841</v>
      </c>
      <c r="AH35" s="4">
        <v>25153</v>
      </c>
      <c r="AI35">
        <f t="shared" si="8"/>
        <v>0.7295903634167239</v>
      </c>
      <c r="AJ35">
        <f t="shared" si="9"/>
        <v>0.70008671852551629</v>
      </c>
    </row>
    <row r="36" spans="2:44" x14ac:dyDescent="0.25">
      <c r="B36">
        <v>34</v>
      </c>
      <c r="C36" s="3">
        <v>55488</v>
      </c>
      <c r="D36" s="3">
        <v>12994</v>
      </c>
      <c r="E36" s="4">
        <v>32933</v>
      </c>
      <c r="F36" s="120">
        <f t="shared" si="0"/>
        <v>0.69547221119253033</v>
      </c>
      <c r="G36" s="120">
        <f t="shared" si="1"/>
        <v>0.66284600384560177</v>
      </c>
      <c r="I36">
        <v>34</v>
      </c>
      <c r="J36" s="3">
        <v>54678</v>
      </c>
      <c r="K36" s="3">
        <v>17005</v>
      </c>
      <c r="L36" s="4">
        <v>35429</v>
      </c>
      <c r="M36" s="70">
        <f t="shared" si="2"/>
        <v>0.64994578634172417</v>
      </c>
      <c r="N36" s="70">
        <f t="shared" si="3"/>
        <v>0.75257848302660024</v>
      </c>
      <c r="P36">
        <v>34</v>
      </c>
      <c r="Q36" s="3">
        <v>66819</v>
      </c>
      <c r="R36" s="3">
        <v>16391</v>
      </c>
      <c r="S36" s="4">
        <v>34605</v>
      </c>
      <c r="T36">
        <f t="shared" si="4"/>
        <v>0.72804781630736559</v>
      </c>
      <c r="U36">
        <f t="shared" si="5"/>
        <v>0.65397440892726333</v>
      </c>
      <c r="W36">
        <v>34</v>
      </c>
      <c r="X36" s="3">
        <v>35485</v>
      </c>
      <c r="Y36" s="3">
        <v>12928</v>
      </c>
      <c r="Z36" s="4">
        <v>46124</v>
      </c>
      <c r="AA36">
        <f t="shared" si="6"/>
        <v>0.50019154453097736</v>
      </c>
      <c r="AB36">
        <f t="shared" si="7"/>
        <v>0.47035571730866504</v>
      </c>
      <c r="AE36">
        <v>34</v>
      </c>
      <c r="AF36" s="3">
        <v>64364</v>
      </c>
      <c r="AG36" s="3">
        <v>20872</v>
      </c>
      <c r="AH36" s="4">
        <v>41656</v>
      </c>
      <c r="AI36">
        <f t="shared" si="8"/>
        <v>0.86852397260771652</v>
      </c>
      <c r="AJ36">
        <f t="shared" si="9"/>
        <v>0.70112806434741981</v>
      </c>
      <c r="AM36" s="81" t="s">
        <v>47</v>
      </c>
      <c r="AN36" s="73" t="s">
        <v>39</v>
      </c>
      <c r="AO36" s="74" t="s">
        <v>40</v>
      </c>
      <c r="AP36" s="39"/>
      <c r="AQ36" s="39"/>
    </row>
    <row r="37" spans="2:44" x14ac:dyDescent="0.25">
      <c r="B37">
        <v>35</v>
      </c>
      <c r="C37" s="3">
        <v>44183</v>
      </c>
      <c r="D37" s="3">
        <v>11134</v>
      </c>
      <c r="E37" s="4">
        <v>25387</v>
      </c>
      <c r="F37" s="120">
        <f t="shared" si="0"/>
        <v>0.5537782711058169</v>
      </c>
      <c r="G37" s="120">
        <f t="shared" si="1"/>
        <v>0.56796424556079195</v>
      </c>
      <c r="I37">
        <v>35</v>
      </c>
      <c r="J37" s="3">
        <v>46649</v>
      </c>
      <c r="K37" s="3">
        <v>12794</v>
      </c>
      <c r="L37" s="4">
        <v>34351</v>
      </c>
      <c r="M37" s="70">
        <f t="shared" si="2"/>
        <v>0.5545067666530431</v>
      </c>
      <c r="N37" s="70">
        <f t="shared" si="3"/>
        <v>0.56621517858525861</v>
      </c>
      <c r="P37">
        <v>35</v>
      </c>
      <c r="Q37" s="3">
        <v>69121</v>
      </c>
      <c r="R37" s="3">
        <v>14107</v>
      </c>
      <c r="S37" s="4">
        <v>34736</v>
      </c>
      <c r="T37">
        <f t="shared" si="4"/>
        <v>0.75312999462699859</v>
      </c>
      <c r="U37">
        <f t="shared" si="5"/>
        <v>0.56284650031949879</v>
      </c>
      <c r="W37">
        <v>35</v>
      </c>
      <c r="X37" s="3">
        <v>48253</v>
      </c>
      <c r="Y37" s="3">
        <v>19123</v>
      </c>
      <c r="Z37" s="4">
        <v>44719</v>
      </c>
      <c r="AA37">
        <f t="shared" si="6"/>
        <v>0.68016746789497673</v>
      </c>
      <c r="AB37">
        <f t="shared" si="7"/>
        <v>0.69574662609016102</v>
      </c>
      <c r="AE37">
        <v>35</v>
      </c>
      <c r="AF37" s="3">
        <v>61465</v>
      </c>
      <c r="AG37" s="3">
        <v>22809</v>
      </c>
      <c r="AH37" s="4">
        <v>52083</v>
      </c>
      <c r="AI37">
        <f t="shared" si="8"/>
        <v>0.82940503971681834</v>
      </c>
      <c r="AJ37">
        <f t="shared" si="9"/>
        <v>0.76619538231603579</v>
      </c>
      <c r="AM37" s="75" t="s">
        <v>37</v>
      </c>
      <c r="AN37" s="71">
        <v>0.28294603557686016</v>
      </c>
      <c r="AO37" s="76">
        <v>0.31514773726811302</v>
      </c>
      <c r="AP37" s="39"/>
      <c r="AQ37" s="39"/>
    </row>
    <row r="38" spans="2:44" x14ac:dyDescent="0.25">
      <c r="B38">
        <v>36</v>
      </c>
      <c r="C38" s="3">
        <v>52582</v>
      </c>
      <c r="D38" s="3">
        <v>14148</v>
      </c>
      <c r="E38" s="4">
        <v>30066</v>
      </c>
      <c r="F38" s="120">
        <f t="shared" si="0"/>
        <v>0.65904916033963434</v>
      </c>
      <c r="G38" s="120">
        <f t="shared" si="1"/>
        <v>0.72171350334058604</v>
      </c>
      <c r="I38">
        <v>36</v>
      </c>
      <c r="J38" s="25">
        <v>105786</v>
      </c>
      <c r="K38" s="26">
        <v>28479</v>
      </c>
      <c r="L38" s="3">
        <v>9578</v>
      </c>
      <c r="M38" s="70">
        <f t="shared" si="2"/>
        <v>1.2574557400407045</v>
      </c>
      <c r="N38" s="70">
        <f t="shared" si="3"/>
        <v>1.2603753377309348</v>
      </c>
      <c r="P38">
        <v>36</v>
      </c>
      <c r="Q38" s="3">
        <v>79292</v>
      </c>
      <c r="R38" s="3">
        <v>21831</v>
      </c>
      <c r="S38" s="4">
        <v>42377</v>
      </c>
      <c r="T38">
        <f t="shared" si="4"/>
        <v>0.86395138284984263</v>
      </c>
      <c r="U38">
        <f t="shared" si="5"/>
        <v>0.87102161681966239</v>
      </c>
      <c r="W38">
        <v>36</v>
      </c>
      <c r="X38" s="3">
        <v>36480</v>
      </c>
      <c r="Y38" s="3">
        <v>13825</v>
      </c>
      <c r="Z38" s="4">
        <v>37062</v>
      </c>
      <c r="AA38">
        <f t="shared" si="6"/>
        <v>0.51421692389714113</v>
      </c>
      <c r="AB38">
        <f t="shared" si="7"/>
        <v>0.50299101112254752</v>
      </c>
      <c r="AE38">
        <v>36</v>
      </c>
      <c r="AF38" s="3">
        <v>54557</v>
      </c>
      <c r="AG38" s="3">
        <v>21078</v>
      </c>
      <c r="AH38" s="4">
        <v>45856</v>
      </c>
      <c r="AI38">
        <f t="shared" si="8"/>
        <v>0.73618890021687877</v>
      </c>
      <c r="AJ38">
        <f t="shared" si="9"/>
        <v>0.70804797529297214</v>
      </c>
      <c r="AM38" s="75" t="s">
        <v>38</v>
      </c>
      <c r="AN38" s="39">
        <v>2.6340436063058381</v>
      </c>
      <c r="AO38" s="76">
        <v>2.5488075517650368</v>
      </c>
      <c r="AP38" s="39"/>
      <c r="AQ38" s="39"/>
    </row>
    <row r="39" spans="2:44" x14ac:dyDescent="0.25">
      <c r="B39">
        <v>37</v>
      </c>
      <c r="C39" s="3">
        <v>72831</v>
      </c>
      <c r="D39" s="3">
        <v>16011</v>
      </c>
      <c r="E39" s="4">
        <v>39370</v>
      </c>
      <c r="F39" s="120">
        <f t="shared" si="0"/>
        <v>0.91284487841268691</v>
      </c>
      <c r="G39" s="120">
        <f t="shared" si="1"/>
        <v>0.81674829671940363</v>
      </c>
      <c r="I39">
        <v>37</v>
      </c>
      <c r="J39" s="3">
        <v>63215</v>
      </c>
      <c r="K39" s="3">
        <v>18400</v>
      </c>
      <c r="L39" s="3">
        <v>9900</v>
      </c>
      <c r="M39" s="70">
        <f t="shared" si="2"/>
        <v>0.75142329426080134</v>
      </c>
      <c r="N39" s="70">
        <f t="shared" si="3"/>
        <v>0.81431602985530394</v>
      </c>
      <c r="P39">
        <v>37</v>
      </c>
      <c r="Q39" s="3">
        <v>56463</v>
      </c>
      <c r="R39" s="3">
        <v>17343</v>
      </c>
      <c r="S39" s="4">
        <v>42567</v>
      </c>
      <c r="T39">
        <f t="shared" si="4"/>
        <v>0.61521070132990296</v>
      </c>
      <c r="U39">
        <f t="shared" si="5"/>
        <v>0.69195767030843325</v>
      </c>
      <c r="W39">
        <v>37</v>
      </c>
      <c r="X39" s="3">
        <v>31346</v>
      </c>
      <c r="Y39" s="3">
        <v>12451</v>
      </c>
      <c r="Z39" s="4">
        <v>37438</v>
      </c>
      <c r="AA39">
        <f t="shared" si="6"/>
        <v>0.44184878553946783</v>
      </c>
      <c r="AB39">
        <f t="shared" si="7"/>
        <v>0.45300116307318911</v>
      </c>
      <c r="AE39">
        <v>37</v>
      </c>
      <c r="AF39" s="3">
        <v>56867</v>
      </c>
      <c r="AG39" s="3">
        <v>20835</v>
      </c>
      <c r="AH39" s="4">
        <v>35771</v>
      </c>
      <c r="AI39">
        <f t="shared" si="8"/>
        <v>0.76735990227896045</v>
      </c>
      <c r="AJ39">
        <f t="shared" si="9"/>
        <v>0.69988516772127696</v>
      </c>
      <c r="AM39" s="77" t="s">
        <v>4</v>
      </c>
      <c r="AN39" s="78"/>
      <c r="AO39" s="82"/>
      <c r="AP39" s="39"/>
      <c r="AQ39" s="39"/>
      <c r="AR39" s="50"/>
    </row>
    <row r="40" spans="2:44" x14ac:dyDescent="0.25">
      <c r="B40">
        <v>38</v>
      </c>
      <c r="C40" s="3">
        <v>67323</v>
      </c>
      <c r="D40" s="3">
        <v>15752</v>
      </c>
      <c r="E40" s="3">
        <v>6758</v>
      </c>
      <c r="F40" s="120">
        <f t="shared" si="0"/>
        <v>0.84380903391931084</v>
      </c>
      <c r="G40" s="120">
        <f t="shared" si="1"/>
        <v>0.80353626693673386</v>
      </c>
      <c r="I40">
        <v>38</v>
      </c>
      <c r="J40" s="25">
        <v>117967</v>
      </c>
      <c r="K40" s="26">
        <v>43632</v>
      </c>
      <c r="L40" s="3">
        <v>9426</v>
      </c>
      <c r="M40" s="70">
        <f t="shared" si="2"/>
        <v>1.4022487029038038</v>
      </c>
      <c r="N40" s="70">
        <f t="shared" si="3"/>
        <v>1.9309911421003598</v>
      </c>
      <c r="P40">
        <v>38</v>
      </c>
      <c r="Q40" s="3">
        <v>66241</v>
      </c>
      <c r="R40" s="3">
        <v>16667</v>
      </c>
      <c r="S40" s="4">
        <v>45264</v>
      </c>
      <c r="T40">
        <f t="shared" si="4"/>
        <v>0.72175003217671929</v>
      </c>
      <c r="U40">
        <f t="shared" si="5"/>
        <v>0.66498636285709833</v>
      </c>
      <c r="W40">
        <v>38</v>
      </c>
      <c r="X40" s="3">
        <v>34992</v>
      </c>
      <c r="Y40" s="3">
        <v>12370</v>
      </c>
      <c r="Z40" s="4">
        <v>28693</v>
      </c>
      <c r="AA40">
        <f t="shared" si="6"/>
        <v>0.493242286211863</v>
      </c>
      <c r="AB40">
        <f t="shared" si="7"/>
        <v>0.45005416329735354</v>
      </c>
      <c r="AE40">
        <v>38</v>
      </c>
      <c r="AF40" s="3">
        <v>67254</v>
      </c>
      <c r="AG40" s="3">
        <v>28525</v>
      </c>
      <c r="AH40" s="3">
        <v>10385</v>
      </c>
      <c r="AI40">
        <f t="shared" si="8"/>
        <v>0.90752146003603507</v>
      </c>
      <c r="AJ40">
        <f t="shared" si="9"/>
        <v>0.95820611515475995</v>
      </c>
    </row>
    <row r="41" spans="2:44" x14ac:dyDescent="0.25">
      <c r="B41">
        <v>39</v>
      </c>
      <c r="C41" s="25">
        <v>103329</v>
      </c>
      <c r="D41" s="26">
        <v>34202</v>
      </c>
      <c r="E41" s="3">
        <v>8347</v>
      </c>
      <c r="F41" s="120">
        <f t="shared" si="0"/>
        <v>1.2950989062556402</v>
      </c>
      <c r="G41" s="120">
        <f t="shared" si="1"/>
        <v>1.7447020950844447</v>
      </c>
      <c r="I41">
        <v>39</v>
      </c>
      <c r="J41" s="3">
        <v>55222</v>
      </c>
      <c r="K41" s="3">
        <v>22341</v>
      </c>
      <c r="L41" s="3">
        <v>10016</v>
      </c>
      <c r="M41" s="70">
        <f t="shared" si="2"/>
        <v>0.65641219893490421</v>
      </c>
      <c r="N41" s="70">
        <f t="shared" si="3"/>
        <v>0.9887301316846383</v>
      </c>
      <c r="P41">
        <v>39</v>
      </c>
      <c r="Q41" s="30">
        <v>90881</v>
      </c>
      <c r="R41" s="30">
        <v>33796</v>
      </c>
      <c r="S41" s="3">
        <v>8933</v>
      </c>
      <c r="T41">
        <f t="shared" si="4"/>
        <v>0.99022304425133112</v>
      </c>
      <c r="U41">
        <f t="shared" si="5"/>
        <v>1.3484057790315291</v>
      </c>
      <c r="W41">
        <v>39</v>
      </c>
      <c r="X41" s="21">
        <v>90350</v>
      </c>
      <c r="Y41" s="22">
        <v>31033</v>
      </c>
      <c r="Z41" s="3">
        <v>10837</v>
      </c>
      <c r="AA41">
        <f t="shared" si="6"/>
        <v>1.2735608298823109</v>
      </c>
      <c r="AB41">
        <f t="shared" si="7"/>
        <v>1.1290647412778312</v>
      </c>
      <c r="AE41">
        <v>39</v>
      </c>
      <c r="AF41" s="25">
        <v>92144</v>
      </c>
      <c r="AG41" s="26">
        <v>42814</v>
      </c>
      <c r="AH41" s="3">
        <v>7703</v>
      </c>
      <c r="AI41">
        <f t="shared" si="8"/>
        <v>1.2433856337698934</v>
      </c>
      <c r="AJ41">
        <f t="shared" si="9"/>
        <v>1.4381993554508639</v>
      </c>
    </row>
    <row r="42" spans="2:44" x14ac:dyDescent="0.25">
      <c r="B42">
        <v>40</v>
      </c>
      <c r="C42" s="3">
        <v>68548</v>
      </c>
      <c r="D42" s="3">
        <v>20919</v>
      </c>
      <c r="E42" s="3">
        <v>6950</v>
      </c>
      <c r="F42" s="120">
        <f t="shared" si="0"/>
        <v>0.8591628664364469</v>
      </c>
      <c r="G42" s="120">
        <f t="shared" si="1"/>
        <v>1.0671137105160955</v>
      </c>
      <c r="I42">
        <v>40</v>
      </c>
      <c r="J42" s="21">
        <v>108188</v>
      </c>
      <c r="K42" s="22">
        <v>35422</v>
      </c>
      <c r="L42" s="3">
        <v>8957</v>
      </c>
      <c r="M42" s="70">
        <f t="shared" si="2"/>
        <v>1.2860078044686796</v>
      </c>
      <c r="N42" s="70">
        <f t="shared" si="3"/>
        <v>1.567646870083401</v>
      </c>
      <c r="P42">
        <v>40</v>
      </c>
      <c r="Q42" s="25">
        <v>114692</v>
      </c>
      <c r="R42" s="26">
        <v>28549</v>
      </c>
      <c r="S42" s="3">
        <v>8405</v>
      </c>
      <c r="T42">
        <f t="shared" si="4"/>
        <v>1.2496634213011926</v>
      </c>
      <c r="U42">
        <f t="shared" si="5"/>
        <v>1.1390589592132538</v>
      </c>
      <c r="W42">
        <v>40</v>
      </c>
      <c r="X42" s="23">
        <v>129935</v>
      </c>
      <c r="Y42" s="24">
        <v>50373</v>
      </c>
      <c r="Z42" s="3">
        <v>12354</v>
      </c>
      <c r="AA42">
        <f t="shared" si="6"/>
        <v>1.8315453949170788</v>
      </c>
      <c r="AB42">
        <f t="shared" si="7"/>
        <v>1.8327064161501689</v>
      </c>
      <c r="AE42">
        <v>40</v>
      </c>
      <c r="AF42" s="3">
        <v>63857</v>
      </c>
      <c r="AG42" s="3">
        <v>27155</v>
      </c>
      <c r="AH42" s="3">
        <v>8646</v>
      </c>
      <c r="AI42">
        <f t="shared" si="8"/>
        <v>0.86168254488240248</v>
      </c>
      <c r="AJ42">
        <f t="shared" si="9"/>
        <v>0.91218534818676622</v>
      </c>
    </row>
    <row r="43" spans="2:44" x14ac:dyDescent="0.25">
      <c r="B43">
        <v>41</v>
      </c>
      <c r="C43" s="3">
        <v>73079</v>
      </c>
      <c r="D43" s="3">
        <v>19142</v>
      </c>
      <c r="E43" s="3">
        <v>9099</v>
      </c>
      <c r="F43" s="120">
        <f t="shared" si="0"/>
        <v>0.91595324613860518</v>
      </c>
      <c r="G43" s="120">
        <f t="shared" si="1"/>
        <v>0.97646592316550018</v>
      </c>
      <c r="I43">
        <v>41</v>
      </c>
      <c r="J43" s="27">
        <v>108710</v>
      </c>
      <c r="K43" s="28">
        <v>26568</v>
      </c>
      <c r="L43" s="3">
        <v>10494</v>
      </c>
      <c r="M43" s="70">
        <f t="shared" si="2"/>
        <v>1.2922127077290471</v>
      </c>
      <c r="N43" s="70">
        <f t="shared" si="3"/>
        <v>1.1758015370215062</v>
      </c>
      <c r="P43">
        <v>41</v>
      </c>
      <c r="Q43" s="3">
        <v>86509</v>
      </c>
      <c r="R43" s="3">
        <v>23853</v>
      </c>
      <c r="S43" s="3">
        <v>8319</v>
      </c>
      <c r="T43">
        <f t="shared" si="4"/>
        <v>0.94258651792055992</v>
      </c>
      <c r="U43">
        <f t="shared" si="5"/>
        <v>0.95169614887084453</v>
      </c>
      <c r="W43">
        <v>41</v>
      </c>
      <c r="X43" s="3">
        <v>75944</v>
      </c>
      <c r="Y43" s="3">
        <v>23145</v>
      </c>
      <c r="Z43" s="3">
        <v>11258</v>
      </c>
      <c r="AA43">
        <f t="shared" si="6"/>
        <v>1.0704958900341142</v>
      </c>
      <c r="AB43">
        <f t="shared" si="7"/>
        <v>0.84207789891004425</v>
      </c>
      <c r="AE43">
        <v>41</v>
      </c>
      <c r="AF43" s="21">
        <v>90214</v>
      </c>
      <c r="AG43" s="22">
        <v>45156</v>
      </c>
      <c r="AH43" s="3">
        <v>10630</v>
      </c>
      <c r="AI43">
        <f t="shared" si="8"/>
        <v>1.2173423290167258</v>
      </c>
      <c r="AJ43">
        <f t="shared" si="9"/>
        <v>1.5168713527056386</v>
      </c>
    </row>
    <row r="44" spans="2:44" x14ac:dyDescent="0.25">
      <c r="B44">
        <v>42</v>
      </c>
      <c r="C44" s="3">
        <v>81193</v>
      </c>
      <c r="D44" s="3">
        <v>17431</v>
      </c>
      <c r="E44" s="3">
        <v>7866</v>
      </c>
      <c r="F44" s="120">
        <f t="shared" si="0"/>
        <v>1.0176520192357827</v>
      </c>
      <c r="G44" s="120">
        <f t="shared" si="1"/>
        <v>0.88918490788307569</v>
      </c>
      <c r="I44">
        <v>42</v>
      </c>
      <c r="J44" s="27">
        <v>154035</v>
      </c>
      <c r="K44" s="28">
        <v>50743</v>
      </c>
      <c r="L44" s="3">
        <v>9284</v>
      </c>
      <c r="M44" s="70">
        <f t="shared" si="2"/>
        <v>1.8309813672619242</v>
      </c>
      <c r="N44" s="70">
        <f t="shared" si="3"/>
        <v>2.2456977338558528</v>
      </c>
      <c r="P44">
        <v>42</v>
      </c>
      <c r="Q44" s="3">
        <v>91400</v>
      </c>
      <c r="R44" s="3">
        <v>23483</v>
      </c>
      <c r="S44" s="3">
        <v>6573</v>
      </c>
      <c r="T44">
        <f t="shared" si="4"/>
        <v>0.99587797498455854</v>
      </c>
      <c r="U44">
        <f t="shared" si="5"/>
        <v>0.9369337468634571</v>
      </c>
      <c r="W44">
        <v>42</v>
      </c>
      <c r="X44" s="21">
        <v>103524</v>
      </c>
      <c r="Y44" s="22">
        <v>41567</v>
      </c>
      <c r="Z44" s="3">
        <v>18587</v>
      </c>
      <c r="AA44">
        <f t="shared" si="6"/>
        <v>1.4592596718620514</v>
      </c>
      <c r="AB44">
        <f t="shared" si="7"/>
        <v>1.5123202429895792</v>
      </c>
      <c r="AE44">
        <v>42</v>
      </c>
      <c r="AF44" s="23">
        <v>105812</v>
      </c>
      <c r="AG44" s="24">
        <v>35550</v>
      </c>
      <c r="AH44" s="3">
        <v>14482</v>
      </c>
      <c r="AI44">
        <f t="shared" si="8"/>
        <v>1.4278208096073535</v>
      </c>
      <c r="AJ44">
        <f t="shared" si="9"/>
        <v>1.1941885151183775</v>
      </c>
    </row>
    <row r="45" spans="2:44" x14ac:dyDescent="0.25">
      <c r="B45">
        <v>43</v>
      </c>
      <c r="C45" s="3">
        <v>69345</v>
      </c>
      <c r="D45" s="3">
        <v>19714</v>
      </c>
      <c r="E45" s="3">
        <v>11488</v>
      </c>
      <c r="F45" s="120">
        <f t="shared" si="0"/>
        <v>0.86915225787820816</v>
      </c>
      <c r="G45" s="120">
        <f t="shared" si="1"/>
        <v>1.0056446144229794</v>
      </c>
      <c r="I45">
        <v>43</v>
      </c>
      <c r="J45" s="27">
        <v>129225</v>
      </c>
      <c r="K45" s="28">
        <v>25304</v>
      </c>
      <c r="L45" s="3">
        <v>12585</v>
      </c>
      <c r="M45" s="70">
        <f t="shared" si="2"/>
        <v>1.536070160576636</v>
      </c>
      <c r="N45" s="70">
        <f t="shared" si="3"/>
        <v>1.1198615662749245</v>
      </c>
      <c r="P45">
        <v>43</v>
      </c>
      <c r="Q45" s="3">
        <v>102395</v>
      </c>
      <c r="R45" s="3">
        <v>24508</v>
      </c>
      <c r="S45" s="3">
        <v>13101</v>
      </c>
      <c r="T45">
        <f t="shared" si="4"/>
        <v>1.1156775191306769</v>
      </c>
      <c r="U45">
        <f t="shared" si="5"/>
        <v>0.97782959026230065</v>
      </c>
      <c r="W45">
        <v>43</v>
      </c>
      <c r="X45" s="23">
        <v>113904</v>
      </c>
      <c r="Y45" s="24">
        <v>45899</v>
      </c>
      <c r="Z45" s="3">
        <v>12263</v>
      </c>
      <c r="AA45">
        <f t="shared" si="6"/>
        <v>1.6055746847472576</v>
      </c>
      <c r="AB45">
        <f t="shared" si="7"/>
        <v>1.6699301569268579</v>
      </c>
      <c r="AE45">
        <v>43</v>
      </c>
      <c r="AF45" s="3">
        <v>71280</v>
      </c>
      <c r="AG45" s="3">
        <v>24914</v>
      </c>
      <c r="AH45" s="3">
        <v>7312</v>
      </c>
      <c r="AI45">
        <f t="shared" si="8"/>
        <v>0.9618480636299489</v>
      </c>
      <c r="AJ45">
        <f t="shared" si="9"/>
        <v>0.83690612280335464</v>
      </c>
    </row>
    <row r="46" spans="2:44" x14ac:dyDescent="0.25">
      <c r="B46">
        <v>44</v>
      </c>
      <c r="C46" s="21">
        <v>109146</v>
      </c>
      <c r="D46" s="22">
        <v>29271</v>
      </c>
      <c r="E46" s="3">
        <v>11547</v>
      </c>
      <c r="F46" s="120">
        <f t="shared" si="0"/>
        <v>1.3680076766655838</v>
      </c>
      <c r="G46" s="120">
        <f t="shared" si="1"/>
        <v>1.4931634122336934</v>
      </c>
      <c r="I46">
        <v>44</v>
      </c>
      <c r="J46" s="23">
        <v>115431</v>
      </c>
      <c r="K46" s="24">
        <v>44066</v>
      </c>
      <c r="L46" s="3">
        <v>7392</v>
      </c>
      <c r="M46" s="70">
        <f t="shared" si="2"/>
        <v>1.3721038089032438</v>
      </c>
      <c r="N46" s="70">
        <f t="shared" si="3"/>
        <v>1.9501983788915123</v>
      </c>
      <c r="P46">
        <v>44</v>
      </c>
      <c r="Q46" s="25">
        <v>133973</v>
      </c>
      <c r="R46" s="26">
        <v>33574</v>
      </c>
      <c r="S46" s="3">
        <v>9415</v>
      </c>
      <c r="T46">
        <f t="shared" si="4"/>
        <v>1.4597457324136354</v>
      </c>
      <c r="U46">
        <f t="shared" si="5"/>
        <v>1.3395483378270967</v>
      </c>
      <c r="W46">
        <v>44</v>
      </c>
      <c r="X46" s="3">
        <v>79524</v>
      </c>
      <c r="Y46" s="3">
        <v>25667</v>
      </c>
      <c r="Z46" s="3">
        <v>9024</v>
      </c>
      <c r="AA46">
        <f t="shared" si="6"/>
        <v>1.1209590640349849</v>
      </c>
      <c r="AB46">
        <f t="shared" si="7"/>
        <v>0.93383510180704721</v>
      </c>
      <c r="AE46">
        <v>44</v>
      </c>
      <c r="AF46" s="21">
        <v>83246</v>
      </c>
      <c r="AG46" s="22">
        <v>44523</v>
      </c>
      <c r="AH46" s="3">
        <v>9179</v>
      </c>
      <c r="AI46">
        <f t="shared" si="8"/>
        <v>1.1233165530995892</v>
      </c>
      <c r="AJ46">
        <f t="shared" si="9"/>
        <v>1.4956077428583832</v>
      </c>
    </row>
    <row r="47" spans="2:44" x14ac:dyDescent="0.25">
      <c r="B47">
        <v>45</v>
      </c>
      <c r="C47" s="27">
        <v>102148</v>
      </c>
      <c r="D47" s="28">
        <v>28311</v>
      </c>
      <c r="E47" s="3">
        <v>10098</v>
      </c>
      <c r="F47" s="120">
        <f t="shared" si="0"/>
        <v>1.2802965583350379</v>
      </c>
      <c r="G47" s="120">
        <f t="shared" si="1"/>
        <v>1.4441921821512107</v>
      </c>
      <c r="I47">
        <v>45</v>
      </c>
      <c r="J47" s="21">
        <v>110388</v>
      </c>
      <c r="K47" s="22">
        <v>31646</v>
      </c>
      <c r="L47" s="3">
        <v>8174</v>
      </c>
      <c r="M47" s="70">
        <f t="shared" si="2"/>
        <v>1.3121587377499222</v>
      </c>
      <c r="N47" s="70">
        <f t="shared" si="3"/>
        <v>1.400535058739182</v>
      </c>
      <c r="P47">
        <v>45</v>
      </c>
      <c r="Q47" s="3">
        <v>106313</v>
      </c>
      <c r="R47" s="3">
        <v>24030</v>
      </c>
      <c r="S47" s="3">
        <v>9596</v>
      </c>
      <c r="T47">
        <f t="shared" si="4"/>
        <v>1.1583673430474111</v>
      </c>
      <c r="U47">
        <f t="shared" si="5"/>
        <v>0.9587581628041083</v>
      </c>
      <c r="W47">
        <v>45</v>
      </c>
      <c r="X47" s="21">
        <v>110232</v>
      </c>
      <c r="Y47" s="22">
        <v>46514</v>
      </c>
      <c r="Z47" s="3">
        <v>8792</v>
      </c>
      <c r="AA47">
        <f t="shared" si="6"/>
        <v>1.5538146917497166</v>
      </c>
      <c r="AB47">
        <f t="shared" si="7"/>
        <v>1.6923055255952386</v>
      </c>
      <c r="AE47">
        <v>45</v>
      </c>
      <c r="AF47" s="23">
        <v>89703</v>
      </c>
      <c r="AG47" s="24">
        <v>47139</v>
      </c>
      <c r="AH47" s="3">
        <v>15195</v>
      </c>
      <c r="AI47">
        <f t="shared" si="8"/>
        <v>1.2104469255302652</v>
      </c>
      <c r="AJ47">
        <f t="shared" si="9"/>
        <v>1.5834838935067566</v>
      </c>
    </row>
    <row r="48" spans="2:44" x14ac:dyDescent="0.25">
      <c r="B48">
        <v>46</v>
      </c>
      <c r="C48" s="27">
        <v>102729</v>
      </c>
      <c r="D48" s="28">
        <v>36518</v>
      </c>
      <c r="E48" s="3">
        <v>7344</v>
      </c>
      <c r="F48" s="120">
        <f t="shared" si="0"/>
        <v>1.2875786617574512</v>
      </c>
      <c r="G48" s="120">
        <f t="shared" si="1"/>
        <v>1.8628451876584338</v>
      </c>
      <c r="I48">
        <v>46</v>
      </c>
      <c r="J48" s="27">
        <v>98596</v>
      </c>
      <c r="K48" s="28">
        <v>31291</v>
      </c>
      <c r="L48" s="3">
        <v>9211</v>
      </c>
      <c r="M48" s="70">
        <f t="shared" si="2"/>
        <v>1.1719897353624609</v>
      </c>
      <c r="N48" s="70">
        <f t="shared" si="3"/>
        <v>1.384824070119691</v>
      </c>
      <c r="P48">
        <v>46</v>
      </c>
      <c r="Q48" s="3">
        <v>92801</v>
      </c>
      <c r="R48" s="3">
        <v>22034</v>
      </c>
      <c r="S48" s="3">
        <v>9966</v>
      </c>
      <c r="T48">
        <f t="shared" si="4"/>
        <v>1.0111430192181841</v>
      </c>
      <c r="U48">
        <f t="shared" si="5"/>
        <v>0.87912098873182365</v>
      </c>
      <c r="W48">
        <v>46</v>
      </c>
      <c r="X48" s="23">
        <v>112605</v>
      </c>
      <c r="Y48" s="24">
        <v>32662</v>
      </c>
      <c r="Z48" s="3">
        <v>11410</v>
      </c>
      <c r="AA48">
        <f t="shared" si="6"/>
        <v>1.5872641643486178</v>
      </c>
      <c r="AB48">
        <f t="shared" si="7"/>
        <v>1.1883321812140792</v>
      </c>
      <c r="AE48">
        <v>46</v>
      </c>
      <c r="AF48" s="3">
        <v>66149</v>
      </c>
      <c r="AG48" s="3">
        <v>38182</v>
      </c>
      <c r="AH48" s="3">
        <v>8793</v>
      </c>
      <c r="AI48">
        <f t="shared" si="8"/>
        <v>0.89261065601932499</v>
      </c>
      <c r="AJ48">
        <f t="shared" si="9"/>
        <v>1.2826021345780558</v>
      </c>
    </row>
    <row r="49" spans="2:36" x14ac:dyDescent="0.25">
      <c r="B49">
        <v>47</v>
      </c>
      <c r="C49" s="27">
        <v>104127</v>
      </c>
      <c r="D49" s="28">
        <v>28657</v>
      </c>
      <c r="E49" s="3">
        <v>7877</v>
      </c>
      <c r="F49" s="120">
        <f t="shared" si="0"/>
        <v>1.3051008314382317</v>
      </c>
      <c r="G49" s="120">
        <f t="shared" si="1"/>
        <v>1.4618422296601055</v>
      </c>
      <c r="I49">
        <v>47</v>
      </c>
      <c r="J49" s="23">
        <v>150438</v>
      </c>
      <c r="K49" s="24">
        <v>37615</v>
      </c>
      <c r="L49" s="3">
        <v>8224</v>
      </c>
      <c r="M49" s="70">
        <f t="shared" si="2"/>
        <v>1.7882245913470922</v>
      </c>
      <c r="N49" s="70">
        <f t="shared" si="3"/>
        <v>1.6647009490764815</v>
      </c>
      <c r="P49">
        <v>47</v>
      </c>
      <c r="Q49" s="21">
        <v>117377</v>
      </c>
      <c r="R49" s="22">
        <v>34937</v>
      </c>
      <c r="S49" s="3">
        <v>9601</v>
      </c>
      <c r="T49">
        <f t="shared" si="4"/>
        <v>1.2789186987939007</v>
      </c>
      <c r="U49">
        <f t="shared" si="5"/>
        <v>1.3939298349516076</v>
      </c>
      <c r="W49">
        <v>47</v>
      </c>
      <c r="X49" s="30">
        <v>70667</v>
      </c>
      <c r="Y49" s="30">
        <v>27529</v>
      </c>
      <c r="Z49" s="3">
        <v>9235</v>
      </c>
      <c r="AA49">
        <f t="shared" si="6"/>
        <v>0.9961120438881379</v>
      </c>
      <c r="AB49">
        <f t="shared" si="7"/>
        <v>1.0015797139379827</v>
      </c>
      <c r="AE49">
        <v>47</v>
      </c>
      <c r="AF49" s="21">
        <v>95994</v>
      </c>
      <c r="AG49" s="22">
        <v>36337</v>
      </c>
      <c r="AH49" s="3">
        <v>9034</v>
      </c>
      <c r="AI49">
        <f t="shared" si="8"/>
        <v>1.2953373038733629</v>
      </c>
      <c r="AJ49">
        <f t="shared" si="9"/>
        <v>1.220625262274444</v>
      </c>
    </row>
    <row r="50" spans="2:36" x14ac:dyDescent="0.25">
      <c r="B50">
        <v>48</v>
      </c>
      <c r="C50" s="27">
        <v>93570</v>
      </c>
      <c r="D50" s="28">
        <v>20143</v>
      </c>
      <c r="E50" s="3">
        <v>5657</v>
      </c>
      <c r="F50" s="120">
        <f t="shared" si="0"/>
        <v>1.172782129492594</v>
      </c>
      <c r="G50" s="120">
        <f t="shared" si="1"/>
        <v>1.0275286328660889</v>
      </c>
      <c r="I50">
        <v>48</v>
      </c>
      <c r="J50" s="3">
        <v>81971</v>
      </c>
      <c r="K50" s="3">
        <v>18183</v>
      </c>
      <c r="L50" s="3">
        <v>10005</v>
      </c>
      <c r="M50" s="70">
        <f t="shared" si="2"/>
        <v>0.97437188727125124</v>
      </c>
      <c r="N50" s="70">
        <f t="shared" si="3"/>
        <v>0.80471241145972783</v>
      </c>
      <c r="P50">
        <v>48</v>
      </c>
      <c r="Q50" s="27">
        <v>98615</v>
      </c>
      <c r="R50" s="28">
        <v>31331</v>
      </c>
      <c r="S50" s="3">
        <v>11162</v>
      </c>
      <c r="T50">
        <f t="shared" si="4"/>
        <v>1.0744913184146854</v>
      </c>
      <c r="U50">
        <f t="shared" si="5"/>
        <v>1.2500562629552858</v>
      </c>
      <c r="W50">
        <v>48</v>
      </c>
      <c r="X50" s="3">
        <v>66792</v>
      </c>
      <c r="Y50" s="3">
        <v>26429</v>
      </c>
      <c r="Z50" s="3">
        <v>7810</v>
      </c>
      <c r="AA50">
        <f t="shared" si="6"/>
        <v>0.94149059158272619</v>
      </c>
      <c r="AB50">
        <f t="shared" si="7"/>
        <v>0.96155872932787045</v>
      </c>
      <c r="AE50">
        <v>48</v>
      </c>
      <c r="AF50" s="23">
        <v>93964</v>
      </c>
      <c r="AG50" s="24">
        <v>33157</v>
      </c>
      <c r="AH50" s="3">
        <v>10236</v>
      </c>
      <c r="AI50">
        <f t="shared" si="8"/>
        <v>1.2679446050915337</v>
      </c>
      <c r="AJ50">
        <f t="shared" si="9"/>
        <v>1.1138033360275679</v>
      </c>
    </row>
    <row r="51" spans="2:36" x14ac:dyDescent="0.25">
      <c r="B51">
        <v>49</v>
      </c>
      <c r="C51" s="27">
        <v>106909</v>
      </c>
      <c r="D51" s="28">
        <v>32705</v>
      </c>
      <c r="E51" s="3">
        <v>8018</v>
      </c>
      <c r="F51" s="120">
        <f t="shared" si="0"/>
        <v>1.3399696984281686</v>
      </c>
      <c r="G51" s="120">
        <f t="shared" si="1"/>
        <v>1.6683375831745735</v>
      </c>
      <c r="I51">
        <v>49</v>
      </c>
      <c r="J51" s="21">
        <v>119938</v>
      </c>
      <c r="K51" s="22">
        <v>33894</v>
      </c>
      <c r="L51" s="3">
        <v>9575</v>
      </c>
      <c r="M51" s="70">
        <f t="shared" si="2"/>
        <v>1.4256775617662261</v>
      </c>
      <c r="N51" s="70">
        <f t="shared" si="3"/>
        <v>1.5000232345606344</v>
      </c>
      <c r="P51">
        <v>49</v>
      </c>
      <c r="Q51" s="27">
        <v>120783</v>
      </c>
      <c r="R51" s="28">
        <v>39834</v>
      </c>
      <c r="S51" s="3">
        <v>7526</v>
      </c>
      <c r="T51">
        <f t="shared" si="4"/>
        <v>1.3160298627194742</v>
      </c>
      <c r="U51">
        <f t="shared" si="5"/>
        <v>1.5893122204385706</v>
      </c>
      <c r="W51">
        <v>49</v>
      </c>
      <c r="X51" s="3">
        <v>61695</v>
      </c>
      <c r="Y51" s="3">
        <v>31461</v>
      </c>
      <c r="Z51" s="3">
        <v>23102</v>
      </c>
      <c r="AA51">
        <f t="shared" si="6"/>
        <v>0.86964399999545283</v>
      </c>
      <c r="AB51">
        <f t="shared" si="7"/>
        <v>1.1446365425624931</v>
      </c>
      <c r="AE51">
        <v>49</v>
      </c>
      <c r="AF51" s="3">
        <v>66866</v>
      </c>
      <c r="AG51" s="3">
        <v>27195</v>
      </c>
      <c r="AH51" s="3">
        <v>10664</v>
      </c>
      <c r="AI51">
        <f t="shared" si="8"/>
        <v>0.90228581120482831</v>
      </c>
      <c r="AJ51">
        <f t="shared" si="9"/>
        <v>0.9135290202150288</v>
      </c>
    </row>
    <row r="52" spans="2:36" x14ac:dyDescent="0.25">
      <c r="B52">
        <v>50</v>
      </c>
      <c r="C52" s="27">
        <v>138945</v>
      </c>
      <c r="D52" s="28">
        <v>36619</v>
      </c>
      <c r="E52" s="3">
        <v>21208</v>
      </c>
      <c r="F52" s="120">
        <f t="shared" si="0"/>
        <v>1.7415006196681466</v>
      </c>
      <c r="G52" s="120">
        <f t="shared" si="1"/>
        <v>1.8679973691566949</v>
      </c>
      <c r="I52">
        <v>50</v>
      </c>
      <c r="J52" s="27">
        <v>94024</v>
      </c>
      <c r="K52" s="28">
        <v>35008</v>
      </c>
      <c r="L52" s="3">
        <v>9516</v>
      </c>
      <c r="M52" s="70">
        <f t="shared" si="2"/>
        <v>1.1176433412888964</v>
      </c>
      <c r="N52" s="70">
        <f t="shared" si="3"/>
        <v>1.5493247594116566</v>
      </c>
      <c r="P52">
        <v>50</v>
      </c>
      <c r="Q52" s="27">
        <v>126954</v>
      </c>
      <c r="R52" s="28">
        <v>39481</v>
      </c>
      <c r="S52" s="3">
        <v>11494</v>
      </c>
      <c r="T52">
        <f t="shared" si="4"/>
        <v>1.3832679697613748</v>
      </c>
      <c r="U52">
        <f t="shared" si="5"/>
        <v>1.5752280909558469</v>
      </c>
      <c r="W52">
        <v>50</v>
      </c>
      <c r="X52" s="21">
        <v>85609</v>
      </c>
      <c r="Y52" s="22">
        <v>38782</v>
      </c>
      <c r="Z52" s="3">
        <v>9722</v>
      </c>
      <c r="AA52">
        <f t="shared" si="6"/>
        <v>1.2067323639778058</v>
      </c>
      <c r="AB52">
        <f t="shared" si="7"/>
        <v>1.4109943864994312</v>
      </c>
      <c r="AE52">
        <v>50</v>
      </c>
      <c r="AF52" s="21">
        <v>81603</v>
      </c>
      <c r="AG52" s="22">
        <v>29818</v>
      </c>
      <c r="AH52" s="3">
        <v>17521</v>
      </c>
      <c r="AI52">
        <f t="shared" si="8"/>
        <v>1.1011460092086802</v>
      </c>
      <c r="AJ52">
        <f t="shared" si="9"/>
        <v>1.0016403134683483</v>
      </c>
    </row>
    <row r="53" spans="2:36" x14ac:dyDescent="0.25">
      <c r="B53">
        <v>51</v>
      </c>
      <c r="C53" s="27">
        <v>112167</v>
      </c>
      <c r="D53" s="28">
        <v>32665</v>
      </c>
      <c r="E53" s="3">
        <v>8714</v>
      </c>
      <c r="F53" s="120">
        <f t="shared" si="0"/>
        <v>1.405872107713966</v>
      </c>
      <c r="G53" s="120">
        <f t="shared" si="1"/>
        <v>1.6662971152544701</v>
      </c>
      <c r="I53">
        <v>51</v>
      </c>
      <c r="J53" s="23">
        <v>142770</v>
      </c>
      <c r="K53" s="24">
        <v>36290</v>
      </c>
      <c r="L53" s="3">
        <v>11492</v>
      </c>
      <c r="M53" s="70">
        <f t="shared" si="2"/>
        <v>1.6970767020741058</v>
      </c>
      <c r="N53" s="70">
        <f t="shared" si="3"/>
        <v>1.6060613436657054</v>
      </c>
      <c r="P53">
        <v>51</v>
      </c>
      <c r="Q53" s="27">
        <v>102790</v>
      </c>
      <c r="R53" s="28">
        <v>34581</v>
      </c>
      <c r="S53" s="3">
        <v>13266</v>
      </c>
      <c r="T53">
        <f t="shared" si="4"/>
        <v>1.1199813681472952</v>
      </c>
      <c r="U53">
        <f t="shared" si="5"/>
        <v>1.3797260103174727</v>
      </c>
      <c r="W53">
        <v>51</v>
      </c>
      <c r="X53" s="27">
        <v>94795</v>
      </c>
      <c r="Y53" s="28">
        <v>50996</v>
      </c>
      <c r="Z53" s="3">
        <v>9678</v>
      </c>
      <c r="AA53">
        <f t="shared" si="6"/>
        <v>1.3362169216236155</v>
      </c>
      <c r="AB53">
        <f t="shared" si="7"/>
        <v>1.8553728465248054</v>
      </c>
      <c r="AE53">
        <v>51</v>
      </c>
      <c r="AF53" s="23">
        <v>89970</v>
      </c>
      <c r="AG53" s="24">
        <v>45793</v>
      </c>
      <c r="AH53" s="3">
        <v>10015</v>
      </c>
      <c r="AI53">
        <f t="shared" si="8"/>
        <v>1.2140498075867916</v>
      </c>
      <c r="AJ53">
        <f t="shared" si="9"/>
        <v>1.5382693297557204</v>
      </c>
    </row>
    <row r="54" spans="2:36" x14ac:dyDescent="0.25">
      <c r="B54">
        <v>52</v>
      </c>
      <c r="C54" s="27">
        <v>127842</v>
      </c>
      <c r="D54" s="28">
        <v>28668</v>
      </c>
      <c r="E54" s="3">
        <v>14728</v>
      </c>
      <c r="F54" s="120">
        <f t="shared" si="0"/>
        <v>1.6023384952291568</v>
      </c>
      <c r="G54" s="120">
        <f t="shared" si="1"/>
        <v>1.462403358338134</v>
      </c>
      <c r="I54">
        <v>52</v>
      </c>
      <c r="J54" s="3">
        <v>95870</v>
      </c>
      <c r="K54" s="3">
        <v>22191</v>
      </c>
      <c r="L54" s="3">
        <v>12908</v>
      </c>
      <c r="M54" s="70">
        <f t="shared" si="2"/>
        <v>1.13958635166943</v>
      </c>
      <c r="N54" s="70">
        <f t="shared" si="3"/>
        <v>0.98209168578907879</v>
      </c>
      <c r="P54">
        <v>52</v>
      </c>
      <c r="Q54" s="27">
        <v>140810</v>
      </c>
      <c r="R54" s="28">
        <v>50357</v>
      </c>
      <c r="S54" s="3">
        <v>9437</v>
      </c>
      <c r="T54">
        <f t="shared" si="4"/>
        <v>1.5342404557721629</v>
      </c>
      <c r="U54">
        <f t="shared" si="5"/>
        <v>2.0091629132054298</v>
      </c>
      <c r="W54">
        <v>52</v>
      </c>
      <c r="X54" s="23">
        <v>77669</v>
      </c>
      <c r="Y54" s="24">
        <v>33382</v>
      </c>
      <c r="Z54" s="3">
        <v>12662</v>
      </c>
      <c r="AA54">
        <f t="shared" si="6"/>
        <v>1.0948112462216846</v>
      </c>
      <c r="AB54">
        <f t="shared" si="7"/>
        <v>1.214527734777062</v>
      </c>
      <c r="AE54">
        <v>52</v>
      </c>
      <c r="AF54" s="3">
        <v>49297</v>
      </c>
      <c r="AG54" s="3">
        <v>26959</v>
      </c>
      <c r="AH54" s="3">
        <v>7703</v>
      </c>
      <c r="AI54">
        <f t="shared" si="8"/>
        <v>0.66521077430928155</v>
      </c>
      <c r="AJ54">
        <f t="shared" si="9"/>
        <v>0.90560135524827956</v>
      </c>
    </row>
    <row r="55" spans="2:36" x14ac:dyDescent="0.25">
      <c r="B55">
        <v>53</v>
      </c>
      <c r="C55" s="27">
        <v>112772</v>
      </c>
      <c r="D55" s="28">
        <v>22596</v>
      </c>
      <c r="E55" s="3">
        <v>8959</v>
      </c>
      <c r="F55" s="120">
        <f t="shared" si="0"/>
        <v>1.4134550209163068</v>
      </c>
      <c r="G55" s="120">
        <f t="shared" si="1"/>
        <v>1.152660328066432</v>
      </c>
      <c r="I55">
        <v>53</v>
      </c>
      <c r="J55" s="3">
        <v>60144</v>
      </c>
      <c r="K55" s="3">
        <v>16156</v>
      </c>
      <c r="L55" s="3">
        <v>9922</v>
      </c>
      <c r="M55" s="70">
        <f t="shared" si="2"/>
        <v>0.7149189687577574</v>
      </c>
      <c r="N55" s="70">
        <f t="shared" si="3"/>
        <v>0.71500487925773315</v>
      </c>
      <c r="P55">
        <v>53</v>
      </c>
      <c r="Q55" s="27">
        <v>120550</v>
      </c>
      <c r="R55" s="28">
        <v>39085</v>
      </c>
      <c r="S55" s="3">
        <v>11868</v>
      </c>
      <c r="T55">
        <f t="shared" si="4"/>
        <v>1.3134911365906843</v>
      </c>
      <c r="U55">
        <f t="shared" si="5"/>
        <v>1.5594283309695618</v>
      </c>
      <c r="W55">
        <v>53</v>
      </c>
      <c r="X55" s="3">
        <v>69723</v>
      </c>
      <c r="Y55" s="3">
        <v>36844</v>
      </c>
      <c r="Z55" s="3">
        <v>12234</v>
      </c>
      <c r="AA55">
        <f t="shared" si="6"/>
        <v>0.98280555331360664</v>
      </c>
      <c r="AB55">
        <f t="shared" si="7"/>
        <v>1.34048468815907</v>
      </c>
      <c r="AE55">
        <v>53</v>
      </c>
      <c r="AF55" s="21">
        <v>103632</v>
      </c>
      <c r="AG55" s="22">
        <v>58172</v>
      </c>
      <c r="AH55" s="3">
        <v>11288</v>
      </c>
      <c r="AI55">
        <f t="shared" si="8"/>
        <v>1.3984040197825318</v>
      </c>
      <c r="AJ55">
        <f t="shared" si="9"/>
        <v>1.9541022307022855</v>
      </c>
    </row>
    <row r="56" spans="2:36" x14ac:dyDescent="0.25">
      <c r="B56">
        <v>54</v>
      </c>
      <c r="C56" s="27">
        <v>132283</v>
      </c>
      <c r="D56" s="28">
        <v>30283</v>
      </c>
      <c r="E56" s="3">
        <v>17667</v>
      </c>
      <c r="F56" s="120">
        <f t="shared" si="0"/>
        <v>1.6580008382565867</v>
      </c>
      <c r="G56" s="120">
        <f t="shared" si="1"/>
        <v>1.5447872506123104</v>
      </c>
      <c r="I56">
        <v>54</v>
      </c>
      <c r="J56" s="3">
        <v>82607</v>
      </c>
      <c r="K56" s="3">
        <v>17287</v>
      </c>
      <c r="L56" s="3">
        <v>18295</v>
      </c>
      <c r="M56" s="70">
        <f t="shared" si="2"/>
        <v>0.98193188434710144</v>
      </c>
      <c r="N56" s="70">
        <f t="shared" si="3"/>
        <v>0.76505876131025219</v>
      </c>
      <c r="P56">
        <v>54</v>
      </c>
      <c r="Q56" s="27">
        <v>147312</v>
      </c>
      <c r="R56" s="28">
        <v>34992</v>
      </c>
      <c r="S56" s="3">
        <v>12877</v>
      </c>
      <c r="T56">
        <f t="shared" si="4"/>
        <v>1.6050850793317866</v>
      </c>
      <c r="U56">
        <f t="shared" si="5"/>
        <v>1.3961242460608139</v>
      </c>
      <c r="W56">
        <v>54</v>
      </c>
      <c r="X56" s="25">
        <v>89421</v>
      </c>
      <c r="Y56" s="26">
        <v>36779</v>
      </c>
      <c r="Z56" s="3">
        <v>12082</v>
      </c>
      <c r="AA56">
        <f t="shared" si="6"/>
        <v>1.2604657771876715</v>
      </c>
      <c r="AB56">
        <f t="shared" si="7"/>
        <v>1.3381198117957451</v>
      </c>
      <c r="AE56">
        <v>54</v>
      </c>
      <c r="AF56" s="27">
        <v>103755</v>
      </c>
      <c r="AG56" s="28">
        <v>41781</v>
      </c>
      <c r="AH56" s="3">
        <v>9453</v>
      </c>
      <c r="AI56">
        <f t="shared" si="8"/>
        <v>1.4000637744377855</v>
      </c>
      <c r="AJ56">
        <f t="shared" si="9"/>
        <v>1.4034990253209825</v>
      </c>
    </row>
    <row r="57" spans="2:36" x14ac:dyDescent="0.25">
      <c r="B57">
        <v>55</v>
      </c>
      <c r="C57" s="27">
        <v>102089</v>
      </c>
      <c r="D57" s="28">
        <v>30888</v>
      </c>
      <c r="E57" s="3">
        <v>8380</v>
      </c>
      <c r="F57" s="120">
        <f t="shared" si="0"/>
        <v>1.2795570676260493</v>
      </c>
      <c r="G57" s="120">
        <f t="shared" si="1"/>
        <v>1.5756493279038748</v>
      </c>
      <c r="I57">
        <v>55</v>
      </c>
      <c r="J57" s="21">
        <v>94569</v>
      </c>
      <c r="K57" s="22">
        <v>26868</v>
      </c>
      <c r="L57" s="3">
        <v>7993</v>
      </c>
      <c r="M57" s="70">
        <f t="shared" si="2"/>
        <v>1.1241216406699315</v>
      </c>
      <c r="N57" s="70">
        <f t="shared" si="3"/>
        <v>1.1890784288126253</v>
      </c>
      <c r="P57">
        <v>55</v>
      </c>
      <c r="Q57" s="27">
        <v>100146</v>
      </c>
      <c r="R57" s="28">
        <v>31577</v>
      </c>
      <c r="S57" s="3">
        <v>10537</v>
      </c>
      <c r="T57">
        <f t="shared" si="4"/>
        <v>1.0911728192866914</v>
      </c>
      <c r="U57">
        <f t="shared" si="5"/>
        <v>1.2598712653710082</v>
      </c>
      <c r="W57">
        <v>55</v>
      </c>
      <c r="X57" s="3">
        <v>92099</v>
      </c>
      <c r="Y57" s="3">
        <v>17581</v>
      </c>
      <c r="Z57" s="3">
        <v>11681</v>
      </c>
      <c r="AA57">
        <f t="shared" si="6"/>
        <v>1.2982144866777083</v>
      </c>
      <c r="AB57">
        <f t="shared" si="7"/>
        <v>0.63964448220944004</v>
      </c>
      <c r="AE57">
        <v>55</v>
      </c>
      <c r="AF57" s="23">
        <v>86387</v>
      </c>
      <c r="AG57" s="24">
        <v>39216</v>
      </c>
      <c r="AH57" s="3">
        <v>12595</v>
      </c>
      <c r="AI57">
        <f t="shared" si="8"/>
        <v>1.1657010195398485</v>
      </c>
      <c r="AJ57">
        <f t="shared" si="9"/>
        <v>1.3173360565086438</v>
      </c>
    </row>
    <row r="58" spans="2:36" x14ac:dyDescent="0.25">
      <c r="B58">
        <v>56</v>
      </c>
      <c r="C58" s="27">
        <v>110371</v>
      </c>
      <c r="D58" s="28">
        <v>31117</v>
      </c>
      <c r="E58" s="3">
        <v>9483</v>
      </c>
      <c r="F58" s="120">
        <f t="shared" si="0"/>
        <v>1.3833615091827198</v>
      </c>
      <c r="G58" s="120">
        <f t="shared" si="1"/>
        <v>1.587331006746467</v>
      </c>
      <c r="I58">
        <v>56</v>
      </c>
      <c r="J58" s="27">
        <v>102792</v>
      </c>
      <c r="K58" s="28">
        <v>29594</v>
      </c>
      <c r="L58" s="3">
        <v>8257</v>
      </c>
      <c r="M58" s="70">
        <f t="shared" si="2"/>
        <v>1.2218666972025041</v>
      </c>
      <c r="N58" s="70">
        <f t="shared" si="3"/>
        <v>1.3097211188879274</v>
      </c>
      <c r="P58">
        <v>56</v>
      </c>
      <c r="Q58" s="27">
        <v>94291</v>
      </c>
      <c r="R58" s="28">
        <v>28836</v>
      </c>
      <c r="S58" s="3">
        <v>14657</v>
      </c>
      <c r="T58">
        <f t="shared" si="4"/>
        <v>1.0273777914580855</v>
      </c>
      <c r="U58">
        <f t="shared" si="5"/>
        <v>1.1505097953649299</v>
      </c>
      <c r="W58">
        <v>56</v>
      </c>
      <c r="X58" s="3">
        <v>65611</v>
      </c>
      <c r="Y58" s="3">
        <v>29382</v>
      </c>
      <c r="Z58" s="3">
        <v>28516</v>
      </c>
      <c r="AA58">
        <f t="shared" si="6"/>
        <v>0.92484338250590259</v>
      </c>
      <c r="AB58">
        <f t="shared" si="7"/>
        <v>1.0689968816493809</v>
      </c>
      <c r="AE58">
        <v>56</v>
      </c>
      <c r="AF58" s="3">
        <v>90747</v>
      </c>
      <c r="AG58" s="3">
        <v>20639</v>
      </c>
      <c r="AH58" s="3">
        <v>13766</v>
      </c>
      <c r="AI58">
        <f t="shared" si="8"/>
        <v>1.2245345991894918</v>
      </c>
      <c r="AJ58">
        <f t="shared" si="9"/>
        <v>0.69330117478279019</v>
      </c>
    </row>
    <row r="59" spans="2:36" x14ac:dyDescent="0.25">
      <c r="B59">
        <v>57</v>
      </c>
      <c r="C59" s="27">
        <v>101953</v>
      </c>
      <c r="D59" s="28">
        <v>33419</v>
      </c>
      <c r="E59" s="3">
        <v>9872</v>
      </c>
      <c r="F59" s="120">
        <f t="shared" si="0"/>
        <v>1.2778524788731265</v>
      </c>
      <c r="G59" s="120">
        <f t="shared" si="1"/>
        <v>1.7047599355484198</v>
      </c>
      <c r="I59">
        <v>57</v>
      </c>
      <c r="J59" s="27">
        <v>96408</v>
      </c>
      <c r="K59" s="28">
        <v>27572</v>
      </c>
      <c r="L59" s="3">
        <v>8</v>
      </c>
      <c r="M59" s="70">
        <f t="shared" si="2"/>
        <v>1.1459814435354794</v>
      </c>
      <c r="N59" s="70">
        <f t="shared" si="3"/>
        <v>1.2202348682157849</v>
      </c>
      <c r="P59">
        <v>57</v>
      </c>
      <c r="Q59" s="27">
        <v>127141</v>
      </c>
      <c r="R59" s="28">
        <v>36171</v>
      </c>
      <c r="S59" s="3">
        <v>13281</v>
      </c>
      <c r="T59">
        <f t="shared" si="4"/>
        <v>1.3853054881565838</v>
      </c>
      <c r="U59">
        <f t="shared" si="5"/>
        <v>1.4431644405654349</v>
      </c>
      <c r="W59">
        <v>57</v>
      </c>
      <c r="X59" s="21">
        <v>87322</v>
      </c>
      <c r="Y59" s="22">
        <v>39046</v>
      </c>
      <c r="Z59" s="3">
        <v>10851</v>
      </c>
      <c r="AA59">
        <f t="shared" si="6"/>
        <v>1.2308785698614626</v>
      </c>
      <c r="AB59">
        <f t="shared" si="7"/>
        <v>1.4205994228058583</v>
      </c>
      <c r="AE59">
        <v>57</v>
      </c>
      <c r="AF59" s="21">
        <v>111633</v>
      </c>
      <c r="AG59" s="22">
        <v>57500</v>
      </c>
      <c r="AH59" s="3">
        <v>20843</v>
      </c>
      <c r="AI59">
        <f t="shared" si="8"/>
        <v>1.506369036015742</v>
      </c>
      <c r="AJ59">
        <f t="shared" si="9"/>
        <v>1.931528540627474</v>
      </c>
    </row>
    <row r="60" spans="2:36" x14ac:dyDescent="0.25">
      <c r="B60">
        <v>58</v>
      </c>
      <c r="C60" s="27">
        <v>159971</v>
      </c>
      <c r="D60" s="28">
        <v>29330</v>
      </c>
      <c r="E60" s="3">
        <v>8504</v>
      </c>
      <c r="F60" s="120">
        <f t="shared" si="0"/>
        <v>2.0050350543663544</v>
      </c>
      <c r="G60" s="120">
        <f t="shared" si="1"/>
        <v>1.4961731024158458</v>
      </c>
      <c r="I60">
        <v>58</v>
      </c>
      <c r="J60" s="27">
        <v>119300</v>
      </c>
      <c r="K60" s="28">
        <v>29781</v>
      </c>
      <c r="L60" s="3">
        <v>8094</v>
      </c>
      <c r="M60" s="70">
        <f t="shared" si="2"/>
        <v>1.4180937911146658</v>
      </c>
      <c r="N60" s="70">
        <f t="shared" si="3"/>
        <v>1.3179970481043917</v>
      </c>
      <c r="P60">
        <v>58</v>
      </c>
      <c r="Q60" s="27">
        <v>107317</v>
      </c>
      <c r="R60" s="28">
        <v>43322</v>
      </c>
      <c r="S60" s="3">
        <v>11624</v>
      </c>
      <c r="T60">
        <f t="shared" si="4"/>
        <v>1.1693067466238278</v>
      </c>
      <c r="U60">
        <f t="shared" si="5"/>
        <v>1.7284777831460498</v>
      </c>
      <c r="W60">
        <v>58</v>
      </c>
      <c r="X60" s="23">
        <v>114193</v>
      </c>
      <c r="Y60" s="24">
        <v>54782</v>
      </c>
      <c r="Z60" s="3">
        <v>12927</v>
      </c>
      <c r="AA60">
        <f t="shared" si="6"/>
        <v>1.609648387899842</v>
      </c>
      <c r="AB60">
        <f t="shared" si="7"/>
        <v>1.9931177990101554</v>
      </c>
      <c r="AE60">
        <v>58</v>
      </c>
      <c r="AF60" s="27">
        <v>104256</v>
      </c>
      <c r="AG60" s="28">
        <v>53884</v>
      </c>
      <c r="AH60" s="3">
        <v>21058</v>
      </c>
      <c r="AI60">
        <f t="shared" si="8"/>
        <v>1.4068242385213798</v>
      </c>
      <c r="AJ60">
        <f t="shared" si="9"/>
        <v>1.8100605892725359</v>
      </c>
    </row>
    <row r="61" spans="2:36" x14ac:dyDescent="0.25">
      <c r="B61">
        <v>59</v>
      </c>
      <c r="C61" s="27">
        <v>149564</v>
      </c>
      <c r="D61" s="28">
        <v>37356</v>
      </c>
      <c r="E61" s="3">
        <v>23335</v>
      </c>
      <c r="F61" s="120">
        <f t="shared" si="0"/>
        <v>1.874596413545264</v>
      </c>
      <c r="G61" s="120">
        <f t="shared" si="1"/>
        <v>1.9055929905846007</v>
      </c>
      <c r="I61">
        <v>59</v>
      </c>
      <c r="J61" s="23">
        <v>89305</v>
      </c>
      <c r="K61" s="24">
        <v>30892</v>
      </c>
      <c r="L61" s="3">
        <v>8796</v>
      </c>
      <c r="M61" s="70">
        <f t="shared" si="2"/>
        <v>1.0615495894006306</v>
      </c>
      <c r="N61" s="70">
        <f t="shared" si="3"/>
        <v>1.3671658040375028</v>
      </c>
      <c r="P61">
        <v>59</v>
      </c>
      <c r="Q61" s="27">
        <v>134530</v>
      </c>
      <c r="R61" s="28">
        <v>34144</v>
      </c>
      <c r="S61" s="3">
        <v>19931</v>
      </c>
      <c r="T61">
        <f t="shared" si="4"/>
        <v>1.4658147043180816</v>
      </c>
      <c r="U61">
        <f t="shared" si="5"/>
        <v>1.3622904165952341</v>
      </c>
      <c r="W61">
        <v>59</v>
      </c>
      <c r="X61" s="3">
        <v>96185</v>
      </c>
      <c r="Y61" s="3">
        <v>14279</v>
      </c>
      <c r="Z61" s="3">
        <v>10698</v>
      </c>
      <c r="AA61">
        <f t="shared" si="6"/>
        <v>1.3558101651602663</v>
      </c>
      <c r="AB61">
        <f t="shared" si="7"/>
        <v>0.51950876295253934</v>
      </c>
      <c r="AE61">
        <v>59</v>
      </c>
      <c r="AF61" s="23">
        <v>88746</v>
      </c>
      <c r="AG61" s="24">
        <v>31659</v>
      </c>
      <c r="AH61" s="3">
        <v>11498</v>
      </c>
      <c r="AI61">
        <f t="shared" si="8"/>
        <v>1.1975332246759742</v>
      </c>
      <c r="AJ61">
        <f t="shared" si="9"/>
        <v>1.0634828185691338</v>
      </c>
    </row>
    <row r="62" spans="2:36" x14ac:dyDescent="0.25">
      <c r="B62">
        <v>60</v>
      </c>
      <c r="C62" s="23">
        <v>95741</v>
      </c>
      <c r="D62" s="24">
        <v>29361</v>
      </c>
      <c r="E62" s="3">
        <v>6068</v>
      </c>
      <c r="F62" s="120">
        <f t="shared" si="0"/>
        <v>1.1999928808352085</v>
      </c>
      <c r="G62" s="120">
        <f t="shared" si="1"/>
        <v>1.4977544650539261</v>
      </c>
      <c r="I62">
        <v>60</v>
      </c>
      <c r="J62" s="3">
        <v>75286</v>
      </c>
      <c r="K62" s="3">
        <v>23060</v>
      </c>
      <c r="L62" s="3">
        <v>7264</v>
      </c>
      <c r="M62" s="70">
        <f t="shared" si="2"/>
        <v>0.89490871045983844</v>
      </c>
      <c r="N62" s="70">
        <f t="shared" si="3"/>
        <v>1.0205504156773537</v>
      </c>
      <c r="P62">
        <v>60</v>
      </c>
      <c r="Q62" s="27">
        <v>103184</v>
      </c>
      <c r="R62" s="28">
        <v>35893</v>
      </c>
      <c r="S62" s="3">
        <v>10763</v>
      </c>
      <c r="T62">
        <f t="shared" si="4"/>
        <v>1.1242743213436182</v>
      </c>
      <c r="U62">
        <f t="shared" si="5"/>
        <v>1.4320726898679925</v>
      </c>
      <c r="W62">
        <v>60</v>
      </c>
      <c r="X62" s="3">
        <v>77754</v>
      </c>
      <c r="Y62" s="3">
        <v>18278</v>
      </c>
      <c r="Z62" s="3">
        <v>9601</v>
      </c>
      <c r="AA62">
        <f t="shared" si="6"/>
        <v>1.0960093942077387</v>
      </c>
      <c r="AB62">
        <f t="shared" si="7"/>
        <v>0.66500323336693845</v>
      </c>
      <c r="AE62">
        <v>60</v>
      </c>
      <c r="AF62" s="3">
        <v>58417</v>
      </c>
      <c r="AG62" s="3">
        <v>25881</v>
      </c>
      <c r="AH62" s="3">
        <v>38107</v>
      </c>
      <c r="AI62">
        <f t="shared" si="8"/>
        <v>0.78827550972321447</v>
      </c>
      <c r="AJ62">
        <f t="shared" si="9"/>
        <v>0.86938939408660276</v>
      </c>
    </row>
    <row r="63" spans="2:36" x14ac:dyDescent="0.25">
      <c r="B63">
        <v>61</v>
      </c>
      <c r="C63" s="3">
        <v>78442</v>
      </c>
      <c r="D63" s="3">
        <v>23454</v>
      </c>
      <c r="E63" s="3">
        <v>8626</v>
      </c>
      <c r="F63" s="120">
        <f t="shared" si="0"/>
        <v>0.98317169821158557</v>
      </c>
      <c r="G63" s="120">
        <f t="shared" si="1"/>
        <v>1.1964283649526508</v>
      </c>
      <c r="I63">
        <v>61</v>
      </c>
      <c r="J63" s="3">
        <v>62783</v>
      </c>
      <c r="K63" s="3">
        <v>19775</v>
      </c>
      <c r="L63" s="3">
        <v>5550</v>
      </c>
      <c r="M63" s="70">
        <f t="shared" si="2"/>
        <v>0.74628820190739364</v>
      </c>
      <c r="N63" s="70">
        <f t="shared" si="3"/>
        <v>0.8751684505645998</v>
      </c>
      <c r="P63">
        <v>61</v>
      </c>
      <c r="Q63" s="23">
        <v>125848</v>
      </c>
      <c r="R63" s="24">
        <v>34827</v>
      </c>
      <c r="S63" s="3">
        <v>15536</v>
      </c>
      <c r="T63">
        <f t="shared" si="4"/>
        <v>1.3712171925148438</v>
      </c>
      <c r="U63">
        <f t="shared" si="5"/>
        <v>1.3895410127331951</v>
      </c>
      <c r="W63">
        <v>61</v>
      </c>
      <c r="X63" s="3">
        <v>69272</v>
      </c>
      <c r="Y63" s="3">
        <v>17854</v>
      </c>
      <c r="Z63" s="3">
        <v>6940</v>
      </c>
      <c r="AA63">
        <f t="shared" si="6"/>
        <v>0.97644832105818968</v>
      </c>
      <c r="AB63">
        <f t="shared" si="7"/>
        <v>0.64957696293540423</v>
      </c>
      <c r="AE63">
        <v>61</v>
      </c>
      <c r="AF63" s="21">
        <v>87153</v>
      </c>
      <c r="AG63" s="22">
        <v>49102</v>
      </c>
      <c r="AH63" s="3">
        <v>11599</v>
      </c>
      <c r="AI63">
        <f t="shared" si="8"/>
        <v>1.1760373777993958</v>
      </c>
      <c r="AJ63">
        <f t="shared" si="9"/>
        <v>1.6494245982937432</v>
      </c>
    </row>
    <row r="64" spans="2:36" x14ac:dyDescent="0.25">
      <c r="B64">
        <v>62</v>
      </c>
      <c r="C64" s="25">
        <v>85904</v>
      </c>
      <c r="D64" s="26">
        <v>27378</v>
      </c>
      <c r="E64" s="3">
        <v>6489</v>
      </c>
      <c r="F64" s="120">
        <f t="shared" si="0"/>
        <v>1.0766984722873978</v>
      </c>
      <c r="G64" s="120">
        <f t="shared" si="1"/>
        <v>1.3965982679147981</v>
      </c>
      <c r="I64">
        <v>62</v>
      </c>
      <c r="J64" s="3">
        <v>55885</v>
      </c>
      <c r="K64" s="3">
        <v>18318</v>
      </c>
      <c r="L64" s="3">
        <v>5732</v>
      </c>
      <c r="M64" s="70">
        <f t="shared" si="2"/>
        <v>0.66429313928284239</v>
      </c>
      <c r="N64" s="70">
        <f t="shared" si="3"/>
        <v>0.81068701276573141</v>
      </c>
      <c r="P64">
        <v>62</v>
      </c>
      <c r="Q64" s="3">
        <v>93119</v>
      </c>
      <c r="R64" s="3">
        <v>24131</v>
      </c>
      <c r="S64" s="3">
        <v>10006</v>
      </c>
      <c r="T64">
        <f t="shared" si="4"/>
        <v>1.014607890072069</v>
      </c>
      <c r="U64">
        <f t="shared" si="5"/>
        <v>0.96278789956828703</v>
      </c>
      <c r="W64">
        <v>62</v>
      </c>
      <c r="X64" s="21">
        <v>96975</v>
      </c>
      <c r="Y64" s="22">
        <v>41517</v>
      </c>
      <c r="Z64" s="3">
        <v>20798</v>
      </c>
      <c r="AA64">
        <f t="shared" si="6"/>
        <v>1.3669458935012406</v>
      </c>
      <c r="AB64">
        <f t="shared" si="7"/>
        <v>1.5105011073254833</v>
      </c>
      <c r="AE64">
        <v>62</v>
      </c>
      <c r="AF64" s="23">
        <v>115772</v>
      </c>
      <c r="AG64" s="24">
        <v>42187</v>
      </c>
      <c r="AH64" s="3">
        <v>13938</v>
      </c>
      <c r="AI64">
        <f t="shared" si="8"/>
        <v>1.5622204548620433</v>
      </c>
      <c r="AJ64">
        <f t="shared" si="9"/>
        <v>1.4171372964078479</v>
      </c>
    </row>
    <row r="65" spans="2:36" x14ac:dyDescent="0.25">
      <c r="B65">
        <v>63</v>
      </c>
      <c r="C65" s="3">
        <v>76575</v>
      </c>
      <c r="D65" s="3">
        <v>6085</v>
      </c>
      <c r="E65" s="3">
        <v>7144</v>
      </c>
      <c r="F65" s="120">
        <f t="shared" si="0"/>
        <v>0.95977120408138705</v>
      </c>
      <c r="G65" s="120">
        <f t="shared" si="1"/>
        <v>0.31040618234573553</v>
      </c>
      <c r="I65">
        <v>63</v>
      </c>
      <c r="J65" s="25">
        <v>85274</v>
      </c>
      <c r="K65" s="26">
        <v>23650</v>
      </c>
      <c r="L65" s="3">
        <v>6249</v>
      </c>
      <c r="M65" s="70">
        <f t="shared" si="2"/>
        <v>1.0136339475566807</v>
      </c>
      <c r="N65" s="70">
        <f t="shared" si="3"/>
        <v>1.0466616361998879</v>
      </c>
      <c r="P65">
        <v>63</v>
      </c>
      <c r="Q65" s="25">
        <v>109271</v>
      </c>
      <c r="R65" s="26">
        <v>25068</v>
      </c>
      <c r="S65" s="3">
        <v>7805</v>
      </c>
      <c r="T65">
        <f t="shared" si="4"/>
        <v>1.1905971794807189</v>
      </c>
      <c r="U65">
        <f t="shared" si="5"/>
        <v>1.0001726851924007</v>
      </c>
      <c r="W65">
        <v>63</v>
      </c>
      <c r="X65" s="27">
        <v>103013</v>
      </c>
      <c r="Y65" s="28">
        <v>38567</v>
      </c>
      <c r="Z65" s="3">
        <v>17133</v>
      </c>
      <c r="AA65">
        <f t="shared" si="6"/>
        <v>1.4520566880870669</v>
      </c>
      <c r="AB65">
        <f t="shared" si="7"/>
        <v>1.4031721031438185</v>
      </c>
      <c r="AE65">
        <v>63</v>
      </c>
      <c r="AF65" s="3">
        <v>72543</v>
      </c>
      <c r="AG65" s="3">
        <v>36848</v>
      </c>
      <c r="AH65" s="3">
        <v>9417</v>
      </c>
      <c r="AI65">
        <f t="shared" si="8"/>
        <v>0.97889091021194419</v>
      </c>
      <c r="AJ65">
        <f t="shared" si="9"/>
        <v>1.2377906724354986</v>
      </c>
    </row>
    <row r="66" spans="2:36" x14ac:dyDescent="0.25">
      <c r="B66">
        <v>64</v>
      </c>
      <c r="C66" s="25">
        <v>112514</v>
      </c>
      <c r="D66" s="26">
        <v>20877</v>
      </c>
      <c r="E66" s="3">
        <v>7921</v>
      </c>
      <c r="F66" s="120">
        <f t="shared" si="0"/>
        <v>1.4102213157820853</v>
      </c>
      <c r="G66" s="120">
        <f t="shared" si="1"/>
        <v>1.0649712191999869</v>
      </c>
      <c r="I66">
        <v>64</v>
      </c>
      <c r="J66" s="3">
        <v>59950</v>
      </c>
      <c r="K66" s="3">
        <v>9822</v>
      </c>
      <c r="L66" s="3">
        <v>18069</v>
      </c>
      <c r="M66" s="70">
        <f t="shared" si="2"/>
        <v>0.71261293191386599</v>
      </c>
      <c r="N66" s="70">
        <f t="shared" si="3"/>
        <v>0.43468543724123887</v>
      </c>
      <c r="P66">
        <v>64</v>
      </c>
      <c r="Q66" s="3">
        <v>88123</v>
      </c>
      <c r="R66" s="3">
        <v>23170</v>
      </c>
      <c r="S66" s="3">
        <v>7581</v>
      </c>
      <c r="T66">
        <f t="shared" si="4"/>
        <v>0.96017237187707061</v>
      </c>
      <c r="U66">
        <f t="shared" si="5"/>
        <v>0.92444555273288342</v>
      </c>
      <c r="W66">
        <v>64</v>
      </c>
      <c r="X66" s="27">
        <v>104833</v>
      </c>
      <c r="Y66" s="28">
        <v>40061</v>
      </c>
      <c r="Z66" s="3">
        <v>20800</v>
      </c>
      <c r="AA66">
        <f t="shared" si="6"/>
        <v>1.477711150847286</v>
      </c>
      <c r="AB66">
        <f t="shared" si="7"/>
        <v>1.4575278767870072</v>
      </c>
      <c r="AE66">
        <v>64</v>
      </c>
      <c r="AF66" s="25">
        <v>108808</v>
      </c>
      <c r="AG66" s="26">
        <v>40348</v>
      </c>
      <c r="AH66" s="3">
        <v>15448</v>
      </c>
      <c r="AI66">
        <f t="shared" si="8"/>
        <v>1.4682486547060534</v>
      </c>
      <c r="AJ66">
        <f t="shared" si="9"/>
        <v>1.3553619749084753</v>
      </c>
    </row>
    <row r="67" spans="2:36" x14ac:dyDescent="0.25">
      <c r="B67">
        <v>65</v>
      </c>
      <c r="C67" s="3">
        <v>65945</v>
      </c>
      <c r="D67" s="3">
        <v>14479</v>
      </c>
      <c r="E67" s="3">
        <v>7307</v>
      </c>
      <c r="F67" s="120">
        <f t="shared" si="0"/>
        <v>0.82653753905513638</v>
      </c>
      <c r="G67" s="120">
        <f t="shared" si="1"/>
        <v>0.73859837537944195</v>
      </c>
      <c r="I67">
        <v>65</v>
      </c>
      <c r="J67" s="3">
        <v>72263</v>
      </c>
      <c r="K67" s="3">
        <v>21438</v>
      </c>
      <c r="L67" s="3">
        <v>5309</v>
      </c>
      <c r="M67" s="70">
        <f t="shared" si="2"/>
        <v>0.85897495077383978</v>
      </c>
      <c r="N67" s="70">
        <f t="shared" si="3"/>
        <v>0.94876668739336989</v>
      </c>
      <c r="P67">
        <v>65</v>
      </c>
      <c r="Q67" s="3">
        <v>96967</v>
      </c>
      <c r="R67" s="3">
        <v>20967</v>
      </c>
      <c r="S67" s="3">
        <v>15746</v>
      </c>
      <c r="T67">
        <f t="shared" si="4"/>
        <v>1.0565350065681367</v>
      </c>
      <c r="U67">
        <f t="shared" si="5"/>
        <v>0.83654941321322263</v>
      </c>
      <c r="W67">
        <v>65</v>
      </c>
      <c r="X67" s="23">
        <v>110127</v>
      </c>
      <c r="Y67" s="24">
        <v>36266</v>
      </c>
      <c r="Z67" s="3">
        <v>14422</v>
      </c>
      <c r="AA67">
        <f t="shared" si="6"/>
        <v>1.5523346265904732</v>
      </c>
      <c r="AB67">
        <f t="shared" si="7"/>
        <v>1.3194554798821199</v>
      </c>
      <c r="AE67">
        <v>65</v>
      </c>
      <c r="AF67" s="3">
        <v>95356</v>
      </c>
      <c r="AG67" s="3">
        <v>29338</v>
      </c>
      <c r="AH67" s="3">
        <v>9847</v>
      </c>
      <c r="AI67">
        <f t="shared" si="8"/>
        <v>1.2867281699705024</v>
      </c>
      <c r="AJ67">
        <f t="shared" si="9"/>
        <v>0.98551624912919711</v>
      </c>
    </row>
    <row r="68" spans="2:36" x14ac:dyDescent="0.25">
      <c r="B68">
        <v>66</v>
      </c>
      <c r="C68" s="3">
        <v>72996</v>
      </c>
      <c r="D68" s="3">
        <v>28450</v>
      </c>
      <c r="E68" s="3">
        <v>7992</v>
      </c>
      <c r="F68" s="120">
        <f t="shared" ref="F68:F77" si="14">C68/$C$78</f>
        <v>0.91491294564968895</v>
      </c>
      <c r="G68" s="120">
        <f t="shared" ref="G68:G77" si="15">D68/$D$78</f>
        <v>1.4512828081735702</v>
      </c>
      <c r="I68">
        <v>66</v>
      </c>
      <c r="J68" s="25">
        <v>125262</v>
      </c>
      <c r="K68" s="26">
        <v>36984</v>
      </c>
      <c r="L68" s="3">
        <v>9029</v>
      </c>
      <c r="M68" s="70">
        <f t="shared" ref="M68" si="16">J68/$J$69</f>
        <v>1.4889628203068337</v>
      </c>
      <c r="N68" s="70">
        <f t="shared" ref="N68" si="17">K68/$K$69</f>
        <v>1.636775220009161</v>
      </c>
      <c r="P68" t="s">
        <v>5</v>
      </c>
      <c r="Q68" s="3">
        <f>AVERAGE(Q4:Q67)</f>
        <v>91778.3125</v>
      </c>
      <c r="R68" s="3">
        <f>AVERAGE(R4:R67)</f>
        <v>25063.671875</v>
      </c>
      <c r="W68">
        <v>66</v>
      </c>
      <c r="X68" s="30">
        <v>66179</v>
      </c>
      <c r="Y68" s="30">
        <v>31894</v>
      </c>
      <c r="Z68" s="3">
        <v>10146</v>
      </c>
      <c r="AA68">
        <f t="shared" ref="AA68:AA76" si="18">X68/$X$77</f>
        <v>0.93284983022447643</v>
      </c>
      <c r="AB68">
        <f t="shared" ref="AB68:AB76" si="19">Y68/$Y$77</f>
        <v>1.1603902574135645</v>
      </c>
      <c r="AE68">
        <v>66</v>
      </c>
      <c r="AF68" s="3">
        <v>70903</v>
      </c>
      <c r="AG68" s="3">
        <v>20864</v>
      </c>
      <c r="AH68" s="3">
        <v>10505</v>
      </c>
      <c r="AI68">
        <f t="shared" ref="AI68:AI78" si="20">AF68/$AF$79</f>
        <v>0.95676084814189488</v>
      </c>
      <c r="AJ68">
        <f t="shared" ref="AJ68:AJ78" si="21">AG68/$AG$79</f>
        <v>0.70085932994176725</v>
      </c>
    </row>
    <row r="69" spans="2:36" x14ac:dyDescent="0.25">
      <c r="B69">
        <v>67</v>
      </c>
      <c r="C69" s="3">
        <v>66228</v>
      </c>
      <c r="D69" s="3">
        <v>19544</v>
      </c>
      <c r="E69" s="3">
        <v>9390</v>
      </c>
      <c r="F69" s="120">
        <f t="shared" si="14"/>
        <v>0.83008458771011562</v>
      </c>
      <c r="G69" s="120">
        <f t="shared" si="15"/>
        <v>0.99697262576253975</v>
      </c>
      <c r="I69" t="s">
        <v>5</v>
      </c>
      <c r="J69" s="3">
        <f>AVERAGE(J9:J68)</f>
        <v>84127.016666666663</v>
      </c>
      <c r="K69" s="3">
        <f>AVERAGE(K9:K68)</f>
        <v>22595.65</v>
      </c>
      <c r="P69" t="s">
        <v>8</v>
      </c>
      <c r="Q69" s="3">
        <f>AVERAGE(Q41:Q67)</f>
        <v>110151.55555555556</v>
      </c>
      <c r="R69" s="3">
        <f>AVERAGE(R41:R67)</f>
        <v>31723.370370370369</v>
      </c>
      <c r="W69">
        <v>67</v>
      </c>
      <c r="X69" s="3">
        <v>55127</v>
      </c>
      <c r="Y69" s="3">
        <v>24371</v>
      </c>
      <c r="Z69" s="3">
        <v>10911</v>
      </c>
      <c r="AA69">
        <f t="shared" si="18"/>
        <v>0.77706240032011231</v>
      </c>
      <c r="AB69">
        <f t="shared" si="19"/>
        <v>0.88668310539367856</v>
      </c>
      <c r="AE69">
        <v>67</v>
      </c>
      <c r="AF69" s="21">
        <v>101495</v>
      </c>
      <c r="AG69" s="22">
        <v>35826</v>
      </c>
      <c r="AH69" s="3">
        <v>19661</v>
      </c>
      <c r="AI69">
        <f t="shared" si="20"/>
        <v>1.3695674693900346</v>
      </c>
      <c r="AJ69">
        <f t="shared" si="21"/>
        <v>1.2034598521133892</v>
      </c>
    </row>
    <row r="70" spans="2:36" x14ac:dyDescent="0.25">
      <c r="B70">
        <v>68</v>
      </c>
      <c r="C70" s="25">
        <v>131790</v>
      </c>
      <c r="D70" s="26">
        <v>38188</v>
      </c>
      <c r="E70" s="3">
        <v>8915</v>
      </c>
      <c r="F70" s="120">
        <f t="shared" si="14"/>
        <v>1.6518217040272414</v>
      </c>
      <c r="G70" s="120">
        <f t="shared" si="15"/>
        <v>1.9480347233227522</v>
      </c>
      <c r="I70" t="s">
        <v>8</v>
      </c>
      <c r="J70" s="3">
        <f>AVERAGE(J38:J68)</f>
        <v>97858.129032258061</v>
      </c>
      <c r="K70" s="3">
        <f>AVERAGE(K38:K68)</f>
        <v>28137.741935483871</v>
      </c>
      <c r="L70" s="3"/>
      <c r="M70" s="3"/>
      <c r="N70" s="3"/>
      <c r="P70" s="5" t="s">
        <v>30</v>
      </c>
      <c r="Q70" s="3">
        <f>AVERAGE(Q3:Q40)</f>
        <v>77613.394736842107</v>
      </c>
      <c r="R70" s="3">
        <f>AVERAGE(R3:R40)</f>
        <v>20079.78947368421</v>
      </c>
      <c r="W70">
        <v>68</v>
      </c>
      <c r="X70" s="21">
        <v>102938</v>
      </c>
      <c r="Y70" s="22">
        <v>43376</v>
      </c>
      <c r="Z70" s="3">
        <v>10095</v>
      </c>
      <c r="AA70">
        <f t="shared" si="18"/>
        <v>1.4509994986876071</v>
      </c>
      <c r="AB70">
        <f t="shared" si="19"/>
        <v>1.5781365713165729</v>
      </c>
      <c r="AE70">
        <v>68</v>
      </c>
      <c r="AF70" s="27">
        <v>124804</v>
      </c>
      <c r="AG70" s="28">
        <v>39561</v>
      </c>
      <c r="AH70" s="3">
        <v>14432</v>
      </c>
      <c r="AI70">
        <f t="shared" si="20"/>
        <v>1.6840977235307539</v>
      </c>
      <c r="AJ70">
        <f t="shared" si="21"/>
        <v>1.3289252277524088</v>
      </c>
    </row>
    <row r="71" spans="2:36" x14ac:dyDescent="0.25">
      <c r="B71">
        <v>69</v>
      </c>
      <c r="C71" s="3">
        <v>67104</v>
      </c>
      <c r="D71" s="3">
        <v>20231</v>
      </c>
      <c r="E71" s="3">
        <v>5507</v>
      </c>
      <c r="F71" s="120">
        <f t="shared" si="14"/>
        <v>0.84106414467747181</v>
      </c>
      <c r="G71" s="120">
        <f t="shared" si="15"/>
        <v>1.0320176622903163</v>
      </c>
      <c r="I71" s="5" t="s">
        <v>30</v>
      </c>
      <c r="J71" s="3">
        <f>AVERAGE(J3:J37)</f>
        <v>69753</v>
      </c>
      <c r="K71" s="3">
        <f>AVERAGE(K3:K37)</f>
        <v>16428.514285714286</v>
      </c>
      <c r="P71" t="s">
        <v>31</v>
      </c>
      <c r="Q71">
        <f>COUNT(S3:S40)</f>
        <v>38</v>
      </c>
      <c r="S71" s="3"/>
      <c r="T71" s="3"/>
      <c r="U71" s="3"/>
      <c r="W71">
        <v>69</v>
      </c>
      <c r="X71" s="27">
        <v>76848</v>
      </c>
      <c r="Y71" s="28">
        <v>36894</v>
      </c>
      <c r="Z71" s="3">
        <v>18848</v>
      </c>
      <c r="AA71">
        <f t="shared" si="18"/>
        <v>1.0832385462622671</v>
      </c>
      <c r="AB71">
        <f t="shared" si="19"/>
        <v>1.3423038238231659</v>
      </c>
      <c r="AE71">
        <v>69</v>
      </c>
      <c r="AF71" s="23">
        <v>89313</v>
      </c>
      <c r="AG71" s="24">
        <v>32575</v>
      </c>
      <c r="AH71" s="3">
        <v>19440</v>
      </c>
      <c r="AI71">
        <f t="shared" si="20"/>
        <v>1.2051842888184852</v>
      </c>
      <c r="AJ71">
        <f t="shared" si="21"/>
        <v>1.0942529080163472</v>
      </c>
    </row>
    <row r="72" spans="2:36" x14ac:dyDescent="0.25">
      <c r="B72">
        <v>70</v>
      </c>
      <c r="C72" s="3">
        <v>69081</v>
      </c>
      <c r="D72" s="3">
        <v>17041</v>
      </c>
      <c r="E72" s="3">
        <v>7416</v>
      </c>
      <c r="F72" s="120">
        <f t="shared" si="14"/>
        <v>0.86584335029900494</v>
      </c>
      <c r="G72" s="120">
        <f t="shared" si="15"/>
        <v>0.8692903456620672</v>
      </c>
      <c r="I72" t="s">
        <v>31</v>
      </c>
      <c r="J72">
        <f>COUNT(L3:L37)</f>
        <v>35</v>
      </c>
      <c r="P72" s="3" t="s">
        <v>32</v>
      </c>
      <c r="Q72" s="3">
        <f>(Q71/P67)*100</f>
        <v>58.461538461538467</v>
      </c>
      <c r="R72" s="3"/>
      <c r="W72">
        <v>70</v>
      </c>
      <c r="X72" s="23">
        <v>91735</v>
      </c>
      <c r="Y72" s="24">
        <v>28761</v>
      </c>
      <c r="Z72" s="3">
        <v>14387</v>
      </c>
      <c r="AA72">
        <f t="shared" si="18"/>
        <v>1.2930835941256644</v>
      </c>
      <c r="AB72">
        <f t="shared" si="19"/>
        <v>1.0464032167013084</v>
      </c>
      <c r="AE72">
        <v>70</v>
      </c>
      <c r="AF72" s="3">
        <v>61791</v>
      </c>
      <c r="AG72" s="3">
        <v>29483</v>
      </c>
      <c r="AH72" s="3">
        <v>9055</v>
      </c>
      <c r="AI72">
        <f t="shared" si="20"/>
        <v>0.83380406425025488</v>
      </c>
      <c r="AJ72">
        <f t="shared" si="21"/>
        <v>0.99038706023164902</v>
      </c>
    </row>
    <row r="73" spans="2:36" x14ac:dyDescent="0.25">
      <c r="B73">
        <v>71</v>
      </c>
      <c r="C73" s="3">
        <v>67571</v>
      </c>
      <c r="D73" s="3">
        <v>17443</v>
      </c>
      <c r="E73" s="3">
        <v>7025</v>
      </c>
      <c r="F73" s="120">
        <f t="shared" si="14"/>
        <v>0.846917401645229</v>
      </c>
      <c r="G73" s="120">
        <f t="shared" si="15"/>
        <v>0.88979704825910666</v>
      </c>
      <c r="I73" s="3" t="s">
        <v>32</v>
      </c>
      <c r="J73" s="3">
        <f>(J72/I68)*100</f>
        <v>53.030303030303031</v>
      </c>
      <c r="K73" s="3"/>
      <c r="Q73" t="s">
        <v>11</v>
      </c>
      <c r="R73" t="s">
        <v>0</v>
      </c>
      <c r="W73">
        <v>71</v>
      </c>
      <c r="X73" s="3">
        <v>63458</v>
      </c>
      <c r="Y73" s="3">
        <v>22346</v>
      </c>
      <c r="Z73" s="3">
        <v>8187</v>
      </c>
      <c r="AA73">
        <f t="shared" si="18"/>
        <v>0.89449499881208283</v>
      </c>
      <c r="AB73">
        <f t="shared" si="19"/>
        <v>0.81300811099779002</v>
      </c>
      <c r="AE73">
        <v>71</v>
      </c>
      <c r="AF73" s="3">
        <v>64995</v>
      </c>
      <c r="AG73" s="3">
        <v>13964</v>
      </c>
      <c r="AH73" s="3">
        <v>7615</v>
      </c>
      <c r="AI73">
        <f t="shared" si="20"/>
        <v>0.87703864892857086</v>
      </c>
      <c r="AJ73">
        <f t="shared" si="21"/>
        <v>0.4690759050664704</v>
      </c>
    </row>
    <row r="74" spans="2:36" x14ac:dyDescent="0.25">
      <c r="B74">
        <v>72</v>
      </c>
      <c r="C74" s="3">
        <v>61897</v>
      </c>
      <c r="D74" s="3">
        <v>17626</v>
      </c>
      <c r="E74" s="3">
        <v>7333</v>
      </c>
      <c r="F74" s="120">
        <f t="shared" si="14"/>
        <v>0.77580095617402045</v>
      </c>
      <c r="G74" s="120">
        <f t="shared" si="15"/>
        <v>0.89913218899357994</v>
      </c>
      <c r="J74" t="s">
        <v>11</v>
      </c>
      <c r="K74" t="s">
        <v>0</v>
      </c>
      <c r="L74" s="3"/>
      <c r="M74" s="3"/>
      <c r="N74" s="3"/>
      <c r="P74" s="29" t="s">
        <v>10</v>
      </c>
      <c r="Q74">
        <f>(COUNT(Q65,Q49:Q63,Q46,Q42,Q24,Q21)/P67)*100</f>
        <v>30.76923076923077</v>
      </c>
      <c r="R74">
        <f>(COUNT(Q21,Q24)/Q71)*100</f>
        <v>5.2631578947368416</v>
      </c>
      <c r="S74" s="3"/>
      <c r="T74" s="3"/>
      <c r="U74" s="3"/>
      <c r="W74">
        <v>72</v>
      </c>
      <c r="X74" s="3">
        <v>48828</v>
      </c>
      <c r="Y74" s="3">
        <v>29511</v>
      </c>
      <c r="Z74" s="3">
        <v>7994</v>
      </c>
      <c r="AA74">
        <f t="shared" si="18"/>
        <v>0.68827258662416679</v>
      </c>
      <c r="AB74">
        <f t="shared" si="19"/>
        <v>1.0736902516627487</v>
      </c>
      <c r="AE74">
        <v>72</v>
      </c>
      <c r="AF74" s="21">
        <v>90050</v>
      </c>
      <c r="AG74" s="22">
        <v>36895</v>
      </c>
      <c r="AH74" s="3">
        <v>15779</v>
      </c>
      <c r="AI74">
        <f t="shared" si="20"/>
        <v>1.2151293228097209</v>
      </c>
      <c r="AJ74">
        <f t="shared" si="21"/>
        <v>1.2393694870687071</v>
      </c>
    </row>
    <row r="75" spans="2:36" x14ac:dyDescent="0.25">
      <c r="B75">
        <v>73</v>
      </c>
      <c r="C75" s="3">
        <v>78612</v>
      </c>
      <c r="D75" s="3">
        <v>18290</v>
      </c>
      <c r="E75" s="3">
        <v>6598</v>
      </c>
      <c r="F75" s="120">
        <f t="shared" si="14"/>
        <v>0.98530243415273921</v>
      </c>
      <c r="G75" s="120">
        <f t="shared" si="15"/>
        <v>0.93300395646729706</v>
      </c>
      <c r="I75" s="29" t="s">
        <v>10</v>
      </c>
      <c r="J75">
        <f>(COUNT(J68,J65,J57:J61,J51:J53,J47:J49,J42:J46,J40,J38,J13:J14)/I68)*100</f>
        <v>33.333333333333329</v>
      </c>
      <c r="K75">
        <f>(COUNT(J13:J14)/J72)*100</f>
        <v>5.7142857142857144</v>
      </c>
      <c r="P75" s="20" t="s">
        <v>12</v>
      </c>
      <c r="Q75">
        <f>(COUNT(Q67,Q64,Q47:Q48,Q45,Q31,Q12:Q13,Q8:Q9,Q22)/P67)*100</f>
        <v>16.923076923076923</v>
      </c>
      <c r="R75">
        <f>((COUNT(Q8:Q9,Q12:Q13,Q22,Q31))/Q71)*100</f>
        <v>15.789473684210526</v>
      </c>
      <c r="W75">
        <v>73</v>
      </c>
      <c r="X75" s="3">
        <v>44123</v>
      </c>
      <c r="Y75" s="3">
        <v>17614</v>
      </c>
      <c r="Z75" s="3">
        <v>8591</v>
      </c>
      <c r="AA75">
        <f t="shared" si="18"/>
        <v>0.62195157163140236</v>
      </c>
      <c r="AB75">
        <f t="shared" si="19"/>
        <v>0.64084511174774339</v>
      </c>
      <c r="AE75">
        <v>73</v>
      </c>
      <c r="AF75" s="23">
        <v>99997</v>
      </c>
      <c r="AG75" s="24">
        <v>38540</v>
      </c>
      <c r="AH75" s="3">
        <v>14556</v>
      </c>
      <c r="AI75">
        <f t="shared" si="20"/>
        <v>1.3493535468406845</v>
      </c>
      <c r="AJ75">
        <f t="shared" si="21"/>
        <v>1.2946279992310061</v>
      </c>
    </row>
    <row r="76" spans="2:36" x14ac:dyDescent="0.25">
      <c r="B76">
        <v>74</v>
      </c>
      <c r="C76" s="3">
        <v>63586</v>
      </c>
      <c r="D76" s="3">
        <v>19986</v>
      </c>
      <c r="E76" s="3">
        <v>7465</v>
      </c>
      <c r="F76" s="120">
        <f t="shared" si="14"/>
        <v>0.79697044443642284</v>
      </c>
      <c r="G76" s="120">
        <f t="shared" si="15"/>
        <v>1.0195197962796827</v>
      </c>
      <c r="I76" s="20" t="s">
        <v>12</v>
      </c>
      <c r="J76">
        <f>(COUNT(J54,J17:J18,J7)/I68)*100</f>
        <v>6.0606060606060606</v>
      </c>
      <c r="K76">
        <f>((COUNT(J7,J17:J18))/J72)*100</f>
        <v>8.5714285714285712</v>
      </c>
      <c r="P76" s="9" t="s">
        <v>13</v>
      </c>
      <c r="Q76">
        <f>(COUNT(R26,R41)/P67)*100</f>
        <v>3.0769230769230771</v>
      </c>
      <c r="R76">
        <f>(COUNT(R26)/Q71)*100</f>
        <v>2.6315789473684208</v>
      </c>
      <c r="W76">
        <v>74</v>
      </c>
      <c r="X76" s="3">
        <v>57883</v>
      </c>
      <c r="Y76" s="3">
        <v>24422</v>
      </c>
      <c r="Z76" s="3">
        <v>7300</v>
      </c>
      <c r="AA76">
        <f t="shared" si="18"/>
        <v>0.81591058678558714</v>
      </c>
      <c r="AB76">
        <f t="shared" si="19"/>
        <v>0.88853862377105641</v>
      </c>
      <c r="AE76">
        <v>74</v>
      </c>
      <c r="AF76" s="3">
        <v>75605</v>
      </c>
      <c r="AG76" s="3">
        <v>20599</v>
      </c>
      <c r="AH76" s="3">
        <v>14930</v>
      </c>
      <c r="AI76">
        <f t="shared" si="20"/>
        <v>1.0202093553695606</v>
      </c>
      <c r="AJ76">
        <f t="shared" si="21"/>
        <v>0.69195750275452761</v>
      </c>
    </row>
    <row r="77" spans="2:36" x14ac:dyDescent="0.25">
      <c r="B77">
        <v>75</v>
      </c>
      <c r="C77" s="3">
        <v>46853</v>
      </c>
      <c r="D77" s="3">
        <v>13094</v>
      </c>
      <c r="E77" s="3">
        <v>6200</v>
      </c>
      <c r="F77" s="120">
        <f t="shared" si="14"/>
        <v>0.58724335912275849</v>
      </c>
      <c r="G77" s="120">
        <f t="shared" si="15"/>
        <v>0.66794717364586043</v>
      </c>
      <c r="I77" s="9" t="s">
        <v>13</v>
      </c>
      <c r="J77">
        <f>(COUNT(K62,K41)/I68)*100</f>
        <v>3.0303030303030303</v>
      </c>
      <c r="K77">
        <f>(0/J72)*100</f>
        <v>0</v>
      </c>
      <c r="P77" t="s">
        <v>15</v>
      </c>
      <c r="Q77">
        <f>(COUNT(Q66,Q43:Q44,Q32:Q40,Q27:Q30,Q25:Q25,Q23,Q14:Q20,Q10:Q11,Q3:Q7)/P67)*100</f>
        <v>49.230769230769234</v>
      </c>
      <c r="R77">
        <f>(COUNT(Q3:Q7,Q10:Q11,Q14:Q20,Q23,Q25:Q25,Q27:Q30,Q32:Q40)/Q71)*100</f>
        <v>76.31578947368422</v>
      </c>
      <c r="W77" t="s">
        <v>5</v>
      </c>
      <c r="X77" s="3">
        <f>AVERAGE(X15:X76)</f>
        <v>70942.822580645166</v>
      </c>
      <c r="Y77" s="3">
        <f>AVERAGE(Y15:Y76)</f>
        <v>27485.580645161292</v>
      </c>
      <c r="AE77">
        <v>75</v>
      </c>
      <c r="AF77" s="25">
        <v>76565</v>
      </c>
      <c r="AG77" s="26">
        <v>32051</v>
      </c>
      <c r="AH77" s="3">
        <v>14963</v>
      </c>
      <c r="AI77">
        <f t="shared" si="20"/>
        <v>1.0331635380447115</v>
      </c>
      <c r="AJ77">
        <f t="shared" si="21"/>
        <v>1.0766508044461074</v>
      </c>
    </row>
    <row r="78" spans="2:36" x14ac:dyDescent="0.25">
      <c r="B78" t="s">
        <v>5</v>
      </c>
      <c r="C78" s="3">
        <f>AVERAGE(C3:C77)</f>
        <v>79784.639999999999</v>
      </c>
      <c r="D78" s="3">
        <f>AVERAGE(D3:D77)</f>
        <v>19603.346666666668</v>
      </c>
      <c r="I78" t="s">
        <v>15</v>
      </c>
      <c r="J78">
        <f>(COUNT(J66:J67,J63:J64,J55:J56,J50,J39,J19:J37,J15:J16,J8:J12,J3:J6)/I68)*100</f>
        <v>57.575757575757578</v>
      </c>
      <c r="K78">
        <f>((COUNT(K3:K6,K8:K12,K15:K16,K19:K37))/J72)*100</f>
        <v>85.714285714285708</v>
      </c>
      <c r="P78" t="s">
        <v>11</v>
      </c>
      <c r="Q78">
        <f>SUM(Q74:Q77)</f>
        <v>100</v>
      </c>
      <c r="R78">
        <f>SUM(R74:R77)</f>
        <v>100</v>
      </c>
      <c r="S78" s="3"/>
      <c r="T78" s="3"/>
      <c r="U78" s="3"/>
      <c r="W78" t="s">
        <v>8</v>
      </c>
      <c r="X78" s="3">
        <f>AVERAGE(X41:X76)</f>
        <v>84913.666666666672</v>
      </c>
      <c r="Y78" s="3">
        <f>AVERAGE(Y41:Y76)</f>
        <v>32940.666666666664</v>
      </c>
      <c r="AE78">
        <v>76</v>
      </c>
      <c r="AF78" s="3">
        <v>67731</v>
      </c>
      <c r="AG78" s="3">
        <v>31255</v>
      </c>
      <c r="AH78" s="3">
        <v>10802</v>
      </c>
      <c r="AI78">
        <f t="shared" si="20"/>
        <v>0.91395806955275072</v>
      </c>
      <c r="AJ78">
        <f t="shared" si="21"/>
        <v>1.0499117310836819</v>
      </c>
    </row>
    <row r="79" spans="2:36" x14ac:dyDescent="0.25">
      <c r="B79" t="s">
        <v>8</v>
      </c>
      <c r="C79" s="3">
        <f>AVERAGE(C40:C77)</f>
        <v>93953.736842105267</v>
      </c>
      <c r="D79" s="3">
        <f>AVERAGE(D40:D77)</f>
        <v>24927.184210526317</v>
      </c>
      <c r="I79" t="s">
        <v>11</v>
      </c>
      <c r="J79">
        <f>SUM(J75:J78)</f>
        <v>100</v>
      </c>
      <c r="K79">
        <f>SUM(K75:K78)</f>
        <v>100</v>
      </c>
      <c r="P79" s="3"/>
      <c r="Q79" s="3"/>
      <c r="R79" s="3"/>
      <c r="W79" s="5" t="s">
        <v>30</v>
      </c>
      <c r="X79" s="3">
        <f>AVERAGE(X3:X40)</f>
        <v>51557.447368421053</v>
      </c>
      <c r="Y79" s="3">
        <f>AVERAGE(Y3:Y40)</f>
        <v>19931.473684210527</v>
      </c>
      <c r="AE79" t="s">
        <v>5</v>
      </c>
      <c r="AF79" s="3">
        <f>AVERAGE(AF14:AF78)</f>
        <v>74107.338461538457</v>
      </c>
      <c r="AG79" s="3">
        <f>AVERAGE(AG14:AG78)</f>
        <v>29769.169230769232</v>
      </c>
    </row>
    <row r="80" spans="2:36" x14ac:dyDescent="0.25">
      <c r="B80" s="5" t="s">
        <v>30</v>
      </c>
      <c r="C80" s="3">
        <f>AVERAGE(C3:C39)</f>
        <v>65232.594594594593</v>
      </c>
      <c r="D80" s="3">
        <f>AVERAGE(D3:D39)</f>
        <v>14135.621621621622</v>
      </c>
      <c r="I80" s="3"/>
      <c r="J80" s="3"/>
      <c r="K80" s="3"/>
      <c r="P80" t="s">
        <v>16</v>
      </c>
      <c r="Q80" s="3">
        <f>AVERAGE(Q65,Q49:Q63,Q46,Q41:Q42,Q26,Q24,Q21)</f>
        <v>113534.27272727272</v>
      </c>
      <c r="W80" t="s">
        <v>31</v>
      </c>
      <c r="X80">
        <f>COUNT(Z3:Z40)</f>
        <v>38</v>
      </c>
      <c r="AE80" t="s">
        <v>8</v>
      </c>
      <c r="AF80" s="3">
        <f>AVERAGE(AF40:AF78)</f>
        <v>86097.61538461539</v>
      </c>
      <c r="AG80" s="3">
        <f>AVERAGE(AG40:AG78)</f>
        <v>35676.538461538461</v>
      </c>
    </row>
    <row r="81" spans="2:85" x14ac:dyDescent="0.25">
      <c r="B81" t="s">
        <v>31</v>
      </c>
      <c r="C81">
        <f>COUNT(E3:E39)</f>
        <v>37</v>
      </c>
      <c r="H81" s="3"/>
      <c r="I81" t="s">
        <v>16</v>
      </c>
      <c r="J81" s="3">
        <f>AVERAGE(J68,J65,J57:J61,J51:J53,J47:J49,J40:J46,J38,J13:J14)</f>
        <v>108808.30434782608</v>
      </c>
      <c r="O81" s="3"/>
      <c r="P81" t="s">
        <v>19</v>
      </c>
      <c r="Q81" s="3">
        <f>AVERAGE(Q66,Q67,Q64,Q47:Q48,Q43:Q45,Q28:Q40,Q27,Q25:Q25,Q22:Q23,Q3:Q20)</f>
        <v>79666.209302325587</v>
      </c>
      <c r="V81" s="3"/>
      <c r="W81" s="3" t="s">
        <v>32</v>
      </c>
      <c r="X81" s="3">
        <f>(X80/W76)*100</f>
        <v>51.351351351351347</v>
      </c>
      <c r="Y81" s="3"/>
      <c r="AD81" s="3"/>
      <c r="AE81" s="5" t="s">
        <v>30</v>
      </c>
      <c r="AF81" s="3">
        <f>AVERAGE(AF3:AF39)</f>
        <v>56827.216216216213</v>
      </c>
      <c r="AG81" s="3">
        <f>AVERAGE(AG3:AG39)</f>
        <v>21181.08108108108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2:85" x14ac:dyDescent="0.25">
      <c r="B82" s="3" t="s">
        <v>32</v>
      </c>
      <c r="C82" s="3">
        <f>(C81/B77)*100</f>
        <v>49.333333333333336</v>
      </c>
      <c r="D82" s="3"/>
      <c r="E82" s="3"/>
      <c r="F82" s="3"/>
      <c r="G82" s="3"/>
      <c r="I82" t="s">
        <v>19</v>
      </c>
      <c r="J82" s="3">
        <f>AVERAGE(J66:J67,J63:J64,J54:J56,J50,J39,J15:J37,J3:J12)</f>
        <v>68978.095238095237</v>
      </c>
      <c r="X82" t="s">
        <v>11</v>
      </c>
      <c r="Y82" t="s">
        <v>0</v>
      </c>
      <c r="AE82" t="s">
        <v>31</v>
      </c>
      <c r="AF82">
        <f>COUNT(AH3:AH39)</f>
        <v>37</v>
      </c>
    </row>
    <row r="83" spans="2:85" x14ac:dyDescent="0.25">
      <c r="C83" t="s">
        <v>11</v>
      </c>
      <c r="D83" t="s">
        <v>0</v>
      </c>
      <c r="P83" t="s">
        <v>17</v>
      </c>
      <c r="R83" s="3">
        <f>AVERAGE(R67,R65,R45:R64,R42,R31,R24,R21:R22,R12:R13,R8:R9)</f>
        <v>30721.516129032258</v>
      </c>
      <c r="W83" s="29" t="s">
        <v>10</v>
      </c>
      <c r="X83">
        <f>(COUNT(X70:X72,X64:X67,X59:X60,X56,X52:X54,X47:X48,X44:X45,X41:X42)/W76)*100</f>
        <v>25.675675675675674</v>
      </c>
      <c r="Y83">
        <f>(0/X80)*100</f>
        <v>0</v>
      </c>
      <c r="AE83" s="3" t="s">
        <v>32</v>
      </c>
      <c r="AF83" s="3">
        <f>(AF82/AE78)*100</f>
        <v>48.684210526315788</v>
      </c>
      <c r="AG83" s="3"/>
    </row>
    <row r="84" spans="2:85" x14ac:dyDescent="0.25">
      <c r="B84" s="29" t="s">
        <v>10</v>
      </c>
      <c r="C84">
        <f>(COUNT(C70,C66,C64,C46:C62,C41,C18)/B77)*100</f>
        <v>29.333333333333332</v>
      </c>
      <c r="D84">
        <f>(COUNT(C18)/C81)*100</f>
        <v>2.7027027027027026</v>
      </c>
      <c r="H84" s="3"/>
      <c r="I84" t="s">
        <v>17</v>
      </c>
      <c r="K84" s="3">
        <f>AVERAGE(K68,K65,K57:K61,K51:K54,K42:K49,K40,K38,K17:K18,K13:K14,K7)</f>
        <v>30529.192307692309</v>
      </c>
      <c r="O84" s="3"/>
      <c r="P84" t="s">
        <v>18</v>
      </c>
      <c r="R84" s="3">
        <f>AVERAGE(R66,R43:R44,R32:R40,R27:R30,R25:R26,R23,R14:R20,R10:R11,R3:R7)</f>
        <v>19193.939393939392</v>
      </c>
      <c r="V84" s="3"/>
      <c r="W84" s="20" t="s">
        <v>12</v>
      </c>
      <c r="X84">
        <f>(COUNT(X61:X62,X57,X46,X43,X28)/W76)*100</f>
        <v>8.1081081081081088</v>
      </c>
      <c r="Y84">
        <f>(COUNT(X28)/X80)*100</f>
        <v>2.6315789473684208</v>
      </c>
      <c r="AD84" s="3"/>
      <c r="AF84" t="s">
        <v>11</v>
      </c>
      <c r="AG84" t="s">
        <v>0</v>
      </c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</row>
    <row r="85" spans="2:85" x14ac:dyDescent="0.25">
      <c r="B85" s="20" t="s">
        <v>12</v>
      </c>
      <c r="C85">
        <f>(COUNT(C44,C26,C20:C21,C15:C16)/B77)*100</f>
        <v>8</v>
      </c>
      <c r="D85">
        <f>(COUNT(C15:C16,C20:C21,C26)/C81)*100</f>
        <v>13.513513513513514</v>
      </c>
      <c r="E85" s="3"/>
      <c r="F85" s="3"/>
      <c r="G85" s="3"/>
      <c r="I85" t="s">
        <v>18</v>
      </c>
      <c r="K85" s="3">
        <f>AVERAGE(K66:K67,K62:K64,K55:K56,K50,K41,K39,K19:K37,K15:K16,K8:K12,K3:K6)</f>
        <v>16337.725</v>
      </c>
      <c r="W85" s="9" t="s">
        <v>13</v>
      </c>
      <c r="X85">
        <f>(COUNT(Y74,Y68,Y58,Y55,Y51,Y22,Y7,Y49)/W76)*100</f>
        <v>10.810810810810811</v>
      </c>
      <c r="Y85">
        <f>(COUNT(Y22,Y7)/X80)*100</f>
        <v>5.2631578947368416</v>
      </c>
      <c r="AE85" s="29" t="s">
        <v>10</v>
      </c>
      <c r="AF85">
        <f>(COUNT(AF77,AF74:AF75,AF69:AF71,AF66,AF64,AF63,AF59:AF61,AF56:AF57,AF55,AF52:AF53,AF49:AF50,AF46:AF47,AF43:AF44,AF41,AF32,AF30)/AE78)*100</f>
        <v>34.210526315789473</v>
      </c>
      <c r="AG85">
        <f>(COUNT(AG30,AG32)/AF82)*100</f>
        <v>5.4054054054054053</v>
      </c>
    </row>
    <row r="86" spans="2:85" x14ac:dyDescent="0.25">
      <c r="B86" s="9" t="s">
        <v>13</v>
      </c>
      <c r="C86">
        <f>(COUNT(D71,D63,D68,D45,D42,D76,D29)/B77)*100</f>
        <v>9.3333333333333339</v>
      </c>
      <c r="D86">
        <f>(1/C81)*100</f>
        <v>2.7027027027027026</v>
      </c>
      <c r="P86" s="3"/>
      <c r="Q86" s="3"/>
      <c r="R86" s="3" t="s">
        <v>27</v>
      </c>
      <c r="S86" s="3" t="s">
        <v>28</v>
      </c>
      <c r="T86" s="3" t="s">
        <v>29</v>
      </c>
      <c r="U86" s="3"/>
      <c r="W86" t="s">
        <v>15</v>
      </c>
      <c r="X86">
        <f>(COUNT(X75:X76,X73,X69,X63,X50,X29:X40,X23:X27,X8:X21,X3:X6)/W76)*100</f>
        <v>55.405405405405403</v>
      </c>
      <c r="Y86">
        <f>(COUNT(Y29:Y40,Y23:Y27,Y8:Y21,Y3:Y6)/X80)*100</f>
        <v>92.10526315789474</v>
      </c>
      <c r="AE86" s="20" t="s">
        <v>12</v>
      </c>
      <c r="AF86">
        <f>(COUNT(AF76,AF67,AF58,AF25:AF26)/AE78)*100</f>
        <v>6.5789473684210522</v>
      </c>
      <c r="AG86">
        <f>(COUNT(AF25:AF26)/AF82)*100</f>
        <v>5.4054054054054053</v>
      </c>
    </row>
    <row r="87" spans="2:85" x14ac:dyDescent="0.25">
      <c r="B87" t="s">
        <v>15</v>
      </c>
      <c r="C87">
        <f>(COUNT(C77,C72:C75,C69,C67,C65,C43,C30:C40,C28,C27,C22:C25,C19,C17,C3:C14)/B77)*100</f>
        <v>53.333333333333336</v>
      </c>
      <c r="D87">
        <f>(COUNT(C3:C14,C17,C19,C22:C25,C27:C28,C30:C39)/C81)*100</f>
        <v>81.081081081081081</v>
      </c>
      <c r="I87" s="3"/>
      <c r="J87" s="3"/>
      <c r="K87" s="3" t="s">
        <v>27</v>
      </c>
      <c r="L87" s="3" t="s">
        <v>28</v>
      </c>
      <c r="M87" s="3" t="s">
        <v>29</v>
      </c>
      <c r="N87" s="3"/>
      <c r="P87" s="10" t="s">
        <v>20</v>
      </c>
      <c r="Q87" s="10">
        <f>COUNT(Q67,Q45:Q65,Q42,Q31,Q24,Q21:Q22,Q12:Q13,Q8:Q9)</f>
        <v>31</v>
      </c>
      <c r="R87" s="10">
        <f>(Q87/P67)*100</f>
        <v>47.692307692307693</v>
      </c>
      <c r="S87" s="10">
        <f>(Q87/$Q$87)*100</f>
        <v>100</v>
      </c>
      <c r="T87" s="10"/>
      <c r="U87" s="10"/>
      <c r="W87" t="s">
        <v>11</v>
      </c>
      <c r="X87">
        <f>SUM(X83:X86)</f>
        <v>100</v>
      </c>
      <c r="Y87">
        <f>SUM(Y83:Y86)</f>
        <v>100</v>
      </c>
      <c r="AE87" s="9" t="s">
        <v>13</v>
      </c>
      <c r="AF87">
        <f>(COUNT(AG78,AG65,AG48,AG10:AG11,AG4)/AE78)*100</f>
        <v>7.8947368421052628</v>
      </c>
      <c r="AG87">
        <f>(COUNT(AG4,AG10:AG11)/AF82)*100</f>
        <v>8.1081081081081088</v>
      </c>
    </row>
    <row r="88" spans="2:85" x14ac:dyDescent="0.25">
      <c r="B88" t="s">
        <v>11</v>
      </c>
      <c r="C88">
        <f>SUM(C84:C87)</f>
        <v>100</v>
      </c>
      <c r="D88">
        <f>SUM(D84:D87)</f>
        <v>100</v>
      </c>
      <c r="H88" s="3"/>
      <c r="I88" s="10" t="s">
        <v>20</v>
      </c>
      <c r="J88" s="10">
        <f>COUNT(J68,J65,J57:J61,J51:J54,J42:J49,J40,J38,J18,J17,J14,J13,J7)</f>
        <v>26</v>
      </c>
      <c r="K88" s="10">
        <f>(J88/I68)*100</f>
        <v>39.393939393939391</v>
      </c>
      <c r="L88" s="10">
        <f>(J88/$J$88)*100</f>
        <v>100</v>
      </c>
      <c r="M88" s="10"/>
      <c r="N88" s="10"/>
      <c r="O88" s="3"/>
      <c r="P88" s="9" t="s">
        <v>21</v>
      </c>
      <c r="Q88" s="9">
        <f>COUNT(R65,R49:R63,R46,R41:R42,R26,R24,R21)</f>
        <v>22</v>
      </c>
      <c r="R88" s="8">
        <f>(Q88/P67)*100</f>
        <v>33.846153846153847</v>
      </c>
      <c r="S88" s="8"/>
      <c r="T88" s="9">
        <f>(Q88/$Q$88)*100</f>
        <v>100</v>
      </c>
      <c r="U88" s="9"/>
      <c r="V88" s="3"/>
      <c r="W88" s="3"/>
      <c r="X88" s="3"/>
      <c r="Y88" s="3"/>
      <c r="AD88" s="3"/>
      <c r="AE88" t="s">
        <v>15</v>
      </c>
      <c r="AF88">
        <f>(COUNT(AF72:AF73,AF68,AF62,AF54,AF51,AF45,AF42,AF40,AF33:AF39,AF31,AF27:AF29,AF13:AF24,AF12,AF5:AF9,AF3)/AE78)*100</f>
        <v>51.315789473684212</v>
      </c>
      <c r="AG88">
        <f>(COUNT(AG3,AG5:AG9,AG12:AG24,AG27:AG29,AG31,AG33:AG39)/AF82)*100</f>
        <v>81.081081081081081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2:85" x14ac:dyDescent="0.25">
      <c r="B89" s="3"/>
      <c r="C89" s="3"/>
      <c r="D89" s="3"/>
      <c r="E89" s="3"/>
      <c r="F89" s="3"/>
      <c r="G89" s="3"/>
      <c r="I89" s="9" t="s">
        <v>21</v>
      </c>
      <c r="J89" s="9">
        <f>COUNT(K68,K65,K57:K62,K51:K53,K47:K49,K40:K46,K38,K13:K14)</f>
        <v>24</v>
      </c>
      <c r="K89" s="8">
        <f>(J89/I68)*100</f>
        <v>36.363636363636367</v>
      </c>
      <c r="L89" s="8"/>
      <c r="M89" s="9">
        <f>(J89/$J$89)*100</f>
        <v>100</v>
      </c>
      <c r="N89" s="9"/>
      <c r="P89" s="20" t="s">
        <v>22</v>
      </c>
      <c r="Q89" s="20">
        <f>COUNT(Q64,Q67,Q47:Q48,Q45,Q31,Q22,Q12:Q13,Q8:Q9)</f>
        <v>11</v>
      </c>
      <c r="R89" s="10">
        <f>(Q89/P67)*100</f>
        <v>16.923076923076923</v>
      </c>
      <c r="S89" s="10">
        <f>(Q89/$Q$87)*100</f>
        <v>35.483870967741936</v>
      </c>
      <c r="T89" s="20"/>
      <c r="U89" s="20"/>
      <c r="W89" t="s">
        <v>16</v>
      </c>
      <c r="X89" s="3">
        <f>AVERAGE(X70:X72,X74,X64:X68,X58:X60,X51:X56,X47:X49,X44:X45,X41:X42,X22,X7)</f>
        <v>88273.925925925927</v>
      </c>
      <c r="AE89" t="s">
        <v>11</v>
      </c>
      <c r="AF89">
        <f>SUM(AF85:AF88)</f>
        <v>100</v>
      </c>
      <c r="AG89">
        <f>SUM(AG85:AG88)</f>
        <v>100</v>
      </c>
    </row>
    <row r="90" spans="2:85" x14ac:dyDescent="0.25">
      <c r="B90" t="s">
        <v>16</v>
      </c>
      <c r="C90" s="3">
        <f>AVERAGE(C76,C71,C70,C68,C66,C64,C63,C45:C62,C41:C42,C29,C18)</f>
        <v>102830.03448275862</v>
      </c>
      <c r="I90" s="20" t="s">
        <v>22</v>
      </c>
      <c r="J90" s="20">
        <f>COUNT(J54,#REF!,J17:J18,J7)</f>
        <v>4</v>
      </c>
      <c r="K90" s="10">
        <f>(J90/I68)*100</f>
        <v>6.0606060606060606</v>
      </c>
      <c r="L90" s="10">
        <f>(J90/$J$88)*100</f>
        <v>15.384615384615385</v>
      </c>
      <c r="M90" s="20"/>
      <c r="N90" s="20"/>
      <c r="P90" s="9" t="s">
        <v>23</v>
      </c>
      <c r="Q90" s="9">
        <f>COUNT(R26,R41)</f>
        <v>2</v>
      </c>
      <c r="R90" s="8">
        <f>(Q90/P67)*100</f>
        <v>3.0769230769230771</v>
      </c>
      <c r="S90" s="8"/>
      <c r="T90" s="9">
        <f>(Q90/$Q$88)*100</f>
        <v>9.0909090909090917</v>
      </c>
      <c r="U90" s="9"/>
      <c r="W90" t="s">
        <v>19</v>
      </c>
      <c r="X90" s="3">
        <f>AVERAGE(X75:X76,X73,X69,X63,X50,X29:X40,X23:X27,X28,X8:X21,X3:X6)</f>
        <v>52646.976190476191</v>
      </c>
      <c r="Z90" s="3"/>
      <c r="AA90" s="3"/>
      <c r="AB90" s="3"/>
      <c r="AC90" s="3"/>
      <c r="AE90" s="3"/>
      <c r="AF90" s="3"/>
      <c r="AG90" s="3"/>
    </row>
    <row r="91" spans="2:85" x14ac:dyDescent="0.25">
      <c r="B91" t="s">
        <v>19</v>
      </c>
      <c r="C91" s="3">
        <f>AVERAGE(C77,C72:C75,C69,C67,C65,C43:C44,C30:C40,C19:C28,C3:C17)</f>
        <v>65256.021739130432</v>
      </c>
      <c r="I91" s="9" t="s">
        <v>23</v>
      </c>
      <c r="J91" s="9">
        <f>COUNT(K62,K41)</f>
        <v>2</v>
      </c>
      <c r="K91" s="8">
        <f>(J91/I68)*100</f>
        <v>3.0303030303030303</v>
      </c>
      <c r="L91" s="8"/>
      <c r="M91" s="9">
        <f>(J91/$J$89)*100</f>
        <v>8.3333333333333321</v>
      </c>
      <c r="N91" s="9"/>
      <c r="P91" t="s">
        <v>24</v>
      </c>
      <c r="Q91" s="6">
        <f>P67-Q87</f>
        <v>34</v>
      </c>
      <c r="R91" s="6">
        <f>(Q91/P67)*100</f>
        <v>52.307692307692314</v>
      </c>
      <c r="S91" s="3"/>
      <c r="Z91" s="3"/>
      <c r="AA91" s="3"/>
      <c r="AB91" s="3"/>
      <c r="AC91" s="3"/>
      <c r="AE91" t="s">
        <v>16</v>
      </c>
      <c r="AF91" s="3">
        <f>AVERAGE(AF77:AF78,AF74:AF75,AF69:AF71,AF63:AF66,AF59:AF61,AF55:AF57,AF52:AF53,AF46:AF50,AF43:AF44,AF41,AF32,AF30,AF10:AF11,AF4)</f>
        <v>89981.6875</v>
      </c>
    </row>
    <row r="92" spans="2:85" x14ac:dyDescent="0.25">
      <c r="I92" t="s">
        <v>24</v>
      </c>
      <c r="J92" s="6">
        <f>I68-J88</f>
        <v>40</v>
      </c>
      <c r="K92" s="6">
        <f>(J92/I68)*100</f>
        <v>60.606060606060609</v>
      </c>
      <c r="L92" s="6"/>
      <c r="M92" s="7"/>
      <c r="N92" s="7"/>
      <c r="P92" t="s">
        <v>25</v>
      </c>
      <c r="Q92" s="7">
        <f>P67-Q88</f>
        <v>43</v>
      </c>
      <c r="R92" s="6">
        <f>(Q92/P67)*100</f>
        <v>66.153846153846146</v>
      </c>
      <c r="S92" s="3"/>
      <c r="W92" t="s">
        <v>17</v>
      </c>
      <c r="Y92" s="3">
        <f>AVERAGE(Y70:Y72,Y64:Y67,Y59:Y62,Y56:Y57,Y52:Y54,Y41:Y48,Y28)</f>
        <v>35702.6</v>
      </c>
      <c r="Z92" s="3"/>
      <c r="AA92" s="3"/>
      <c r="AB92" s="3"/>
      <c r="AC92" s="3"/>
      <c r="AE92" t="s">
        <v>19</v>
      </c>
      <c r="AF92" s="3">
        <f>AVERAGE(AF76,AF72:AF73,AF68,AF67,AF62,AF58,AF54,AF51,AF45,AF42,AF33:AF40,AF31,AF12:AF29,AF5:AF9,AF3)</f>
        <v>58659.090909090912</v>
      </c>
      <c r="AH92" s="3"/>
      <c r="AI92" s="3"/>
      <c r="AJ92" s="3"/>
    </row>
    <row r="93" spans="2:85" x14ac:dyDescent="0.25">
      <c r="B93" t="s">
        <v>17</v>
      </c>
      <c r="D93" s="3">
        <f>AVERAGE(D70,D66,D64,D46:D62,D44,D41,D26,D20:D21,D18,D15:D16)</f>
        <v>27479.357142857141</v>
      </c>
      <c r="I93" t="s">
        <v>25</v>
      </c>
      <c r="J93" s="7">
        <f>I68-J89</f>
        <v>42</v>
      </c>
      <c r="K93" s="6">
        <f>(J93/I68)*100</f>
        <v>63.636363636363633</v>
      </c>
      <c r="L93" s="6"/>
      <c r="M93" s="7"/>
      <c r="N93" s="7"/>
      <c r="P93" s="31" t="s">
        <v>26</v>
      </c>
      <c r="Q93" s="33">
        <f>Q87-Q89</f>
        <v>20</v>
      </c>
      <c r="R93" s="33">
        <f>(Q93/P67)*100</f>
        <v>30.76923076923077</v>
      </c>
      <c r="S93" s="32">
        <f>(Q93/$Q$87)*100</f>
        <v>64.516129032258064</v>
      </c>
      <c r="T93" s="34">
        <f>(Q93/$Q$88)*100</f>
        <v>90.909090909090907</v>
      </c>
      <c r="U93" s="50"/>
      <c r="W93" t="s">
        <v>18</v>
      </c>
      <c r="Y93" s="3">
        <f>AVERAGE(Y73:Y76,Y69,Y68,Y63,Y58,Y55,Y49:Y51,Y29:Y40,Y3:Y27)</f>
        <v>21442.755102040817</v>
      </c>
      <c r="Z93" s="3"/>
      <c r="AA93" s="3"/>
      <c r="AB93" s="3"/>
      <c r="AC93" s="3"/>
      <c r="AH93" s="3"/>
      <c r="AI93" s="3"/>
      <c r="AJ93" s="3"/>
    </row>
    <row r="94" spans="2:85" x14ac:dyDescent="0.25">
      <c r="B94" t="s">
        <v>18</v>
      </c>
      <c r="D94" s="3">
        <f>AVERAGE(D45,D42:D43,D27:D40,D22:D25,D19,D17,D3:D14)</f>
        <v>13860.171428571428</v>
      </c>
      <c r="I94" s="31" t="s">
        <v>26</v>
      </c>
      <c r="J94" s="33">
        <f>J88-J90</f>
        <v>22</v>
      </c>
      <c r="K94" s="33">
        <f>(J94/I68)*100</f>
        <v>33.333333333333329</v>
      </c>
      <c r="L94" s="33">
        <f>(J94/$J$88)*100</f>
        <v>84.615384615384613</v>
      </c>
      <c r="M94" s="35">
        <f>(J94/$J$89)*100</f>
        <v>91.666666666666657</v>
      </c>
      <c r="N94" s="39"/>
      <c r="W94" s="3"/>
      <c r="X94" s="3"/>
      <c r="Y94" s="3" t="s">
        <v>27</v>
      </c>
      <c r="Z94" s="3" t="s">
        <v>28</v>
      </c>
      <c r="AA94" s="3" t="s">
        <v>29</v>
      </c>
      <c r="AB94" s="3"/>
      <c r="AC94" s="3"/>
      <c r="AE94" t="s">
        <v>17</v>
      </c>
      <c r="AG94" s="3">
        <f>AVERAGE(AG74:AG77,AG69:AG71,AG66:AG67,AG63:AG64,AG55:AG61,AG52:AG53,AG49:AG50,AG46:AG47,AG43:AG44,AG41,AG32,AG30,AG25:AG26)</f>
        <v>38070.129032258068</v>
      </c>
      <c r="AH94" s="3"/>
      <c r="AI94" s="3"/>
      <c r="AJ94" s="3"/>
    </row>
    <row r="95" spans="2:85" x14ac:dyDescent="0.25">
      <c r="W95" s="10" t="s">
        <v>20</v>
      </c>
      <c r="X95" s="10">
        <f>COUNT(X70:X72,X64:X67,X59:X62,X56:X57,X42:X48,X41,X52:X54,X28)</f>
        <v>25</v>
      </c>
      <c r="Y95" s="10">
        <f t="shared" ref="Y95:Y101" si="22">(X95/$W$76)*100</f>
        <v>33.783783783783782</v>
      </c>
      <c r="Z95" s="10">
        <f>(X95/$X$95)*100</f>
        <v>100</v>
      </c>
      <c r="AA95" s="10"/>
      <c r="AB95" s="10"/>
      <c r="AC95" s="10"/>
      <c r="AE95" t="s">
        <v>18</v>
      </c>
      <c r="AG95" s="3">
        <f>AVERAGE(AG78,AG72:AG73,AG68,AG65,AG62,AG54,AG45,AG42,AG33:AG40,AG31,AG27:AG29,AG3:AG24)</f>
        <v>21617.069767441859</v>
      </c>
      <c r="AH95" s="3"/>
      <c r="AI95" s="3"/>
      <c r="AJ95" s="3"/>
    </row>
    <row r="96" spans="2:85" x14ac:dyDescent="0.25">
      <c r="I96" s="72"/>
      <c r="J96" s="73" t="s">
        <v>1</v>
      </c>
      <c r="K96" s="73" t="s">
        <v>2</v>
      </c>
      <c r="L96" s="73" t="s">
        <v>39</v>
      </c>
      <c r="M96" s="74" t="s">
        <v>40</v>
      </c>
      <c r="N96" s="39"/>
      <c r="P96" s="72"/>
      <c r="Q96" s="73" t="s">
        <v>1</v>
      </c>
      <c r="R96" s="73" t="s">
        <v>2</v>
      </c>
      <c r="S96" s="73" t="s">
        <v>39</v>
      </c>
      <c r="T96" s="74" t="s">
        <v>40</v>
      </c>
      <c r="U96" s="39"/>
      <c r="V96" s="3"/>
      <c r="W96" s="9" t="s">
        <v>21</v>
      </c>
      <c r="X96" s="9">
        <f>COUNT(Y74,Y70:Y72,Y64:Y68,Y58:Y60,Y51:Y54,Y55,Y56,Y47:Y49,Y44:Y45,Y41:Y42,Y22,Y7)</f>
        <v>27</v>
      </c>
      <c r="Y96" s="8">
        <f t="shared" si="22"/>
        <v>36.486486486486484</v>
      </c>
      <c r="Z96" s="8"/>
      <c r="AA96" s="9">
        <f>(X96/$X$96)*100</f>
        <v>100</v>
      </c>
      <c r="AB96" s="9"/>
      <c r="AC96" s="9"/>
      <c r="AE96" s="3"/>
      <c r="AF96" s="3"/>
      <c r="AG96" s="3" t="s">
        <v>27</v>
      </c>
      <c r="AH96" s="3" t="s">
        <v>28</v>
      </c>
      <c r="AI96" s="3" t="s">
        <v>29</v>
      </c>
      <c r="AJ96" s="3"/>
    </row>
    <row r="97" spans="2:100" x14ac:dyDescent="0.25">
      <c r="B97" s="3"/>
      <c r="C97" s="3"/>
      <c r="D97" s="3" t="s">
        <v>27</v>
      </c>
      <c r="E97" s="3" t="s">
        <v>28</v>
      </c>
      <c r="F97" s="3" t="s">
        <v>29</v>
      </c>
      <c r="G97" s="3"/>
      <c r="I97" s="75" t="s">
        <v>37</v>
      </c>
      <c r="J97" s="38">
        <v>41700</v>
      </c>
      <c r="K97" s="50">
        <v>9822</v>
      </c>
      <c r="L97" s="39">
        <f>J97/$J$99</f>
        <v>0.49567905355810193</v>
      </c>
      <c r="M97" s="97">
        <f>K97/$K$99</f>
        <v>0.43468543724123887</v>
      </c>
      <c r="N97" s="39"/>
      <c r="P97" s="75" t="s">
        <v>37</v>
      </c>
      <c r="Q97" s="38">
        <v>34500</v>
      </c>
      <c r="R97" s="38">
        <v>10096</v>
      </c>
      <c r="S97" s="39">
        <f>Q97/$Q$99</f>
        <v>0.37590580018563752</v>
      </c>
      <c r="T97" s="97">
        <f>R97/$R$99</f>
        <v>0.40281408288265824</v>
      </c>
      <c r="U97" s="39"/>
      <c r="V97" s="3"/>
      <c r="W97" s="20" t="s">
        <v>22</v>
      </c>
      <c r="X97" s="20">
        <f>COUNT(X61:X62,X57,X46,X43,X28)</f>
        <v>6</v>
      </c>
      <c r="Y97" s="10">
        <f t="shared" si="22"/>
        <v>8.1081081081081088</v>
      </c>
      <c r="Z97" s="10">
        <f>(X97/$X$95)*100</f>
        <v>24</v>
      </c>
      <c r="AA97" s="20"/>
      <c r="AB97" s="20"/>
      <c r="AC97" s="20"/>
      <c r="AE97" s="10" t="s">
        <v>20</v>
      </c>
      <c r="AF97" s="10">
        <f>COUNT(AF74:AF77,AF69:AF71,AF66:AF67,AF63:AF64,AF55:AF61,AF52:AF53,AF49:AF50,AF46:AF47,AF43:AF44,AF41,AF32,AF30,AF25:AF26)</f>
        <v>31</v>
      </c>
      <c r="AG97" s="10">
        <f>(AF97/$AE$78)*100</f>
        <v>40.789473684210527</v>
      </c>
      <c r="AH97" s="10">
        <f>(AF97/$AF$97)*100</f>
        <v>100</v>
      </c>
      <c r="AI97" s="10"/>
      <c r="AJ97" s="10"/>
    </row>
    <row r="98" spans="2:100" x14ac:dyDescent="0.25">
      <c r="B98" s="10" t="s">
        <v>20</v>
      </c>
      <c r="C98" s="10">
        <f>COUNT(C70,C66,C64,C46:C62,C44,C41,C26,C20:C21,C18,C15:C16)</f>
        <v>28</v>
      </c>
      <c r="D98" s="10">
        <f>(C98/$B$77)*100</f>
        <v>37.333333333333336</v>
      </c>
      <c r="E98" s="10">
        <f>(C98/$C$98)*100</f>
        <v>100</v>
      </c>
      <c r="F98" s="10"/>
      <c r="G98" s="10"/>
      <c r="I98" s="75" t="s">
        <v>38</v>
      </c>
      <c r="J98" s="38">
        <v>154035</v>
      </c>
      <c r="K98" s="50">
        <v>50743</v>
      </c>
      <c r="L98" s="39">
        <f>J98/$J$99</f>
        <v>1.8309813672619242</v>
      </c>
      <c r="M98" s="97">
        <f>K98/$K$99</f>
        <v>2.2456977338558528</v>
      </c>
      <c r="N98" s="39"/>
      <c r="P98" s="75" t="s">
        <v>38</v>
      </c>
      <c r="Q98" s="38">
        <v>147312</v>
      </c>
      <c r="R98" s="38">
        <v>50357</v>
      </c>
      <c r="S98" s="39">
        <f>Q98/$Q$99</f>
        <v>1.6050850793317866</v>
      </c>
      <c r="T98" s="97">
        <f>R98/$R$99</f>
        <v>2.0091629132054298</v>
      </c>
      <c r="U98" s="39"/>
      <c r="W98" s="9" t="s">
        <v>23</v>
      </c>
      <c r="X98" s="9">
        <f>COUNT(Y74,Y68,Y58,Y55,Y51,Y22,Y7,Y49)</f>
        <v>8</v>
      </c>
      <c r="Y98" s="8">
        <f t="shared" si="22"/>
        <v>10.810810810810811</v>
      </c>
      <c r="Z98" s="8"/>
      <c r="AA98" s="9">
        <f>(X98/$X$96)*100</f>
        <v>29.629629629629626</v>
      </c>
      <c r="AB98" s="9"/>
      <c r="AC98" s="9"/>
      <c r="AE98" s="9" t="s">
        <v>21</v>
      </c>
      <c r="AF98" s="9">
        <f>COUNT(AG77:AG78,AG74:AG75,AG69:AG71,AG63:AG66,AG59:AG61,AG55:AG57,AG52:AG53,AG46:AG50,AG44,AG43,AG41,AG32,AG30,AG10:AG11,AG4)</f>
        <v>32</v>
      </c>
      <c r="AG98" s="8">
        <f t="shared" ref="AG98:AG103" si="23">(AF98/$AE$78)*100</f>
        <v>42.105263157894733</v>
      </c>
      <c r="AH98" s="8"/>
      <c r="AI98" s="9">
        <f>(AF98/$AF$98)*100</f>
        <v>100</v>
      </c>
      <c r="AJ98" s="9"/>
    </row>
    <row r="99" spans="2:100" x14ac:dyDescent="0.25">
      <c r="B99" s="9" t="s">
        <v>21</v>
      </c>
      <c r="C99" s="9">
        <f>COUNT(D76,D71,D70,D68,D66,D45:D64,D41:D42,D29,D18)</f>
        <v>29</v>
      </c>
      <c r="D99" s="8">
        <f t="shared" ref="D99:D104" si="24">(C99/$B$77)*100</f>
        <v>38.666666666666664</v>
      </c>
      <c r="E99" s="8"/>
      <c r="F99" s="9">
        <f>(C99/$C$99)*100</f>
        <v>100</v>
      </c>
      <c r="G99" s="9"/>
      <c r="I99" s="77" t="s">
        <v>4</v>
      </c>
      <c r="J99" s="78">
        <v>84127.016666666663</v>
      </c>
      <c r="K99" s="79">
        <v>22595.65</v>
      </c>
      <c r="L99" s="79"/>
      <c r="M99" s="80"/>
      <c r="N99" s="39"/>
      <c r="P99" s="77" t="s">
        <v>4</v>
      </c>
      <c r="Q99" s="78">
        <v>91778.3125</v>
      </c>
      <c r="R99" s="79">
        <v>25063.671875</v>
      </c>
      <c r="S99" s="79"/>
      <c r="T99" s="80"/>
      <c r="U99" s="39"/>
      <c r="W99" t="s">
        <v>24</v>
      </c>
      <c r="X99" s="30">
        <f>W76-X95</f>
        <v>49</v>
      </c>
      <c r="Y99" s="38">
        <f t="shared" si="22"/>
        <v>66.21621621621621</v>
      </c>
      <c r="Z99" s="30"/>
      <c r="AA99" s="50"/>
      <c r="AB99" s="50"/>
      <c r="AC99" s="50"/>
      <c r="AE99" s="20" t="s">
        <v>22</v>
      </c>
      <c r="AF99" s="20">
        <f>COUNT(AF76,AF67,AF58,AF25:AF26)</f>
        <v>5</v>
      </c>
      <c r="AG99" s="10">
        <f t="shared" si="23"/>
        <v>6.5789473684210522</v>
      </c>
      <c r="AH99" s="10">
        <f>(AF99/$AF$97)*100</f>
        <v>16.129032258064516</v>
      </c>
      <c r="AI99" s="20"/>
      <c r="AJ99" s="20"/>
    </row>
    <row r="100" spans="2:100" x14ac:dyDescent="0.25">
      <c r="B100" s="20" t="s">
        <v>22</v>
      </c>
      <c r="C100" s="20">
        <f>COUNT(C44,C26,C20:C21,C15:C16)</f>
        <v>6</v>
      </c>
      <c r="D100" s="10">
        <f t="shared" si="24"/>
        <v>8</v>
      </c>
      <c r="E100" s="10">
        <f>(C100/$C$98)*100</f>
        <v>21.428571428571427</v>
      </c>
      <c r="F100" s="20"/>
      <c r="G100" s="20"/>
      <c r="W100" t="s">
        <v>25</v>
      </c>
      <c r="X100" s="50">
        <f>W76-X96</f>
        <v>47</v>
      </c>
      <c r="Y100" s="38">
        <f t="shared" si="22"/>
        <v>63.513513513513509</v>
      </c>
      <c r="Z100" s="30"/>
      <c r="AA100" s="50"/>
      <c r="AB100" s="50"/>
      <c r="AC100" s="50"/>
      <c r="AE100" s="9" t="s">
        <v>23</v>
      </c>
      <c r="AF100" s="9">
        <f>COUNT(AG78,AG65,AG48,AG10:AG11,AG4)</f>
        <v>6</v>
      </c>
      <c r="AG100" s="8">
        <f t="shared" si="23"/>
        <v>7.8947368421052628</v>
      </c>
      <c r="AH100" s="8"/>
      <c r="AI100" s="9">
        <f>(AF100/$AF$98)*100</f>
        <v>18.75</v>
      </c>
      <c r="AJ100" s="9"/>
    </row>
    <row r="101" spans="2:100" x14ac:dyDescent="0.25">
      <c r="B101" s="9" t="s">
        <v>23</v>
      </c>
      <c r="C101" s="9">
        <f>COUNT(D76,D71,D68,D63,D45,D42,D29)</f>
        <v>7</v>
      </c>
      <c r="D101" s="8">
        <f t="shared" si="24"/>
        <v>9.3333333333333339</v>
      </c>
      <c r="E101" s="8"/>
      <c r="F101" s="9">
        <f>(C101/$C$99)*100</f>
        <v>24.137931034482758</v>
      </c>
      <c r="G101" s="9"/>
      <c r="W101" s="31" t="s">
        <v>26</v>
      </c>
      <c r="X101" s="32">
        <f>X95-X97</f>
        <v>19</v>
      </c>
      <c r="Y101" s="33">
        <f t="shared" si="22"/>
        <v>25.675675675675674</v>
      </c>
      <c r="Z101" s="32">
        <f>(X101/$X$95)*100</f>
        <v>76</v>
      </c>
      <c r="AA101" s="34">
        <f>(X101/$X$96)*100</f>
        <v>70.370370370370367</v>
      </c>
      <c r="AB101" s="50"/>
      <c r="AC101" s="50"/>
      <c r="AE101" s="7" t="s">
        <v>24</v>
      </c>
      <c r="AF101" s="6">
        <f>AE78-AF97</f>
        <v>45</v>
      </c>
      <c r="AG101" s="6">
        <f t="shared" si="23"/>
        <v>59.210526315789465</v>
      </c>
      <c r="AH101" s="6"/>
      <c r="AI101" s="7"/>
      <c r="AJ101" s="7"/>
    </row>
    <row r="102" spans="2:100" x14ac:dyDescent="0.25">
      <c r="B102" s="7" t="s">
        <v>24</v>
      </c>
      <c r="C102" s="6">
        <f>B77-C98</f>
        <v>47</v>
      </c>
      <c r="D102" s="6">
        <f t="shared" si="24"/>
        <v>62.666666666666671</v>
      </c>
      <c r="E102" s="6"/>
      <c r="F102" s="7"/>
      <c r="G102" s="7"/>
      <c r="H102" s="3"/>
      <c r="O102" s="3"/>
      <c r="AD102" s="3"/>
      <c r="AE102" s="7" t="s">
        <v>25</v>
      </c>
      <c r="AF102" s="7">
        <f>AE78-AF98</f>
        <v>44</v>
      </c>
      <c r="AG102" s="6">
        <f t="shared" si="23"/>
        <v>57.894736842105267</v>
      </c>
      <c r="AH102" s="6"/>
      <c r="AI102" s="7"/>
      <c r="AJ102" s="7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</row>
    <row r="103" spans="2:100" x14ac:dyDescent="0.25">
      <c r="B103" s="7" t="s">
        <v>25</v>
      </c>
      <c r="C103" s="7">
        <f>B77-C99</f>
        <v>46</v>
      </c>
      <c r="D103" s="6">
        <f t="shared" si="24"/>
        <v>61.333333333333329</v>
      </c>
      <c r="E103" s="6"/>
      <c r="F103" s="7"/>
      <c r="G103" s="7"/>
      <c r="H103" s="3"/>
      <c r="O103" s="3"/>
      <c r="AD103" s="3"/>
      <c r="AE103" s="36" t="s">
        <v>26</v>
      </c>
      <c r="AF103" s="33">
        <f>AF97-AF99</f>
        <v>26</v>
      </c>
      <c r="AG103" s="33">
        <f t="shared" si="23"/>
        <v>34.210526315789473</v>
      </c>
      <c r="AH103" s="33">
        <f>(AF103/$AF$97)*100</f>
        <v>83.870967741935488</v>
      </c>
      <c r="AI103" s="35">
        <f>(AF103/$AF$98)*100</f>
        <v>81.25</v>
      </c>
      <c r="AJ103" s="39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</row>
    <row r="104" spans="2:100" x14ac:dyDescent="0.25">
      <c r="B104" s="36" t="s">
        <v>26</v>
      </c>
      <c r="C104" s="33">
        <f>C98-C100</f>
        <v>22</v>
      </c>
      <c r="D104" s="33">
        <f t="shared" si="24"/>
        <v>29.333333333333332</v>
      </c>
      <c r="E104" s="33">
        <f>(C104/$C$98)*100</f>
        <v>78.571428571428569</v>
      </c>
      <c r="F104" s="35">
        <f>(C104/$C$99)*100</f>
        <v>75.862068965517238</v>
      </c>
      <c r="G104" s="39"/>
      <c r="H104" s="3"/>
      <c r="O104" s="3"/>
      <c r="P104" s="3"/>
      <c r="Q104" s="6"/>
      <c r="R104" s="6"/>
      <c r="S104" s="3"/>
      <c r="T104" s="3"/>
      <c r="U104" s="3"/>
      <c r="V104" s="3"/>
      <c r="W104" s="72"/>
      <c r="X104" s="73" t="s">
        <v>1</v>
      </c>
      <c r="Y104" s="73" t="s">
        <v>2</v>
      </c>
      <c r="Z104" s="73" t="s">
        <v>39</v>
      </c>
      <c r="AA104" s="74" t="s">
        <v>40</v>
      </c>
      <c r="AB104" s="39"/>
      <c r="AC104" s="39"/>
      <c r="AD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spans="2:100" x14ac:dyDescent="0.25">
      <c r="H105" s="3"/>
      <c r="O105" s="3"/>
      <c r="P105" s="3"/>
      <c r="Q105" s="3"/>
      <c r="R105" s="3"/>
      <c r="S105" s="3"/>
      <c r="T105" s="3"/>
      <c r="U105" s="3"/>
      <c r="V105" s="3"/>
      <c r="W105" s="75" t="s">
        <v>37</v>
      </c>
      <c r="X105" s="50">
        <v>31346</v>
      </c>
      <c r="Y105" s="50">
        <v>12370</v>
      </c>
      <c r="Z105" s="39">
        <f>X105/$X$107</f>
        <v>0.44184878553946783</v>
      </c>
      <c r="AA105" s="97">
        <f>Y105/$Y$107</f>
        <v>0.45005416329735354</v>
      </c>
      <c r="AB105" s="39"/>
      <c r="AC105" s="39"/>
      <c r="AD105" s="3"/>
      <c r="AE105" s="72"/>
      <c r="AF105" s="73" t="s">
        <v>1</v>
      </c>
      <c r="AG105" s="73" t="s">
        <v>2</v>
      </c>
      <c r="AH105" s="73" t="s">
        <v>39</v>
      </c>
      <c r="AI105" s="74" t="s">
        <v>40</v>
      </c>
      <c r="AJ105" s="39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</row>
    <row r="106" spans="2:100" x14ac:dyDescent="0.25">
      <c r="H106" s="3"/>
      <c r="O106" s="3"/>
      <c r="P106" s="3"/>
      <c r="Q106" s="3"/>
      <c r="R106" s="3"/>
      <c r="S106" s="3"/>
      <c r="T106" s="3"/>
      <c r="U106" s="3"/>
      <c r="V106" s="3"/>
      <c r="W106" s="75" t="s">
        <v>38</v>
      </c>
      <c r="X106" s="38">
        <v>129935</v>
      </c>
      <c r="Y106" s="38">
        <v>54782</v>
      </c>
      <c r="Z106" s="39">
        <f>X106/$X$107</f>
        <v>1.8315453949170788</v>
      </c>
      <c r="AA106" s="97">
        <f>Y106/$Y$107</f>
        <v>1.9931177990101554</v>
      </c>
      <c r="AB106" s="39"/>
      <c r="AC106" s="39"/>
      <c r="AD106" s="3"/>
      <c r="AE106" s="75" t="s">
        <v>37</v>
      </c>
      <c r="AF106" s="50">
        <v>28699</v>
      </c>
      <c r="AG106" s="50">
        <v>10847</v>
      </c>
      <c r="AH106" s="39">
        <f>AF106/$AF$108</f>
        <v>0.38726259228557663</v>
      </c>
      <c r="AI106" s="97">
        <f>AG106/$AG$108</f>
        <v>0.36437026226410801</v>
      </c>
      <c r="AJ106" s="39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</row>
    <row r="107" spans="2:100" x14ac:dyDescent="0.25">
      <c r="B107" s="58"/>
      <c r="C107" s="59" t="s">
        <v>1</v>
      </c>
      <c r="D107" s="59" t="s">
        <v>2</v>
      </c>
      <c r="E107" s="59" t="s">
        <v>39</v>
      </c>
      <c r="F107" s="60" t="s">
        <v>40</v>
      </c>
      <c r="G107" s="39"/>
      <c r="H107" s="3"/>
      <c r="O107" s="3"/>
      <c r="P107" s="3"/>
      <c r="Q107" s="3"/>
      <c r="R107" s="3"/>
      <c r="S107" s="3"/>
      <c r="T107" s="3"/>
      <c r="U107" s="3"/>
      <c r="V107" s="3"/>
      <c r="W107" s="77" t="s">
        <v>4</v>
      </c>
      <c r="X107" s="78">
        <v>70942.822580645166</v>
      </c>
      <c r="Y107" s="78">
        <v>27485.580645161292</v>
      </c>
      <c r="Z107" s="79"/>
      <c r="AA107" s="80"/>
      <c r="AB107" s="39"/>
      <c r="AC107" s="39"/>
      <c r="AD107" s="3"/>
      <c r="AE107" s="75" t="s">
        <v>38</v>
      </c>
      <c r="AF107" s="38">
        <v>124804</v>
      </c>
      <c r="AG107" s="38">
        <v>58172</v>
      </c>
      <c r="AH107" s="39">
        <f>AF107/$AF$108</f>
        <v>1.6840977235307539</v>
      </c>
      <c r="AI107" s="97">
        <f>AG107/$AG$108</f>
        <v>1.9541022307022855</v>
      </c>
      <c r="AJ107" s="39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</row>
    <row r="108" spans="2:100" x14ac:dyDescent="0.25">
      <c r="B108" s="61" t="s">
        <v>37</v>
      </c>
      <c r="C108" s="38">
        <v>32363</v>
      </c>
      <c r="D108" s="38">
        <v>6085</v>
      </c>
      <c r="E108" s="39">
        <f>C108/$C$110</f>
        <v>0.40562945449149107</v>
      </c>
      <c r="F108" s="39">
        <f>D108/$D$110</f>
        <v>0.31040618234573553</v>
      </c>
      <c r="G108" s="39"/>
      <c r="AE108" s="77" t="s">
        <v>4</v>
      </c>
      <c r="AF108" s="78">
        <v>74107.338461538457</v>
      </c>
      <c r="AG108" s="78">
        <v>29769.169230769232</v>
      </c>
      <c r="AH108" s="79"/>
      <c r="AI108" s="80"/>
      <c r="AJ108" s="39"/>
    </row>
    <row r="109" spans="2:100" x14ac:dyDescent="0.25">
      <c r="B109" s="61" t="s">
        <v>38</v>
      </c>
      <c r="C109" s="38">
        <v>159971</v>
      </c>
      <c r="D109" s="38">
        <v>38188</v>
      </c>
      <c r="E109" s="39">
        <f>C109/$C$110</f>
        <v>2.0050350543663544</v>
      </c>
      <c r="F109" s="39">
        <f>D109/$D$110</f>
        <v>1.9480347233227522</v>
      </c>
      <c r="G109" s="39"/>
      <c r="I109" s="3"/>
      <c r="J109" s="6"/>
      <c r="K109" s="6"/>
      <c r="L109" s="6"/>
      <c r="M109" s="6"/>
      <c r="N109" s="6"/>
    </row>
    <row r="110" spans="2:100" x14ac:dyDescent="0.25">
      <c r="B110" s="63" t="s">
        <v>4</v>
      </c>
      <c r="C110" s="64">
        <v>79784.639999999999</v>
      </c>
      <c r="D110" s="65">
        <v>19603.346666666668</v>
      </c>
      <c r="E110" s="65"/>
      <c r="F110" s="66"/>
      <c r="G110" s="39"/>
    </row>
    <row r="120" spans="3:10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</row>
    <row r="121" spans="3:10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</row>
    <row r="123" spans="3:100" x14ac:dyDescent="0.25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</row>
    <row r="126" spans="3:100" x14ac:dyDescent="0.25"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</row>
  </sheetData>
  <mergeCells count="6">
    <mergeCell ref="AM3:AQ3"/>
    <mergeCell ref="W1:AB1"/>
    <mergeCell ref="B1:E1"/>
    <mergeCell ref="I1:L1"/>
    <mergeCell ref="P1:S1"/>
    <mergeCell ref="AE1:AH1"/>
  </mergeCells>
  <conditionalFormatting sqref="C3:C77">
    <cfRule type="top10" dxfId="120" priority="20" bottom="1" rank="1"/>
    <cfRule type="top10" dxfId="119" priority="21" rank="1"/>
    <cfRule type="cellIs" dxfId="118" priority="31" operator="greaterThan">
      <formula>$C$78</formula>
    </cfRule>
  </conditionalFormatting>
  <conditionalFormatting sqref="D3:D77">
    <cfRule type="top10" dxfId="117" priority="18" bottom="1" rank="1"/>
    <cfRule type="top10" dxfId="116" priority="19" rank="1"/>
    <cfRule type="cellIs" dxfId="115" priority="30" operator="greaterThan">
      <formula>$D$78</formula>
    </cfRule>
  </conditionalFormatting>
  <conditionalFormatting sqref="J3:J68">
    <cfRule type="top10" dxfId="114" priority="16" bottom="1" rank="1"/>
    <cfRule type="top10" dxfId="113" priority="17" rank="1"/>
    <cfRule type="cellIs" dxfId="112" priority="29" operator="greaterThan">
      <formula>$J$69</formula>
    </cfRule>
  </conditionalFormatting>
  <conditionalFormatting sqref="K3:K68">
    <cfRule type="top10" dxfId="111" priority="13" bottom="1" rank="1"/>
    <cfRule type="top10" dxfId="110" priority="14" rank="1"/>
    <cfRule type="top10" dxfId="109" priority="15" rank="1"/>
    <cfRule type="cellIs" dxfId="108" priority="28" operator="greaterThan">
      <formula>$K$69</formula>
    </cfRule>
  </conditionalFormatting>
  <conditionalFormatting sqref="Q3:Q67">
    <cfRule type="top10" dxfId="107" priority="11" bottom="1" rank="1"/>
    <cfRule type="top10" dxfId="106" priority="12" rank="1"/>
    <cfRule type="cellIs" dxfId="105" priority="27" operator="greaterThan">
      <formula>$Q$68</formula>
    </cfRule>
  </conditionalFormatting>
  <conditionalFormatting sqref="R3:R67">
    <cfRule type="top10" dxfId="104" priority="9" bottom="1" rank="1"/>
    <cfRule type="top10" dxfId="103" priority="10" rank="1"/>
    <cfRule type="cellIs" dxfId="102" priority="26" operator="greaterThan">
      <formula>$R$68</formula>
    </cfRule>
  </conditionalFormatting>
  <conditionalFormatting sqref="X3:X76">
    <cfRule type="top10" dxfId="101" priority="7" bottom="1" rank="1"/>
    <cfRule type="top10" dxfId="100" priority="8" rank="1"/>
    <cfRule type="cellIs" dxfId="99" priority="25" operator="greaterThan">
      <formula>$X$77</formula>
    </cfRule>
  </conditionalFormatting>
  <conditionalFormatting sqref="Y3:Y76">
    <cfRule type="top10" dxfId="98" priority="5" bottom="1" rank="1"/>
    <cfRule type="top10" dxfId="97" priority="6" rank="1"/>
    <cfRule type="cellIs" dxfId="96" priority="24" operator="greaterThan">
      <formula>$Y$77</formula>
    </cfRule>
  </conditionalFormatting>
  <conditionalFormatting sqref="AF3:AF78">
    <cfRule type="top10" dxfId="95" priority="3" bottom="1" rank="1"/>
    <cfRule type="top10" dxfId="94" priority="4" rank="1"/>
    <cfRule type="cellIs" dxfId="93" priority="23" operator="greaterThan">
      <formula>$AF$79</formula>
    </cfRule>
  </conditionalFormatting>
  <conditionalFormatting sqref="AG3:AG78">
    <cfRule type="top10" dxfId="92" priority="1" bottom="1" rank="1"/>
    <cfRule type="top10" dxfId="91" priority="2" rank="1"/>
    <cfRule type="cellIs" dxfId="90" priority="22" operator="greaterThan">
      <formula>$AG$79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R132"/>
  <sheetViews>
    <sheetView topLeftCell="A37" zoomScale="55" zoomScaleNormal="55" workbookViewId="0">
      <selection activeCell="L21" sqref="L21:M71"/>
    </sheetView>
  </sheetViews>
  <sheetFormatPr defaultColWidth="8.85546875" defaultRowHeight="15" x14ac:dyDescent="0.25"/>
  <cols>
    <col min="2" max="2" width="20.28515625" bestFit="1" customWidth="1"/>
    <col min="8" max="8" width="20.28515625" bestFit="1" customWidth="1"/>
    <col min="16" max="16" width="21.42578125" bestFit="1" customWidth="1"/>
    <col min="20" max="20" width="12" bestFit="1" customWidth="1"/>
    <col min="21" max="21" width="12" customWidth="1"/>
    <col min="22" max="22" width="20.28515625" bestFit="1" customWidth="1"/>
    <col min="25" max="25" width="11.140625" bestFit="1" customWidth="1"/>
    <col min="26" max="26" width="12" bestFit="1" customWidth="1"/>
    <col min="28" max="28" width="20.7109375" bestFit="1" customWidth="1"/>
    <col min="35" max="35" width="20.7109375" bestFit="1" customWidth="1"/>
  </cols>
  <sheetData>
    <row r="1" spans="2:40" x14ac:dyDescent="0.25">
      <c r="B1" s="122">
        <v>1</v>
      </c>
      <c r="C1" s="122"/>
      <c r="D1" s="122"/>
      <c r="E1" s="122"/>
      <c r="H1" s="117">
        <v>2</v>
      </c>
      <c r="I1" s="117"/>
      <c r="J1" s="117"/>
      <c r="K1" s="117"/>
      <c r="L1" s="116"/>
      <c r="M1" s="116"/>
      <c r="N1" s="116"/>
      <c r="P1" s="122">
        <v>3</v>
      </c>
      <c r="Q1" s="122"/>
      <c r="R1" s="122"/>
      <c r="S1" s="122"/>
      <c r="V1" s="122">
        <v>4</v>
      </c>
      <c r="W1" s="122"/>
      <c r="X1" s="122"/>
      <c r="Y1" s="122"/>
      <c r="AB1" s="122">
        <v>5</v>
      </c>
      <c r="AC1" s="122"/>
      <c r="AD1" s="122"/>
      <c r="AE1" s="122"/>
    </row>
    <row r="2" spans="2:40" x14ac:dyDescent="0.25">
      <c r="C2" t="s">
        <v>1</v>
      </c>
      <c r="D2" t="s">
        <v>2</v>
      </c>
      <c r="E2" t="s">
        <v>6</v>
      </c>
      <c r="I2" t="s">
        <v>1</v>
      </c>
      <c r="J2" t="s">
        <v>2</v>
      </c>
      <c r="K2" t="s">
        <v>6</v>
      </c>
      <c r="L2" t="s">
        <v>39</v>
      </c>
      <c r="M2" t="s">
        <v>40</v>
      </c>
      <c r="Q2" t="s">
        <v>1</v>
      </c>
      <c r="R2" t="s">
        <v>2</v>
      </c>
      <c r="S2" t="s">
        <v>6</v>
      </c>
      <c r="W2" t="s">
        <v>1</v>
      </c>
      <c r="X2" t="s">
        <v>2</v>
      </c>
      <c r="Y2" t="s">
        <v>6</v>
      </c>
      <c r="AC2" t="s">
        <v>1</v>
      </c>
      <c r="AD2" t="s">
        <v>2</v>
      </c>
      <c r="AE2" t="s">
        <v>6</v>
      </c>
    </row>
    <row r="3" spans="2:40" x14ac:dyDescent="0.25">
      <c r="B3">
        <v>1</v>
      </c>
      <c r="C3" s="21">
        <v>121814</v>
      </c>
      <c r="D3" s="22">
        <v>24255</v>
      </c>
      <c r="E3" s="4">
        <v>25873</v>
      </c>
      <c r="F3" s="3"/>
      <c r="H3">
        <v>1</v>
      </c>
      <c r="I3" s="25">
        <v>103556</v>
      </c>
      <c r="J3" s="26">
        <v>21569</v>
      </c>
      <c r="K3" s="4">
        <v>25708</v>
      </c>
      <c r="L3" s="118">
        <f>I3/$I$72</f>
        <v>1.744939789939465</v>
      </c>
      <c r="M3" s="118">
        <f>J3/$J$72</f>
        <v>1.199449726893649</v>
      </c>
      <c r="N3" s="6"/>
      <c r="P3">
        <v>1</v>
      </c>
      <c r="Q3" s="21">
        <v>88836</v>
      </c>
      <c r="R3" s="22">
        <v>24507</v>
      </c>
      <c r="S3" s="4">
        <v>30828</v>
      </c>
      <c r="V3">
        <v>1</v>
      </c>
      <c r="W3" s="3">
        <v>50248</v>
      </c>
      <c r="X3" s="3">
        <v>17730</v>
      </c>
      <c r="Y3" s="4">
        <v>30</v>
      </c>
      <c r="AB3">
        <v>1</v>
      </c>
      <c r="AC3" s="21">
        <v>61366</v>
      </c>
      <c r="AD3" s="22">
        <v>25737</v>
      </c>
      <c r="AE3" s="4">
        <v>28299</v>
      </c>
      <c r="AI3" s="123" t="s">
        <v>34</v>
      </c>
      <c r="AJ3" s="123"/>
      <c r="AK3" s="123"/>
      <c r="AL3" s="123"/>
      <c r="AM3" s="123"/>
    </row>
    <row r="4" spans="2:40" x14ac:dyDescent="0.25">
      <c r="B4">
        <v>2</v>
      </c>
      <c r="C4" s="27">
        <v>89410</v>
      </c>
      <c r="D4" s="28">
        <v>24263</v>
      </c>
      <c r="E4" s="4">
        <v>28154</v>
      </c>
      <c r="F4" s="3"/>
      <c r="H4">
        <v>2</v>
      </c>
      <c r="I4" s="3">
        <v>45843</v>
      </c>
      <c r="J4" s="3">
        <v>14084</v>
      </c>
      <c r="K4" s="4">
        <v>13337</v>
      </c>
      <c r="L4" s="118">
        <f t="shared" ref="L4:L67" si="0">I4/$I$72</f>
        <v>0.77246393053222306</v>
      </c>
      <c r="M4" s="118">
        <f t="shared" ref="M4:M67" si="1">J4/$J$72</f>
        <v>0.78320969695257792</v>
      </c>
      <c r="N4" s="6"/>
      <c r="P4">
        <v>2</v>
      </c>
      <c r="Q4" s="27">
        <v>70117</v>
      </c>
      <c r="R4" s="28">
        <v>24158</v>
      </c>
      <c r="S4" s="4">
        <v>24517</v>
      </c>
      <c r="V4">
        <v>2</v>
      </c>
      <c r="W4" s="21">
        <v>71335</v>
      </c>
      <c r="X4" s="22">
        <v>28749</v>
      </c>
      <c r="Y4" s="4">
        <v>26940</v>
      </c>
      <c r="AB4">
        <v>2</v>
      </c>
      <c r="AC4" s="27">
        <v>67978</v>
      </c>
      <c r="AD4" s="28">
        <v>27724</v>
      </c>
      <c r="AE4" s="4">
        <v>45627</v>
      </c>
      <c r="AI4" t="s">
        <v>5</v>
      </c>
      <c r="AJ4" s="3">
        <f>AVERAGE(C59,I72,Q86,W77,AC64)</f>
        <v>52138.443005120324</v>
      </c>
      <c r="AK4" s="3">
        <f>AVERAGE(D59,J72,R86,X77,AD64)</f>
        <v>19858.367791090634</v>
      </c>
      <c r="AN4" s="3"/>
    </row>
    <row r="5" spans="2:40" x14ac:dyDescent="0.25">
      <c r="B5">
        <v>3</v>
      </c>
      <c r="C5" s="27">
        <v>97535</v>
      </c>
      <c r="D5" s="28">
        <v>26869</v>
      </c>
      <c r="E5" s="4">
        <v>27498</v>
      </c>
      <c r="F5" s="6"/>
      <c r="H5">
        <v>3</v>
      </c>
      <c r="I5" s="21">
        <v>98868</v>
      </c>
      <c r="J5" s="22">
        <v>26144</v>
      </c>
      <c r="K5" s="4">
        <v>24024</v>
      </c>
      <c r="L5" s="118">
        <f t="shared" si="0"/>
        <v>1.6659460306668374</v>
      </c>
      <c r="M5" s="118">
        <f t="shared" si="1"/>
        <v>1.4538649756552255</v>
      </c>
      <c r="N5" s="6"/>
      <c r="P5">
        <v>3</v>
      </c>
      <c r="Q5" s="27">
        <v>64079</v>
      </c>
      <c r="R5" s="28">
        <v>26708</v>
      </c>
      <c r="S5" s="4">
        <v>24494</v>
      </c>
      <c r="V5">
        <v>3</v>
      </c>
      <c r="W5" s="27">
        <v>63776</v>
      </c>
      <c r="X5" s="28">
        <v>35084</v>
      </c>
      <c r="Y5" s="4">
        <v>30598</v>
      </c>
      <c r="AB5">
        <v>3</v>
      </c>
      <c r="AC5" s="27">
        <v>68317</v>
      </c>
      <c r="AD5" s="28">
        <v>32122</v>
      </c>
      <c r="AE5" s="4">
        <v>36693</v>
      </c>
      <c r="AI5" t="s">
        <v>8</v>
      </c>
      <c r="AJ5" s="3">
        <f t="shared" ref="AJ5:AJ8" si="2">AVERAGE(C60,I73,Q87,W78,AC65)</f>
        <v>45713.050546585582</v>
      </c>
      <c r="AK5" s="3">
        <f t="shared" ref="AK5:AK6" si="3">AVERAGE(D60,J73,R87,X78,AD65)</f>
        <v>18505.767074878735</v>
      </c>
    </row>
    <row r="6" spans="2:40" x14ac:dyDescent="0.25">
      <c r="B6">
        <v>4</v>
      </c>
      <c r="C6" s="27">
        <v>94300</v>
      </c>
      <c r="D6" s="28">
        <v>24647</v>
      </c>
      <c r="E6" s="4">
        <v>22688</v>
      </c>
      <c r="F6" s="6"/>
      <c r="H6">
        <v>4</v>
      </c>
      <c r="I6" s="27">
        <v>120399</v>
      </c>
      <c r="J6" s="28">
        <v>34700</v>
      </c>
      <c r="K6" s="4">
        <v>32282</v>
      </c>
      <c r="L6" s="118">
        <f t="shared" si="0"/>
        <v>2.0287477864046664</v>
      </c>
      <c r="M6" s="118">
        <f t="shared" si="1"/>
        <v>1.9296631982572034</v>
      </c>
      <c r="N6" s="6"/>
      <c r="P6">
        <v>4</v>
      </c>
      <c r="Q6" s="27">
        <v>87186</v>
      </c>
      <c r="R6" s="28">
        <v>27805</v>
      </c>
      <c r="S6" s="4">
        <v>33124</v>
      </c>
      <c r="V6">
        <v>4</v>
      </c>
      <c r="W6" s="27">
        <v>64958</v>
      </c>
      <c r="X6" s="28">
        <v>33311</v>
      </c>
      <c r="Y6" s="4">
        <v>30412</v>
      </c>
      <c r="AB6">
        <v>4</v>
      </c>
      <c r="AC6" s="27">
        <v>67898</v>
      </c>
      <c r="AD6" s="28">
        <v>28302</v>
      </c>
      <c r="AE6" s="4">
        <v>43133</v>
      </c>
      <c r="AI6" s="5" t="s">
        <v>7</v>
      </c>
      <c r="AJ6" s="3">
        <f t="shared" si="2"/>
        <v>79773.797777777785</v>
      </c>
      <c r="AK6" s="3">
        <f t="shared" si="3"/>
        <v>25692.886666666669</v>
      </c>
    </row>
    <row r="7" spans="2:40" x14ac:dyDescent="0.25">
      <c r="B7">
        <v>5</v>
      </c>
      <c r="C7" s="23">
        <v>114904</v>
      </c>
      <c r="D7" s="24">
        <v>37825</v>
      </c>
      <c r="E7" s="4">
        <v>17342</v>
      </c>
      <c r="F7" s="6"/>
      <c r="H7">
        <v>5</v>
      </c>
      <c r="I7" s="27">
        <v>115992</v>
      </c>
      <c r="J7" s="28">
        <v>28840</v>
      </c>
      <c r="K7" s="4">
        <v>27143</v>
      </c>
      <c r="L7" s="118">
        <f t="shared" si="0"/>
        <v>1.9544889346311023</v>
      </c>
      <c r="M7" s="118">
        <f t="shared" si="1"/>
        <v>1.6037892402806269</v>
      </c>
      <c r="N7" s="6"/>
      <c r="P7">
        <v>5</v>
      </c>
      <c r="Q7" s="27">
        <v>84754</v>
      </c>
      <c r="R7" s="28">
        <v>32193</v>
      </c>
      <c r="S7" s="4">
        <v>28298</v>
      </c>
      <c r="V7">
        <v>5</v>
      </c>
      <c r="W7" s="27">
        <v>82368</v>
      </c>
      <c r="X7" s="28">
        <v>44216</v>
      </c>
      <c r="Y7" s="4">
        <v>29840</v>
      </c>
      <c r="AB7">
        <v>5</v>
      </c>
      <c r="AC7" s="27">
        <v>57530</v>
      </c>
      <c r="AD7" s="28">
        <v>25061</v>
      </c>
      <c r="AE7" s="4">
        <v>32902</v>
      </c>
      <c r="AI7" t="s">
        <v>14</v>
      </c>
      <c r="AJ7" s="3">
        <f t="shared" si="2"/>
        <v>15.8</v>
      </c>
      <c r="AK7" s="3"/>
    </row>
    <row r="8" spans="2:40" x14ac:dyDescent="0.25">
      <c r="B8">
        <v>6</v>
      </c>
      <c r="C8" s="3">
        <v>88122</v>
      </c>
      <c r="D8" s="3">
        <v>14490</v>
      </c>
      <c r="E8" s="4">
        <v>23864</v>
      </c>
      <c r="F8" s="6"/>
      <c r="H8">
        <v>6</v>
      </c>
      <c r="I8" s="27">
        <v>98327</v>
      </c>
      <c r="J8" s="28">
        <v>21905</v>
      </c>
      <c r="K8" s="4">
        <v>27106</v>
      </c>
      <c r="L8" s="118">
        <f t="shared" si="0"/>
        <v>1.6568300699657941</v>
      </c>
      <c r="M8" s="118">
        <f t="shared" si="1"/>
        <v>1.2181346500813846</v>
      </c>
      <c r="N8" s="6"/>
      <c r="P8">
        <v>6</v>
      </c>
      <c r="Q8" s="27">
        <v>73198</v>
      </c>
      <c r="R8" s="28">
        <v>26927</v>
      </c>
      <c r="S8" s="4">
        <v>20021</v>
      </c>
      <c r="V8">
        <v>6</v>
      </c>
      <c r="W8" s="27">
        <v>62618</v>
      </c>
      <c r="X8" s="28">
        <v>31763</v>
      </c>
      <c r="Y8" s="4">
        <v>28842</v>
      </c>
      <c r="AB8">
        <v>6</v>
      </c>
      <c r="AC8" s="27">
        <v>63841</v>
      </c>
      <c r="AD8" s="28">
        <v>26364</v>
      </c>
      <c r="AE8" s="4">
        <v>39795</v>
      </c>
      <c r="AI8" s="3" t="s">
        <v>9</v>
      </c>
      <c r="AJ8" s="3">
        <f t="shared" si="2"/>
        <v>23.055436948536073</v>
      </c>
      <c r="AK8" s="3"/>
    </row>
    <row r="9" spans="2:40" x14ac:dyDescent="0.25">
      <c r="B9">
        <v>7</v>
      </c>
      <c r="C9" s="21">
        <v>135731</v>
      </c>
      <c r="D9" s="22">
        <v>36930</v>
      </c>
      <c r="E9" s="4">
        <v>32497</v>
      </c>
      <c r="F9" s="6"/>
      <c r="H9">
        <v>7</v>
      </c>
      <c r="I9" s="23">
        <v>136422</v>
      </c>
      <c r="J9" s="24">
        <v>32739</v>
      </c>
      <c r="K9" s="4">
        <v>30634</v>
      </c>
      <c r="L9" s="118">
        <f t="shared" si="0"/>
        <v>2.2987386150790075</v>
      </c>
      <c r="M9" s="118">
        <f t="shared" si="1"/>
        <v>1.8206122031049736</v>
      </c>
      <c r="N9" s="6"/>
      <c r="P9">
        <v>7</v>
      </c>
      <c r="Q9" s="27">
        <v>85271</v>
      </c>
      <c r="R9" s="28">
        <v>30701</v>
      </c>
      <c r="S9" s="4">
        <v>27766</v>
      </c>
      <c r="V9">
        <v>7</v>
      </c>
      <c r="W9" s="27">
        <v>76461</v>
      </c>
      <c r="X9" s="28">
        <v>36401</v>
      </c>
      <c r="Y9" s="4">
        <v>44401</v>
      </c>
      <c r="AB9">
        <v>7</v>
      </c>
      <c r="AC9" s="27">
        <v>54672</v>
      </c>
      <c r="AD9" s="28">
        <v>20500</v>
      </c>
      <c r="AE9" s="4">
        <v>34734</v>
      </c>
      <c r="AJ9" t="s">
        <v>11</v>
      </c>
      <c r="AK9" t="s">
        <v>6</v>
      </c>
    </row>
    <row r="10" spans="2:40" x14ac:dyDescent="0.25">
      <c r="B10">
        <v>8</v>
      </c>
      <c r="C10" s="27">
        <v>110612</v>
      </c>
      <c r="D10" s="28">
        <v>38633</v>
      </c>
      <c r="E10" s="4">
        <v>25490</v>
      </c>
      <c r="F10" s="6"/>
      <c r="H10">
        <v>8</v>
      </c>
      <c r="I10" s="3">
        <v>112314</v>
      </c>
      <c r="J10" s="3">
        <v>12299</v>
      </c>
      <c r="K10" s="4">
        <v>26634</v>
      </c>
      <c r="L10" s="118">
        <f t="shared" si="0"/>
        <v>1.8925138820277054</v>
      </c>
      <c r="M10" s="118">
        <f t="shared" si="1"/>
        <v>0.68394604251773328</v>
      </c>
      <c r="N10" s="6"/>
      <c r="P10">
        <v>8</v>
      </c>
      <c r="Q10" s="27">
        <v>104493</v>
      </c>
      <c r="R10" s="28">
        <v>43138</v>
      </c>
      <c r="S10" s="4">
        <v>30257</v>
      </c>
      <c r="V10">
        <v>8</v>
      </c>
      <c r="W10" s="23">
        <v>69445</v>
      </c>
      <c r="X10" s="24">
        <v>24328</v>
      </c>
      <c r="Y10" s="4">
        <v>35086</v>
      </c>
      <c r="AB10">
        <v>8</v>
      </c>
      <c r="AC10" s="27">
        <v>46439</v>
      </c>
      <c r="AD10" s="28">
        <v>23121</v>
      </c>
      <c r="AE10" s="4">
        <v>26252</v>
      </c>
      <c r="AI10" s="29" t="s">
        <v>10</v>
      </c>
      <c r="AJ10" s="3">
        <f t="shared" ref="AJ10:AK14" si="4">AVERAGE(C65,I78,Q92,W83,AC70)</f>
        <v>37.345471373822839</v>
      </c>
      <c r="AK10" s="3">
        <f t="shared" si="4"/>
        <v>82.888888888888886</v>
      </c>
    </row>
    <row r="11" spans="2:40" x14ac:dyDescent="0.25">
      <c r="B11">
        <v>9</v>
      </c>
      <c r="C11" s="27">
        <v>128074</v>
      </c>
      <c r="D11" s="28">
        <v>27142</v>
      </c>
      <c r="E11" s="4">
        <v>34398</v>
      </c>
      <c r="F11" s="6"/>
      <c r="H11">
        <v>9</v>
      </c>
      <c r="I11" s="21">
        <v>94074</v>
      </c>
      <c r="J11" s="22">
        <v>26820</v>
      </c>
      <c r="K11" s="4">
        <v>22943</v>
      </c>
      <c r="L11" s="118">
        <f t="shared" si="0"/>
        <v>1.5851661497041718</v>
      </c>
      <c r="M11" s="118">
        <f t="shared" si="1"/>
        <v>1.4914572615924553</v>
      </c>
      <c r="N11" s="6"/>
      <c r="P11">
        <v>9</v>
      </c>
      <c r="Q11" s="27">
        <v>72269</v>
      </c>
      <c r="R11" s="28">
        <v>25600</v>
      </c>
      <c r="S11" s="4">
        <v>27254</v>
      </c>
      <c r="V11">
        <v>9</v>
      </c>
      <c r="W11" s="3">
        <v>50879</v>
      </c>
      <c r="X11" s="3">
        <v>18970</v>
      </c>
      <c r="Y11" s="4">
        <v>25015</v>
      </c>
      <c r="AB11">
        <v>9</v>
      </c>
      <c r="AC11" s="23">
        <v>55280</v>
      </c>
      <c r="AD11" s="24">
        <v>26942</v>
      </c>
      <c r="AE11" s="4">
        <v>35527</v>
      </c>
      <c r="AI11" s="20" t="s">
        <v>12</v>
      </c>
      <c r="AJ11" s="3">
        <f t="shared" si="4"/>
        <v>7.4022123714478312</v>
      </c>
      <c r="AK11" s="3">
        <f t="shared" si="4"/>
        <v>12.888888888888889</v>
      </c>
    </row>
    <row r="12" spans="2:40" x14ac:dyDescent="0.25">
      <c r="B12">
        <v>10</v>
      </c>
      <c r="C12" s="27">
        <v>110222</v>
      </c>
      <c r="D12" s="28">
        <v>28537</v>
      </c>
      <c r="E12" s="4">
        <v>28494</v>
      </c>
      <c r="F12" s="6"/>
      <c r="H12">
        <v>10</v>
      </c>
      <c r="I12" s="27">
        <v>110642</v>
      </c>
      <c r="J12" s="28">
        <v>32401</v>
      </c>
      <c r="K12" s="4">
        <v>30854</v>
      </c>
      <c r="L12" s="118">
        <f t="shared" si="0"/>
        <v>1.8643403398980483</v>
      </c>
      <c r="M12" s="118">
        <f t="shared" si="1"/>
        <v>1.8018160601363589</v>
      </c>
      <c r="N12" s="6"/>
      <c r="P12">
        <v>10</v>
      </c>
      <c r="Q12" s="23">
        <v>89747</v>
      </c>
      <c r="R12" s="24">
        <v>38644</v>
      </c>
      <c r="S12" s="4">
        <v>29315</v>
      </c>
      <c r="V12">
        <v>10</v>
      </c>
      <c r="W12" s="21">
        <v>57267</v>
      </c>
      <c r="X12" s="22">
        <v>22767</v>
      </c>
      <c r="Y12" s="4">
        <v>21895</v>
      </c>
      <c r="AB12">
        <v>10</v>
      </c>
      <c r="AC12" s="3">
        <v>37651</v>
      </c>
      <c r="AD12" s="3">
        <v>15418</v>
      </c>
      <c r="AE12" s="4">
        <v>19832</v>
      </c>
      <c r="AI12" s="9" t="s">
        <v>13</v>
      </c>
      <c r="AJ12" s="3">
        <f t="shared" si="4"/>
        <v>8.106744062913716</v>
      </c>
      <c r="AK12" s="3">
        <f t="shared" si="4"/>
        <v>1.1111111111111112</v>
      </c>
    </row>
    <row r="13" spans="2:40" x14ac:dyDescent="0.25">
      <c r="B13">
        <v>11</v>
      </c>
      <c r="C13" s="27">
        <v>117050</v>
      </c>
      <c r="D13" s="28">
        <v>22589</v>
      </c>
      <c r="E13" s="4">
        <v>32383</v>
      </c>
      <c r="F13" s="6"/>
      <c r="H13">
        <v>11</v>
      </c>
      <c r="I13" s="27">
        <v>75093</v>
      </c>
      <c r="J13" s="28">
        <v>19649</v>
      </c>
      <c r="K13" s="4">
        <v>22492</v>
      </c>
      <c r="L13" s="118">
        <f t="shared" si="0"/>
        <v>1.2653324157549948</v>
      </c>
      <c r="M13" s="118">
        <f t="shared" si="1"/>
        <v>1.0926787372494464</v>
      </c>
      <c r="N13" s="6"/>
      <c r="P13">
        <v>11</v>
      </c>
      <c r="Q13" s="3">
        <v>89767</v>
      </c>
      <c r="R13" s="3">
        <v>19491</v>
      </c>
      <c r="S13" s="4">
        <v>32526</v>
      </c>
      <c r="V13">
        <v>11</v>
      </c>
      <c r="W13" s="27">
        <v>81164</v>
      </c>
      <c r="X13" s="28">
        <v>27879</v>
      </c>
      <c r="Y13" s="4">
        <v>30304</v>
      </c>
      <c r="AB13">
        <v>11</v>
      </c>
      <c r="AC13" s="3">
        <v>30993</v>
      </c>
      <c r="AD13" s="3">
        <v>10704</v>
      </c>
      <c r="AE13" s="3">
        <v>2283</v>
      </c>
      <c r="AI13" t="s">
        <v>15</v>
      </c>
      <c r="AJ13" s="3">
        <f t="shared" si="4"/>
        <v>47.145572191815617</v>
      </c>
      <c r="AK13" s="3">
        <f t="shared" si="4"/>
        <v>3.1111111111111112</v>
      </c>
    </row>
    <row r="14" spans="2:40" x14ac:dyDescent="0.25">
      <c r="B14">
        <v>12</v>
      </c>
      <c r="C14" s="23">
        <v>121075</v>
      </c>
      <c r="D14" s="24">
        <v>34506</v>
      </c>
      <c r="E14" s="4">
        <v>29131</v>
      </c>
      <c r="F14" s="6"/>
      <c r="H14">
        <v>12</v>
      </c>
      <c r="I14" s="27">
        <v>88580</v>
      </c>
      <c r="J14" s="28">
        <v>20051</v>
      </c>
      <c r="K14" s="4">
        <v>26688</v>
      </c>
      <c r="L14" s="118">
        <f t="shared" si="0"/>
        <v>1.4925911255054058</v>
      </c>
      <c r="M14" s="118">
        <f t="shared" si="1"/>
        <v>1.1150339132062015</v>
      </c>
      <c r="N14" s="6"/>
      <c r="P14">
        <v>12</v>
      </c>
      <c r="Q14" s="21">
        <v>73047</v>
      </c>
      <c r="R14" s="22">
        <v>24818</v>
      </c>
      <c r="S14" s="4">
        <v>26159</v>
      </c>
      <c r="V14">
        <v>12</v>
      </c>
      <c r="W14" s="27">
        <v>67251</v>
      </c>
      <c r="X14" s="28">
        <v>29322</v>
      </c>
      <c r="Y14" s="4">
        <v>25235</v>
      </c>
      <c r="AB14">
        <v>12</v>
      </c>
      <c r="AC14" s="3">
        <v>43308</v>
      </c>
      <c r="AD14" s="3">
        <v>19560</v>
      </c>
      <c r="AE14" s="3">
        <v>4084</v>
      </c>
      <c r="AI14" t="s">
        <v>11</v>
      </c>
      <c r="AJ14" s="3">
        <f t="shared" si="4"/>
        <v>100</v>
      </c>
      <c r="AK14" s="3">
        <f t="shared" si="4"/>
        <v>100</v>
      </c>
    </row>
    <row r="15" spans="2:40" x14ac:dyDescent="0.25">
      <c r="B15">
        <v>13</v>
      </c>
      <c r="C15" s="3">
        <v>85372</v>
      </c>
      <c r="D15" s="3">
        <v>5302</v>
      </c>
      <c r="E15" s="4">
        <v>19608</v>
      </c>
      <c r="F15" s="6"/>
      <c r="H15">
        <v>13</v>
      </c>
      <c r="I15" s="27">
        <v>103740</v>
      </c>
      <c r="J15" s="28">
        <v>25286</v>
      </c>
      <c r="K15" s="4">
        <v>33935</v>
      </c>
      <c r="L15" s="118">
        <f t="shared" si="0"/>
        <v>1.748040227590097</v>
      </c>
      <c r="M15" s="118">
        <f t="shared" si="1"/>
        <v>1.4061516896579727</v>
      </c>
      <c r="N15" s="6"/>
      <c r="P15">
        <v>13</v>
      </c>
      <c r="Q15" s="23">
        <v>84307</v>
      </c>
      <c r="R15" s="24">
        <v>26228</v>
      </c>
      <c r="S15" s="4">
        <v>34520</v>
      </c>
      <c r="V15">
        <v>13</v>
      </c>
      <c r="W15" s="27">
        <v>65656</v>
      </c>
      <c r="X15" s="28">
        <v>32773</v>
      </c>
      <c r="Y15" s="4">
        <v>34935</v>
      </c>
      <c r="AB15">
        <v>13</v>
      </c>
      <c r="AC15" s="3">
        <v>24755</v>
      </c>
      <c r="AD15" s="3">
        <v>6294</v>
      </c>
      <c r="AE15" s="3">
        <v>2135</v>
      </c>
      <c r="AI15" s="3"/>
      <c r="AJ15" s="3"/>
      <c r="AK15" s="3"/>
    </row>
    <row r="16" spans="2:40" x14ac:dyDescent="0.25">
      <c r="B16">
        <v>14</v>
      </c>
      <c r="C16" s="25">
        <v>93403</v>
      </c>
      <c r="D16" s="26">
        <v>18718</v>
      </c>
      <c r="E16" s="4">
        <v>24145</v>
      </c>
      <c r="F16" s="6"/>
      <c r="H16">
        <v>14</v>
      </c>
      <c r="I16" s="27">
        <v>87951</v>
      </c>
      <c r="J16" s="28">
        <v>24753</v>
      </c>
      <c r="K16" s="4">
        <v>24864</v>
      </c>
      <c r="L16" s="118">
        <f t="shared" si="0"/>
        <v>1.4819923467975384</v>
      </c>
      <c r="M16" s="118">
        <f t="shared" si="1"/>
        <v>1.3765116180536183</v>
      </c>
      <c r="N16" s="6"/>
      <c r="P16">
        <v>14</v>
      </c>
      <c r="Q16" s="3">
        <v>53453</v>
      </c>
      <c r="R16" s="3">
        <v>11736</v>
      </c>
      <c r="S16" s="4">
        <v>23472</v>
      </c>
      <c r="V16">
        <v>14</v>
      </c>
      <c r="W16" s="27">
        <v>45400</v>
      </c>
      <c r="X16" s="28">
        <v>25967</v>
      </c>
      <c r="Y16" s="4">
        <v>27413</v>
      </c>
      <c r="AB16">
        <v>14</v>
      </c>
      <c r="AC16" s="3">
        <v>43011</v>
      </c>
      <c r="AD16" s="3">
        <v>10134</v>
      </c>
      <c r="AE16" s="3">
        <v>2992</v>
      </c>
      <c r="AI16" t="s">
        <v>16</v>
      </c>
      <c r="AJ16" s="3">
        <f>AVERAGE(C71,I84,Q98,W89,AC76)</f>
        <v>70779.239002849004</v>
      </c>
    </row>
    <row r="17" spans="2:40" x14ac:dyDescent="0.25">
      <c r="B17">
        <v>15</v>
      </c>
      <c r="C17" s="3">
        <v>77227</v>
      </c>
      <c r="D17" s="3">
        <v>13289</v>
      </c>
      <c r="E17" s="4">
        <v>23688</v>
      </c>
      <c r="F17" s="6"/>
      <c r="H17">
        <v>15</v>
      </c>
      <c r="I17" s="23">
        <v>108551</v>
      </c>
      <c r="J17" s="24">
        <v>22854</v>
      </c>
      <c r="K17" s="4">
        <v>31184</v>
      </c>
      <c r="L17" s="118">
        <f t="shared" si="0"/>
        <v>1.8291065620313536</v>
      </c>
      <c r="M17" s="118">
        <f t="shared" si="1"/>
        <v>1.2709084361086493</v>
      </c>
      <c r="N17" s="6"/>
      <c r="P17">
        <v>15</v>
      </c>
      <c r="Q17" s="25">
        <v>75433</v>
      </c>
      <c r="R17" s="26">
        <v>22488</v>
      </c>
      <c r="S17" s="4">
        <v>34494</v>
      </c>
      <c r="V17">
        <v>15</v>
      </c>
      <c r="W17" s="27">
        <v>66805</v>
      </c>
      <c r="X17" s="28">
        <v>25169</v>
      </c>
      <c r="Y17" s="4">
        <v>18093</v>
      </c>
      <c r="AB17">
        <v>15</v>
      </c>
      <c r="AC17" s="3">
        <v>29724</v>
      </c>
      <c r="AD17" s="3">
        <v>13833</v>
      </c>
      <c r="AE17" s="3">
        <v>2282</v>
      </c>
      <c r="AI17" t="s">
        <v>19</v>
      </c>
      <c r="AJ17" s="3">
        <f>AVERAGE(C72,I85,Q99,W90,AC77)</f>
        <v>39905.5268345976</v>
      </c>
      <c r="AL17" s="3"/>
      <c r="AM17" s="3"/>
    </row>
    <row r="18" spans="2:40" x14ac:dyDescent="0.25">
      <c r="B18">
        <v>16</v>
      </c>
      <c r="C18" s="3">
        <v>59451</v>
      </c>
      <c r="D18" s="3">
        <v>17972</v>
      </c>
      <c r="E18" s="3">
        <v>18</v>
      </c>
      <c r="F18" s="6"/>
      <c r="H18">
        <v>16</v>
      </c>
      <c r="I18" s="3">
        <v>64422</v>
      </c>
      <c r="J18" s="3">
        <v>7742</v>
      </c>
      <c r="K18" s="4">
        <v>14703</v>
      </c>
      <c r="L18" s="118">
        <f t="shared" si="0"/>
        <v>1.0855238822229538</v>
      </c>
      <c r="M18" s="118">
        <f t="shared" si="1"/>
        <v>0.4305317717840712</v>
      </c>
      <c r="N18" s="6"/>
      <c r="P18">
        <v>16</v>
      </c>
      <c r="Q18" s="3">
        <v>63993</v>
      </c>
      <c r="R18" s="3">
        <v>18399</v>
      </c>
      <c r="S18" s="4">
        <v>26680</v>
      </c>
      <c r="V18">
        <v>16</v>
      </c>
      <c r="W18" s="27">
        <v>56193</v>
      </c>
      <c r="X18" s="28">
        <v>31513</v>
      </c>
      <c r="Y18" s="4">
        <v>28587</v>
      </c>
      <c r="AB18">
        <v>16</v>
      </c>
      <c r="AC18" s="3">
        <v>22887</v>
      </c>
      <c r="AD18" s="3">
        <v>8113</v>
      </c>
      <c r="AE18" s="3">
        <v>2606</v>
      </c>
      <c r="AL18" s="3"/>
      <c r="AM18" s="3"/>
      <c r="AN18" s="3"/>
    </row>
    <row r="19" spans="2:40" x14ac:dyDescent="0.25">
      <c r="B19">
        <v>17</v>
      </c>
      <c r="C19" s="3">
        <v>41024</v>
      </c>
      <c r="D19" s="3">
        <v>12049</v>
      </c>
      <c r="E19" s="3">
        <v>2488</v>
      </c>
      <c r="F19" s="7"/>
      <c r="H19">
        <v>17</v>
      </c>
      <c r="I19" s="3">
        <v>61956</v>
      </c>
      <c r="J19" s="3">
        <v>17404</v>
      </c>
      <c r="K19" s="4">
        <v>16390</v>
      </c>
      <c r="L19" s="118">
        <f t="shared" si="0"/>
        <v>1.043971277622634</v>
      </c>
      <c r="M19" s="118">
        <f t="shared" si="1"/>
        <v>0.96783453321234503</v>
      </c>
      <c r="N19" s="3"/>
      <c r="P19">
        <v>17</v>
      </c>
      <c r="Q19" s="21">
        <v>70358</v>
      </c>
      <c r="R19" s="22">
        <v>30379</v>
      </c>
      <c r="S19" s="4">
        <v>22053</v>
      </c>
      <c r="V19">
        <v>17</v>
      </c>
      <c r="W19" s="27">
        <v>50819</v>
      </c>
      <c r="X19" s="28">
        <v>25343</v>
      </c>
      <c r="Y19" s="4">
        <v>26781</v>
      </c>
      <c r="AB19">
        <v>17</v>
      </c>
      <c r="AC19" s="3">
        <v>35211</v>
      </c>
      <c r="AD19" s="3">
        <v>20754</v>
      </c>
      <c r="AE19" s="3">
        <v>2629</v>
      </c>
      <c r="AI19" t="s">
        <v>17</v>
      </c>
      <c r="AK19" s="3">
        <f>AVERAGE(AD79,X92,R101,J87,D74)</f>
        <v>26025.454827956986</v>
      </c>
      <c r="AL19" s="3"/>
      <c r="AM19" s="3"/>
      <c r="AN19" s="3"/>
    </row>
    <row r="20" spans="2:40" x14ac:dyDescent="0.25">
      <c r="B20">
        <v>18</v>
      </c>
      <c r="C20" s="3">
        <v>29714</v>
      </c>
      <c r="D20" s="3">
        <v>11460</v>
      </c>
      <c r="E20" s="3">
        <v>3587</v>
      </c>
      <c r="F20" s="6"/>
      <c r="G20" s="7"/>
      <c r="H20">
        <v>18</v>
      </c>
      <c r="I20" s="3">
        <v>58380</v>
      </c>
      <c r="J20" s="3">
        <v>18798</v>
      </c>
      <c r="K20" s="4">
        <v>12783</v>
      </c>
      <c r="L20" s="118">
        <f t="shared" si="0"/>
        <v>0.98371494589078334</v>
      </c>
      <c r="M20" s="118">
        <f t="shared" si="1"/>
        <v>1.0453547204852713</v>
      </c>
      <c r="N20" s="3"/>
      <c r="P20">
        <v>18</v>
      </c>
      <c r="Q20" s="23">
        <v>80717</v>
      </c>
      <c r="R20" s="24">
        <v>30558</v>
      </c>
      <c r="S20" s="4">
        <v>31875</v>
      </c>
      <c r="V20">
        <v>18</v>
      </c>
      <c r="W20" s="23">
        <v>53293</v>
      </c>
      <c r="X20" s="24">
        <v>22641</v>
      </c>
      <c r="Y20" s="4">
        <v>11116</v>
      </c>
      <c r="AB20">
        <v>18</v>
      </c>
      <c r="AC20" s="3">
        <v>31917</v>
      </c>
      <c r="AD20" s="3">
        <v>18817</v>
      </c>
      <c r="AE20" s="3">
        <v>2400</v>
      </c>
      <c r="AI20" t="s">
        <v>18</v>
      </c>
      <c r="AK20" s="3">
        <f>AVERAGE(AD80,X93,R102,J88,D75)</f>
        <v>15124.910078020606</v>
      </c>
      <c r="AL20" s="3"/>
      <c r="AM20" s="3"/>
      <c r="AN20" s="3"/>
    </row>
    <row r="21" spans="2:40" x14ac:dyDescent="0.25">
      <c r="B21">
        <v>19</v>
      </c>
      <c r="C21" s="3">
        <v>47043</v>
      </c>
      <c r="D21" s="3">
        <v>15070</v>
      </c>
      <c r="E21" s="3">
        <v>2176</v>
      </c>
      <c r="F21" s="6"/>
      <c r="H21">
        <v>19</v>
      </c>
      <c r="I21" s="25">
        <v>69912</v>
      </c>
      <c r="J21" s="26">
        <v>21569</v>
      </c>
      <c r="K21" s="3">
        <v>3331</v>
      </c>
      <c r="L21" s="118">
        <f t="shared" si="0"/>
        <v>1.178031505603228</v>
      </c>
      <c r="M21" s="118">
        <f t="shared" si="1"/>
        <v>1.199449726893649</v>
      </c>
      <c r="N21" s="3"/>
      <c r="P21">
        <v>19</v>
      </c>
      <c r="Q21" s="3">
        <v>49308</v>
      </c>
      <c r="R21" s="3">
        <v>14985</v>
      </c>
      <c r="S21" s="6">
        <v>16400</v>
      </c>
      <c r="V21">
        <v>19</v>
      </c>
      <c r="W21" s="3">
        <v>33392</v>
      </c>
      <c r="X21" s="3">
        <v>20958</v>
      </c>
      <c r="Y21" s="3">
        <v>3596</v>
      </c>
      <c r="AB21">
        <v>19</v>
      </c>
      <c r="AC21" s="21">
        <v>63902</v>
      </c>
      <c r="AD21" s="22">
        <v>34348</v>
      </c>
      <c r="AE21" s="3">
        <v>3582</v>
      </c>
      <c r="AI21" s="3"/>
      <c r="AJ21" s="3"/>
      <c r="AK21" s="3" t="s">
        <v>27</v>
      </c>
      <c r="AL21" s="3" t="s">
        <v>28</v>
      </c>
      <c r="AM21" s="3" t="s">
        <v>29</v>
      </c>
      <c r="AN21" s="3"/>
    </row>
    <row r="22" spans="2:40" x14ac:dyDescent="0.25">
      <c r="B22">
        <v>20</v>
      </c>
      <c r="C22" s="3">
        <v>83119</v>
      </c>
      <c r="D22" s="3">
        <v>17390</v>
      </c>
      <c r="E22" s="3">
        <v>3297</v>
      </c>
      <c r="F22" s="6"/>
      <c r="H22">
        <v>20</v>
      </c>
      <c r="I22" s="3">
        <v>28698</v>
      </c>
      <c r="J22" s="3">
        <v>11326</v>
      </c>
      <c r="K22" s="3">
        <v>2895</v>
      </c>
      <c r="L22" s="118">
        <f t="shared" si="0"/>
        <v>0.48356717227087531</v>
      </c>
      <c r="M22" s="118">
        <f t="shared" si="1"/>
        <v>0.62983761911991609</v>
      </c>
      <c r="N22" s="3"/>
      <c r="P22">
        <v>20</v>
      </c>
      <c r="Q22" s="3">
        <v>47485</v>
      </c>
      <c r="R22" s="3">
        <v>16121</v>
      </c>
      <c r="S22" s="6">
        <v>15630</v>
      </c>
      <c r="V22">
        <v>20</v>
      </c>
      <c r="W22" s="3">
        <v>20618</v>
      </c>
      <c r="X22" s="3">
        <v>9683</v>
      </c>
      <c r="Y22" s="3">
        <v>2756</v>
      </c>
      <c r="AB22">
        <v>20</v>
      </c>
      <c r="AC22" s="23">
        <v>61811</v>
      </c>
      <c r="AD22" s="24">
        <v>31744</v>
      </c>
      <c r="AE22" s="3">
        <v>3756</v>
      </c>
      <c r="AI22" s="10" t="s">
        <v>20</v>
      </c>
      <c r="AJ22" s="10">
        <f>AVERAGE(C79,I91,Q105,W95,AC82)</f>
        <v>30.4</v>
      </c>
      <c r="AK22" s="10">
        <f>AVERAGE(D79,J91,R105,X95,AD82)</f>
        <v>44.390540888127809</v>
      </c>
      <c r="AL22" s="10">
        <f>AVERAGE(E79,K91,S105,Y95,AE82)</f>
        <v>100</v>
      </c>
      <c r="AM22" s="10"/>
      <c r="AN22" s="3"/>
    </row>
    <row r="23" spans="2:40" x14ac:dyDescent="0.25">
      <c r="B23">
        <v>21</v>
      </c>
      <c r="C23" s="3">
        <v>69661</v>
      </c>
      <c r="D23" s="3">
        <v>15612</v>
      </c>
      <c r="E23" s="3">
        <v>2678</v>
      </c>
      <c r="F23" s="6"/>
      <c r="H23">
        <v>21</v>
      </c>
      <c r="I23" s="3">
        <v>41921</v>
      </c>
      <c r="J23" s="3">
        <v>20629</v>
      </c>
      <c r="K23" s="3">
        <v>3657</v>
      </c>
      <c r="L23" s="118">
        <f t="shared" si="0"/>
        <v>0.70637742800081416</v>
      </c>
      <c r="M23" s="118">
        <f t="shared" si="1"/>
        <v>1.1471764298803415</v>
      </c>
      <c r="N23" s="3"/>
      <c r="P23">
        <v>21</v>
      </c>
      <c r="Q23" s="3">
        <v>34044</v>
      </c>
      <c r="R23" s="3">
        <v>18811</v>
      </c>
      <c r="S23" s="3">
        <v>4189</v>
      </c>
      <c r="V23">
        <v>21</v>
      </c>
      <c r="W23" s="3">
        <v>31800</v>
      </c>
      <c r="X23" s="3">
        <v>21933</v>
      </c>
      <c r="Y23" s="3">
        <v>3044</v>
      </c>
      <c r="AB23">
        <v>21</v>
      </c>
      <c r="AC23" s="3">
        <v>30658</v>
      </c>
      <c r="AD23" s="3">
        <v>15644</v>
      </c>
      <c r="AE23" s="3">
        <v>2507</v>
      </c>
      <c r="AI23" s="9" t="s">
        <v>21</v>
      </c>
      <c r="AJ23" s="8">
        <f t="shared" ref="AJ23:AK28" si="5">AVERAGE(C80,I92,Q106,W96,AC83)</f>
        <v>30.6</v>
      </c>
      <c r="AK23" s="8">
        <f t="shared" si="5"/>
        <v>44.680331140262098</v>
      </c>
      <c r="AL23" s="8"/>
      <c r="AM23" s="8">
        <f>AVERAGE(F80,L92,T106,Z96,AF83)</f>
        <v>100</v>
      </c>
      <c r="AN23" s="3"/>
    </row>
    <row r="24" spans="2:40" x14ac:dyDescent="0.25">
      <c r="B24">
        <v>22</v>
      </c>
      <c r="C24" s="3">
        <v>49571</v>
      </c>
      <c r="D24" s="3">
        <v>10152</v>
      </c>
      <c r="E24" s="3">
        <v>3411</v>
      </c>
      <c r="F24" s="6"/>
      <c r="H24">
        <v>22</v>
      </c>
      <c r="I24" s="3">
        <v>44287</v>
      </c>
      <c r="J24" s="3">
        <v>17806</v>
      </c>
      <c r="K24" s="3">
        <v>4500</v>
      </c>
      <c r="L24" s="118">
        <f t="shared" si="0"/>
        <v>0.74624501213883387</v>
      </c>
      <c r="M24" s="118">
        <f t="shared" si="1"/>
        <v>0.99018970916909987</v>
      </c>
      <c r="N24" s="3"/>
      <c r="P24">
        <v>22</v>
      </c>
      <c r="Q24" s="3">
        <v>25115</v>
      </c>
      <c r="R24" s="3">
        <v>10346</v>
      </c>
      <c r="S24" s="3">
        <v>3712</v>
      </c>
      <c r="V24">
        <v>22</v>
      </c>
      <c r="W24" s="3">
        <v>31512</v>
      </c>
      <c r="X24" s="3">
        <v>18939</v>
      </c>
      <c r="Y24" s="3">
        <v>3195</v>
      </c>
      <c r="AB24">
        <v>22</v>
      </c>
      <c r="AC24" s="3">
        <v>32569</v>
      </c>
      <c r="AD24" s="3">
        <v>17593</v>
      </c>
      <c r="AE24" s="3">
        <v>3260</v>
      </c>
      <c r="AI24" s="20" t="s">
        <v>22</v>
      </c>
      <c r="AJ24" s="10">
        <f t="shared" si="5"/>
        <v>5</v>
      </c>
      <c r="AK24" s="10">
        <f t="shared" si="5"/>
        <v>7.4022123714478312</v>
      </c>
      <c r="AL24" s="10">
        <f>AVERAGE(E81,K93,S107,Y97,AE84)</f>
        <v>16.601164146746193</v>
      </c>
      <c r="AM24" s="10"/>
    </row>
    <row r="25" spans="2:40" x14ac:dyDescent="0.25">
      <c r="B25">
        <v>23</v>
      </c>
      <c r="C25" s="3">
        <v>67417</v>
      </c>
      <c r="D25" s="3">
        <v>17196</v>
      </c>
      <c r="E25" s="3">
        <v>4049</v>
      </c>
      <c r="F25" s="6"/>
      <c r="H25">
        <v>23</v>
      </c>
      <c r="I25" s="3">
        <v>56248</v>
      </c>
      <c r="J25" s="3">
        <v>19966</v>
      </c>
      <c r="K25" s="3">
        <v>2869</v>
      </c>
      <c r="L25" s="118">
        <f t="shared" si="0"/>
        <v>0.9477903096345458</v>
      </c>
      <c r="M25" s="118">
        <f t="shared" si="1"/>
        <v>1.1103070725188278</v>
      </c>
      <c r="N25" s="3"/>
      <c r="P25">
        <v>23</v>
      </c>
      <c r="Q25" s="3">
        <v>46906</v>
      </c>
      <c r="R25" s="3">
        <v>28906</v>
      </c>
      <c r="S25" s="3">
        <v>2646</v>
      </c>
      <c r="V25">
        <v>23</v>
      </c>
      <c r="W25" s="21">
        <v>53483</v>
      </c>
      <c r="X25" s="22">
        <v>27814</v>
      </c>
      <c r="Y25" s="3">
        <v>3731</v>
      </c>
      <c r="AB25">
        <v>23</v>
      </c>
      <c r="AC25" s="25">
        <v>45489</v>
      </c>
      <c r="AD25" s="26">
        <v>23132</v>
      </c>
      <c r="AE25" s="3">
        <v>3230</v>
      </c>
      <c r="AI25" s="9" t="s">
        <v>23</v>
      </c>
      <c r="AJ25" s="8">
        <f t="shared" si="5"/>
        <v>5.4</v>
      </c>
      <c r="AK25" s="8">
        <f t="shared" si="5"/>
        <v>8.106744062913716</v>
      </c>
      <c r="AL25" s="8"/>
      <c r="AM25" s="8">
        <f>AVERAGE(F82,L94,T108,Z98,AF85)</f>
        <v>18.256218106218107</v>
      </c>
    </row>
    <row r="26" spans="2:40" x14ac:dyDescent="0.25">
      <c r="B26">
        <v>24</v>
      </c>
      <c r="C26" s="3">
        <v>50238</v>
      </c>
      <c r="D26" s="3">
        <v>9365</v>
      </c>
      <c r="E26" s="3">
        <v>3730</v>
      </c>
      <c r="F26" s="6"/>
      <c r="H26">
        <v>24</v>
      </c>
      <c r="I26" s="3">
        <v>47096</v>
      </c>
      <c r="J26" s="3">
        <v>16957</v>
      </c>
      <c r="K26" s="3">
        <v>4819</v>
      </c>
      <c r="L26" s="118">
        <f t="shared" si="0"/>
        <v>0.79357723692484294</v>
      </c>
      <c r="M26" s="118">
        <f t="shared" si="1"/>
        <v>0.94297691218580404</v>
      </c>
      <c r="N26" s="3"/>
      <c r="P26">
        <v>24</v>
      </c>
      <c r="Q26" s="25">
        <v>68951</v>
      </c>
      <c r="R26" s="26">
        <v>32631</v>
      </c>
      <c r="S26" s="3">
        <v>3864</v>
      </c>
      <c r="V26">
        <v>24</v>
      </c>
      <c r="W26" s="27">
        <v>68246</v>
      </c>
      <c r="X26" s="28">
        <v>35412</v>
      </c>
      <c r="Y26" s="3">
        <v>4167</v>
      </c>
      <c r="AB26">
        <v>24</v>
      </c>
      <c r="AC26" s="3">
        <v>31183</v>
      </c>
      <c r="AD26" s="3">
        <v>15100</v>
      </c>
      <c r="AE26" s="3">
        <v>2717</v>
      </c>
      <c r="AI26" s="7" t="s">
        <v>24</v>
      </c>
      <c r="AJ26" s="6">
        <f t="shared" si="5"/>
        <v>38.200000000000003</v>
      </c>
      <c r="AK26" s="6">
        <f t="shared" si="5"/>
        <v>55.609459111872184</v>
      </c>
      <c r="AL26" s="6"/>
      <c r="AM26" s="6"/>
    </row>
    <row r="27" spans="2:40" x14ac:dyDescent="0.25">
      <c r="B27">
        <v>25</v>
      </c>
      <c r="C27" s="3">
        <v>56557</v>
      </c>
      <c r="D27" s="3">
        <v>12349</v>
      </c>
      <c r="E27" s="3">
        <v>5799</v>
      </c>
      <c r="F27" s="6"/>
      <c r="H27">
        <v>25</v>
      </c>
      <c r="I27" s="3">
        <v>33407</v>
      </c>
      <c r="J27" s="3">
        <v>10537</v>
      </c>
      <c r="K27" s="3">
        <v>3317</v>
      </c>
      <c r="L27" s="118">
        <f t="shared" si="0"/>
        <v>0.56291478584058585</v>
      </c>
      <c r="M27" s="118">
        <f t="shared" si="1"/>
        <v>0.58596141556300152</v>
      </c>
      <c r="N27" s="3"/>
      <c r="P27">
        <v>25</v>
      </c>
      <c r="Q27" s="3">
        <v>32005</v>
      </c>
      <c r="R27" s="3">
        <v>17508</v>
      </c>
      <c r="S27" s="3">
        <v>4503</v>
      </c>
      <c r="V27">
        <v>25</v>
      </c>
      <c r="W27" s="23">
        <v>84708</v>
      </c>
      <c r="X27" s="24">
        <v>51396</v>
      </c>
      <c r="Y27" s="3">
        <v>4415</v>
      </c>
      <c r="AB27">
        <v>25</v>
      </c>
      <c r="AC27" s="3">
        <v>38833</v>
      </c>
      <c r="AD27" s="3">
        <v>12771</v>
      </c>
      <c r="AE27" s="3">
        <v>4302</v>
      </c>
      <c r="AI27" s="7" t="s">
        <v>25</v>
      </c>
      <c r="AJ27" s="6">
        <f t="shared" si="5"/>
        <v>37.799999999999997</v>
      </c>
      <c r="AK27" s="6">
        <f t="shared" si="5"/>
        <v>55.049398589467636</v>
      </c>
      <c r="AL27" s="6"/>
      <c r="AM27" s="6"/>
    </row>
    <row r="28" spans="2:40" x14ac:dyDescent="0.25">
      <c r="B28">
        <v>26</v>
      </c>
      <c r="C28" s="25">
        <v>72680</v>
      </c>
      <c r="D28" s="26">
        <v>20686</v>
      </c>
      <c r="E28" s="3">
        <v>4285</v>
      </c>
      <c r="F28" s="6"/>
      <c r="H28">
        <v>26</v>
      </c>
      <c r="I28" s="3">
        <v>32762</v>
      </c>
      <c r="J28" s="3">
        <v>11396</v>
      </c>
      <c r="K28" s="3">
        <v>5337</v>
      </c>
      <c r="L28" s="118">
        <f t="shared" si="0"/>
        <v>0.55204640385875037</v>
      </c>
      <c r="M28" s="118">
        <f t="shared" si="1"/>
        <v>0.63373031145069425</v>
      </c>
      <c r="N28" s="3"/>
      <c r="P28">
        <v>26</v>
      </c>
      <c r="Q28" s="3">
        <v>41680</v>
      </c>
      <c r="R28" s="3">
        <v>20019</v>
      </c>
      <c r="S28" s="3">
        <v>5670</v>
      </c>
      <c r="V28">
        <v>26</v>
      </c>
      <c r="W28" s="3">
        <v>31907</v>
      </c>
      <c r="X28" s="3">
        <v>17337</v>
      </c>
      <c r="Y28" s="3">
        <v>3140</v>
      </c>
      <c r="AB28">
        <v>26</v>
      </c>
      <c r="AC28" s="3">
        <v>32789</v>
      </c>
      <c r="AD28" s="3">
        <v>19972</v>
      </c>
      <c r="AE28" s="3">
        <v>4324</v>
      </c>
      <c r="AI28" s="36" t="s">
        <v>26</v>
      </c>
      <c r="AJ28" s="33">
        <f t="shared" si="5"/>
        <v>25.4</v>
      </c>
      <c r="AK28" s="33">
        <f t="shared" si="5"/>
        <v>36.988328516679985</v>
      </c>
      <c r="AL28" s="33">
        <f>AVERAGE(E85,K97,S111,Y101,AE88)</f>
        <v>83.3988358532538</v>
      </c>
      <c r="AM28" s="37">
        <f>AVERAGE(F85,L97,T111,Z101,AF88)</f>
        <v>82.772472122472124</v>
      </c>
    </row>
    <row r="29" spans="2:40" x14ac:dyDescent="0.25">
      <c r="B29">
        <v>27</v>
      </c>
      <c r="C29" s="3">
        <v>43829</v>
      </c>
      <c r="D29" s="3">
        <v>10537</v>
      </c>
      <c r="E29" s="3">
        <v>2561</v>
      </c>
      <c r="F29" s="6"/>
      <c r="H29">
        <v>27</v>
      </c>
      <c r="I29" s="3">
        <v>29386</v>
      </c>
      <c r="J29" s="3">
        <v>12693</v>
      </c>
      <c r="K29" s="3">
        <v>3485</v>
      </c>
      <c r="L29" s="118">
        <f t="shared" si="0"/>
        <v>0.49516011305149982</v>
      </c>
      <c r="M29" s="118">
        <f t="shared" si="1"/>
        <v>0.7058563393509707</v>
      </c>
      <c r="N29" s="3"/>
      <c r="P29">
        <v>27</v>
      </c>
      <c r="Q29" s="3">
        <v>23418</v>
      </c>
      <c r="R29" s="3">
        <v>11418</v>
      </c>
      <c r="S29" s="3">
        <v>3091</v>
      </c>
      <c r="V29">
        <v>27</v>
      </c>
      <c r="W29" s="3">
        <v>45571</v>
      </c>
      <c r="X29" s="3">
        <v>21857</v>
      </c>
      <c r="Y29" s="3">
        <v>3321</v>
      </c>
      <c r="AB29">
        <v>27</v>
      </c>
      <c r="AC29" s="25">
        <v>72062</v>
      </c>
      <c r="AD29" s="26">
        <v>53954</v>
      </c>
      <c r="AE29" s="3">
        <v>4546</v>
      </c>
    </row>
    <row r="30" spans="2:40" x14ac:dyDescent="0.25">
      <c r="B30">
        <v>28</v>
      </c>
      <c r="C30" s="21">
        <v>72839</v>
      </c>
      <c r="D30" s="22">
        <v>33172</v>
      </c>
      <c r="E30" s="3">
        <v>2270</v>
      </c>
      <c r="F30" s="6"/>
      <c r="H30">
        <v>28</v>
      </c>
      <c r="I30" s="25">
        <v>73111</v>
      </c>
      <c r="J30" s="26">
        <v>27874</v>
      </c>
      <c r="K30" s="3">
        <v>4548</v>
      </c>
      <c r="L30" s="118">
        <f t="shared" si="0"/>
        <v>1.2319353101922073</v>
      </c>
      <c r="M30" s="118">
        <f t="shared" si="1"/>
        <v>1.5500700861158874</v>
      </c>
      <c r="N30" s="3"/>
      <c r="P30">
        <v>28</v>
      </c>
      <c r="Q30" s="3">
        <v>36283</v>
      </c>
      <c r="R30" s="3">
        <v>17883</v>
      </c>
      <c r="S30" s="3">
        <v>3750</v>
      </c>
      <c r="V30">
        <v>28</v>
      </c>
      <c r="W30" s="3">
        <v>29978</v>
      </c>
      <c r="X30" s="3">
        <v>14511</v>
      </c>
      <c r="Y30" s="3">
        <v>3511</v>
      </c>
      <c r="AB30">
        <v>28</v>
      </c>
      <c r="AC30" s="3">
        <v>39636</v>
      </c>
      <c r="AD30" s="3">
        <v>18527</v>
      </c>
      <c r="AE30" s="3">
        <v>4442</v>
      </c>
    </row>
    <row r="31" spans="2:40" x14ac:dyDescent="0.25">
      <c r="B31">
        <v>29</v>
      </c>
      <c r="C31" s="23">
        <v>72450</v>
      </c>
      <c r="D31" s="24">
        <v>21514</v>
      </c>
      <c r="E31" s="3">
        <v>2193</v>
      </c>
      <c r="F31" s="6"/>
      <c r="H31">
        <v>29</v>
      </c>
      <c r="I31" s="3">
        <v>26571</v>
      </c>
      <c r="J31" s="3">
        <v>10078</v>
      </c>
      <c r="K31" s="3">
        <v>2597</v>
      </c>
      <c r="L31" s="118">
        <f t="shared" si="0"/>
        <v>0.44772678703775276</v>
      </c>
      <c r="M31" s="118">
        <f t="shared" si="1"/>
        <v>0.56043647585118439</v>
      </c>
      <c r="N31" s="3"/>
      <c r="P31">
        <v>29</v>
      </c>
      <c r="Q31" s="3">
        <v>22223</v>
      </c>
      <c r="R31" s="3">
        <v>13845</v>
      </c>
      <c r="S31" s="3">
        <v>2835</v>
      </c>
      <c r="V31">
        <v>29</v>
      </c>
      <c r="W31" s="25">
        <v>49333</v>
      </c>
      <c r="X31" s="26">
        <v>34333</v>
      </c>
      <c r="Y31" s="3">
        <v>3395</v>
      </c>
      <c r="AB31">
        <v>29</v>
      </c>
      <c r="AC31" s="3">
        <v>37976</v>
      </c>
      <c r="AD31" s="3">
        <v>14609</v>
      </c>
      <c r="AE31" s="3">
        <v>9941</v>
      </c>
    </row>
    <row r="32" spans="2:40" x14ac:dyDescent="0.25">
      <c r="B32">
        <v>30</v>
      </c>
      <c r="C32" s="3">
        <v>54991</v>
      </c>
      <c r="D32" s="3">
        <v>11420</v>
      </c>
      <c r="E32" s="3">
        <v>3455</v>
      </c>
      <c r="F32" s="6"/>
      <c r="H32">
        <v>30</v>
      </c>
      <c r="I32" s="21">
        <v>81766</v>
      </c>
      <c r="J32" s="22">
        <v>23383</v>
      </c>
      <c r="K32" s="3">
        <v>5596</v>
      </c>
      <c r="L32" s="118">
        <f t="shared" si="0"/>
        <v>1.3777738312042787</v>
      </c>
      <c r="M32" s="118">
        <f t="shared" si="1"/>
        <v>1.3003260681512447</v>
      </c>
      <c r="N32" s="3"/>
      <c r="P32">
        <v>30</v>
      </c>
      <c r="Q32" s="21">
        <v>71346</v>
      </c>
      <c r="R32" s="22">
        <v>40579</v>
      </c>
      <c r="S32" s="3">
        <v>3206</v>
      </c>
      <c r="V32">
        <v>30</v>
      </c>
      <c r="W32" s="3">
        <v>41682</v>
      </c>
      <c r="X32" s="3">
        <v>24847</v>
      </c>
      <c r="Y32" s="3">
        <v>3471</v>
      </c>
      <c r="AB32">
        <v>30</v>
      </c>
      <c r="AC32" s="25">
        <v>57147</v>
      </c>
      <c r="AD32" s="26">
        <v>25632</v>
      </c>
      <c r="AE32" s="3">
        <v>3566</v>
      </c>
      <c r="AI32" s="81" t="s">
        <v>46</v>
      </c>
      <c r="AJ32" s="73" t="s">
        <v>1</v>
      </c>
      <c r="AK32" s="73" t="s">
        <v>2</v>
      </c>
      <c r="AL32" s="73" t="s">
        <v>39</v>
      </c>
      <c r="AM32" s="74" t="s">
        <v>40</v>
      </c>
    </row>
    <row r="33" spans="2:39" x14ac:dyDescent="0.25">
      <c r="B33">
        <v>31</v>
      </c>
      <c r="C33" s="3">
        <v>60213</v>
      </c>
      <c r="D33" s="3">
        <v>20157</v>
      </c>
      <c r="E33" s="3">
        <v>2449</v>
      </c>
      <c r="F33" s="6"/>
      <c r="H33">
        <v>31</v>
      </c>
      <c r="I33" s="23">
        <v>74333</v>
      </c>
      <c r="J33" s="24">
        <v>26038</v>
      </c>
      <c r="K33" s="3">
        <v>3923</v>
      </c>
      <c r="L33" s="118">
        <f t="shared" si="0"/>
        <v>1.2525262602415141</v>
      </c>
      <c r="M33" s="118">
        <f t="shared" si="1"/>
        <v>1.4479703272686186</v>
      </c>
      <c r="N33" s="3"/>
      <c r="P33">
        <v>31</v>
      </c>
      <c r="Q33" s="23">
        <v>85720</v>
      </c>
      <c r="R33" s="24">
        <v>28552</v>
      </c>
      <c r="S33" s="3">
        <v>4552</v>
      </c>
      <c r="V33">
        <v>31</v>
      </c>
      <c r="W33" s="25">
        <v>76608</v>
      </c>
      <c r="X33" s="26">
        <v>37545</v>
      </c>
      <c r="Y33" s="3">
        <v>4818</v>
      </c>
      <c r="AB33">
        <v>31</v>
      </c>
      <c r="AC33" s="3">
        <v>32266</v>
      </c>
      <c r="AD33" s="3">
        <v>16625</v>
      </c>
      <c r="AE33" s="3">
        <v>3367</v>
      </c>
      <c r="AI33" s="75" t="s">
        <v>37</v>
      </c>
      <c r="AJ33" s="38">
        <f>AVERAGE(AC91,W104,Q114,I100,C90)</f>
        <v>20688.400000000001</v>
      </c>
      <c r="AK33" s="38">
        <f>AVERAGE(AD91,X105,R114,J100,D90)</f>
        <v>15047</v>
      </c>
      <c r="AL33" s="70">
        <f>AVERAGE(AE91,Y104,S114,K100,E90)</f>
        <v>0.47687945919593561</v>
      </c>
      <c r="AM33" s="98">
        <f>AVERAGE(AF91,Z104,T114,L100,F90)</f>
        <v>0.38621182923373631</v>
      </c>
    </row>
    <row r="34" spans="2:39" x14ac:dyDescent="0.25">
      <c r="B34">
        <v>32</v>
      </c>
      <c r="C34" s="3">
        <v>50772</v>
      </c>
      <c r="D34" s="3">
        <v>14327</v>
      </c>
      <c r="E34" s="3">
        <v>2881</v>
      </c>
      <c r="F34" s="6"/>
      <c r="H34">
        <v>32</v>
      </c>
      <c r="I34" s="3">
        <v>43121</v>
      </c>
      <c r="J34" s="3">
        <v>13364</v>
      </c>
      <c r="K34" s="3">
        <v>2674</v>
      </c>
      <c r="L34" s="118">
        <f t="shared" si="0"/>
        <v>0.72659767354841509</v>
      </c>
      <c r="M34" s="118">
        <f t="shared" si="1"/>
        <v>0.74317057583600199</v>
      </c>
      <c r="N34" s="3"/>
      <c r="P34">
        <v>32</v>
      </c>
      <c r="Q34" s="3">
        <v>17633</v>
      </c>
      <c r="R34" s="3">
        <v>11211</v>
      </c>
      <c r="S34" s="3">
        <v>3275</v>
      </c>
      <c r="V34">
        <v>32</v>
      </c>
      <c r="W34" s="3">
        <v>40716</v>
      </c>
      <c r="X34" s="3">
        <v>21517</v>
      </c>
      <c r="Y34" s="3">
        <v>3440</v>
      </c>
      <c r="AB34">
        <v>32</v>
      </c>
      <c r="AC34" s="21">
        <v>63719</v>
      </c>
      <c r="AD34" s="22">
        <v>42347</v>
      </c>
      <c r="AE34" s="3">
        <v>4</v>
      </c>
      <c r="AI34" s="75" t="s">
        <v>38</v>
      </c>
      <c r="AJ34" s="38">
        <f>AVERAGE(AC92,W105,Q115,I101,C91)</f>
        <v>106683.2</v>
      </c>
      <c r="AK34" s="38">
        <f>AVERAGE(AD92,X104,R115,J101,D91)</f>
        <v>36346.800000000003</v>
      </c>
      <c r="AL34" s="70">
        <f t="shared" ref="AL34" si="6">AVERAGE(AE92,Y105,S115,K101,E91)</f>
        <v>2.3861940425407555</v>
      </c>
      <c r="AM34" s="98">
        <f t="shared" ref="AM34" si="7">AVERAGE(AF92,Z105,T115,L101,F91)</f>
        <v>2.6052657667053882</v>
      </c>
    </row>
    <row r="35" spans="2:39" x14ac:dyDescent="0.25">
      <c r="B35">
        <v>33</v>
      </c>
      <c r="C35" s="25">
        <v>82531</v>
      </c>
      <c r="D35" s="26">
        <v>19730</v>
      </c>
      <c r="E35" s="3">
        <v>2673</v>
      </c>
      <c r="F35" s="6"/>
      <c r="H35">
        <v>33</v>
      </c>
      <c r="I35" s="3">
        <v>35981</v>
      </c>
      <c r="J35" s="3">
        <v>10735</v>
      </c>
      <c r="K35" s="3">
        <v>3703</v>
      </c>
      <c r="L35" s="118">
        <f t="shared" si="0"/>
        <v>0.60628721254018969</v>
      </c>
      <c r="M35" s="118">
        <f t="shared" si="1"/>
        <v>0.59697217387005996</v>
      </c>
      <c r="N35" s="3"/>
      <c r="P35">
        <v>33</v>
      </c>
      <c r="Q35" s="3">
        <v>31289</v>
      </c>
      <c r="R35" s="3">
        <v>14868</v>
      </c>
      <c r="S35" s="3">
        <v>3754</v>
      </c>
      <c r="V35">
        <v>33</v>
      </c>
      <c r="W35" s="3">
        <v>37491</v>
      </c>
      <c r="X35" s="3">
        <v>25038</v>
      </c>
      <c r="Y35" s="3">
        <v>2981</v>
      </c>
      <c r="AB35">
        <v>33</v>
      </c>
      <c r="AC35" s="23">
        <v>64316</v>
      </c>
      <c r="AD35" s="24">
        <v>32702</v>
      </c>
      <c r="AE35" s="3">
        <v>4088</v>
      </c>
      <c r="AI35" s="77" t="s">
        <v>4</v>
      </c>
      <c r="AJ35" s="78">
        <f>AVERAGE(AC93,W106,Q116,I102,C92)</f>
        <v>46115.338441958229</v>
      </c>
      <c r="AK35" s="78">
        <f t="shared" ref="AK35" si="8">AVERAGE(AD93,X106,R116,J102,D92)</f>
        <v>17556.840063248455</v>
      </c>
      <c r="AL35" s="78"/>
      <c r="AM35" s="82"/>
    </row>
    <row r="36" spans="2:39" x14ac:dyDescent="0.25">
      <c r="B36">
        <v>34</v>
      </c>
      <c r="C36" s="3">
        <v>63610</v>
      </c>
      <c r="D36" s="3">
        <v>19837</v>
      </c>
      <c r="E36" s="3">
        <v>2532</v>
      </c>
      <c r="F36" s="6"/>
      <c r="H36">
        <v>34</v>
      </c>
      <c r="I36" s="3">
        <v>52422</v>
      </c>
      <c r="J36" s="3">
        <v>15560</v>
      </c>
      <c r="K36" s="3">
        <v>4385</v>
      </c>
      <c r="L36" s="118">
        <f t="shared" si="0"/>
        <v>0.88332142674694492</v>
      </c>
      <c r="M36" s="118">
        <f t="shared" si="1"/>
        <v>0.86528989524155875</v>
      </c>
      <c r="N36" s="3"/>
      <c r="P36">
        <v>34</v>
      </c>
      <c r="Q36" s="3">
        <v>30646</v>
      </c>
      <c r="R36" s="3">
        <v>13769</v>
      </c>
      <c r="S36" s="3">
        <v>3738</v>
      </c>
      <c r="V36">
        <v>34</v>
      </c>
      <c r="W36" s="3">
        <v>28915</v>
      </c>
      <c r="X36" s="3">
        <v>13573</v>
      </c>
      <c r="Y36" s="3">
        <v>2512</v>
      </c>
      <c r="AB36">
        <v>34</v>
      </c>
      <c r="AC36" s="3">
        <v>27253</v>
      </c>
      <c r="AD36" s="3">
        <v>13933</v>
      </c>
      <c r="AE36" s="3">
        <v>3140</v>
      </c>
    </row>
    <row r="37" spans="2:39" x14ac:dyDescent="0.25">
      <c r="B37">
        <v>35</v>
      </c>
      <c r="C37" s="3">
        <v>81933</v>
      </c>
      <c r="D37" s="3">
        <v>7659</v>
      </c>
      <c r="E37" s="3">
        <v>2615</v>
      </c>
      <c r="F37" s="6"/>
      <c r="H37">
        <v>35</v>
      </c>
      <c r="I37" s="25">
        <v>93953</v>
      </c>
      <c r="J37" s="26">
        <v>33760</v>
      </c>
      <c r="K37" s="3">
        <v>3496</v>
      </c>
      <c r="L37" s="118">
        <f t="shared" si="0"/>
        <v>1.5831272749447889</v>
      </c>
      <c r="M37" s="118">
        <f t="shared" si="1"/>
        <v>1.8773899012438959</v>
      </c>
      <c r="N37" s="3"/>
      <c r="P37">
        <v>35</v>
      </c>
      <c r="Q37" s="3">
        <v>34824</v>
      </c>
      <c r="R37" s="3">
        <v>12706</v>
      </c>
      <c r="S37" s="3">
        <v>5779</v>
      </c>
      <c r="V37">
        <v>35</v>
      </c>
      <c r="W37" s="3">
        <v>24771</v>
      </c>
      <c r="X37" s="3">
        <v>16257</v>
      </c>
      <c r="Y37" s="3">
        <v>5043</v>
      </c>
      <c r="AB37">
        <v>35</v>
      </c>
      <c r="AC37" s="25">
        <v>40685</v>
      </c>
      <c r="AD37" s="26">
        <v>22039</v>
      </c>
      <c r="AE37" s="3">
        <v>3858</v>
      </c>
      <c r="AI37" s="81" t="s">
        <v>47</v>
      </c>
      <c r="AJ37" s="73" t="s">
        <v>39</v>
      </c>
      <c r="AK37" s="74" t="s">
        <v>40</v>
      </c>
      <c r="AL37" s="39"/>
      <c r="AM37" s="39"/>
    </row>
    <row r="38" spans="2:39" x14ac:dyDescent="0.25">
      <c r="B38">
        <v>36</v>
      </c>
      <c r="C38" s="3">
        <v>68650</v>
      </c>
      <c r="D38" s="3">
        <v>21078</v>
      </c>
      <c r="E38" s="3">
        <v>3612</v>
      </c>
      <c r="F38" s="6"/>
      <c r="H38">
        <v>36</v>
      </c>
      <c r="I38" s="3">
        <v>48884</v>
      </c>
      <c r="J38" s="3">
        <v>19083</v>
      </c>
      <c r="K38" s="3">
        <v>3347</v>
      </c>
      <c r="L38" s="118">
        <f t="shared" si="0"/>
        <v>0.82370540279076832</v>
      </c>
      <c r="M38" s="118">
        <f t="shared" si="1"/>
        <v>1.0612035392605825</v>
      </c>
      <c r="N38" s="3"/>
      <c r="P38">
        <v>36</v>
      </c>
      <c r="Q38" s="3">
        <v>29374</v>
      </c>
      <c r="R38" s="3">
        <v>18293</v>
      </c>
      <c r="S38" s="3">
        <v>3301</v>
      </c>
      <c r="V38">
        <v>36</v>
      </c>
      <c r="W38" s="3">
        <v>40965</v>
      </c>
      <c r="X38" s="3">
        <v>28421</v>
      </c>
      <c r="Y38" s="3">
        <v>3947</v>
      </c>
      <c r="AB38">
        <v>36</v>
      </c>
      <c r="AC38" s="3">
        <v>35026</v>
      </c>
      <c r="AD38" s="3">
        <v>18071</v>
      </c>
      <c r="AE38" s="3">
        <v>8697</v>
      </c>
      <c r="AI38" s="75" t="s">
        <v>37</v>
      </c>
      <c r="AJ38">
        <v>0.34038491756339151</v>
      </c>
      <c r="AK38">
        <v>0.23626938761581381</v>
      </c>
      <c r="AL38" s="39"/>
      <c r="AM38" s="39"/>
    </row>
    <row r="39" spans="2:39" x14ac:dyDescent="0.25">
      <c r="B39">
        <v>37</v>
      </c>
      <c r="C39" s="3">
        <v>55523</v>
      </c>
      <c r="D39" s="3">
        <v>19614</v>
      </c>
      <c r="E39" s="3">
        <v>2773</v>
      </c>
      <c r="F39" s="6"/>
      <c r="H39">
        <v>37</v>
      </c>
      <c r="I39" s="3">
        <v>53210</v>
      </c>
      <c r="J39" s="3">
        <v>17383</v>
      </c>
      <c r="K39" s="3">
        <v>3111</v>
      </c>
      <c r="L39" s="118">
        <f t="shared" si="0"/>
        <v>0.89659938798986949</v>
      </c>
      <c r="M39" s="118">
        <f t="shared" si="1"/>
        <v>0.9666667255131115</v>
      </c>
      <c r="N39" s="3"/>
      <c r="P39">
        <v>37</v>
      </c>
      <c r="Q39" s="3">
        <v>47415</v>
      </c>
      <c r="R39" s="3">
        <v>27271</v>
      </c>
      <c r="S39" s="3">
        <v>3814</v>
      </c>
      <c r="V39">
        <v>37</v>
      </c>
      <c r="W39" s="3">
        <v>27655</v>
      </c>
      <c r="X39" s="3">
        <v>23362</v>
      </c>
      <c r="Y39" s="3">
        <v>6759</v>
      </c>
      <c r="AB39">
        <v>37</v>
      </c>
      <c r="AC39" s="3">
        <v>33242</v>
      </c>
      <c r="AD39" s="3">
        <v>17308</v>
      </c>
      <c r="AE39" s="3">
        <v>3167</v>
      </c>
      <c r="AI39" s="75" t="s">
        <v>38</v>
      </c>
      <c r="AJ39">
        <v>3.3268255498789827</v>
      </c>
      <c r="AK39">
        <v>3.2843014820441456</v>
      </c>
      <c r="AL39" s="39"/>
      <c r="AM39" s="39"/>
    </row>
    <row r="40" spans="2:39" x14ac:dyDescent="0.25">
      <c r="B40">
        <v>38</v>
      </c>
      <c r="C40" s="52">
        <v>84193</v>
      </c>
      <c r="D40" s="52">
        <v>27241</v>
      </c>
      <c r="E40" s="3">
        <v>3246</v>
      </c>
      <c r="F40" s="6"/>
      <c r="H40">
        <v>38</v>
      </c>
      <c r="I40" s="3">
        <v>46044</v>
      </c>
      <c r="J40" s="3">
        <v>14473</v>
      </c>
      <c r="K40" s="3">
        <v>3704</v>
      </c>
      <c r="L40" s="118">
        <f t="shared" si="0"/>
        <v>0.77585082166144625</v>
      </c>
      <c r="M40" s="118">
        <f t="shared" si="1"/>
        <v>0.80484194433361689</v>
      </c>
      <c r="N40" s="3"/>
      <c r="P40">
        <v>38</v>
      </c>
      <c r="Q40" s="3">
        <v>41875</v>
      </c>
      <c r="R40" s="3">
        <v>24027</v>
      </c>
      <c r="S40" s="3">
        <v>3420</v>
      </c>
      <c r="V40">
        <v>38</v>
      </c>
      <c r="W40" s="3">
        <v>52196</v>
      </c>
      <c r="X40" s="3">
        <v>9429</v>
      </c>
      <c r="Y40" s="3">
        <v>8804</v>
      </c>
      <c r="AB40">
        <v>38</v>
      </c>
      <c r="AC40" s="3">
        <v>29641</v>
      </c>
      <c r="AD40" s="3">
        <v>20679</v>
      </c>
      <c r="AE40" s="3">
        <v>3359</v>
      </c>
      <c r="AI40" s="77" t="s">
        <v>4</v>
      </c>
      <c r="AJ40" s="78"/>
      <c r="AK40" s="82"/>
      <c r="AL40" s="39"/>
      <c r="AM40" s="39"/>
    </row>
    <row r="41" spans="2:39" x14ac:dyDescent="0.25">
      <c r="B41">
        <v>39</v>
      </c>
      <c r="C41" s="3">
        <v>64895</v>
      </c>
      <c r="D41" s="3">
        <v>21303</v>
      </c>
      <c r="E41" s="3">
        <v>2566</v>
      </c>
      <c r="F41" s="6"/>
      <c r="H41">
        <v>39</v>
      </c>
      <c r="I41" s="3">
        <v>45225</v>
      </c>
      <c r="J41" s="3">
        <v>13820</v>
      </c>
      <c r="K41" s="3">
        <v>4468</v>
      </c>
      <c r="L41" s="118">
        <f t="shared" si="0"/>
        <v>0.76205050407520858</v>
      </c>
      <c r="M41" s="118">
        <f t="shared" si="1"/>
        <v>0.76852868587650014</v>
      </c>
      <c r="N41" s="3"/>
      <c r="P41">
        <v>39</v>
      </c>
      <c r="Q41" s="3">
        <v>24891</v>
      </c>
      <c r="R41" s="3">
        <v>17641</v>
      </c>
      <c r="S41" s="3">
        <v>3304</v>
      </c>
      <c r="V41">
        <v>39</v>
      </c>
      <c r="W41" s="3">
        <v>28031</v>
      </c>
      <c r="X41" s="3">
        <v>15439</v>
      </c>
      <c r="Y41" s="3">
        <v>4255</v>
      </c>
      <c r="AB41">
        <v>39</v>
      </c>
      <c r="AC41" s="25">
        <v>56177</v>
      </c>
      <c r="AD41" s="26">
        <v>21161</v>
      </c>
      <c r="AE41" s="3">
        <v>3516</v>
      </c>
    </row>
    <row r="42" spans="2:39" x14ac:dyDescent="0.25">
      <c r="B42">
        <v>40</v>
      </c>
      <c r="C42" s="3">
        <v>57245</v>
      </c>
      <c r="D42" s="3">
        <v>17210</v>
      </c>
      <c r="E42" s="3">
        <v>2799</v>
      </c>
      <c r="F42" s="6"/>
      <c r="H42">
        <v>40</v>
      </c>
      <c r="I42" s="21">
        <v>98788</v>
      </c>
      <c r="J42" s="22">
        <v>37653</v>
      </c>
      <c r="K42" s="3">
        <v>3071</v>
      </c>
      <c r="L42" s="118">
        <f t="shared" si="0"/>
        <v>1.6645980142969974</v>
      </c>
      <c r="M42" s="118">
        <f t="shared" si="1"/>
        <v>2.0938792047256047</v>
      </c>
      <c r="N42" s="3"/>
      <c r="P42">
        <v>40</v>
      </c>
      <c r="Q42" s="25">
        <v>57226</v>
      </c>
      <c r="R42" s="26">
        <v>27108</v>
      </c>
      <c r="S42" s="3">
        <v>4591</v>
      </c>
      <c r="V42">
        <v>40</v>
      </c>
      <c r="W42" s="21">
        <v>55239</v>
      </c>
      <c r="X42" s="22">
        <v>31097</v>
      </c>
      <c r="Y42" s="3">
        <v>4201</v>
      </c>
      <c r="AB42">
        <v>40</v>
      </c>
      <c r="AC42" s="3">
        <v>32440</v>
      </c>
      <c r="AD42" s="3">
        <v>19524</v>
      </c>
      <c r="AE42" s="3">
        <v>3333</v>
      </c>
    </row>
    <row r="43" spans="2:39" x14ac:dyDescent="0.25">
      <c r="B43">
        <v>41</v>
      </c>
      <c r="C43" s="25">
        <v>73580</v>
      </c>
      <c r="D43" s="26">
        <v>21739</v>
      </c>
      <c r="E43" s="3">
        <v>2832</v>
      </c>
      <c r="F43" s="6"/>
      <c r="H43">
        <v>41</v>
      </c>
      <c r="I43" s="27">
        <v>74902</v>
      </c>
      <c r="J43" s="28">
        <v>24532</v>
      </c>
      <c r="K43" s="3">
        <v>2590</v>
      </c>
      <c r="L43" s="118">
        <f t="shared" si="0"/>
        <v>1.2621140266720017</v>
      </c>
      <c r="M43" s="118">
        <f t="shared" si="1"/>
        <v>1.3642218322664472</v>
      </c>
      <c r="N43" s="3"/>
      <c r="P43">
        <v>41</v>
      </c>
      <c r="Q43" s="3">
        <v>36487</v>
      </c>
      <c r="R43" s="3">
        <v>16875</v>
      </c>
      <c r="S43" s="3">
        <v>6450</v>
      </c>
      <c r="V43">
        <v>41</v>
      </c>
      <c r="W43" s="23">
        <v>58490</v>
      </c>
      <c r="X43" s="24">
        <v>38180</v>
      </c>
      <c r="Y43" s="3">
        <v>5630</v>
      </c>
      <c r="AB43">
        <v>41</v>
      </c>
      <c r="AC43" s="21">
        <v>53412</v>
      </c>
      <c r="AD43" s="22">
        <v>29926</v>
      </c>
      <c r="AE43" s="3">
        <v>3222</v>
      </c>
    </row>
    <row r="44" spans="2:39" x14ac:dyDescent="0.25">
      <c r="B44">
        <v>42</v>
      </c>
      <c r="C44" s="3">
        <v>67481</v>
      </c>
      <c r="D44" s="3">
        <v>25123</v>
      </c>
      <c r="E44" s="3">
        <v>3605</v>
      </c>
      <c r="F44" s="6"/>
      <c r="H44">
        <v>42</v>
      </c>
      <c r="I44" s="23">
        <v>60195</v>
      </c>
      <c r="J44" s="24">
        <v>21273</v>
      </c>
      <c r="K44" s="3">
        <v>3377</v>
      </c>
      <c r="L44" s="118">
        <f t="shared" si="0"/>
        <v>1.0142980672815298</v>
      </c>
      <c r="M44" s="118">
        <f t="shared" si="1"/>
        <v>1.1829891993235011</v>
      </c>
      <c r="N44" s="3"/>
      <c r="P44">
        <v>42</v>
      </c>
      <c r="Q44" s="3">
        <v>32417</v>
      </c>
      <c r="R44" s="3">
        <v>19143</v>
      </c>
      <c r="S44" s="3">
        <v>2893</v>
      </c>
      <c r="V44">
        <v>42</v>
      </c>
      <c r="W44" s="3">
        <v>21155</v>
      </c>
      <c r="X44" s="3">
        <v>18603</v>
      </c>
      <c r="Y44" s="3">
        <v>3207</v>
      </c>
      <c r="AB44">
        <v>42</v>
      </c>
      <c r="AC44" s="23">
        <v>59110</v>
      </c>
      <c r="AD44" s="24">
        <v>33134</v>
      </c>
      <c r="AE44" s="3">
        <v>3575</v>
      </c>
    </row>
    <row r="45" spans="2:39" x14ac:dyDescent="0.25">
      <c r="B45">
        <v>43</v>
      </c>
      <c r="C45" s="3">
        <v>53833</v>
      </c>
      <c r="D45" s="3">
        <v>17900</v>
      </c>
      <c r="E45" s="3">
        <v>2883</v>
      </c>
      <c r="F45" s="6"/>
      <c r="H45">
        <v>43</v>
      </c>
      <c r="I45" s="3">
        <v>52517</v>
      </c>
      <c r="J45" s="3">
        <v>14299</v>
      </c>
      <c r="K45" s="3">
        <v>2471</v>
      </c>
      <c r="L45" s="118">
        <f t="shared" si="0"/>
        <v>0.88492219618612999</v>
      </c>
      <c r="M45" s="118">
        <f t="shared" si="1"/>
        <v>0.79516582339711106</v>
      </c>
      <c r="N45" s="3"/>
      <c r="P45">
        <v>43</v>
      </c>
      <c r="Q45" s="3">
        <v>49471</v>
      </c>
      <c r="R45" s="3">
        <v>21212</v>
      </c>
      <c r="S45" s="3">
        <v>6663</v>
      </c>
      <c r="V45">
        <v>43</v>
      </c>
      <c r="W45" s="3">
        <v>23254</v>
      </c>
      <c r="X45" s="3">
        <v>17729</v>
      </c>
      <c r="Y45" s="3">
        <v>3373</v>
      </c>
      <c r="AB45">
        <v>43</v>
      </c>
      <c r="AC45" s="3">
        <v>36218</v>
      </c>
      <c r="AD45" s="3">
        <v>12916</v>
      </c>
      <c r="AE45" s="3">
        <v>2916</v>
      </c>
    </row>
    <row r="46" spans="2:39" x14ac:dyDescent="0.25">
      <c r="B46">
        <v>44</v>
      </c>
      <c r="C46" s="3">
        <v>51521</v>
      </c>
      <c r="D46" s="3">
        <v>12712</v>
      </c>
      <c r="E46" s="3">
        <v>2849</v>
      </c>
      <c r="F46" s="6"/>
      <c r="H46">
        <v>44</v>
      </c>
      <c r="I46" s="25">
        <v>69562</v>
      </c>
      <c r="J46" s="26">
        <v>19219</v>
      </c>
      <c r="K46" s="3">
        <v>3547</v>
      </c>
      <c r="L46" s="118">
        <f t="shared" si="0"/>
        <v>1.1721339339851777</v>
      </c>
      <c r="M46" s="118">
        <f t="shared" si="1"/>
        <v>1.0687664843603804</v>
      </c>
      <c r="N46" s="3"/>
      <c r="P46">
        <v>44</v>
      </c>
      <c r="Q46" s="3">
        <v>36991</v>
      </c>
      <c r="R46" s="3">
        <v>18991</v>
      </c>
      <c r="S46" s="3">
        <v>3357</v>
      </c>
      <c r="V46">
        <v>44</v>
      </c>
      <c r="W46" s="3">
        <v>30525</v>
      </c>
      <c r="X46" s="3">
        <v>19574</v>
      </c>
      <c r="Y46" s="3">
        <v>3246</v>
      </c>
      <c r="AB46">
        <v>44</v>
      </c>
      <c r="AC46" s="3">
        <v>30739</v>
      </c>
      <c r="AD46" s="3">
        <v>16719</v>
      </c>
      <c r="AE46" s="3">
        <v>5176</v>
      </c>
    </row>
    <row r="47" spans="2:39" x14ac:dyDescent="0.25">
      <c r="B47">
        <v>45</v>
      </c>
      <c r="C47" s="3">
        <v>63341</v>
      </c>
      <c r="D47" s="3">
        <v>24568</v>
      </c>
      <c r="E47" s="3">
        <v>2989</v>
      </c>
      <c r="F47" s="6"/>
      <c r="H47">
        <v>45</v>
      </c>
      <c r="I47" s="3">
        <v>40390</v>
      </c>
      <c r="J47" s="3">
        <v>13805</v>
      </c>
      <c r="K47" s="3">
        <v>2866</v>
      </c>
      <c r="L47" s="118">
        <f t="shared" si="0"/>
        <v>0.68057976472299997</v>
      </c>
      <c r="M47" s="118">
        <f t="shared" si="1"/>
        <v>0.7676945375199048</v>
      </c>
      <c r="N47" s="3"/>
      <c r="P47">
        <v>45</v>
      </c>
      <c r="Q47" s="3">
        <v>38048</v>
      </c>
      <c r="R47" s="3">
        <v>21298</v>
      </c>
      <c r="S47" s="3">
        <v>3327</v>
      </c>
      <c r="V47">
        <v>45</v>
      </c>
      <c r="W47" s="25">
        <v>58852</v>
      </c>
      <c r="X47" s="26">
        <v>37258</v>
      </c>
      <c r="Y47" s="3">
        <v>5039</v>
      </c>
      <c r="AB47">
        <v>45</v>
      </c>
      <c r="AC47" s="3">
        <v>32876</v>
      </c>
      <c r="AD47" s="3">
        <v>16957</v>
      </c>
      <c r="AE47" s="3">
        <v>2833</v>
      </c>
    </row>
    <row r="48" spans="2:39" x14ac:dyDescent="0.25">
      <c r="B48">
        <v>46</v>
      </c>
      <c r="C48" s="3">
        <v>41157</v>
      </c>
      <c r="D48" s="3">
        <v>9020</v>
      </c>
      <c r="E48" s="3">
        <v>2294</v>
      </c>
      <c r="F48" s="6"/>
      <c r="H48">
        <v>46</v>
      </c>
      <c r="I48" s="3">
        <v>51644</v>
      </c>
      <c r="J48" s="3">
        <v>17811</v>
      </c>
      <c r="K48" s="3">
        <v>4633</v>
      </c>
      <c r="L48" s="118">
        <f t="shared" si="0"/>
        <v>0.87021196755025043</v>
      </c>
      <c r="M48" s="118">
        <f t="shared" si="1"/>
        <v>0.99046775862129832</v>
      </c>
      <c r="N48" s="3"/>
      <c r="P48">
        <v>46</v>
      </c>
      <c r="Q48" s="25">
        <v>54580</v>
      </c>
      <c r="R48" s="26">
        <v>26051</v>
      </c>
      <c r="S48" s="3">
        <v>3572</v>
      </c>
      <c r="V48">
        <v>46</v>
      </c>
      <c r="W48" s="3">
        <v>44177</v>
      </c>
      <c r="X48" s="3">
        <v>18152</v>
      </c>
      <c r="Y48" s="3">
        <v>4304</v>
      </c>
      <c r="AB48">
        <v>46</v>
      </c>
      <c r="AC48" s="21">
        <v>53308</v>
      </c>
      <c r="AD48" s="22">
        <v>21165</v>
      </c>
      <c r="AE48" s="3">
        <v>4319</v>
      </c>
    </row>
    <row r="49" spans="2:31" x14ac:dyDescent="0.25">
      <c r="B49">
        <v>47</v>
      </c>
      <c r="C49" s="3">
        <v>45870</v>
      </c>
      <c r="D49" s="3">
        <v>8412</v>
      </c>
      <c r="E49" s="3">
        <v>1824</v>
      </c>
      <c r="F49" s="6"/>
      <c r="H49">
        <v>47</v>
      </c>
      <c r="I49" s="3">
        <v>49167</v>
      </c>
      <c r="J49" s="3">
        <v>15321</v>
      </c>
      <c r="K49" s="3">
        <v>2482</v>
      </c>
      <c r="L49" s="118">
        <f t="shared" si="0"/>
        <v>0.82847401069907756</v>
      </c>
      <c r="M49" s="118">
        <f t="shared" si="1"/>
        <v>0.8519991314264731</v>
      </c>
      <c r="N49" s="3"/>
      <c r="P49">
        <v>47</v>
      </c>
      <c r="Q49" s="3">
        <v>34208</v>
      </c>
      <c r="R49" s="3">
        <v>11570</v>
      </c>
      <c r="S49" s="3">
        <v>3839</v>
      </c>
      <c r="V49">
        <v>47</v>
      </c>
      <c r="W49" s="21">
        <v>83393</v>
      </c>
      <c r="X49" s="22">
        <v>32910</v>
      </c>
      <c r="Y49" s="3">
        <v>4344</v>
      </c>
      <c r="AB49">
        <v>47</v>
      </c>
      <c r="AC49" s="23">
        <v>48069</v>
      </c>
      <c r="AD49" s="24">
        <v>25506</v>
      </c>
      <c r="AE49" s="3">
        <v>3425</v>
      </c>
    </row>
    <row r="50" spans="2:31" x14ac:dyDescent="0.25">
      <c r="B50">
        <v>48</v>
      </c>
      <c r="C50" s="3">
        <v>40323</v>
      </c>
      <c r="D50" s="3">
        <v>13808</v>
      </c>
      <c r="E50" s="3">
        <v>3615</v>
      </c>
      <c r="F50" s="6"/>
      <c r="H50">
        <v>48</v>
      </c>
      <c r="I50" s="3">
        <v>55274</v>
      </c>
      <c r="J50" s="3">
        <v>16177</v>
      </c>
      <c r="K50" s="3">
        <v>2629</v>
      </c>
      <c r="L50" s="118">
        <f t="shared" si="0"/>
        <v>0.93137821033174306</v>
      </c>
      <c r="M50" s="118">
        <f t="shared" si="1"/>
        <v>0.89960119764284674</v>
      </c>
      <c r="N50" s="3"/>
      <c r="P50">
        <v>48</v>
      </c>
      <c r="Q50" s="3">
        <v>36103</v>
      </c>
      <c r="R50" s="3">
        <v>15016</v>
      </c>
      <c r="S50" s="3">
        <v>2897</v>
      </c>
      <c r="V50">
        <v>48</v>
      </c>
      <c r="W50" s="27">
        <v>43873</v>
      </c>
      <c r="X50" s="28">
        <v>27275</v>
      </c>
      <c r="Y50" s="3">
        <v>4803</v>
      </c>
      <c r="AB50">
        <v>48</v>
      </c>
      <c r="AC50" s="3">
        <v>32640</v>
      </c>
      <c r="AD50" s="3">
        <v>17180</v>
      </c>
      <c r="AE50" s="3">
        <v>2694</v>
      </c>
    </row>
    <row r="51" spans="2:31" x14ac:dyDescent="0.25">
      <c r="B51">
        <v>49</v>
      </c>
      <c r="C51" s="3">
        <v>35918</v>
      </c>
      <c r="D51" s="3">
        <v>7623</v>
      </c>
      <c r="E51" s="3">
        <v>2574</v>
      </c>
      <c r="F51" s="6"/>
      <c r="H51">
        <v>49</v>
      </c>
      <c r="I51" s="25">
        <v>60529</v>
      </c>
      <c r="J51" s="26">
        <v>18975</v>
      </c>
      <c r="K51" s="3">
        <v>4019</v>
      </c>
      <c r="L51" s="118">
        <f t="shared" si="0"/>
        <v>1.0199260356256119</v>
      </c>
      <c r="M51" s="118">
        <f t="shared" si="1"/>
        <v>1.0551976710930961</v>
      </c>
      <c r="N51" s="3"/>
      <c r="P51">
        <v>49</v>
      </c>
      <c r="Q51" s="21">
        <v>67917</v>
      </c>
      <c r="R51" s="22">
        <v>25380</v>
      </c>
      <c r="S51" s="3">
        <v>3537</v>
      </c>
      <c r="V51">
        <v>49</v>
      </c>
      <c r="W51" s="23">
        <v>58701</v>
      </c>
      <c r="X51" s="24">
        <v>27058</v>
      </c>
      <c r="Y51" s="3">
        <v>4299</v>
      </c>
      <c r="AB51">
        <v>49</v>
      </c>
      <c r="AC51" s="3">
        <v>29589</v>
      </c>
      <c r="AD51" s="3">
        <v>13927</v>
      </c>
      <c r="AE51" s="3">
        <v>2944</v>
      </c>
    </row>
    <row r="52" spans="2:31" x14ac:dyDescent="0.25">
      <c r="B52">
        <v>50</v>
      </c>
      <c r="C52" s="3">
        <v>36070</v>
      </c>
      <c r="D52" s="3">
        <v>11500</v>
      </c>
      <c r="E52" s="3">
        <v>2054</v>
      </c>
      <c r="F52" s="6"/>
      <c r="H52">
        <v>50</v>
      </c>
      <c r="I52" s="3">
        <v>45021</v>
      </c>
      <c r="J52" s="3">
        <v>11361</v>
      </c>
      <c r="K52" s="3">
        <v>2825</v>
      </c>
      <c r="L52" s="118">
        <f t="shared" si="0"/>
        <v>0.75861306233211645</v>
      </c>
      <c r="M52" s="118">
        <f t="shared" si="1"/>
        <v>0.63178396528530523</v>
      </c>
      <c r="N52" s="3"/>
      <c r="P52">
        <v>50</v>
      </c>
      <c r="Q52" s="27">
        <v>52016</v>
      </c>
      <c r="R52" s="28">
        <v>23039</v>
      </c>
      <c r="S52" s="3">
        <v>4266</v>
      </c>
      <c r="V52">
        <v>50</v>
      </c>
      <c r="W52" s="3">
        <v>32874</v>
      </c>
      <c r="X52" s="3">
        <v>15667</v>
      </c>
      <c r="Y52" s="3">
        <v>4057</v>
      </c>
      <c r="AB52">
        <v>50</v>
      </c>
      <c r="AC52" s="3">
        <v>26913</v>
      </c>
      <c r="AD52" s="3">
        <v>11268</v>
      </c>
      <c r="AE52" s="3">
        <v>3008</v>
      </c>
    </row>
    <row r="53" spans="2:31" x14ac:dyDescent="0.25">
      <c r="B53">
        <v>51</v>
      </c>
      <c r="C53" s="25">
        <v>70562</v>
      </c>
      <c r="D53" s="26">
        <v>19375</v>
      </c>
      <c r="E53" s="3">
        <v>2443</v>
      </c>
      <c r="F53" s="6"/>
      <c r="H53">
        <v>51</v>
      </c>
      <c r="I53" s="3">
        <v>78043</v>
      </c>
      <c r="J53" s="3">
        <v>17063</v>
      </c>
      <c r="K53" s="3">
        <v>3593</v>
      </c>
      <c r="L53" s="118">
        <f t="shared" si="0"/>
        <v>1.3150405193928469</v>
      </c>
      <c r="M53" s="118">
        <f t="shared" si="1"/>
        <v>0.94887156057241107</v>
      </c>
      <c r="N53" s="3"/>
      <c r="P53">
        <v>51</v>
      </c>
      <c r="Q53" s="27">
        <v>58833</v>
      </c>
      <c r="R53" s="28">
        <v>25176</v>
      </c>
      <c r="S53" s="3">
        <v>3990</v>
      </c>
      <c r="V53">
        <v>51</v>
      </c>
      <c r="W53" s="3">
        <v>34724</v>
      </c>
      <c r="X53" s="3">
        <v>18707</v>
      </c>
      <c r="Y53" s="3">
        <v>4846</v>
      </c>
      <c r="AB53">
        <v>51</v>
      </c>
      <c r="AC53" s="3">
        <v>26730</v>
      </c>
      <c r="AD53" s="3">
        <v>15839</v>
      </c>
      <c r="AE53" s="3">
        <v>3109</v>
      </c>
    </row>
    <row r="54" spans="2:31" x14ac:dyDescent="0.25">
      <c r="B54">
        <v>52</v>
      </c>
      <c r="C54" s="3">
        <v>54270</v>
      </c>
      <c r="D54" s="3">
        <v>19377</v>
      </c>
      <c r="E54" s="3">
        <v>2384</v>
      </c>
      <c r="F54" s="6"/>
      <c r="H54">
        <v>52</v>
      </c>
      <c r="I54" s="3">
        <v>55396</v>
      </c>
      <c r="J54" s="3">
        <v>12132</v>
      </c>
      <c r="K54" s="3">
        <v>2538</v>
      </c>
      <c r="L54" s="118">
        <f t="shared" si="0"/>
        <v>0.93343393529574914</v>
      </c>
      <c r="M54" s="118">
        <f t="shared" si="1"/>
        <v>0.67465919081430525</v>
      </c>
      <c r="N54" s="3"/>
      <c r="P54">
        <v>52</v>
      </c>
      <c r="Q54" s="23">
        <v>54539</v>
      </c>
      <c r="R54" s="24">
        <v>20452</v>
      </c>
      <c r="S54" s="3">
        <v>7643</v>
      </c>
      <c r="V54">
        <v>52</v>
      </c>
      <c r="W54" s="3">
        <v>42585</v>
      </c>
      <c r="X54" s="3">
        <v>21869</v>
      </c>
      <c r="Y54" s="3">
        <v>3008</v>
      </c>
      <c r="AB54">
        <v>52</v>
      </c>
      <c r="AC54" s="3">
        <v>20787</v>
      </c>
      <c r="AD54" s="3">
        <v>11943</v>
      </c>
      <c r="AE54" s="3">
        <v>2656</v>
      </c>
    </row>
    <row r="55" spans="2:31" x14ac:dyDescent="0.25">
      <c r="B55">
        <v>53</v>
      </c>
      <c r="C55" s="3">
        <v>31229</v>
      </c>
      <c r="D55" s="3">
        <v>11214</v>
      </c>
      <c r="E55" s="3">
        <v>1943</v>
      </c>
      <c r="F55" s="6"/>
      <c r="H55">
        <v>53</v>
      </c>
      <c r="I55" s="3">
        <v>50789</v>
      </c>
      <c r="J55" s="3">
        <v>16752</v>
      </c>
      <c r="K55" s="3">
        <v>2257</v>
      </c>
      <c r="L55" s="118">
        <f t="shared" si="0"/>
        <v>0.85580504259758472</v>
      </c>
      <c r="M55" s="118">
        <f t="shared" si="1"/>
        <v>0.93157688464566779</v>
      </c>
      <c r="N55" s="3"/>
      <c r="P55">
        <v>53</v>
      </c>
      <c r="Q55" s="3">
        <v>42194</v>
      </c>
      <c r="R55" s="3">
        <v>11286</v>
      </c>
      <c r="S55" s="3">
        <v>3</v>
      </c>
      <c r="V55">
        <v>53</v>
      </c>
      <c r="W55" s="25">
        <v>71628</v>
      </c>
      <c r="X55" s="26">
        <v>34620</v>
      </c>
      <c r="Y55" s="3">
        <v>4550</v>
      </c>
      <c r="AB55">
        <v>53</v>
      </c>
      <c r="AC55" s="3">
        <v>30291</v>
      </c>
      <c r="AD55" s="3">
        <v>11518</v>
      </c>
      <c r="AE55" s="3">
        <v>3489</v>
      </c>
    </row>
    <row r="56" spans="2:31" x14ac:dyDescent="0.25">
      <c r="B56">
        <v>54</v>
      </c>
      <c r="C56" s="3">
        <v>45743</v>
      </c>
      <c r="D56" s="3">
        <v>16514</v>
      </c>
      <c r="E56" s="3">
        <v>2294</v>
      </c>
      <c r="F56" s="6"/>
      <c r="H56">
        <v>54</v>
      </c>
      <c r="I56" s="25">
        <v>82240</v>
      </c>
      <c r="J56" s="26">
        <v>31191</v>
      </c>
      <c r="K56" s="3">
        <v>3186</v>
      </c>
      <c r="L56" s="118">
        <f t="shared" si="0"/>
        <v>1.3857608281955811</v>
      </c>
      <c r="M56" s="118">
        <f t="shared" si="1"/>
        <v>1.7345280927043354</v>
      </c>
      <c r="N56" s="3"/>
      <c r="P56">
        <v>54</v>
      </c>
      <c r="Q56" s="3">
        <v>40846</v>
      </c>
      <c r="R56" s="3">
        <v>14228</v>
      </c>
      <c r="S56" s="3">
        <v>5287</v>
      </c>
      <c r="V56">
        <v>54</v>
      </c>
      <c r="W56" s="3">
        <v>35356</v>
      </c>
      <c r="X56" s="3">
        <v>20822</v>
      </c>
      <c r="Y56" s="3">
        <v>4022</v>
      </c>
      <c r="AB56">
        <v>54</v>
      </c>
      <c r="AC56" s="3">
        <v>30692</v>
      </c>
      <c r="AD56" s="3">
        <v>18895</v>
      </c>
      <c r="AE56" s="3">
        <v>3163</v>
      </c>
    </row>
    <row r="57" spans="2:31" x14ac:dyDescent="0.25">
      <c r="B57">
        <v>55</v>
      </c>
      <c r="C57" s="3">
        <v>24973</v>
      </c>
      <c r="D57" s="3">
        <v>8007</v>
      </c>
      <c r="E57" s="3">
        <v>1973</v>
      </c>
      <c r="F57" s="7"/>
      <c r="H57">
        <v>55</v>
      </c>
      <c r="I57" s="3">
        <v>44830</v>
      </c>
      <c r="J57" s="3">
        <v>13744</v>
      </c>
      <c r="K57" s="3">
        <v>2439</v>
      </c>
      <c r="L57" s="118">
        <f t="shared" si="0"/>
        <v>0.75539467324912335</v>
      </c>
      <c r="M57" s="118">
        <f t="shared" si="1"/>
        <v>0.76430233420308369</v>
      </c>
      <c r="N57" s="3"/>
      <c r="P57">
        <v>55</v>
      </c>
      <c r="Q57" s="3">
        <v>39731</v>
      </c>
      <c r="R57" s="3">
        <v>14154</v>
      </c>
      <c r="S57" s="3">
        <v>4029</v>
      </c>
      <c r="V57">
        <v>55</v>
      </c>
      <c r="W57" s="3">
        <v>39459</v>
      </c>
      <c r="X57" s="3">
        <v>16376</v>
      </c>
      <c r="Y57" s="3">
        <v>4578</v>
      </c>
      <c r="AB57">
        <v>55</v>
      </c>
      <c r="AC57" s="25">
        <v>39057</v>
      </c>
      <c r="AD57" s="26">
        <v>30125</v>
      </c>
      <c r="AE57" s="3">
        <v>3358</v>
      </c>
    </row>
    <row r="58" spans="2:31" x14ac:dyDescent="0.25">
      <c r="B58">
        <v>56</v>
      </c>
      <c r="C58" s="3">
        <v>43817</v>
      </c>
      <c r="D58" s="3">
        <v>13024</v>
      </c>
      <c r="E58" s="3">
        <v>2707</v>
      </c>
      <c r="F58" s="6"/>
      <c r="H58">
        <v>56</v>
      </c>
      <c r="I58" s="21">
        <v>65059</v>
      </c>
      <c r="J58" s="22">
        <v>21478</v>
      </c>
      <c r="K58" s="3">
        <v>3449</v>
      </c>
      <c r="L58" s="118">
        <f t="shared" si="0"/>
        <v>1.0962574625678054</v>
      </c>
      <c r="M58" s="118">
        <f t="shared" si="1"/>
        <v>1.1943892268636374</v>
      </c>
      <c r="N58" s="3"/>
      <c r="P58">
        <v>56</v>
      </c>
      <c r="Q58" s="3">
        <v>53465</v>
      </c>
      <c r="R58" s="3">
        <v>18310</v>
      </c>
      <c r="S58" s="3">
        <v>2930</v>
      </c>
      <c r="V58">
        <v>56</v>
      </c>
      <c r="W58" s="3">
        <v>24678</v>
      </c>
      <c r="X58" s="3">
        <v>8356</v>
      </c>
      <c r="Y58" s="3">
        <v>3119</v>
      </c>
      <c r="AB58">
        <v>56</v>
      </c>
      <c r="AC58" s="3">
        <v>24166</v>
      </c>
      <c r="AD58" s="3">
        <v>14798</v>
      </c>
      <c r="AE58" s="3">
        <v>2358</v>
      </c>
    </row>
    <row r="59" spans="2:31" x14ac:dyDescent="0.25">
      <c r="B59" t="s">
        <v>5</v>
      </c>
      <c r="C59" s="3">
        <f>AVERAGE(C3:C58)</f>
        <v>69726.571428571435</v>
      </c>
      <c r="D59" s="3">
        <f>AVERAGE(D3:D58)</f>
        <v>18607.339285714286</v>
      </c>
      <c r="H59">
        <v>57</v>
      </c>
      <c r="I59" s="23">
        <v>76760</v>
      </c>
      <c r="J59" s="24">
        <v>27659</v>
      </c>
      <c r="K59" s="3">
        <v>3341</v>
      </c>
      <c r="L59" s="118">
        <f t="shared" si="0"/>
        <v>1.293421706861537</v>
      </c>
      <c r="M59" s="118">
        <f t="shared" si="1"/>
        <v>1.5381139596713542</v>
      </c>
      <c r="N59" s="3"/>
      <c r="P59">
        <v>57</v>
      </c>
      <c r="Q59" s="3">
        <v>34969</v>
      </c>
      <c r="R59" s="3">
        <v>16625</v>
      </c>
      <c r="S59" s="3">
        <v>2492</v>
      </c>
      <c r="V59">
        <v>57</v>
      </c>
      <c r="W59" s="3">
        <v>34761</v>
      </c>
      <c r="X59" s="3">
        <v>11014</v>
      </c>
      <c r="Y59" s="3">
        <v>4594</v>
      </c>
      <c r="AB59">
        <v>57</v>
      </c>
      <c r="AC59" s="3">
        <v>31562</v>
      </c>
      <c r="AD59" s="3">
        <v>17962</v>
      </c>
      <c r="AE59" s="3">
        <v>2908</v>
      </c>
    </row>
    <row r="60" spans="2:31" x14ac:dyDescent="0.25">
      <c r="B60" t="s">
        <v>8</v>
      </c>
      <c r="C60" s="3">
        <f>AVERAGE(C18:C58)</f>
        <v>56581.390243902439</v>
      </c>
      <c r="D60" s="3">
        <f>AVERAGE(D18:D58)</f>
        <v>16195.512195121952</v>
      </c>
      <c r="H60">
        <v>58</v>
      </c>
      <c r="I60" s="3">
        <v>54902</v>
      </c>
      <c r="J60" s="3">
        <v>14348</v>
      </c>
      <c r="K60" s="3">
        <v>3765</v>
      </c>
      <c r="L60" s="118">
        <f t="shared" si="0"/>
        <v>0.92510993421198684</v>
      </c>
      <c r="M60" s="118">
        <f t="shared" si="1"/>
        <v>0.7978907080286558</v>
      </c>
      <c r="N60" s="3"/>
      <c r="P60">
        <v>58</v>
      </c>
      <c r="Q60" s="25">
        <v>59915</v>
      </c>
      <c r="R60" s="26">
        <v>25376</v>
      </c>
      <c r="S60" s="3">
        <v>2906</v>
      </c>
      <c r="V60">
        <v>58</v>
      </c>
      <c r="W60" s="3">
        <v>41215</v>
      </c>
      <c r="X60" s="3">
        <v>22387</v>
      </c>
      <c r="Y60" s="3">
        <v>4355</v>
      </c>
      <c r="AB60">
        <v>58</v>
      </c>
      <c r="AC60" s="25">
        <v>38602</v>
      </c>
      <c r="AD60" s="26">
        <v>26939</v>
      </c>
      <c r="AE60" s="3">
        <v>3015</v>
      </c>
    </row>
    <row r="61" spans="2:31" x14ac:dyDescent="0.25">
      <c r="B61" s="5" t="s">
        <v>7</v>
      </c>
      <c r="C61" s="3">
        <f>AVERAGE(C3:C17)</f>
        <v>105656.73333333334</v>
      </c>
      <c r="D61" s="3">
        <f>AVERAGE(D3:D17)</f>
        <v>25199.666666666668</v>
      </c>
      <c r="H61">
        <v>59</v>
      </c>
      <c r="I61" s="3">
        <v>49419</v>
      </c>
      <c r="J61" s="3">
        <v>15846</v>
      </c>
      <c r="K61" s="3">
        <v>5624</v>
      </c>
      <c r="L61" s="118">
        <f t="shared" si="0"/>
        <v>0.8327202622640737</v>
      </c>
      <c r="M61" s="118">
        <f t="shared" si="1"/>
        <v>0.88119432390730967</v>
      </c>
      <c r="N61" s="3"/>
      <c r="P61">
        <v>59</v>
      </c>
      <c r="Q61" s="3">
        <v>47242</v>
      </c>
      <c r="R61" s="3">
        <v>23212</v>
      </c>
      <c r="S61" s="3">
        <v>2894</v>
      </c>
      <c r="V61">
        <v>59</v>
      </c>
      <c r="W61" s="25">
        <v>56071</v>
      </c>
      <c r="X61" s="26">
        <v>29619</v>
      </c>
      <c r="Y61" s="3">
        <v>4036</v>
      </c>
      <c r="AB61">
        <v>59</v>
      </c>
      <c r="AC61" s="3">
        <v>23322</v>
      </c>
      <c r="AD61" s="3">
        <v>15322</v>
      </c>
      <c r="AE61" s="3">
        <v>2289</v>
      </c>
    </row>
    <row r="62" spans="2:31" x14ac:dyDescent="0.25">
      <c r="B62" t="s">
        <v>14</v>
      </c>
      <c r="C62">
        <f>COUNT(E3:E17)</f>
        <v>15</v>
      </c>
      <c r="H62">
        <v>60</v>
      </c>
      <c r="I62" s="3">
        <v>66841</v>
      </c>
      <c r="J62" s="3">
        <v>17389</v>
      </c>
      <c r="K62" s="3">
        <v>2292</v>
      </c>
      <c r="L62" s="118">
        <f t="shared" si="0"/>
        <v>1.1262845272059927</v>
      </c>
      <c r="M62" s="118">
        <f t="shared" si="1"/>
        <v>0.96700038485574968</v>
      </c>
      <c r="N62" s="3"/>
      <c r="P62">
        <v>60</v>
      </c>
      <c r="Q62" s="3">
        <v>26791</v>
      </c>
      <c r="R62" s="3">
        <v>8547</v>
      </c>
      <c r="S62" s="3">
        <v>4535</v>
      </c>
      <c r="V62">
        <v>60</v>
      </c>
      <c r="W62" s="3">
        <v>47172</v>
      </c>
      <c r="X62" s="3">
        <v>21810</v>
      </c>
      <c r="Y62" s="3">
        <v>3440</v>
      </c>
      <c r="AB62">
        <v>60</v>
      </c>
      <c r="AC62" s="3">
        <v>27030</v>
      </c>
      <c r="AD62" s="3">
        <v>15963</v>
      </c>
      <c r="AE62" s="3">
        <v>2858</v>
      </c>
    </row>
    <row r="63" spans="2:31" x14ac:dyDescent="0.25">
      <c r="B63" s="3" t="s">
        <v>9</v>
      </c>
      <c r="C63" s="3">
        <f>(C62/B58)*100</f>
        <v>26.785714285714285</v>
      </c>
      <c r="D63" s="3"/>
      <c r="E63" s="3"/>
      <c r="F63" s="3"/>
      <c r="H63">
        <v>61</v>
      </c>
      <c r="I63" s="3">
        <v>34092</v>
      </c>
      <c r="J63" s="3">
        <v>12918</v>
      </c>
      <c r="K63" s="3">
        <v>2235</v>
      </c>
      <c r="L63" s="118">
        <f t="shared" si="0"/>
        <v>0.57445717600734136</v>
      </c>
      <c r="M63" s="118">
        <f t="shared" si="1"/>
        <v>0.71836856469990074</v>
      </c>
      <c r="P63">
        <v>61</v>
      </c>
      <c r="Q63" s="3">
        <v>41720</v>
      </c>
      <c r="R63" s="3">
        <v>12402</v>
      </c>
      <c r="S63" s="3">
        <v>6549</v>
      </c>
      <c r="V63">
        <v>61</v>
      </c>
      <c r="W63" s="3">
        <v>36030</v>
      </c>
      <c r="X63" s="3">
        <v>13740</v>
      </c>
      <c r="Y63" s="3">
        <v>2770</v>
      </c>
      <c r="AB63">
        <v>61</v>
      </c>
      <c r="AC63" s="3">
        <v>24176</v>
      </c>
      <c r="AD63" s="3">
        <v>11436</v>
      </c>
      <c r="AE63" s="3">
        <v>2548</v>
      </c>
    </row>
    <row r="64" spans="2:31" x14ac:dyDescent="0.25">
      <c r="C64" t="s">
        <v>11</v>
      </c>
      <c r="D64" t="s">
        <v>6</v>
      </c>
      <c r="H64">
        <v>62</v>
      </c>
      <c r="I64" s="3">
        <v>32608</v>
      </c>
      <c r="J64" s="3">
        <v>10908</v>
      </c>
      <c r="K64" s="3">
        <v>2923</v>
      </c>
      <c r="L64" s="118">
        <f t="shared" si="0"/>
        <v>0.54945147234680825</v>
      </c>
      <c r="M64" s="118">
        <f t="shared" si="1"/>
        <v>0.60659268491612617</v>
      </c>
      <c r="N64" s="3"/>
      <c r="P64">
        <v>62</v>
      </c>
      <c r="Q64" s="25">
        <v>50136</v>
      </c>
      <c r="R64" s="26">
        <v>24592</v>
      </c>
      <c r="S64" s="3">
        <v>3107</v>
      </c>
      <c r="V64">
        <v>62</v>
      </c>
      <c r="W64" s="21">
        <v>62711</v>
      </c>
      <c r="X64" s="22">
        <v>24798</v>
      </c>
      <c r="Y64" s="3">
        <v>3807</v>
      </c>
      <c r="AB64" t="s">
        <v>5</v>
      </c>
      <c r="AC64" s="3">
        <f>AVERAGE(AC14:AC63)</f>
        <v>38178.44</v>
      </c>
      <c r="AD64" s="3">
        <f>AVERAGE(AD14:AD63)</f>
        <v>19887.16</v>
      </c>
    </row>
    <row r="65" spans="2:32" x14ac:dyDescent="0.25">
      <c r="B65" s="29" t="s">
        <v>10</v>
      </c>
      <c r="C65">
        <f>(COUNT(C53,C43,C40,C35,C30:C31,C28,C16,C9:C14,C3:C7)/B58)*100</f>
        <v>33.928571428571431</v>
      </c>
      <c r="D65">
        <f>(COUNT(D3:D7,D9:D14,D16)/C62)*100</f>
        <v>80</v>
      </c>
      <c r="H65">
        <v>63</v>
      </c>
      <c r="I65" s="3">
        <v>40007</v>
      </c>
      <c r="J65" s="3">
        <v>17576</v>
      </c>
      <c r="K65" s="3">
        <v>3676</v>
      </c>
      <c r="L65" s="118">
        <f t="shared" si="0"/>
        <v>0.67412613635239071</v>
      </c>
      <c r="M65" s="118">
        <f t="shared" si="1"/>
        <v>0.9773994343679715</v>
      </c>
      <c r="N65" s="3"/>
      <c r="P65">
        <v>63</v>
      </c>
      <c r="Q65" s="3">
        <v>32267</v>
      </c>
      <c r="R65" s="3">
        <v>14107</v>
      </c>
      <c r="S65" s="3">
        <v>3247</v>
      </c>
      <c r="V65">
        <v>63</v>
      </c>
      <c r="W65" s="23">
        <v>67907</v>
      </c>
      <c r="X65" s="24">
        <v>30925</v>
      </c>
      <c r="Y65" s="3">
        <v>5299</v>
      </c>
      <c r="AB65" t="s">
        <v>8</v>
      </c>
      <c r="AC65" s="3">
        <f>AVERAGE(AC13:AC63)</f>
        <v>38037.549019607846</v>
      </c>
      <c r="AD65" s="3">
        <f>AVERAGE(AD13:AD63)</f>
        <v>19707.098039215685</v>
      </c>
    </row>
    <row r="66" spans="2:32" x14ac:dyDescent="0.25">
      <c r="B66" s="20" t="s">
        <v>12</v>
      </c>
      <c r="C66">
        <f>(COUNT(C37,C22,C17,C15,C8)/B58)*100</f>
        <v>8.9285714285714288</v>
      </c>
      <c r="D66">
        <f>(COUNT(C17,C15,C8)/C62)*100</f>
        <v>20</v>
      </c>
      <c r="E66" s="3"/>
      <c r="F66" s="3"/>
      <c r="H66">
        <v>64</v>
      </c>
      <c r="I66" s="3">
        <v>36606</v>
      </c>
      <c r="J66" s="3">
        <v>15141</v>
      </c>
      <c r="K66" s="3">
        <v>2887</v>
      </c>
      <c r="L66" s="118">
        <f t="shared" si="0"/>
        <v>0.61681859042956522</v>
      </c>
      <c r="M66" s="118">
        <f t="shared" si="1"/>
        <v>0.84198935114732909</v>
      </c>
      <c r="N66" s="3"/>
      <c r="P66">
        <v>64</v>
      </c>
      <c r="Q66" s="3">
        <v>41018</v>
      </c>
      <c r="R66" s="3">
        <v>15018</v>
      </c>
      <c r="S66" s="3">
        <v>5400</v>
      </c>
      <c r="V66">
        <v>64</v>
      </c>
      <c r="W66" s="3">
        <v>45963</v>
      </c>
      <c r="X66" s="3">
        <v>21827</v>
      </c>
      <c r="Y66" s="3">
        <v>3636</v>
      </c>
      <c r="AB66" s="5" t="s">
        <v>7</v>
      </c>
      <c r="AC66" s="3">
        <f>AVERAGE(AC3:AC12)</f>
        <v>58097.2</v>
      </c>
      <c r="AD66" s="3">
        <f>AVERAGE(AD3:AD12)</f>
        <v>25129.1</v>
      </c>
    </row>
    <row r="67" spans="2:32" x14ac:dyDescent="0.25">
      <c r="B67" s="9" t="s">
        <v>13</v>
      </c>
      <c r="C67">
        <f>(COUNT(D54,D47,D44,D41,D38:D39,D36,D33)/B58)*100</f>
        <v>14.285714285714285</v>
      </c>
      <c r="D67">
        <f>(0/C62)*100</f>
        <v>0</v>
      </c>
      <c r="H67">
        <v>65</v>
      </c>
      <c r="I67" s="3">
        <v>42393</v>
      </c>
      <c r="J67" s="3">
        <v>9518</v>
      </c>
      <c r="K67" s="3">
        <v>3455</v>
      </c>
      <c r="L67" s="118">
        <f t="shared" si="0"/>
        <v>0.7143307245828705</v>
      </c>
      <c r="M67" s="118">
        <f t="shared" si="1"/>
        <v>0.52929493720495857</v>
      </c>
      <c r="N67" s="3"/>
      <c r="P67">
        <v>65</v>
      </c>
      <c r="Q67" s="3">
        <v>45835</v>
      </c>
      <c r="R67" s="3">
        <v>18176</v>
      </c>
      <c r="S67" s="3">
        <v>5400</v>
      </c>
      <c r="V67">
        <v>65</v>
      </c>
      <c r="W67" s="3">
        <v>31412</v>
      </c>
      <c r="X67" s="3">
        <v>16342</v>
      </c>
      <c r="Y67" s="3">
        <v>3298</v>
      </c>
      <c r="AB67" t="s">
        <v>14</v>
      </c>
      <c r="AC67">
        <f>COUNT(AE3:AE12)</f>
        <v>10</v>
      </c>
    </row>
    <row r="68" spans="2:32" x14ac:dyDescent="0.25">
      <c r="B68" t="s">
        <v>15</v>
      </c>
      <c r="C68">
        <f>(COUNT(C55:C58,C48:C52,C45:C46,C42,C34,C32,C29,C23:C27,C19:C21,C18)/B58)*100</f>
        <v>42.857142857142854</v>
      </c>
      <c r="D68">
        <f>(0/C62)*100</f>
        <v>0</v>
      </c>
      <c r="H68">
        <v>66</v>
      </c>
      <c r="I68" s="3">
        <v>22201</v>
      </c>
      <c r="J68" s="3">
        <v>7435</v>
      </c>
      <c r="K68" s="3">
        <v>2037</v>
      </c>
      <c r="L68" s="118">
        <f t="shared" ref="L68:L71" si="9">I68/$I$72</f>
        <v>0.37409139283523951</v>
      </c>
      <c r="M68" s="118">
        <f t="shared" ref="M68:M71" si="10">J68/$J$72</f>
        <v>0.4134595354190867</v>
      </c>
      <c r="N68" s="3"/>
      <c r="P68">
        <v>66</v>
      </c>
      <c r="Q68" s="3">
        <v>30917</v>
      </c>
      <c r="R68" s="3">
        <v>8789</v>
      </c>
      <c r="S68" s="3">
        <v>2895</v>
      </c>
      <c r="V68">
        <v>66</v>
      </c>
      <c r="W68" s="3">
        <v>31054</v>
      </c>
      <c r="X68" s="3">
        <v>16054</v>
      </c>
      <c r="Y68" s="3">
        <v>3576</v>
      </c>
      <c r="AB68" s="3" t="s">
        <v>9</v>
      </c>
      <c r="AC68" s="3">
        <f>(AC67/AB63)*100</f>
        <v>16.393442622950818</v>
      </c>
      <c r="AD68" s="3"/>
    </row>
    <row r="69" spans="2:32" x14ac:dyDescent="0.25">
      <c r="B69" t="s">
        <v>11</v>
      </c>
      <c r="C69">
        <f>SUM(C65:C68)</f>
        <v>100</v>
      </c>
      <c r="D69">
        <f>SUM(D65:D68)</f>
        <v>100</v>
      </c>
      <c r="H69">
        <v>67</v>
      </c>
      <c r="I69" s="3">
        <v>47851</v>
      </c>
      <c r="J69" s="3">
        <v>15453</v>
      </c>
      <c r="K69" s="3">
        <v>2404</v>
      </c>
      <c r="L69" s="118">
        <f t="shared" si="9"/>
        <v>0.80629914141520853</v>
      </c>
      <c r="M69" s="118">
        <f t="shared" si="10"/>
        <v>0.85933963696451199</v>
      </c>
      <c r="N69" s="3"/>
      <c r="P69">
        <v>67</v>
      </c>
      <c r="Q69" s="3">
        <v>22060</v>
      </c>
      <c r="R69" s="3">
        <v>6978</v>
      </c>
      <c r="S69" s="3">
        <v>2209</v>
      </c>
      <c r="V69">
        <v>67</v>
      </c>
      <c r="W69" s="3">
        <v>41893</v>
      </c>
      <c r="X69" s="3">
        <v>20357</v>
      </c>
      <c r="Y69" s="3">
        <v>4054</v>
      </c>
      <c r="AC69" t="s">
        <v>11</v>
      </c>
      <c r="AD69" t="s">
        <v>6</v>
      </c>
    </row>
    <row r="70" spans="2:32" x14ac:dyDescent="0.25">
      <c r="B70" s="3"/>
      <c r="C70" s="3"/>
      <c r="D70" s="3"/>
      <c r="E70" s="3"/>
      <c r="F70" s="3"/>
      <c r="H70">
        <v>68</v>
      </c>
      <c r="I70" s="3">
        <v>20333</v>
      </c>
      <c r="J70" s="3">
        <v>8406</v>
      </c>
      <c r="K70" s="3">
        <v>1875</v>
      </c>
      <c r="L70" s="118">
        <f t="shared" si="9"/>
        <v>0.34261521059947408</v>
      </c>
      <c r="M70" s="118">
        <f t="shared" si="10"/>
        <v>0.46745673903602458</v>
      </c>
      <c r="N70" s="3"/>
      <c r="P70">
        <v>68</v>
      </c>
      <c r="Q70" s="3">
        <v>48109</v>
      </c>
      <c r="R70" s="3">
        <v>19727</v>
      </c>
      <c r="S70" s="3">
        <v>2477</v>
      </c>
      <c r="V70">
        <v>68</v>
      </c>
      <c r="W70" s="3">
        <v>30095</v>
      </c>
      <c r="X70" s="3">
        <v>16973</v>
      </c>
      <c r="Y70" s="3">
        <v>7757</v>
      </c>
      <c r="AB70" s="29" t="s">
        <v>10</v>
      </c>
      <c r="AC70">
        <f>(COUNT(AC60,AC57,AC48:AC49,AC43:AC44,AC41,AC37,AC34:AC35,AC32,AC29,AC25,AC21:AC22,AC3:AC11)/AB63)*100</f>
        <v>39.344262295081968</v>
      </c>
      <c r="AD70">
        <f>(COUNT(AD3:AD11)/AC67)*100</f>
        <v>90</v>
      </c>
    </row>
    <row r="71" spans="2:32" x14ac:dyDescent="0.25">
      <c r="B71" t="s">
        <v>16</v>
      </c>
      <c r="C71" s="3">
        <f>AVERAGE(C53,C54,C47,C43:C44,C38:C41,C35:C36,C30:C31,C33,C28,C16,C9:C14,C3:C7)</f>
        <v>87442.518518518526</v>
      </c>
      <c r="H71">
        <v>69</v>
      </c>
      <c r="I71" s="3">
        <v>20005</v>
      </c>
      <c r="J71" s="3">
        <v>8283</v>
      </c>
      <c r="K71" s="3">
        <v>2046</v>
      </c>
      <c r="L71" s="118">
        <f t="shared" si="9"/>
        <v>0.33708834348312988</v>
      </c>
      <c r="M71" s="118">
        <f t="shared" si="10"/>
        <v>0.46061672251194286</v>
      </c>
      <c r="N71" s="3"/>
      <c r="P71">
        <v>69</v>
      </c>
      <c r="Q71" s="3">
        <v>32357</v>
      </c>
      <c r="R71" s="3">
        <v>12258</v>
      </c>
      <c r="S71" s="3">
        <v>2835</v>
      </c>
      <c r="V71">
        <v>69</v>
      </c>
      <c r="W71" s="25">
        <v>53596</v>
      </c>
      <c r="X71" s="26">
        <v>23044</v>
      </c>
      <c r="Y71" s="3">
        <v>3419</v>
      </c>
      <c r="AB71" s="20" t="s">
        <v>12</v>
      </c>
      <c r="AC71">
        <f>(COUNT(AC30,AC27,AC16,AC14)/AB63)*100</f>
        <v>6.557377049180328</v>
      </c>
      <c r="AD71">
        <f>(0/AC67)*100</f>
        <v>0</v>
      </c>
    </row>
    <row r="72" spans="2:32" x14ac:dyDescent="0.25">
      <c r="B72" t="s">
        <v>19</v>
      </c>
      <c r="C72" s="3">
        <f>AVERAGE(C55:C58,C48:C52,C45:C46,C42,C37,C34,C32,C29,C17:C27,C15,C8)</f>
        <v>53232.413793103449</v>
      </c>
      <c r="H72" t="s">
        <v>5</v>
      </c>
      <c r="I72" s="3">
        <f>AVERAGE(I9:I71)</f>
        <v>59346.460317460318</v>
      </c>
      <c r="J72" s="3">
        <f>AVERAGE(J9:J71)</f>
        <v>17982.4126984127</v>
      </c>
      <c r="P72">
        <v>70</v>
      </c>
      <c r="Q72" s="3">
        <v>32333</v>
      </c>
      <c r="R72" s="3">
        <v>10806</v>
      </c>
      <c r="S72" s="3">
        <v>4817</v>
      </c>
      <c r="V72">
        <v>70</v>
      </c>
      <c r="W72" s="3">
        <v>28940</v>
      </c>
      <c r="X72" s="3">
        <v>17054</v>
      </c>
      <c r="Y72" s="3">
        <v>3042</v>
      </c>
      <c r="AB72" s="9" t="s">
        <v>13</v>
      </c>
      <c r="AC72">
        <f>(COUNT(AD40,AD28,AD19)/AB63)*100</f>
        <v>4.918032786885246</v>
      </c>
      <c r="AD72">
        <f>(0/AC67)*100</f>
        <v>0</v>
      </c>
    </row>
    <row r="73" spans="2:32" x14ac:dyDescent="0.25">
      <c r="H73" t="s">
        <v>8</v>
      </c>
      <c r="I73" s="3">
        <f>AVERAGE(I21:I71)</f>
        <v>51700.039215686273</v>
      </c>
      <c r="J73" s="3">
        <f>AVERAGE(J21:J71)</f>
        <v>17099.921568627451</v>
      </c>
      <c r="K73" s="3"/>
      <c r="L73" s="3"/>
      <c r="M73" s="3"/>
      <c r="N73" s="3"/>
      <c r="P73">
        <v>71</v>
      </c>
      <c r="Q73" s="3">
        <v>20824</v>
      </c>
      <c r="R73" s="3">
        <v>8118</v>
      </c>
      <c r="S73" s="3">
        <v>4451</v>
      </c>
      <c r="V73">
        <v>71</v>
      </c>
      <c r="W73" s="3">
        <v>25520</v>
      </c>
      <c r="X73" s="3">
        <v>12740</v>
      </c>
      <c r="Y73" s="3">
        <v>5360</v>
      </c>
      <c r="AB73" t="s">
        <v>15</v>
      </c>
      <c r="AC73">
        <f>(COUNT(AC61:AC63,AC58:AC59,AC50:AC56,AC45:AC47,AC42,AC38:AC39,AC36,AC33,AC31,AC26,AC23:AC24,AC20,AC17:AC18,AC15,AC12:AC13)/AB63)*100</f>
        <v>49.180327868852459</v>
      </c>
      <c r="AD73">
        <f>(COUNT(AD12)/AC67)*100</f>
        <v>10</v>
      </c>
    </row>
    <row r="74" spans="2:32" x14ac:dyDescent="0.25">
      <c r="B74" t="s">
        <v>17</v>
      </c>
      <c r="D74" s="3">
        <f>AVERAGE(D53,D43,D40,D37,D35,D30:D31,D28,D22,D3:D17)</f>
        <v>23604.208333333332</v>
      </c>
      <c r="H74" s="5" t="s">
        <v>7</v>
      </c>
      <c r="I74" s="3">
        <f>AVERAGE(I3:I20)</f>
        <v>93617.222222222219</v>
      </c>
      <c r="J74" s="3">
        <f>AVERAGE(J3:J20)</f>
        <v>22668.777777777777</v>
      </c>
      <c r="P74">
        <v>72</v>
      </c>
      <c r="Q74" s="3">
        <v>36402</v>
      </c>
      <c r="R74" s="3">
        <v>15609</v>
      </c>
      <c r="S74" s="3">
        <v>5337</v>
      </c>
      <c r="V74">
        <v>72</v>
      </c>
      <c r="W74" s="3">
        <v>22147</v>
      </c>
      <c r="X74" s="3">
        <v>12512</v>
      </c>
      <c r="Y74" s="3">
        <v>3535</v>
      </c>
      <c r="AB74" t="s">
        <v>11</v>
      </c>
      <c r="AC74">
        <f>SUM(AC70:AC73)</f>
        <v>100</v>
      </c>
      <c r="AD74">
        <f>SUM(AD70:AD73)</f>
        <v>100</v>
      </c>
    </row>
    <row r="75" spans="2:32" x14ac:dyDescent="0.25">
      <c r="B75" t="s">
        <v>18</v>
      </c>
      <c r="D75" s="3">
        <f>AVERAGE(D54:D58,D44:D52,D41:D42,D36:D39,D32:D34,D29,D17:D27,D15,D8)</f>
        <v>14422.702702702703</v>
      </c>
      <c r="H75" t="s">
        <v>14</v>
      </c>
      <c r="I75">
        <f>COUNT(K3:K20)</f>
        <v>18</v>
      </c>
      <c r="P75">
        <v>73</v>
      </c>
      <c r="Q75" s="25">
        <v>55822</v>
      </c>
      <c r="R75" s="26">
        <v>24185</v>
      </c>
      <c r="S75" s="3">
        <v>3599</v>
      </c>
      <c r="V75">
        <v>73</v>
      </c>
      <c r="W75" s="3">
        <v>21991</v>
      </c>
      <c r="X75" s="3">
        <v>10991</v>
      </c>
      <c r="Y75" s="3">
        <v>3920</v>
      </c>
      <c r="AB75" s="3"/>
      <c r="AC75" s="3"/>
      <c r="AD75" s="3"/>
    </row>
    <row r="76" spans="2:32" x14ac:dyDescent="0.25">
      <c r="H76" s="3" t="s">
        <v>9</v>
      </c>
      <c r="I76" s="3">
        <f>(I75/H71)*100</f>
        <v>26.086956521739129</v>
      </c>
      <c r="J76" s="3"/>
      <c r="P76">
        <v>74</v>
      </c>
      <c r="Q76" s="3">
        <v>23733</v>
      </c>
      <c r="R76" s="3">
        <v>12767</v>
      </c>
      <c r="S76" s="3">
        <v>2523</v>
      </c>
      <c r="V76">
        <v>74</v>
      </c>
      <c r="W76" s="3">
        <v>30900</v>
      </c>
      <c r="X76" s="3">
        <v>13400</v>
      </c>
      <c r="Y76" s="3">
        <v>3446</v>
      </c>
      <c r="AB76" t="s">
        <v>16</v>
      </c>
      <c r="AC76" s="3">
        <f>AVERAGE(AC57,AC49,AC48,AC43:AC44,AC41,AC37,AC34:AC35,AC40,AC32,AC28:AC29,AC25,AC21:AC22,AC19,AC3:AC11)</f>
        <v>54585.615384615383</v>
      </c>
    </row>
    <row r="77" spans="2:32" x14ac:dyDescent="0.25">
      <c r="I77" t="s">
        <v>11</v>
      </c>
      <c r="J77" t="s">
        <v>6</v>
      </c>
      <c r="K77" s="3"/>
      <c r="L77" s="3"/>
      <c r="M77" s="3"/>
      <c r="N77" s="3"/>
      <c r="P77">
        <v>75</v>
      </c>
      <c r="Q77" s="3">
        <v>24822</v>
      </c>
      <c r="R77" s="3">
        <v>4808</v>
      </c>
      <c r="S77" s="3">
        <v>2973</v>
      </c>
      <c r="V77" t="s">
        <v>5</v>
      </c>
      <c r="W77" s="3">
        <f>AVERAGE(W15:W76)</f>
        <v>43323.951612903227</v>
      </c>
      <c r="X77" s="3">
        <f>AVERAGE(X15:X76)</f>
        <v>22465.274193548386</v>
      </c>
      <c r="AB77" t="s">
        <v>19</v>
      </c>
      <c r="AC77" s="3">
        <f>AVERAGE(AC61:AC63,AC58:AC59,AC50:AC56,AC45:AC47,AC42,AC38:AC39,AC36,AC33,AC31,AC30,AC26:AC27,AC23:AC24,AC20,AC12:AC18)</f>
        <v>31266.441176470587</v>
      </c>
      <c r="AE77" s="3"/>
      <c r="AF77" s="3"/>
    </row>
    <row r="78" spans="2:32" x14ac:dyDescent="0.25">
      <c r="B78" s="3"/>
      <c r="C78" s="3"/>
      <c r="D78" s="3" t="s">
        <v>27</v>
      </c>
      <c r="E78" s="3" t="s">
        <v>28</v>
      </c>
      <c r="F78" s="3" t="s">
        <v>29</v>
      </c>
      <c r="H78" s="29" t="s">
        <v>10</v>
      </c>
      <c r="I78">
        <f>(COUNT(I58:I59,I56,I51,I46,I42:I44,I37,I32:I33,I30,I21,I11:I17,I5:I9,I3)/H71)*100</f>
        <v>37.681159420289859</v>
      </c>
      <c r="J78">
        <f>(COUNT(J3,J5:J9,J11:J17)/I75)*100</f>
        <v>72.222222222222214</v>
      </c>
      <c r="P78">
        <v>76</v>
      </c>
      <c r="Q78" s="3">
        <v>18714</v>
      </c>
      <c r="R78" s="3">
        <v>7698</v>
      </c>
      <c r="S78" s="3">
        <v>2444</v>
      </c>
      <c r="V78" t="s">
        <v>8</v>
      </c>
      <c r="W78" s="3">
        <f>AVERAGE(W21:W76)</f>
        <v>41927.125</v>
      </c>
      <c r="X78" s="3">
        <f>AVERAGE(X21:X76)</f>
        <v>21954.303571428572</v>
      </c>
      <c r="AE78" s="3"/>
      <c r="AF78" s="3"/>
    </row>
    <row r="79" spans="2:32" x14ac:dyDescent="0.25">
      <c r="B79" s="10" t="s">
        <v>20</v>
      </c>
      <c r="C79" s="10">
        <f>COUNT(C53,C43,C40,C35,C30,C31,C28,C16,C9:C14,C3:C7,C8,C15,C17,C37)</f>
        <v>23</v>
      </c>
      <c r="D79" s="10">
        <f>(C79/$B$58)*100</f>
        <v>41.071428571428569</v>
      </c>
      <c r="E79" s="10">
        <f>(C79/$C$79)*100</f>
        <v>100</v>
      </c>
      <c r="F79" s="10"/>
      <c r="H79" s="20" t="s">
        <v>12</v>
      </c>
      <c r="I79">
        <f>(COUNT(I62,I53,I18:I19,I10)/H71)*100</f>
        <v>7.2463768115942031</v>
      </c>
      <c r="J79">
        <f>(COUNT(I18:I19,I10)/I75)*100</f>
        <v>16.666666666666664</v>
      </c>
      <c r="P79">
        <v>77</v>
      </c>
      <c r="Q79" s="3">
        <v>46929</v>
      </c>
      <c r="R79" s="3">
        <v>17723</v>
      </c>
      <c r="S79" s="3">
        <v>3234</v>
      </c>
      <c r="V79" s="5" t="s">
        <v>7</v>
      </c>
      <c r="W79" s="3">
        <f>AVERAGE(W3:W20)</f>
        <v>63107.555555555555</v>
      </c>
      <c r="X79" s="3">
        <f>AVERAGE(X3:X20)</f>
        <v>28551.444444444445</v>
      </c>
      <c r="AB79" t="s">
        <v>17</v>
      </c>
      <c r="AD79" s="3">
        <f>AVERAGE(AD60,AD57,AD41,AD48:AD49,AD44,AD29:AD30,AD37,AD43,AD34:AD35,AD32,AD27,AD25,AD21:AD22,AD6:AD11,AD14,AD16)</f>
        <v>26605.439999999999</v>
      </c>
      <c r="AE79" s="3"/>
      <c r="AF79" s="3"/>
    </row>
    <row r="80" spans="2:32" x14ac:dyDescent="0.25">
      <c r="B80" s="9" t="s">
        <v>21</v>
      </c>
      <c r="C80" s="9">
        <f>COUNT(D47,D43:D44,D38:D41,D36,D35,D33,D30:D31,D28,D16,D9:D14,D3:D7)</f>
        <v>25</v>
      </c>
      <c r="D80" s="8">
        <f t="shared" ref="D80:D85" si="11">(C80/$B$58)*100</f>
        <v>44.642857142857146</v>
      </c>
      <c r="E80" s="8"/>
      <c r="F80" s="9">
        <f>(C80/$C$80)*100</f>
        <v>100</v>
      </c>
      <c r="H80" s="9" t="s">
        <v>13</v>
      </c>
      <c r="I80">
        <f>(COUNT(J48,J38,J23:J25,J20)/H71)*100</f>
        <v>8.695652173913043</v>
      </c>
      <c r="J80">
        <f>(COUNT(J20)/I75)*100</f>
        <v>5.5555555555555554</v>
      </c>
      <c r="P80">
        <v>78</v>
      </c>
      <c r="Q80" s="3">
        <v>17401</v>
      </c>
      <c r="R80" s="3">
        <v>8612</v>
      </c>
      <c r="S80" s="3">
        <v>2041</v>
      </c>
      <c r="V80" t="s">
        <v>14</v>
      </c>
      <c r="W80">
        <f>COUNT(Y3:Y20)</f>
        <v>18</v>
      </c>
      <c r="AB80" t="s">
        <v>18</v>
      </c>
      <c r="AD80" s="3">
        <f>AVERAGE(AD50:AD56,AD61:AD63,AD58:AD59,AD45:AD47,AD42,AD38:AD40,AD36,AD33,AD31,AD28,AD26,AD23:AD24,AD17:AD20,AD15,AD12:AD13)</f>
        <v>15322.242424242424</v>
      </c>
      <c r="AE80" s="3"/>
      <c r="AF80" s="3"/>
    </row>
    <row r="81" spans="2:81" x14ac:dyDescent="0.25">
      <c r="B81" s="20" t="s">
        <v>22</v>
      </c>
      <c r="C81" s="20">
        <f>COUNT(C37,C22,C17,C15,C8)</f>
        <v>5</v>
      </c>
      <c r="D81" s="10">
        <f t="shared" si="11"/>
        <v>8.9285714285714288</v>
      </c>
      <c r="E81" s="10">
        <f>(C81/$C$79)*100</f>
        <v>21.739130434782609</v>
      </c>
      <c r="F81" s="20"/>
      <c r="G81" s="3"/>
      <c r="H81" t="s">
        <v>15</v>
      </c>
      <c r="I81">
        <f>(COUNT(I60:I61,I63:I71,I57,I54:I55,I52,I49:I50,I47,I45,I39:I41,I34:I36,I31,I27:I29,I26,I22,I4)/H71)*100</f>
        <v>46.376811594202898</v>
      </c>
      <c r="J81">
        <f>(COUNT(I4)/I75)*100</f>
        <v>5.5555555555555554</v>
      </c>
      <c r="O81" s="3"/>
      <c r="P81">
        <v>79</v>
      </c>
      <c r="Q81" s="3">
        <v>37250</v>
      </c>
      <c r="R81" s="3">
        <v>13115</v>
      </c>
      <c r="S81" s="3">
        <v>2865</v>
      </c>
      <c r="U81" s="3"/>
      <c r="V81" s="3" t="s">
        <v>9</v>
      </c>
      <c r="W81" s="3">
        <f>(W80/V76)*100</f>
        <v>24.324324324324326</v>
      </c>
      <c r="X81" s="3"/>
      <c r="AA81" s="3"/>
      <c r="AB81" s="3"/>
      <c r="AC81" s="3"/>
      <c r="AD81" s="3" t="s">
        <v>27</v>
      </c>
      <c r="AE81" s="3" t="s">
        <v>28</v>
      </c>
      <c r="AF81" s="3" t="s">
        <v>29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2:81" x14ac:dyDescent="0.25">
      <c r="B82" s="9" t="s">
        <v>23</v>
      </c>
      <c r="C82" s="9">
        <f>COUNT(D54,D47,D44,D41,D38:D39,D36,D33)</f>
        <v>8</v>
      </c>
      <c r="D82" s="8">
        <f t="shared" si="11"/>
        <v>14.285714285714285</v>
      </c>
      <c r="E82" s="8"/>
      <c r="F82" s="9">
        <f>(C82/$C$80)*100</f>
        <v>32</v>
      </c>
      <c r="H82" t="s">
        <v>11</v>
      </c>
      <c r="I82">
        <f>SUM(I78:I81)</f>
        <v>100</v>
      </c>
      <c r="J82">
        <f>SUM(J78:J81)</f>
        <v>100</v>
      </c>
      <c r="P82">
        <v>80</v>
      </c>
      <c r="Q82" s="3">
        <v>17059</v>
      </c>
      <c r="R82" s="3">
        <v>8088</v>
      </c>
      <c r="S82" s="3">
        <v>2157</v>
      </c>
      <c r="W82" t="s">
        <v>11</v>
      </c>
      <c r="X82" t="s">
        <v>6</v>
      </c>
      <c r="AB82" s="10" t="s">
        <v>20</v>
      </c>
      <c r="AC82" s="10">
        <f>COUNT(AC60,AC57,AC48:AC49,AC43:AC44,AC41,AC37,AC34:AC35,AC32,AC29:AC30,AC27,AC25,AC21:AC22,AC16,AC14,AC3:AC11)</f>
        <v>28</v>
      </c>
      <c r="AD82" s="10">
        <f>(AC82/$AB$63)*100</f>
        <v>45.901639344262293</v>
      </c>
      <c r="AE82" s="10">
        <f>(AC82/$AC$82)*100</f>
        <v>100</v>
      </c>
      <c r="AF82" s="10"/>
    </row>
    <row r="83" spans="2:81" x14ac:dyDescent="0.25">
      <c r="B83" s="7" t="s">
        <v>24</v>
      </c>
      <c r="C83" s="6">
        <f>B58-C79</f>
        <v>33</v>
      </c>
      <c r="D83" s="6">
        <f t="shared" si="11"/>
        <v>58.928571428571431</v>
      </c>
      <c r="E83" s="6"/>
      <c r="F83" s="7"/>
      <c r="H83" s="3"/>
      <c r="I83" s="3"/>
      <c r="J83" s="3"/>
      <c r="P83">
        <v>81</v>
      </c>
      <c r="Q83" s="3">
        <v>22429</v>
      </c>
      <c r="R83" s="3">
        <v>11694</v>
      </c>
      <c r="S83" s="3">
        <v>1816</v>
      </c>
      <c r="V83" s="29" t="s">
        <v>10</v>
      </c>
      <c r="W83">
        <f>(COUNT(W71,W64:W65,W61,W55,W49:W51,W47,W42:W43,W33,W31,W25:W27,W13:W20,W12,W4:W10)/V76)*100</f>
        <v>43.243243243243242</v>
      </c>
      <c r="X83">
        <f>(COUNT(X4:X10,X12:X20)/W80)*100</f>
        <v>88.888888888888886</v>
      </c>
      <c r="AB83" s="9" t="s">
        <v>21</v>
      </c>
      <c r="AC83" s="9">
        <f>COUNT(AD60,AD57,AD48,AD49,AD43:AD44,AD40:AD41,AD37,AD35,AD32,AD28:AD29,AD25,AD21:AD22,AD19,AD3:AD11)</f>
        <v>26</v>
      </c>
      <c r="AD83" s="8">
        <f t="shared" ref="AD83:AD88" si="12">(AC83/$AB$63)*100</f>
        <v>42.622950819672127</v>
      </c>
      <c r="AE83" s="8"/>
      <c r="AF83" s="9">
        <f>(AC83/$AC$83)*100</f>
        <v>100</v>
      </c>
    </row>
    <row r="84" spans="2:81" x14ac:dyDescent="0.25">
      <c r="B84" s="7" t="s">
        <v>25</v>
      </c>
      <c r="C84" s="7">
        <f>B58-C80</f>
        <v>31</v>
      </c>
      <c r="D84" s="6">
        <f t="shared" si="11"/>
        <v>55.357142857142861</v>
      </c>
      <c r="E84" s="6"/>
      <c r="F84" s="7"/>
      <c r="G84" s="3"/>
      <c r="H84" t="s">
        <v>16</v>
      </c>
      <c r="I84" s="3">
        <f>AVERAGE(I58:I59,I56,I51,I46,I42:I44,I37,I32:I33,I30,I23:I25,I21,I20,I11:I17,I5:I9,I3)</f>
        <v>84138.03333333334</v>
      </c>
      <c r="O84" s="3"/>
      <c r="P84">
        <v>82</v>
      </c>
      <c r="Q84" s="3">
        <v>25759</v>
      </c>
      <c r="R84" s="3">
        <v>14103</v>
      </c>
      <c r="S84" s="3">
        <v>2931</v>
      </c>
      <c r="U84" s="3"/>
      <c r="V84" s="20" t="s">
        <v>12</v>
      </c>
      <c r="W84">
        <f>(COUNT(W66,W62,W48,W40,W29,W11,W3)/V76)*100</f>
        <v>9.4594594594594597</v>
      </c>
      <c r="X84">
        <f>(COUNT(W3,W11)/W80)*100</f>
        <v>11.111111111111111</v>
      </c>
      <c r="AA84" s="3"/>
      <c r="AB84" s="20" t="s">
        <v>22</v>
      </c>
      <c r="AC84" s="20">
        <f>COUNT(AC30,AC27,AC16,AC14)</f>
        <v>4</v>
      </c>
      <c r="AD84" s="10">
        <f t="shared" si="12"/>
        <v>6.557377049180328</v>
      </c>
      <c r="AE84" s="10">
        <f>(AC84/$AC$82)*100</f>
        <v>14.285714285714285</v>
      </c>
      <c r="AF84" s="20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</row>
    <row r="85" spans="2:81" x14ac:dyDescent="0.25">
      <c r="B85" s="36" t="s">
        <v>26</v>
      </c>
      <c r="C85" s="33">
        <f>C79-C81</f>
        <v>18</v>
      </c>
      <c r="D85" s="33">
        <f t="shared" si="11"/>
        <v>32.142857142857146</v>
      </c>
      <c r="E85" s="33">
        <f>(C85/$C$79)*100</f>
        <v>78.260869565217391</v>
      </c>
      <c r="F85" s="35">
        <f>(C85/$C$80)*100</f>
        <v>72</v>
      </c>
      <c r="H85" t="s">
        <v>19</v>
      </c>
      <c r="I85" s="3">
        <f>AVERAGE(I60:I71,I57,I52:I54,I55,I49:I50,I47,I45,I39:I41,I34:I36,I31,I26:I29,I22,I19,I18,I10,I4)</f>
        <v>45868.729729729726</v>
      </c>
      <c r="P85">
        <v>83</v>
      </c>
      <c r="Q85" s="3">
        <v>29992</v>
      </c>
      <c r="R85" s="3">
        <v>12575</v>
      </c>
      <c r="S85" s="3">
        <v>3458</v>
      </c>
      <c r="V85" s="9" t="s">
        <v>13</v>
      </c>
      <c r="W85">
        <f>(COUNT(X38:X39,X35,X32)/V76)*100</f>
        <v>5.4054054054054053</v>
      </c>
      <c r="X85">
        <f>(0/W80)*100</f>
        <v>0</v>
      </c>
      <c r="AB85" s="9" t="s">
        <v>23</v>
      </c>
      <c r="AC85" s="9">
        <f>COUNT(AD40,AD28,AD19)</f>
        <v>3</v>
      </c>
      <c r="AD85" s="8">
        <f t="shared" si="12"/>
        <v>4.918032786885246</v>
      </c>
      <c r="AE85" s="8"/>
      <c r="AF85" s="9">
        <f>(AC85/$AC$83)*100</f>
        <v>11.538461538461538</v>
      </c>
    </row>
    <row r="86" spans="2:81" x14ac:dyDescent="0.25">
      <c r="P86" t="s">
        <v>5</v>
      </c>
      <c r="Q86" s="3">
        <f>AVERAGE(Q4:Q75)</f>
        <v>50116.791666666664</v>
      </c>
      <c r="R86" s="3">
        <f>AVERAGE(R4:R75)</f>
        <v>20349.652777777777</v>
      </c>
      <c r="V86" t="s">
        <v>15</v>
      </c>
      <c r="W86">
        <f>(COUNT(W72:W76,W67:W70,W63,W56:W60,W52:W54,W44:W46,W41,W36:W37,W34,W30,W28,W21:W24)/V76)*100</f>
        <v>41.891891891891895</v>
      </c>
      <c r="X86">
        <f>(0/W80)*100</f>
        <v>0</v>
      </c>
      <c r="AB86" s="7" t="s">
        <v>24</v>
      </c>
      <c r="AC86" s="6">
        <f>AB63-AC82</f>
        <v>33</v>
      </c>
      <c r="AD86" s="6">
        <f t="shared" si="12"/>
        <v>54.098360655737707</v>
      </c>
      <c r="AE86" s="6"/>
      <c r="AF86" s="7"/>
    </row>
    <row r="87" spans="2:81" x14ac:dyDescent="0.25">
      <c r="H87" t="s">
        <v>17</v>
      </c>
      <c r="J87" s="3">
        <f>AVERAGE(J62,J58:J59,J56,J53,J51,J46,J42:J44,J37,J32:J33,J30,J21,J11:J17,J5:J9,J3,J18:J19)</f>
        <v>24397.1</v>
      </c>
      <c r="P87" t="s">
        <v>8</v>
      </c>
      <c r="Q87" s="3">
        <f>AVERAGE(Q19:Q85)</f>
        <v>40319.149253731346</v>
      </c>
      <c r="R87" s="3">
        <f>AVERAGE(R19:R85)</f>
        <v>17572</v>
      </c>
      <c r="V87" t="s">
        <v>11</v>
      </c>
      <c r="W87">
        <f>SUM(W83:W86)</f>
        <v>100</v>
      </c>
      <c r="X87">
        <f>SUM(X83:X86)</f>
        <v>100</v>
      </c>
      <c r="AB87" s="7" t="s">
        <v>25</v>
      </c>
      <c r="AC87" s="7">
        <f>AB63-AC83</f>
        <v>35</v>
      </c>
      <c r="AD87" s="6">
        <f t="shared" si="12"/>
        <v>57.377049180327866</v>
      </c>
      <c r="AE87" s="6"/>
      <c r="AF87" s="7"/>
    </row>
    <row r="88" spans="2:81" x14ac:dyDescent="0.25">
      <c r="G88" s="3"/>
      <c r="H88" t="s">
        <v>18</v>
      </c>
      <c r="J88" s="3">
        <f>AVERAGE(J63:J71,J60:J61,J57,J54:J55,J52,J49:J50,J47,J45,J39:J41,J38,J48,J34:J36,J31,J22:J29,J20,J4)</f>
        <v>14103.21052631579</v>
      </c>
      <c r="O88" s="3"/>
      <c r="P88" s="5" t="s">
        <v>7</v>
      </c>
      <c r="Q88" s="3">
        <f>AVERAGE(Q3:Q20)</f>
        <v>78390.277777777781</v>
      </c>
      <c r="R88" s="3">
        <f>AVERAGE(R3:R20)</f>
        <v>26915.444444444445</v>
      </c>
      <c r="U88" s="3"/>
      <c r="V88" s="3"/>
      <c r="W88" s="3"/>
      <c r="X88" s="3"/>
      <c r="AA88" s="3"/>
      <c r="AB88" s="36" t="s">
        <v>26</v>
      </c>
      <c r="AC88" s="33">
        <f>AC82-AC84</f>
        <v>24</v>
      </c>
      <c r="AD88" s="33">
        <f t="shared" si="12"/>
        <v>39.344262295081968</v>
      </c>
      <c r="AE88" s="33">
        <f>(AC88/$AC$82)*100</f>
        <v>85.714285714285708</v>
      </c>
      <c r="AF88" s="35">
        <f>(AC88/$AC$83)*100</f>
        <v>92.307692307692307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spans="2:81" x14ac:dyDescent="0.25">
      <c r="B89" s="58"/>
      <c r="C89" s="59" t="s">
        <v>1</v>
      </c>
      <c r="D89" s="59" t="s">
        <v>2</v>
      </c>
      <c r="E89" s="59" t="s">
        <v>39</v>
      </c>
      <c r="F89" s="60" t="s">
        <v>40</v>
      </c>
      <c r="P89" t="s">
        <v>14</v>
      </c>
      <c r="Q89">
        <f>COUNT(S3:S20)</f>
        <v>18</v>
      </c>
      <c r="S89" s="3"/>
      <c r="T89" s="3"/>
      <c r="V89" t="s">
        <v>16</v>
      </c>
      <c r="W89" s="3">
        <f>AVERAGE(W71,W64:W65,W61,W55,W49:W51,W47,W42:W43,W38:W39,W35,W31:W33,W25:W27,W12:W20,W4:W10)</f>
        <v>60706.694444444445</v>
      </c>
    </row>
    <row r="90" spans="2:81" x14ac:dyDescent="0.25">
      <c r="B90" s="61" t="s">
        <v>37</v>
      </c>
      <c r="C90">
        <v>24973</v>
      </c>
      <c r="D90">
        <v>5302</v>
      </c>
      <c r="E90" s="39">
        <f>C90/$C$92</f>
        <v>0.35815614461385897</v>
      </c>
      <c r="F90" s="39">
        <f>D90/$D$92</f>
        <v>0.28494132979402326</v>
      </c>
      <c r="H90" s="3"/>
      <c r="I90" s="3"/>
      <c r="J90" s="3" t="s">
        <v>27</v>
      </c>
      <c r="K90" s="3" t="s">
        <v>28</v>
      </c>
      <c r="L90" s="3" t="s">
        <v>29</v>
      </c>
      <c r="M90" s="3"/>
      <c r="N90" s="3"/>
      <c r="P90" s="3" t="s">
        <v>9</v>
      </c>
      <c r="Q90" s="3">
        <f>(Q89/P85)*100</f>
        <v>21.686746987951807</v>
      </c>
      <c r="R90" s="3"/>
      <c r="V90" t="s">
        <v>19</v>
      </c>
      <c r="W90" s="3">
        <f>AVERAGE(W72:W76,W66:W70,W62:W63,W56:W60,W53:W54,W52,W48,W44:W46,W40:W41,W36:W37,W34,W28:W30,W21:W24,W11,W3)</f>
        <v>34168.789473684214</v>
      </c>
      <c r="Y90" s="3"/>
      <c r="Z90" s="3"/>
      <c r="AB90" s="72"/>
      <c r="AC90" s="73" t="s">
        <v>1</v>
      </c>
      <c r="AD90" s="73" t="s">
        <v>2</v>
      </c>
      <c r="AE90" s="73" t="s">
        <v>39</v>
      </c>
      <c r="AF90" s="74" t="s">
        <v>40</v>
      </c>
    </row>
    <row r="91" spans="2:81" x14ac:dyDescent="0.25">
      <c r="B91" s="61" t="s">
        <v>38</v>
      </c>
      <c r="C91">
        <v>135731</v>
      </c>
      <c r="D91">
        <v>38633</v>
      </c>
      <c r="E91" s="39">
        <f>C91/$C$92</f>
        <v>1.9466180140385094</v>
      </c>
      <c r="F91" s="39">
        <f>D91/$D$92</f>
        <v>2.0762237634727465</v>
      </c>
      <c r="H91" s="10" t="s">
        <v>20</v>
      </c>
      <c r="I91" s="10">
        <f>COUNT(I62,I58:I59,I56,I53,I51,I46,I42:I44,I37,I32:I33,I30,I21,I5:I19,I3)</f>
        <v>31</v>
      </c>
      <c r="J91" s="10">
        <f t="shared" ref="J91:J97" si="13">(I91/$H$71)*100</f>
        <v>44.927536231884055</v>
      </c>
      <c r="K91" s="10">
        <f>(I91/$I$91)*100</f>
        <v>100</v>
      </c>
      <c r="L91" s="10"/>
      <c r="M91" s="10"/>
      <c r="N91" s="10"/>
      <c r="Q91" t="s">
        <v>11</v>
      </c>
      <c r="R91" t="s">
        <v>6</v>
      </c>
      <c r="Y91" s="3"/>
      <c r="Z91" s="3"/>
      <c r="AB91" s="75" t="s">
        <v>37</v>
      </c>
      <c r="AC91" s="50">
        <v>20787</v>
      </c>
      <c r="AD91" s="50">
        <v>6294</v>
      </c>
      <c r="AE91" s="39">
        <f>AC91/$AC$93</f>
        <v>0.54446960116756993</v>
      </c>
      <c r="AF91" s="97">
        <f>AD91/$AD$93</f>
        <v>0.31648561182189916</v>
      </c>
    </row>
    <row r="92" spans="2:81" x14ac:dyDescent="0.25">
      <c r="B92" s="63" t="s">
        <v>4</v>
      </c>
      <c r="C92" s="64">
        <v>69726.571428571435</v>
      </c>
      <c r="D92" s="65">
        <v>18607.339285714286</v>
      </c>
      <c r="E92" s="65"/>
      <c r="F92" s="66"/>
      <c r="H92" s="9" t="s">
        <v>21</v>
      </c>
      <c r="I92" s="9">
        <f>COUNT(J58:J59,J56,J51,J48,J46,J42:J43,J44,J37:J38,J32:J33,J30,J23:J25,J21,J20,J11:J17,J5:J9,J3)</f>
        <v>32</v>
      </c>
      <c r="J92" s="8">
        <f t="shared" si="13"/>
        <v>46.376811594202898</v>
      </c>
      <c r="K92" s="8"/>
      <c r="L92" s="9">
        <f>(I92/$I$92)*100</f>
        <v>100</v>
      </c>
      <c r="M92" s="9"/>
      <c r="N92" s="9"/>
      <c r="P92" s="29" t="s">
        <v>10</v>
      </c>
      <c r="Q92">
        <f>(COUNT(Q75,Q64,Q60,Q51:Q54,Q48,Q42,Q32:Q33,Q26,Q19:Q20,Q17,Q14:Q15,Q3:Q12)/P85)*100</f>
        <v>32.53012048192771</v>
      </c>
      <c r="R92">
        <f>(COUNT(R3:R12,R14:R15,R17,R19:R20)/Q89)*100</f>
        <v>83.333333333333343</v>
      </c>
      <c r="S92" s="3"/>
      <c r="T92" s="3"/>
      <c r="V92" t="s">
        <v>17</v>
      </c>
      <c r="X92" s="3">
        <f>AVERAGE(X71,X64:X66,X61:X62,X55,X47:X51,X42:X43,X40,X31:X33,X29,X27,X25:X26,X3:X20)</f>
        <v>28878.3</v>
      </c>
      <c r="Y92" s="3"/>
      <c r="Z92" s="3"/>
      <c r="AB92" s="75" t="s">
        <v>38</v>
      </c>
      <c r="AC92" s="50">
        <v>72062</v>
      </c>
      <c r="AD92" s="50">
        <v>53954</v>
      </c>
      <c r="AE92" s="39">
        <f>AC92/$AC$93</f>
        <v>1.8875050944983607</v>
      </c>
      <c r="AF92" s="97">
        <f>AD92/$AD$93</f>
        <v>2.7130067842768901</v>
      </c>
    </row>
    <row r="93" spans="2:81" x14ac:dyDescent="0.25">
      <c r="H93" s="20" t="s">
        <v>22</v>
      </c>
      <c r="I93" s="20">
        <f>COUNT(I62,I53,I18:I19,I10)</f>
        <v>5</v>
      </c>
      <c r="J93" s="10">
        <f t="shared" si="13"/>
        <v>7.2463768115942031</v>
      </c>
      <c r="K93" s="10">
        <f>(I93/$I$91)*100</f>
        <v>16.129032258064516</v>
      </c>
      <c r="L93" s="20"/>
      <c r="M93" s="20"/>
      <c r="N93" s="20"/>
      <c r="P93" s="20" t="s">
        <v>12</v>
      </c>
      <c r="Q93">
        <f>(COUNT(Q58,Q18,Q16,Q13)/P85)*100</f>
        <v>4.8192771084337354</v>
      </c>
      <c r="R93">
        <f>((COUNT(Q13,Q16,Q18))/Q89)*100</f>
        <v>16.666666666666664</v>
      </c>
      <c r="V93" t="s">
        <v>18</v>
      </c>
      <c r="X93" s="3">
        <f>AVERAGE(X72:X76,X67:X70,X63,X56:X60,X52:X54,X44:X46,X48,X40:X41,X36:X37,X34,X28:X30,X21:X24,X66,X62,X11,X3)</f>
        <v>16873.394736842107</v>
      </c>
      <c r="Y93" s="3"/>
      <c r="Z93" s="3"/>
      <c r="AB93" s="77" t="s">
        <v>4</v>
      </c>
      <c r="AC93" s="115">
        <v>38178.44</v>
      </c>
      <c r="AD93" s="115">
        <v>19887.16</v>
      </c>
      <c r="AE93" s="79"/>
      <c r="AF93" s="80"/>
    </row>
    <row r="94" spans="2:81" x14ac:dyDescent="0.25">
      <c r="H94" s="9" t="s">
        <v>23</v>
      </c>
      <c r="I94" s="9">
        <f>COUNT(J48,J38,J23:J25,J20)</f>
        <v>6</v>
      </c>
      <c r="J94" s="8">
        <f t="shared" si="13"/>
        <v>8.695652173913043</v>
      </c>
      <c r="K94" s="8"/>
      <c r="L94" s="9">
        <f>(I94/$I$92)*100</f>
        <v>18.75</v>
      </c>
      <c r="M94" s="9"/>
      <c r="N94" s="9"/>
      <c r="P94" s="9" t="s">
        <v>13</v>
      </c>
      <c r="Q94">
        <f>(COUNT(R61,R47,R45,R40,R39,R25)/P85)*100</f>
        <v>7.2289156626506017</v>
      </c>
      <c r="R94">
        <f>(0/Q89)*100</f>
        <v>0</v>
      </c>
      <c r="V94" s="3"/>
      <c r="W94" s="3"/>
      <c r="X94" s="3"/>
      <c r="Y94" s="3" t="s">
        <v>28</v>
      </c>
      <c r="Z94" s="3" t="s">
        <v>29</v>
      </c>
    </row>
    <row r="95" spans="2:81" x14ac:dyDescent="0.25">
      <c r="H95" s="7" t="s">
        <v>24</v>
      </c>
      <c r="I95" s="6">
        <f>H71-I91</f>
        <v>38</v>
      </c>
      <c r="J95" s="6">
        <f t="shared" si="13"/>
        <v>55.072463768115945</v>
      </c>
      <c r="K95" s="6"/>
      <c r="L95" s="7"/>
      <c r="M95" s="7"/>
      <c r="N95" s="7"/>
      <c r="P95" t="s">
        <v>15</v>
      </c>
      <c r="Q95">
        <f>(COUNT(Q77:Q85,Q76,Q65:Q74,Q62:Q63,Q59,Q55:Q57,Q49:Q50,Q46,Q43:Q44,Q41,Q34:Q38,Q27:Q31,Q21:Q24)/P85)*100</f>
        <v>55.421686746987952</v>
      </c>
      <c r="R95">
        <f>(0/Q89)*100</f>
        <v>0</v>
      </c>
      <c r="V95" s="10" t="s">
        <v>20</v>
      </c>
      <c r="W95" s="10">
        <f>COUNT(W3:W20,W25:W27,W29,W31,W33,W40,W42:W43,W47:W51,W55,W61:W62,W64:W66,W71)</f>
        <v>39</v>
      </c>
      <c r="X95" s="10">
        <f>(W95/$V$76)*100</f>
        <v>52.702702702702695</v>
      </c>
      <c r="Y95" s="10">
        <f>(W95/$W$95)*100</f>
        <v>100</v>
      </c>
      <c r="Z95" s="10"/>
    </row>
    <row r="96" spans="2:81" x14ac:dyDescent="0.25">
      <c r="H96" s="7" t="s">
        <v>25</v>
      </c>
      <c r="I96" s="7">
        <f>H71-I92</f>
        <v>37</v>
      </c>
      <c r="J96" s="6">
        <f t="shared" si="13"/>
        <v>53.623188405797109</v>
      </c>
      <c r="K96" s="6"/>
      <c r="L96" s="7"/>
      <c r="M96" s="7"/>
      <c r="N96" s="7"/>
      <c r="P96" t="s">
        <v>11</v>
      </c>
      <c r="Q96">
        <f>SUM(Q92:Q95)</f>
        <v>100</v>
      </c>
      <c r="R96">
        <f>SUM(R92:R95)</f>
        <v>100</v>
      </c>
      <c r="S96" s="3"/>
      <c r="T96" s="3"/>
      <c r="U96" s="3"/>
      <c r="V96" s="9" t="s">
        <v>21</v>
      </c>
      <c r="W96" s="9">
        <f>COUNT(X71,X64:X65,X61,X55,X49:X51,X47,X42:X43,X38:X39,X35,X33,X31:X33,X25:X27,X12:X20,X4:X10)</f>
        <v>37</v>
      </c>
      <c r="X96" s="8">
        <f t="shared" ref="X96:X101" si="14">(W96/$V$76)*100</f>
        <v>50</v>
      </c>
      <c r="Y96" s="8"/>
      <c r="Z96" s="9">
        <f>(W96/$W$96)*100</f>
        <v>100</v>
      </c>
    </row>
    <row r="97" spans="2:96" x14ac:dyDescent="0.25">
      <c r="H97" s="36" t="s">
        <v>26</v>
      </c>
      <c r="I97" s="33">
        <f>I91-I93</f>
        <v>26</v>
      </c>
      <c r="J97" s="33">
        <f t="shared" si="13"/>
        <v>37.681159420289859</v>
      </c>
      <c r="K97" s="33">
        <f>(I97/$I$91)*100</f>
        <v>83.870967741935488</v>
      </c>
      <c r="L97" s="35">
        <f>(I97/$I$92)*100</f>
        <v>81.25</v>
      </c>
      <c r="M97" s="39"/>
      <c r="N97" s="39"/>
      <c r="P97" s="3"/>
      <c r="Q97" s="3"/>
      <c r="R97" s="3"/>
      <c r="U97" s="3"/>
      <c r="V97" s="20" t="s">
        <v>22</v>
      </c>
      <c r="W97" s="20">
        <f>COUNT(W66,W62,W48,W40,W29,W11,W3)</f>
        <v>7</v>
      </c>
      <c r="X97" s="10">
        <f t="shared" si="14"/>
        <v>9.4594594594594597</v>
      </c>
      <c r="Y97" s="10">
        <f>(W97/$W$95)*100</f>
        <v>17.948717948717949</v>
      </c>
      <c r="Z97" s="20"/>
    </row>
    <row r="98" spans="2:96" x14ac:dyDescent="0.25">
      <c r="P98" t="s">
        <v>16</v>
      </c>
      <c r="Q98" s="3">
        <f>AVERAGE(Q75,Q64,Q60,Q51:Q54,Q48,Q42,Q61,Q47,Q45,Q39:Q40,Q32:Q33,Q25:Q26,Q19:Q20,Q17,Q14:Q15,Q3:Q12)</f>
        <v>67023.333333333328</v>
      </c>
      <c r="V98" s="9" t="s">
        <v>23</v>
      </c>
      <c r="W98" s="9">
        <f>COUNT(X38:X39,X35,X32)</f>
        <v>4</v>
      </c>
      <c r="X98" s="8">
        <f t="shared" si="14"/>
        <v>5.4054054054054053</v>
      </c>
      <c r="Y98" s="8"/>
      <c r="Z98" s="9">
        <f>(W98/$W$96)*100</f>
        <v>10.810810810810811</v>
      </c>
    </row>
    <row r="99" spans="2:96" x14ac:dyDescent="0.25">
      <c r="H99" s="72"/>
      <c r="I99" s="73" t="s">
        <v>1</v>
      </c>
      <c r="J99" s="73" t="s">
        <v>2</v>
      </c>
      <c r="K99" s="73" t="s">
        <v>39</v>
      </c>
      <c r="L99" s="74" t="s">
        <v>40</v>
      </c>
      <c r="M99" s="39"/>
      <c r="N99" s="39"/>
      <c r="P99" t="s">
        <v>19</v>
      </c>
      <c r="Q99" s="3">
        <f>AVERAGE(Q76:Q85,Q65:Q74,Q62:Q63,Q55:Q59,Q49:Q50,Q46,Q43:Q44,Q41,Q34:Q38,Q27:Q31,Q21:Q24,Q18,Q16,Q13)</f>
        <v>34991.26</v>
      </c>
      <c r="V99" t="s">
        <v>24</v>
      </c>
      <c r="W99" s="6">
        <f>V76-W95</f>
        <v>35</v>
      </c>
      <c r="X99" s="6">
        <f t="shared" si="14"/>
        <v>47.297297297297298</v>
      </c>
      <c r="Y99" s="3"/>
    </row>
    <row r="100" spans="2:96" x14ac:dyDescent="0.25">
      <c r="H100" s="75" t="s">
        <v>37</v>
      </c>
      <c r="I100" s="50">
        <v>20005</v>
      </c>
      <c r="J100" s="50">
        <v>7435</v>
      </c>
      <c r="K100" s="39">
        <f>I100/$I$102</f>
        <v>0.48784759881345424</v>
      </c>
      <c r="L100" s="97">
        <f>J100/$J$102</f>
        <v>0.55939863326582528</v>
      </c>
      <c r="M100" s="39"/>
      <c r="N100" s="39"/>
      <c r="V100" t="s">
        <v>25</v>
      </c>
      <c r="W100" s="7">
        <f>V75-W96</f>
        <v>36</v>
      </c>
      <c r="X100" s="6">
        <f t="shared" si="14"/>
        <v>48.648648648648653</v>
      </c>
      <c r="Y100" s="3"/>
    </row>
    <row r="101" spans="2:96" x14ac:dyDescent="0.25">
      <c r="H101" s="75" t="s">
        <v>38</v>
      </c>
      <c r="I101" s="50">
        <v>136422</v>
      </c>
      <c r="J101" s="50">
        <v>37653</v>
      </c>
      <c r="K101" s="39">
        <f>I101/$I$102</f>
        <v>3.3268255498789827</v>
      </c>
      <c r="L101" s="97">
        <f>J101/$J$102</f>
        <v>2.832957194130211</v>
      </c>
      <c r="M101" s="39"/>
      <c r="N101" s="39"/>
      <c r="P101" t="s">
        <v>17</v>
      </c>
      <c r="R101" s="3">
        <f>AVERAGE(R75,R64,R60,R58,R51:R54,R48,R42,R32:R33,R26,R3:R20)</f>
        <v>26642.225806451614</v>
      </c>
      <c r="V101" s="31" t="s">
        <v>26</v>
      </c>
      <c r="W101" s="33">
        <f>W95-W97</f>
        <v>32</v>
      </c>
      <c r="X101" s="33">
        <f t="shared" si="14"/>
        <v>43.243243243243242</v>
      </c>
      <c r="Y101" s="32">
        <f>(W101/$W$95)*100</f>
        <v>82.051282051282044</v>
      </c>
      <c r="Z101" s="34">
        <f>(W101/$W$96)*100</f>
        <v>86.486486486486484</v>
      </c>
    </row>
    <row r="102" spans="2:96" x14ac:dyDescent="0.25">
      <c r="G102" s="3"/>
      <c r="H102" s="77" t="s">
        <v>4</v>
      </c>
      <c r="I102" s="115">
        <f>AVERAGE(I39:I101)</f>
        <v>41006.658736573219</v>
      </c>
      <c r="J102" s="115">
        <f>AVERAGE(J39:J101)</f>
        <v>13291.058572298836</v>
      </c>
      <c r="K102" s="79"/>
      <c r="L102" s="80"/>
      <c r="M102" s="39"/>
      <c r="N102" s="39"/>
      <c r="O102" s="3"/>
      <c r="P102" t="s">
        <v>18</v>
      </c>
      <c r="R102" s="3">
        <f>AVERAGE(R21:R24,R25,R27:R31,R34:R41,R43:R47,R49:R50,R55:R57,R59,R61:R62,R63,R65:R74,R76:R85)</f>
        <v>14903</v>
      </c>
      <c r="AA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2:96" x14ac:dyDescent="0.25">
      <c r="G103" s="3"/>
      <c r="O103" s="3"/>
      <c r="V103" s="72"/>
      <c r="W103" s="73" t="s">
        <v>1</v>
      </c>
      <c r="X103" s="73" t="s">
        <v>2</v>
      </c>
      <c r="Y103" s="73" t="s">
        <v>39</v>
      </c>
      <c r="Z103" s="74" t="s">
        <v>40</v>
      </c>
      <c r="AA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 spans="2:96" x14ac:dyDescent="0.25">
      <c r="C104" s="3"/>
      <c r="D104" s="3"/>
      <c r="E104" s="3"/>
      <c r="F104" s="3"/>
      <c r="G104" s="3"/>
      <c r="O104" s="3"/>
      <c r="P104" s="3"/>
      <c r="Q104" s="3"/>
      <c r="R104" s="3" t="s">
        <v>27</v>
      </c>
      <c r="S104" s="3" t="s">
        <v>28</v>
      </c>
      <c r="T104" s="3" t="s">
        <v>29</v>
      </c>
      <c r="U104" s="3"/>
      <c r="V104" s="75" t="s">
        <v>37</v>
      </c>
      <c r="W104" s="50">
        <v>20618</v>
      </c>
      <c r="X104" s="50">
        <v>8356</v>
      </c>
      <c r="Y104" s="39">
        <f>W104/$W$106</f>
        <v>0.65353903382140344</v>
      </c>
      <c r="Z104" s="97">
        <f>X104/$X$106</f>
        <v>0.53396418367111997</v>
      </c>
      <c r="AA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 spans="2:96" x14ac:dyDescent="0.25">
      <c r="B105" s="2"/>
      <c r="C105" s="3"/>
      <c r="D105" s="3"/>
      <c r="E105" s="3"/>
      <c r="F105" s="3"/>
      <c r="G105" s="3"/>
      <c r="O105" s="3"/>
      <c r="P105" s="10" t="s">
        <v>20</v>
      </c>
      <c r="Q105" s="10">
        <f>COUNT(Q75,Q64,Q60,Q58,Q51:Q54,Q48,Q42,Q33,Q32,Q26,Q3:Q20)</f>
        <v>31</v>
      </c>
      <c r="R105" s="10">
        <f>(Q105/$P$85)*100</f>
        <v>37.349397590361441</v>
      </c>
      <c r="S105" s="10">
        <f>(Q105/$Q$105)*100</f>
        <v>100</v>
      </c>
      <c r="T105" s="10"/>
      <c r="U105" s="3"/>
      <c r="V105" s="75" t="s">
        <v>38</v>
      </c>
      <c r="W105" s="50">
        <v>84708</v>
      </c>
      <c r="X105" s="50">
        <v>51396</v>
      </c>
      <c r="Y105" s="39">
        <f>W105/$W$106</f>
        <v>2.6850317429888175</v>
      </c>
      <c r="Z105" s="97">
        <f>X105/$X$106</f>
        <v>3.2843014820441456</v>
      </c>
      <c r="AA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2:96" x14ac:dyDescent="0.25">
      <c r="G106" s="3"/>
      <c r="O106" s="3"/>
      <c r="P106" s="9" t="s">
        <v>21</v>
      </c>
      <c r="Q106" s="9">
        <f>COUNT(R75,R64,R60:R61,R51:R54,R47:R48,R45,R42,R39:R40,R32:R33,R25:R26,R19:R20,R17,R14:R15,R3:R12)</f>
        <v>33</v>
      </c>
      <c r="R106" s="8">
        <f t="shared" ref="R106:R111" si="15">(Q106/$P$85)*100</f>
        <v>39.75903614457831</v>
      </c>
      <c r="S106" s="8"/>
      <c r="T106" s="9">
        <f>(Q106/$Q$106)*100</f>
        <v>100</v>
      </c>
      <c r="U106" s="3"/>
      <c r="V106" s="77" t="s">
        <v>4</v>
      </c>
      <c r="W106" s="115">
        <f>AVERAGE(W44:W105)</f>
        <v>31548.230377979849</v>
      </c>
      <c r="X106" s="115">
        <f>AVERAGE(X44:X104)</f>
        <v>15648.989680451377</v>
      </c>
      <c r="Y106" s="79"/>
      <c r="Z106" s="80"/>
      <c r="AA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</row>
    <row r="107" spans="2:96" x14ac:dyDescent="0.25">
      <c r="C107" s="3"/>
      <c r="D107" s="3"/>
      <c r="E107" s="3"/>
      <c r="F107" s="3"/>
      <c r="G107" s="3"/>
      <c r="O107" s="3"/>
      <c r="P107" s="20" t="s">
        <v>22</v>
      </c>
      <c r="Q107" s="20">
        <f>COUNT(Q58,Q18,Q16,Q13)</f>
        <v>4</v>
      </c>
      <c r="R107" s="10">
        <f t="shared" si="15"/>
        <v>4.8192771084337354</v>
      </c>
      <c r="S107" s="10">
        <f>(Q107/$Q$105)*100</f>
        <v>12.903225806451612</v>
      </c>
      <c r="T107" s="20"/>
      <c r="U107" s="3"/>
      <c r="AA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2:96" x14ac:dyDescent="0.25">
      <c r="P108" s="9" t="s">
        <v>23</v>
      </c>
      <c r="Q108" s="9">
        <f>COUNT(R61,R47,R45,R39:R40,R25)</f>
        <v>6</v>
      </c>
      <c r="R108" s="8">
        <f t="shared" si="15"/>
        <v>7.2289156626506017</v>
      </c>
      <c r="S108" s="8"/>
      <c r="T108" s="9">
        <f>(Q108/$Q$106)*100</f>
        <v>18.181818181818183</v>
      </c>
    </row>
    <row r="109" spans="2:96" x14ac:dyDescent="0.25">
      <c r="H109" s="3"/>
      <c r="I109" s="6"/>
      <c r="J109" s="6"/>
      <c r="K109" s="6"/>
      <c r="L109" s="6"/>
      <c r="M109" s="6"/>
      <c r="N109" s="6"/>
      <c r="P109" t="s">
        <v>24</v>
      </c>
      <c r="Q109" s="6">
        <f>P85-Q105</f>
        <v>52</v>
      </c>
      <c r="R109" s="6">
        <f t="shared" si="15"/>
        <v>62.650602409638559</v>
      </c>
      <c r="S109" s="3"/>
    </row>
    <row r="110" spans="2:96" x14ac:dyDescent="0.25">
      <c r="P110" t="s">
        <v>25</v>
      </c>
      <c r="Q110" s="7">
        <f>P85-Q106</f>
        <v>50</v>
      </c>
      <c r="R110" s="6">
        <f t="shared" si="15"/>
        <v>60.24096385542169</v>
      </c>
      <c r="S110" s="3"/>
    </row>
    <row r="111" spans="2:96" x14ac:dyDescent="0.25">
      <c r="P111" s="31" t="s">
        <v>26</v>
      </c>
      <c r="Q111" s="33">
        <f>Q105-Q107</f>
        <v>27</v>
      </c>
      <c r="R111" s="33">
        <f t="shared" si="15"/>
        <v>32.53012048192771</v>
      </c>
      <c r="S111" s="32">
        <f>(Q111/$Q$105)*100</f>
        <v>87.096774193548384</v>
      </c>
      <c r="T111" s="34">
        <f>(Q111/$Q$106)*100</f>
        <v>81.818181818181827</v>
      </c>
    </row>
    <row r="113" spans="2:96" x14ac:dyDescent="0.25">
      <c r="P113" s="72"/>
      <c r="Q113" s="73" t="s">
        <v>1</v>
      </c>
      <c r="R113" s="73" t="s">
        <v>2</v>
      </c>
      <c r="S113" s="73" t="s">
        <v>39</v>
      </c>
      <c r="T113" s="74" t="s">
        <v>40</v>
      </c>
    </row>
    <row r="114" spans="2:96" x14ac:dyDescent="0.25">
      <c r="P114" s="75" t="s">
        <v>37</v>
      </c>
      <c r="Q114" s="50">
        <v>17059</v>
      </c>
      <c r="R114" s="50">
        <v>4808</v>
      </c>
      <c r="S114" s="39">
        <f>Q114/$Q$116</f>
        <v>0.34038491756339151</v>
      </c>
      <c r="T114" s="97">
        <f>R114/$R$116</f>
        <v>0.23626938761581381</v>
      </c>
    </row>
    <row r="115" spans="2:96" x14ac:dyDescent="0.25">
      <c r="P115" s="75" t="s">
        <v>38</v>
      </c>
      <c r="Q115" s="50">
        <v>104493</v>
      </c>
      <c r="R115" s="50">
        <v>43138</v>
      </c>
      <c r="S115" s="39">
        <f>Q115/$Q$116</f>
        <v>2.0849898112991072</v>
      </c>
      <c r="T115" s="97">
        <f>R115/$R$116</f>
        <v>2.1198396096029484</v>
      </c>
    </row>
    <row r="116" spans="2:96" x14ac:dyDescent="0.25">
      <c r="P116" s="77" t="s">
        <v>4</v>
      </c>
      <c r="Q116" s="115">
        <v>50116.791666666664</v>
      </c>
      <c r="R116" s="115">
        <v>20349.652777777777</v>
      </c>
      <c r="S116" s="79"/>
      <c r="T116" s="80"/>
    </row>
    <row r="118" spans="2:9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21" spans="2:96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</row>
    <row r="122" spans="2:96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spans="2:96" x14ac:dyDescent="0.25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2:9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2:9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</row>
    <row r="126" spans="2:96" x14ac:dyDescent="0.25">
      <c r="G126" s="3"/>
      <c r="H126" s="3"/>
      <c r="I126" s="3"/>
      <c r="J126" s="3"/>
      <c r="K126" s="3"/>
      <c r="L126" s="3"/>
      <c r="M126" s="3"/>
      <c r="N126" s="3"/>
      <c r="O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</row>
    <row r="130" spans="3:90" x14ac:dyDescent="0.25"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2" spans="3:9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Q132" s="3"/>
      <c r="AR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</row>
  </sheetData>
  <mergeCells count="5">
    <mergeCell ref="AI3:AM3"/>
    <mergeCell ref="B1:E1"/>
    <mergeCell ref="P1:S1"/>
    <mergeCell ref="V1:Y1"/>
    <mergeCell ref="AB1:AE1"/>
  </mergeCells>
  <conditionalFormatting sqref="C3:C58">
    <cfRule type="top10" dxfId="89" priority="19" bottom="1" rank="1"/>
    <cfRule type="top10" dxfId="88" priority="20" rank="1"/>
    <cfRule type="cellIs" dxfId="87" priority="30" operator="greaterThan">
      <formula>$C$59</formula>
    </cfRule>
  </conditionalFormatting>
  <conditionalFormatting sqref="D3:D58">
    <cfRule type="top10" dxfId="86" priority="17" bottom="1" rank="1"/>
    <cfRule type="top10" dxfId="85" priority="18" rank="1"/>
    <cfRule type="cellIs" dxfId="84" priority="29" operator="greaterThan">
      <formula>$D$59</formula>
    </cfRule>
  </conditionalFormatting>
  <conditionalFormatting sqref="I3:I71">
    <cfRule type="top10" dxfId="83" priority="15" bottom="1" rank="1"/>
    <cfRule type="top10" dxfId="82" priority="16" rank="1"/>
    <cfRule type="cellIs" dxfId="81" priority="28" operator="greaterThan">
      <formula>$I$72</formula>
    </cfRule>
  </conditionalFormatting>
  <conditionalFormatting sqref="J3:J71">
    <cfRule type="top10" dxfId="80" priority="13" bottom="1" rank="1"/>
    <cfRule type="top10" dxfId="79" priority="14" rank="1"/>
    <cfRule type="cellIs" dxfId="78" priority="27" operator="greaterThan">
      <formula>$J$72</formula>
    </cfRule>
  </conditionalFormatting>
  <conditionalFormatting sqref="Q3:Q85">
    <cfRule type="top10" dxfId="77" priority="11" bottom="1" rank="1"/>
    <cfRule type="top10" dxfId="76" priority="12" rank="1"/>
    <cfRule type="cellIs" dxfId="75" priority="26" operator="greaterThan">
      <formula>$Q$86</formula>
    </cfRule>
  </conditionalFormatting>
  <conditionalFormatting sqref="R3:R85">
    <cfRule type="top10" dxfId="74" priority="9" bottom="1" rank="1"/>
    <cfRule type="top10" dxfId="73" priority="10" rank="1"/>
    <cfRule type="cellIs" dxfId="72" priority="25" operator="greaterThan">
      <formula>$R$86</formula>
    </cfRule>
  </conditionalFormatting>
  <conditionalFormatting sqref="W3:W76">
    <cfRule type="top10" dxfId="71" priority="7" bottom="1" rank="1"/>
    <cfRule type="top10" dxfId="70" priority="8" rank="1"/>
    <cfRule type="cellIs" dxfId="69" priority="24" operator="greaterThan">
      <formula>$W$77</formula>
    </cfRule>
  </conditionalFormatting>
  <conditionalFormatting sqref="X3:X76">
    <cfRule type="top10" dxfId="68" priority="5" bottom="1" rank="1"/>
    <cfRule type="top10" dxfId="67" priority="6" rank="1"/>
    <cfRule type="cellIs" dxfId="66" priority="23" operator="greaterThan">
      <formula>$X$77</formula>
    </cfRule>
  </conditionalFormatting>
  <conditionalFormatting sqref="AC3:AC63">
    <cfRule type="top10" dxfId="65" priority="3" bottom="1" rank="1"/>
    <cfRule type="top10" dxfId="64" priority="4" rank="1"/>
    <cfRule type="cellIs" dxfId="63" priority="22" operator="greaterThan">
      <formula>$AC$64</formula>
    </cfRule>
  </conditionalFormatting>
  <conditionalFormatting sqref="AD3:AD63">
    <cfRule type="top10" dxfId="62" priority="1" bottom="1" rank="1"/>
    <cfRule type="top10" dxfId="61" priority="2" rank="1"/>
    <cfRule type="cellIs" dxfId="60" priority="21" operator="greaterThan">
      <formula>$AD$64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Q124"/>
  <sheetViews>
    <sheetView zoomScale="55" zoomScaleNormal="55" workbookViewId="0">
      <selection activeCell="AM3" sqref="AM3:AN68"/>
    </sheetView>
  </sheetViews>
  <sheetFormatPr defaultColWidth="9.140625" defaultRowHeight="15" x14ac:dyDescent="0.25"/>
  <cols>
    <col min="1" max="5" width="9.140625" style="39"/>
    <col min="6" max="6" width="22.28515625" style="39" bestFit="1" customWidth="1"/>
    <col min="7" max="13" width="9.140625" style="39"/>
    <col min="14" max="14" width="22.28515625" style="39" bestFit="1" customWidth="1"/>
    <col min="15" max="15" width="9.140625" style="39"/>
    <col min="16" max="16" width="19.42578125" style="39" bestFit="1" customWidth="1"/>
    <col min="17" max="20" width="9.140625" style="39"/>
    <col min="21" max="21" width="22.28515625" style="39" bestFit="1" customWidth="1"/>
    <col min="22" max="27" width="9.140625" style="39"/>
    <col min="28" max="28" width="22.28515625" style="39" bestFit="1" customWidth="1"/>
    <col min="29" max="34" width="9.140625" style="39"/>
    <col min="35" max="35" width="22.28515625" style="39" bestFit="1" customWidth="1"/>
    <col min="36" max="42" width="9.140625" style="39"/>
    <col min="43" max="43" width="20.7109375" style="39" bestFit="1" customWidth="1"/>
    <col min="44" max="16384" width="9.140625" style="39"/>
  </cols>
  <sheetData>
    <row r="1" spans="4:48" x14ac:dyDescent="0.25">
      <c r="D1" s="2" t="s">
        <v>3</v>
      </c>
      <c r="E1"/>
      <c r="F1" s="121">
        <v>1</v>
      </c>
      <c r="G1" s="121"/>
      <c r="H1" s="121"/>
      <c r="I1" s="121"/>
      <c r="J1" s="121"/>
      <c r="K1" s="121"/>
      <c r="L1"/>
      <c r="M1"/>
      <c r="N1" s="122">
        <v>2</v>
      </c>
      <c r="O1" s="122"/>
      <c r="P1" s="122"/>
      <c r="Q1" s="122"/>
      <c r="R1"/>
      <c r="S1"/>
      <c r="T1"/>
      <c r="U1" s="122">
        <v>3</v>
      </c>
      <c r="V1" s="122"/>
      <c r="W1" s="122"/>
      <c r="X1" s="122"/>
      <c r="Y1"/>
      <c r="Z1"/>
      <c r="AA1"/>
      <c r="AB1" s="122">
        <v>4</v>
      </c>
      <c r="AC1" s="122"/>
      <c r="AD1" s="122"/>
      <c r="AE1" s="122"/>
      <c r="AF1"/>
      <c r="AG1"/>
      <c r="AH1"/>
      <c r="AI1" s="122">
        <v>5</v>
      </c>
      <c r="AJ1" s="122"/>
      <c r="AK1" s="122"/>
      <c r="AL1" s="122"/>
      <c r="AM1"/>
      <c r="AN1"/>
      <c r="AO1" s="48"/>
      <c r="AP1" s="48"/>
      <c r="AQ1" s="48"/>
      <c r="AR1" s="48"/>
      <c r="AS1" s="7"/>
      <c r="AT1" s="48"/>
      <c r="AU1" s="48"/>
      <c r="AV1" s="48"/>
    </row>
    <row r="2" spans="4:48" x14ac:dyDescent="0.25">
      <c r="D2"/>
      <c r="E2"/>
      <c r="F2"/>
      <c r="G2" t="s">
        <v>0</v>
      </c>
      <c r="H2" t="s">
        <v>1</v>
      </c>
      <c r="I2" t="s">
        <v>2</v>
      </c>
      <c r="J2" t="s">
        <v>39</v>
      </c>
      <c r="K2" t="s">
        <v>40</v>
      </c>
      <c r="L2"/>
      <c r="M2"/>
      <c r="N2"/>
      <c r="O2" t="s">
        <v>0</v>
      </c>
      <c r="P2" t="s">
        <v>1</v>
      </c>
      <c r="Q2" t="s">
        <v>2</v>
      </c>
      <c r="R2" t="s">
        <v>39</v>
      </c>
      <c r="S2" t="s">
        <v>40</v>
      </c>
      <c r="T2"/>
      <c r="U2"/>
      <c r="V2" t="s">
        <v>0</v>
      </c>
      <c r="W2" t="s">
        <v>1</v>
      </c>
      <c r="X2" t="s">
        <v>2</v>
      </c>
      <c r="Y2" t="s">
        <v>39</v>
      </c>
      <c r="Z2" t="s">
        <v>40</v>
      </c>
      <c r="AA2"/>
      <c r="AB2"/>
      <c r="AC2" t="s">
        <v>0</v>
      </c>
      <c r="AD2" t="s">
        <v>1</v>
      </c>
      <c r="AE2" t="s">
        <v>2</v>
      </c>
      <c r="AF2" t="s">
        <v>39</v>
      </c>
      <c r="AG2" t="s">
        <v>40</v>
      </c>
      <c r="AH2"/>
      <c r="AI2"/>
      <c r="AJ2" t="s">
        <v>0</v>
      </c>
      <c r="AK2" t="s">
        <v>1</v>
      </c>
      <c r="AL2" t="s">
        <v>2</v>
      </c>
      <c r="AM2" t="s">
        <v>39</v>
      </c>
      <c r="AN2" t="s">
        <v>40</v>
      </c>
      <c r="AO2" s="7"/>
      <c r="AP2" s="7"/>
      <c r="AQ2" s="7"/>
      <c r="AR2" s="7"/>
      <c r="AS2" s="7"/>
      <c r="AT2" s="7"/>
      <c r="AU2" s="7"/>
      <c r="AV2" s="7"/>
    </row>
    <row r="3" spans="4:48" x14ac:dyDescent="0.25">
      <c r="D3"/>
      <c r="E3"/>
      <c r="F3">
        <v>1</v>
      </c>
      <c r="G3" s="51">
        <v>19348</v>
      </c>
      <c r="H3" s="38">
        <v>35658</v>
      </c>
      <c r="I3" s="38">
        <v>9262</v>
      </c>
      <c r="J3">
        <f>H3/$H$61</f>
        <v>0.732896394456936</v>
      </c>
      <c r="K3">
        <f>I3/$I$61</f>
        <v>0.80056033679818195</v>
      </c>
      <c r="L3"/>
      <c r="M3"/>
      <c r="N3" s="6">
        <v>1</v>
      </c>
      <c r="O3" s="51">
        <v>32214</v>
      </c>
      <c r="P3" s="38">
        <v>40286</v>
      </c>
      <c r="Q3" s="38">
        <v>9082</v>
      </c>
      <c r="R3">
        <f>P3/$P$76</f>
        <v>0.70353997437869531</v>
      </c>
      <c r="S3">
        <f>Q3/$Q$76</f>
        <v>0.74749645410861143</v>
      </c>
      <c r="T3"/>
      <c r="U3" s="6">
        <v>1</v>
      </c>
      <c r="V3" s="51">
        <v>20799</v>
      </c>
      <c r="W3" s="38">
        <v>39994</v>
      </c>
      <c r="X3" s="38">
        <v>11075</v>
      </c>
      <c r="Y3">
        <f>W3/$W$80</f>
        <v>0.72583793237145378</v>
      </c>
      <c r="Z3">
        <f>X3/$X$80</f>
        <v>0.77151097725477713</v>
      </c>
      <c r="AA3"/>
      <c r="AB3" s="6">
        <v>1</v>
      </c>
      <c r="AC3" s="51">
        <v>23892</v>
      </c>
      <c r="AD3" s="38">
        <v>42631</v>
      </c>
      <c r="AE3" s="38">
        <v>11780</v>
      </c>
      <c r="AF3">
        <f>AD3/$AD$75</f>
        <v>0.70508052843504954</v>
      </c>
      <c r="AG3">
        <f>AE3/$AE$75</f>
        <v>0.8870825197176514</v>
      </c>
      <c r="AH3" s="7"/>
      <c r="AI3" s="6">
        <v>1</v>
      </c>
      <c r="AJ3" s="51">
        <v>18906</v>
      </c>
      <c r="AK3" s="38">
        <v>38490</v>
      </c>
      <c r="AL3" s="38">
        <v>5869</v>
      </c>
      <c r="AM3">
        <f>AK3/$AK$69</f>
        <v>0.59592847657200254</v>
      </c>
      <c r="AN3">
        <f>AL3/$AL$69</f>
        <v>0.47401828992952516</v>
      </c>
      <c r="AO3" s="7"/>
      <c r="AP3" s="7"/>
      <c r="AQ3" s="6"/>
      <c r="AR3" s="6"/>
      <c r="AS3" s="7"/>
      <c r="AT3" s="7"/>
      <c r="AU3" s="7"/>
      <c r="AV3" s="7"/>
    </row>
    <row r="4" spans="4:48" x14ac:dyDescent="0.25">
      <c r="D4"/>
      <c r="E4"/>
      <c r="F4">
        <v>2</v>
      </c>
      <c r="G4" s="51">
        <v>22198</v>
      </c>
      <c r="H4" s="38">
        <v>48383</v>
      </c>
      <c r="I4" s="38">
        <v>10434</v>
      </c>
      <c r="J4">
        <f t="shared" ref="J4:J60" si="0">H4/$H$61</f>
        <v>0.99443957184951293</v>
      </c>
      <c r="K4">
        <f t="shared" ref="K4:K60" si="1">I4/$I$61</f>
        <v>0.90186207667374541</v>
      </c>
      <c r="L4"/>
      <c r="M4"/>
      <c r="N4" s="6">
        <v>2</v>
      </c>
      <c r="O4" s="51">
        <v>42870</v>
      </c>
      <c r="P4" s="38">
        <v>31139</v>
      </c>
      <c r="Q4" s="38">
        <v>7504</v>
      </c>
      <c r="R4">
        <f t="shared" ref="R4:R67" si="2">P4/$P$76</f>
        <v>0.5438001107625029</v>
      </c>
      <c r="S4">
        <f t="shared" ref="S4:S67" si="3">Q4/$Q$76</f>
        <v>0.61761873944406742</v>
      </c>
      <c r="T4"/>
      <c r="U4" s="6">
        <v>2</v>
      </c>
      <c r="V4" s="51">
        <v>22129</v>
      </c>
      <c r="W4" s="38">
        <v>34242</v>
      </c>
      <c r="X4" s="38">
        <v>9747</v>
      </c>
      <c r="Y4">
        <f t="shared" ref="Y4:Y67" si="4">W4/$W$80</f>
        <v>0.62144677902343659</v>
      </c>
      <c r="Z4">
        <f t="shared" ref="Z4:Z67" si="5">X4/$X$80</f>
        <v>0.67899932237492666</v>
      </c>
      <c r="AA4"/>
      <c r="AB4" s="6">
        <v>2</v>
      </c>
      <c r="AC4" s="51">
        <v>26174</v>
      </c>
      <c r="AD4" s="38">
        <v>32337</v>
      </c>
      <c r="AE4" s="38">
        <v>10455</v>
      </c>
      <c r="AF4">
        <f t="shared" ref="AF4:AF67" si="6">AD4/$AD$75</f>
        <v>0.53482651235026613</v>
      </c>
      <c r="AG4">
        <f t="shared" ref="AG4:AG67" si="7">AE4/$AE$75</f>
        <v>0.78730456227912093</v>
      </c>
      <c r="AH4" s="7"/>
      <c r="AI4" s="6">
        <v>2</v>
      </c>
      <c r="AJ4" s="51">
        <v>20292</v>
      </c>
      <c r="AK4" s="38">
        <v>43783</v>
      </c>
      <c r="AL4" s="38">
        <v>8885</v>
      </c>
      <c r="AM4">
        <f t="shared" ref="AM4:AM67" si="8">AK4/$AK$69</f>
        <v>0.67787831877765625</v>
      </c>
      <c r="AN4">
        <f t="shared" ref="AN4:AN67" si="9">AL4/$AL$69</f>
        <v>0.71760990049818218</v>
      </c>
      <c r="AO4" s="7"/>
      <c r="AP4" s="7"/>
      <c r="AQ4" s="6"/>
      <c r="AR4" s="6"/>
      <c r="AS4" s="7"/>
      <c r="AT4" s="7"/>
      <c r="AU4" s="7"/>
      <c r="AV4" s="7"/>
    </row>
    <row r="5" spans="4:48" x14ac:dyDescent="0.25">
      <c r="D5"/>
      <c r="E5"/>
      <c r="F5">
        <v>3</v>
      </c>
      <c r="G5" s="51">
        <v>43025</v>
      </c>
      <c r="H5" s="38">
        <v>33863</v>
      </c>
      <c r="I5" s="38">
        <v>8553</v>
      </c>
      <c r="J5">
        <f t="shared" si="0"/>
        <v>0.69600287748878853</v>
      </c>
      <c r="K5">
        <f t="shared" si="1"/>
        <v>0.73927797026936404</v>
      </c>
      <c r="L5"/>
      <c r="M5"/>
      <c r="N5" s="6">
        <v>3</v>
      </c>
      <c r="O5" s="51">
        <v>34618</v>
      </c>
      <c r="P5" s="38">
        <v>47039</v>
      </c>
      <c r="Q5" s="38">
        <v>6342</v>
      </c>
      <c r="R5">
        <f t="shared" si="2"/>
        <v>0.82147189730426073</v>
      </c>
      <c r="S5">
        <f t="shared" si="3"/>
        <v>0.52198001673164651</v>
      </c>
      <c r="T5"/>
      <c r="U5" s="6">
        <v>3</v>
      </c>
      <c r="V5" s="51">
        <v>28713</v>
      </c>
      <c r="W5" s="38">
        <v>39503</v>
      </c>
      <c r="X5" s="38">
        <v>10601</v>
      </c>
      <c r="Y5">
        <f t="shared" si="4"/>
        <v>0.71692693510200378</v>
      </c>
      <c r="Z5">
        <f t="shared" si="5"/>
        <v>0.73849100405217993</v>
      </c>
      <c r="AA5"/>
      <c r="AB5" s="6">
        <v>3</v>
      </c>
      <c r="AC5" s="51">
        <v>31518</v>
      </c>
      <c r="AD5" s="38">
        <v>27949</v>
      </c>
      <c r="AE5" s="38">
        <v>9234</v>
      </c>
      <c r="AF5">
        <f t="shared" si="6"/>
        <v>0.46225271959914616</v>
      </c>
      <c r="AG5">
        <f t="shared" si="7"/>
        <v>0.69535823319802992</v>
      </c>
      <c r="AH5" s="7"/>
      <c r="AI5" s="6">
        <v>3</v>
      </c>
      <c r="AJ5" s="51">
        <v>21979</v>
      </c>
      <c r="AK5" s="38">
        <v>38804</v>
      </c>
      <c r="AL5" s="38">
        <v>13773</v>
      </c>
      <c r="AM5">
        <f t="shared" si="8"/>
        <v>0.60079003909846684</v>
      </c>
      <c r="AN5">
        <f t="shared" si="9"/>
        <v>1.1123963038335918</v>
      </c>
      <c r="AO5" s="7"/>
      <c r="AP5" s="7"/>
      <c r="AQ5" s="7"/>
      <c r="AR5" s="7"/>
      <c r="AS5" s="7"/>
      <c r="AT5" s="7"/>
      <c r="AU5" s="7"/>
      <c r="AV5" s="7"/>
    </row>
    <row r="6" spans="4:48" x14ac:dyDescent="0.25">
      <c r="D6"/>
      <c r="E6"/>
      <c r="F6">
        <v>4</v>
      </c>
      <c r="G6" s="51">
        <v>35938</v>
      </c>
      <c r="H6" s="38">
        <v>47732</v>
      </c>
      <c r="I6" s="38">
        <v>12214</v>
      </c>
      <c r="J6">
        <f t="shared" si="0"/>
        <v>0.98105924898251351</v>
      </c>
      <c r="K6">
        <f t="shared" si="1"/>
        <v>1.0557162549830483</v>
      </c>
      <c r="L6"/>
      <c r="M6"/>
      <c r="N6" s="6">
        <v>4</v>
      </c>
      <c r="O6" s="51">
        <v>32917</v>
      </c>
      <c r="P6" s="38">
        <v>35333</v>
      </c>
      <c r="Q6" s="38">
        <v>6271</v>
      </c>
      <c r="R6">
        <f t="shared" si="2"/>
        <v>0.61704259332578171</v>
      </c>
      <c r="S6">
        <f t="shared" si="3"/>
        <v>0.5161363426244332</v>
      </c>
      <c r="T6"/>
      <c r="U6" s="6">
        <v>4</v>
      </c>
      <c r="V6" s="51">
        <v>19129</v>
      </c>
      <c r="W6" s="38">
        <v>36345</v>
      </c>
      <c r="X6" s="38">
        <v>9828</v>
      </c>
      <c r="Y6">
        <f t="shared" si="4"/>
        <v>0.65961343331600963</v>
      </c>
      <c r="Z6">
        <f t="shared" si="5"/>
        <v>0.68464197602347177</v>
      </c>
      <c r="AA6"/>
      <c r="AB6" s="6">
        <v>4</v>
      </c>
      <c r="AC6" s="51">
        <v>48694</v>
      </c>
      <c r="AD6" s="40">
        <v>67171</v>
      </c>
      <c r="AE6" s="37">
        <v>18514</v>
      </c>
      <c r="AF6">
        <f t="shared" si="6"/>
        <v>1.1109512837022522</v>
      </c>
      <c r="AG6">
        <f t="shared" si="7"/>
        <v>1.3941804558618505</v>
      </c>
      <c r="AH6" s="7"/>
      <c r="AI6" s="6">
        <v>4</v>
      </c>
      <c r="AJ6" s="51">
        <v>28523</v>
      </c>
      <c r="AK6" s="38">
        <v>52675</v>
      </c>
      <c r="AL6" s="38">
        <v>10107</v>
      </c>
      <c r="AM6">
        <f t="shared" si="8"/>
        <v>0.81555033783918507</v>
      </c>
      <c r="AN6">
        <f t="shared" si="9"/>
        <v>0.81630650133203453</v>
      </c>
      <c r="AO6" s="7"/>
      <c r="AP6" s="7"/>
      <c r="AQ6" s="6"/>
      <c r="AR6" s="6"/>
      <c r="AS6" s="7"/>
      <c r="AT6" s="7"/>
      <c r="AU6" s="7"/>
      <c r="AV6" s="7"/>
    </row>
    <row r="7" spans="4:48" x14ac:dyDescent="0.25">
      <c r="D7"/>
      <c r="E7"/>
      <c r="F7">
        <v>5</v>
      </c>
      <c r="G7" s="51">
        <v>47177</v>
      </c>
      <c r="H7" s="38">
        <v>48774</v>
      </c>
      <c r="I7" s="38">
        <v>14469</v>
      </c>
      <c r="J7">
        <f t="shared" si="0"/>
        <v>1.0024759869662514</v>
      </c>
      <c r="K7">
        <f t="shared" si="1"/>
        <v>1.2506270258187102</v>
      </c>
      <c r="L7"/>
      <c r="M7"/>
      <c r="N7" s="6">
        <v>5</v>
      </c>
      <c r="O7" s="51">
        <v>40347</v>
      </c>
      <c r="P7" s="38">
        <v>33411</v>
      </c>
      <c r="Q7" s="38">
        <v>12021</v>
      </c>
      <c r="R7">
        <f t="shared" si="2"/>
        <v>0.58347748805953903</v>
      </c>
      <c r="S7">
        <f t="shared" si="3"/>
        <v>0.98939164003959679</v>
      </c>
      <c r="T7"/>
      <c r="U7" s="6">
        <v>5</v>
      </c>
      <c r="V7" s="51">
        <v>30</v>
      </c>
      <c r="W7" s="38">
        <v>22859</v>
      </c>
      <c r="X7" s="38">
        <v>7694</v>
      </c>
      <c r="Y7">
        <f t="shared" si="4"/>
        <v>0.41486046147119726</v>
      </c>
      <c r="Z7">
        <f t="shared" si="5"/>
        <v>0.5359824342210614</v>
      </c>
      <c r="AA7"/>
      <c r="AB7" s="6">
        <v>5</v>
      </c>
      <c r="AC7" s="51">
        <v>44424</v>
      </c>
      <c r="AD7" s="38">
        <v>37727</v>
      </c>
      <c r="AE7" s="38">
        <v>13525</v>
      </c>
      <c r="AF7">
        <f t="shared" si="6"/>
        <v>0.6239725339839346</v>
      </c>
      <c r="AG7">
        <f t="shared" si="7"/>
        <v>1.0184882070612253</v>
      </c>
      <c r="AH7" s="7"/>
      <c r="AI7" s="6">
        <v>5</v>
      </c>
      <c r="AJ7" s="51">
        <v>41462</v>
      </c>
      <c r="AK7" s="38">
        <v>63065</v>
      </c>
      <c r="AL7" s="38">
        <v>12249</v>
      </c>
      <c r="AM7">
        <f t="shared" si="8"/>
        <v>0.97641541634225359</v>
      </c>
      <c r="AN7">
        <f t="shared" si="9"/>
        <v>0.98930823536322265</v>
      </c>
      <c r="AO7" s="7"/>
      <c r="AP7" s="7"/>
      <c r="AQ7" s="7"/>
      <c r="AR7" s="7"/>
      <c r="AS7" s="7"/>
      <c r="AT7" s="7"/>
      <c r="AU7" s="7"/>
      <c r="AV7" s="7"/>
    </row>
    <row r="8" spans="4:48" x14ac:dyDescent="0.25">
      <c r="D8"/>
      <c r="E8"/>
      <c r="F8">
        <v>6</v>
      </c>
      <c r="G8" s="51">
        <v>50994</v>
      </c>
      <c r="H8" s="38">
        <v>42969</v>
      </c>
      <c r="I8" s="38">
        <v>11894</v>
      </c>
      <c r="J8">
        <f t="shared" si="0"/>
        <v>0.88316296969600316</v>
      </c>
      <c r="K8">
        <f t="shared" si="1"/>
        <v>1.0280570768600277</v>
      </c>
      <c r="L8"/>
      <c r="M8"/>
      <c r="N8" s="6">
        <v>6</v>
      </c>
      <c r="O8" s="51">
        <v>39988</v>
      </c>
      <c r="P8" s="38">
        <v>41226</v>
      </c>
      <c r="Q8" s="38">
        <v>11988</v>
      </c>
      <c r="R8">
        <f t="shared" si="2"/>
        <v>0.71995579068996907</v>
      </c>
      <c r="S8">
        <f t="shared" si="3"/>
        <v>0.98667556615877927</v>
      </c>
      <c r="T8"/>
      <c r="U8" s="6">
        <v>6</v>
      </c>
      <c r="V8" s="51">
        <v>51636</v>
      </c>
      <c r="W8" s="38">
        <v>41439</v>
      </c>
      <c r="X8" s="38">
        <v>8765</v>
      </c>
      <c r="Y8">
        <f t="shared" si="4"/>
        <v>0.75206276140272732</v>
      </c>
      <c r="Z8">
        <f t="shared" si="5"/>
        <v>0.61059085468515772</v>
      </c>
      <c r="AA8"/>
      <c r="AB8" s="6">
        <v>6</v>
      </c>
      <c r="AC8" s="51">
        <v>27861</v>
      </c>
      <c r="AD8" s="38">
        <v>47171</v>
      </c>
      <c r="AE8" s="38">
        <v>14743</v>
      </c>
      <c r="AF8">
        <f t="shared" si="6"/>
        <v>0.7801682720745402</v>
      </c>
      <c r="AG8">
        <f t="shared" si="7"/>
        <v>1.1102086237858517</v>
      </c>
      <c r="AH8" s="7"/>
      <c r="AI8" s="6">
        <v>6</v>
      </c>
      <c r="AJ8" s="51">
        <v>47746</v>
      </c>
      <c r="AK8" s="38">
        <v>60418</v>
      </c>
      <c r="AL8" s="38">
        <v>8552</v>
      </c>
      <c r="AM8">
        <f t="shared" si="8"/>
        <v>0.9354327538978241</v>
      </c>
      <c r="AN8">
        <f t="shared" si="9"/>
        <v>0.69071467293871169</v>
      </c>
      <c r="AO8" s="7"/>
      <c r="AP8" s="7"/>
      <c r="AQ8" s="7"/>
      <c r="AR8" s="7"/>
      <c r="AS8" s="7"/>
      <c r="AT8" s="7"/>
      <c r="AU8" s="7"/>
      <c r="AV8" s="7"/>
    </row>
    <row r="9" spans="4:48" x14ac:dyDescent="0.25">
      <c r="D9"/>
      <c r="E9"/>
      <c r="F9">
        <v>7</v>
      </c>
      <c r="G9" s="51">
        <v>39350</v>
      </c>
      <c r="H9" s="38">
        <v>29971</v>
      </c>
      <c r="I9" s="38">
        <v>6932</v>
      </c>
      <c r="J9">
        <f t="shared" si="0"/>
        <v>0.61600868916565221</v>
      </c>
      <c r="K9">
        <f t="shared" si="1"/>
        <v>0.59916694608993704</v>
      </c>
      <c r="L9"/>
      <c r="M9"/>
      <c r="N9" s="6">
        <v>7</v>
      </c>
      <c r="O9" s="51">
        <v>43415</v>
      </c>
      <c r="P9" s="38">
        <v>32186</v>
      </c>
      <c r="Q9" s="38">
        <v>10390</v>
      </c>
      <c r="R9">
        <f t="shared" si="2"/>
        <v>0.56208453595176211</v>
      </c>
      <c r="S9">
        <f t="shared" si="3"/>
        <v>0.85515174611192168</v>
      </c>
      <c r="T9"/>
      <c r="U9" s="6">
        <v>7</v>
      </c>
      <c r="V9" s="51">
        <v>26653</v>
      </c>
      <c r="W9" s="38">
        <v>30102</v>
      </c>
      <c r="X9" s="38">
        <v>11525</v>
      </c>
      <c r="Y9">
        <f t="shared" si="4"/>
        <v>0.54631128269854234</v>
      </c>
      <c r="Z9">
        <f t="shared" si="5"/>
        <v>0.8028590530800277</v>
      </c>
      <c r="AA9"/>
      <c r="AB9" s="6">
        <v>7</v>
      </c>
      <c r="AC9" s="51">
        <v>33158</v>
      </c>
      <c r="AD9" s="38">
        <v>53079</v>
      </c>
      <c r="AE9" s="38">
        <v>15224</v>
      </c>
      <c r="AF9">
        <f t="shared" si="6"/>
        <v>0.87788157370936626</v>
      </c>
      <c r="AG9">
        <f t="shared" si="7"/>
        <v>1.146429904939009</v>
      </c>
      <c r="AH9" s="7"/>
      <c r="AI9" s="6">
        <v>7</v>
      </c>
      <c r="AJ9" s="51">
        <v>41526</v>
      </c>
      <c r="AK9" s="38">
        <v>60309</v>
      </c>
      <c r="AL9" s="38">
        <v>8362</v>
      </c>
      <c r="AM9">
        <f t="shared" si="8"/>
        <v>0.93374514142844645</v>
      </c>
      <c r="AN9">
        <f t="shared" si="9"/>
        <v>0.67536904760447936</v>
      </c>
      <c r="AO9" s="6"/>
      <c r="AP9" s="7"/>
      <c r="AQ9" s="7"/>
      <c r="AR9" s="7"/>
      <c r="AS9" s="7"/>
      <c r="AT9" s="7"/>
      <c r="AU9" s="7"/>
      <c r="AV9" s="7"/>
    </row>
    <row r="10" spans="4:48" x14ac:dyDescent="0.25">
      <c r="D10"/>
      <c r="E10"/>
      <c r="F10">
        <v>8</v>
      </c>
      <c r="G10" s="51">
        <v>36094</v>
      </c>
      <c r="H10" s="38">
        <v>48815</v>
      </c>
      <c r="I10" s="38">
        <v>10764</v>
      </c>
      <c r="J10">
        <f t="shared" si="0"/>
        <v>1.0033186801114848</v>
      </c>
      <c r="K10">
        <f t="shared" si="1"/>
        <v>0.93038560411311055</v>
      </c>
      <c r="L10"/>
      <c r="M10"/>
      <c r="N10" s="6">
        <v>8</v>
      </c>
      <c r="O10" s="51">
        <v>46634</v>
      </c>
      <c r="P10" s="38">
        <v>48473</v>
      </c>
      <c r="Q10" s="38">
        <v>16204</v>
      </c>
      <c r="R10">
        <f t="shared" si="2"/>
        <v>0.84651474899613999</v>
      </c>
      <c r="S10">
        <f t="shared" si="3"/>
        <v>1.3336745807504888</v>
      </c>
      <c r="T10"/>
      <c r="U10" s="6">
        <v>8</v>
      </c>
      <c r="V10" s="51">
        <v>50562</v>
      </c>
      <c r="W10" s="38">
        <v>37317</v>
      </c>
      <c r="X10" s="38">
        <v>9683</v>
      </c>
      <c r="Y10">
        <f t="shared" si="4"/>
        <v>0.67725394114881088</v>
      </c>
      <c r="Z10">
        <f t="shared" si="5"/>
        <v>0.67454092936866883</v>
      </c>
      <c r="AA10"/>
      <c r="AB10" s="6">
        <v>8</v>
      </c>
      <c r="AC10" s="51">
        <v>45495</v>
      </c>
      <c r="AD10" s="38">
        <v>43796</v>
      </c>
      <c r="AE10" s="38">
        <v>14263</v>
      </c>
      <c r="AF10">
        <f t="shared" si="6"/>
        <v>0.72434863886236378</v>
      </c>
      <c r="AG10">
        <f t="shared" si="7"/>
        <v>1.0740626467515162</v>
      </c>
      <c r="AH10" s="7"/>
      <c r="AI10" s="6">
        <v>8</v>
      </c>
      <c r="AJ10" s="51">
        <v>30217</v>
      </c>
      <c r="AK10" s="38">
        <v>44964</v>
      </c>
      <c r="AL10" s="38">
        <v>11175</v>
      </c>
      <c r="AM10">
        <f t="shared" si="8"/>
        <v>0.6961633676431157</v>
      </c>
      <c r="AN10">
        <f t="shared" si="9"/>
        <v>0.90256506900024591</v>
      </c>
      <c r="AO10" s="6"/>
      <c r="AP10" s="7"/>
      <c r="AQ10" s="7"/>
      <c r="AR10" s="7"/>
      <c r="AS10" s="7"/>
      <c r="AT10" s="7"/>
      <c r="AU10" s="7"/>
      <c r="AV10" s="7"/>
    </row>
    <row r="11" spans="4:48" x14ac:dyDescent="0.25">
      <c r="D11"/>
      <c r="E11"/>
      <c r="F11">
        <v>9</v>
      </c>
      <c r="G11" s="51">
        <v>52207</v>
      </c>
      <c r="H11" s="38">
        <v>51890</v>
      </c>
      <c r="I11" s="38">
        <v>10917</v>
      </c>
      <c r="J11">
        <f t="shared" si="0"/>
        <v>1.0665206660039936</v>
      </c>
      <c r="K11">
        <f t="shared" si="1"/>
        <v>0.94361014865317983</v>
      </c>
      <c r="L11" s="3"/>
      <c r="M11" s="3"/>
      <c r="N11" s="6">
        <v>9</v>
      </c>
      <c r="O11" s="51">
        <v>52743</v>
      </c>
      <c r="P11" s="38">
        <v>37239</v>
      </c>
      <c r="Q11" s="38">
        <v>12142</v>
      </c>
      <c r="R11">
        <f t="shared" si="2"/>
        <v>0.65032828044204527</v>
      </c>
      <c r="S11">
        <f t="shared" si="3"/>
        <v>0.99935057760259405</v>
      </c>
      <c r="T11" s="3"/>
      <c r="U11" s="6">
        <v>9</v>
      </c>
      <c r="V11" s="51">
        <v>42135</v>
      </c>
      <c r="W11" s="38">
        <v>38750</v>
      </c>
      <c r="X11" s="38">
        <v>9802</v>
      </c>
      <c r="Y11">
        <f t="shared" si="4"/>
        <v>0.70326098613276578</v>
      </c>
      <c r="Z11">
        <f t="shared" si="5"/>
        <v>0.68283075386467951</v>
      </c>
      <c r="AA11" s="3"/>
      <c r="AB11" s="6">
        <v>9</v>
      </c>
      <c r="AC11" s="51">
        <v>43578</v>
      </c>
      <c r="AD11" s="38">
        <v>50127</v>
      </c>
      <c r="AE11" s="38">
        <v>11520</v>
      </c>
      <c r="AF11">
        <f t="shared" si="6"/>
        <v>0.82905800119311601</v>
      </c>
      <c r="AG11">
        <f t="shared" si="7"/>
        <v>0.86750344882405295</v>
      </c>
      <c r="AH11" s="6"/>
      <c r="AI11" s="6">
        <v>9</v>
      </c>
      <c r="AJ11" s="51">
        <v>25006</v>
      </c>
      <c r="AK11" s="38">
        <v>29652</v>
      </c>
      <c r="AL11" s="38">
        <v>7571</v>
      </c>
      <c r="AM11">
        <f t="shared" si="8"/>
        <v>0.45909252240355991</v>
      </c>
      <c r="AN11">
        <f t="shared" si="9"/>
        <v>0.61148278634459619</v>
      </c>
      <c r="AO11" s="6"/>
      <c r="AP11" s="7"/>
      <c r="AQ11" s="7"/>
      <c r="AR11" s="7"/>
      <c r="AS11" s="6"/>
      <c r="AT11" s="6"/>
      <c r="AU11" s="6"/>
      <c r="AV11" s="6"/>
    </row>
    <row r="12" spans="4:48" x14ac:dyDescent="0.25">
      <c r="D12"/>
      <c r="E12"/>
      <c r="F12">
        <v>10</v>
      </c>
      <c r="G12" s="51">
        <v>58184</v>
      </c>
      <c r="H12" s="40">
        <v>59073</v>
      </c>
      <c r="I12" s="37">
        <v>15464</v>
      </c>
      <c r="J12">
        <f t="shared" si="0"/>
        <v>1.2141563943506248</v>
      </c>
      <c r="K12">
        <f t="shared" si="1"/>
        <v>1.3366297827949778</v>
      </c>
      <c r="L12"/>
      <c r="M12"/>
      <c r="N12" s="6">
        <v>10</v>
      </c>
      <c r="O12" s="51">
        <v>47687</v>
      </c>
      <c r="P12" s="38">
        <v>38722</v>
      </c>
      <c r="Q12" s="38">
        <v>11313</v>
      </c>
      <c r="R12">
        <f t="shared" si="2"/>
        <v>0.67622685021823559</v>
      </c>
      <c r="S12">
        <f t="shared" si="3"/>
        <v>0.93111950950569489</v>
      </c>
      <c r="T12"/>
      <c r="U12" s="6">
        <v>10</v>
      </c>
      <c r="V12" s="51">
        <v>58414</v>
      </c>
      <c r="W12" s="38">
        <v>37743</v>
      </c>
      <c r="X12" s="38">
        <v>11100</v>
      </c>
      <c r="Y12">
        <f t="shared" si="4"/>
        <v>0.68498527482861882</v>
      </c>
      <c r="Z12">
        <f t="shared" si="5"/>
        <v>0.77325253702284658</v>
      </c>
      <c r="AA12"/>
      <c r="AB12" s="6">
        <v>10</v>
      </c>
      <c r="AC12" s="51">
        <v>30640</v>
      </c>
      <c r="AD12" s="38">
        <v>37660</v>
      </c>
      <c r="AE12" s="38">
        <v>8470</v>
      </c>
      <c r="AF12">
        <f t="shared" si="6"/>
        <v>0.62286441089498168</v>
      </c>
      <c r="AG12">
        <f t="shared" si="7"/>
        <v>0.63782588641837923</v>
      </c>
      <c r="AH12" s="7"/>
      <c r="AI12" s="6">
        <v>10</v>
      </c>
      <c r="AJ12" s="51">
        <v>49762</v>
      </c>
      <c r="AK12" s="38">
        <v>30710</v>
      </c>
      <c r="AL12" s="38">
        <v>10779</v>
      </c>
      <c r="AM12">
        <f t="shared" si="8"/>
        <v>0.47547320123476744</v>
      </c>
      <c r="AN12">
        <f t="shared" si="9"/>
        <v>0.87058155514574065</v>
      </c>
      <c r="AO12" s="7"/>
      <c r="AP12" s="7"/>
      <c r="AQ12" s="7"/>
      <c r="AR12" s="7"/>
      <c r="AS12" s="7"/>
      <c r="AT12" s="7"/>
      <c r="AU12" s="7"/>
      <c r="AV12" s="7"/>
    </row>
    <row r="13" spans="4:48" x14ac:dyDescent="0.25">
      <c r="D13"/>
      <c r="E13"/>
      <c r="F13">
        <v>11</v>
      </c>
      <c r="G13" s="51">
        <v>59677</v>
      </c>
      <c r="H13" s="38">
        <v>40090</v>
      </c>
      <c r="I13" s="38">
        <v>11368</v>
      </c>
      <c r="J13">
        <f t="shared" si="0"/>
        <v>0.82398946810753726</v>
      </c>
      <c r="K13">
        <f t="shared" si="1"/>
        <v>0.98259230282031218</v>
      </c>
      <c r="L13"/>
      <c r="M13"/>
      <c r="N13" s="6">
        <v>11</v>
      </c>
      <c r="O13" s="51">
        <v>56630</v>
      </c>
      <c r="P13" s="38">
        <v>44043</v>
      </c>
      <c r="Q13" s="38">
        <v>8674</v>
      </c>
      <c r="R13">
        <f t="shared" si="2"/>
        <v>0.76915084872066919</v>
      </c>
      <c r="S13">
        <f t="shared" si="3"/>
        <v>0.71391590430941365</v>
      </c>
      <c r="T13"/>
      <c r="U13" s="6">
        <v>11</v>
      </c>
      <c r="V13" s="51">
        <v>37491</v>
      </c>
      <c r="W13" s="38">
        <v>27140</v>
      </c>
      <c r="X13" s="38">
        <v>7263</v>
      </c>
      <c r="Y13">
        <f t="shared" si="4"/>
        <v>0.4925549203520842</v>
      </c>
      <c r="Z13">
        <f t="shared" si="5"/>
        <v>0.50595794381954362</v>
      </c>
      <c r="AA13"/>
      <c r="AB13" s="6">
        <v>11</v>
      </c>
      <c r="AC13" s="51">
        <v>35438</v>
      </c>
      <c r="AD13" s="38">
        <v>39808</v>
      </c>
      <c r="AE13" s="38">
        <v>8795</v>
      </c>
      <c r="AF13">
        <f t="shared" si="6"/>
        <v>0.65839050634379803</v>
      </c>
      <c r="AG13">
        <f t="shared" si="7"/>
        <v>0.66229972503537726</v>
      </c>
      <c r="AH13" s="7"/>
      <c r="AI13" s="6">
        <v>11</v>
      </c>
      <c r="AJ13" s="51">
        <v>37646</v>
      </c>
      <c r="AK13" s="38">
        <v>30005</v>
      </c>
      <c r="AL13" s="38">
        <v>8312</v>
      </c>
      <c r="AM13">
        <f t="shared" si="8"/>
        <v>0.46455790957503085</v>
      </c>
      <c r="AN13">
        <f t="shared" si="9"/>
        <v>0.67133072514810244</v>
      </c>
      <c r="AO13" s="7"/>
      <c r="AP13" s="7"/>
      <c r="AQ13" s="7"/>
      <c r="AR13" s="7"/>
      <c r="AS13" s="7"/>
      <c r="AT13" s="7"/>
      <c r="AU13" s="7"/>
      <c r="AV13" s="7"/>
    </row>
    <row r="14" spans="4:48" x14ac:dyDescent="0.25">
      <c r="D14"/>
      <c r="E14"/>
      <c r="F14">
        <v>12</v>
      </c>
      <c r="G14" s="51">
        <v>53664</v>
      </c>
      <c r="H14" s="38">
        <v>52552</v>
      </c>
      <c r="I14" s="38">
        <v>9392</v>
      </c>
      <c r="J14">
        <f t="shared" si="0"/>
        <v>1.0801270772758118</v>
      </c>
      <c r="K14">
        <f t="shared" si="1"/>
        <v>0.81179687791065913</v>
      </c>
      <c r="L14"/>
      <c r="M14"/>
      <c r="N14" s="6">
        <v>12</v>
      </c>
      <c r="O14" s="51">
        <v>52611</v>
      </c>
      <c r="P14" s="40">
        <v>61778</v>
      </c>
      <c r="Q14" s="37">
        <v>14306</v>
      </c>
      <c r="R14">
        <f t="shared" si="2"/>
        <v>1.0788684043381582</v>
      </c>
      <c r="S14">
        <f t="shared" si="3"/>
        <v>1.1774591799689269</v>
      </c>
      <c r="T14" s="3"/>
      <c r="U14" s="6">
        <v>12</v>
      </c>
      <c r="V14" s="51">
        <v>41643</v>
      </c>
      <c r="W14" s="38">
        <v>26268</v>
      </c>
      <c r="X14" s="38">
        <v>8464</v>
      </c>
      <c r="Y14">
        <f t="shared" si="4"/>
        <v>0.47672927958027078</v>
      </c>
      <c r="Z14">
        <f t="shared" si="5"/>
        <v>0.58962247507760124</v>
      </c>
      <c r="AA14" s="3"/>
      <c r="AB14" s="6">
        <v>12</v>
      </c>
      <c r="AC14" s="51">
        <v>41231</v>
      </c>
      <c r="AD14" s="38">
        <v>32991</v>
      </c>
      <c r="AE14" s="38">
        <v>7241</v>
      </c>
      <c r="AF14">
        <f t="shared" si="6"/>
        <v>0.54564311683049238</v>
      </c>
      <c r="AG14">
        <f t="shared" si="7"/>
        <v>0.54527712438671594</v>
      </c>
      <c r="AH14" s="6"/>
      <c r="AI14" s="6">
        <v>12</v>
      </c>
      <c r="AJ14" s="51">
        <v>24384</v>
      </c>
      <c r="AK14" s="38">
        <v>18275</v>
      </c>
      <c r="AL14" s="38">
        <v>6399</v>
      </c>
      <c r="AM14">
        <f t="shared" si="8"/>
        <v>0.28294603557686016</v>
      </c>
      <c r="AN14">
        <f t="shared" si="9"/>
        <v>0.51682450796712076</v>
      </c>
      <c r="AO14" s="7"/>
      <c r="AP14" s="7"/>
      <c r="AQ14" s="7"/>
      <c r="AR14" s="7"/>
      <c r="AS14" s="6"/>
      <c r="AT14" s="6"/>
      <c r="AU14" s="6"/>
      <c r="AV14" s="6"/>
    </row>
    <row r="15" spans="4:48" x14ac:dyDescent="0.25">
      <c r="D15"/>
      <c r="E15"/>
      <c r="F15">
        <v>13</v>
      </c>
      <c r="G15" s="51">
        <v>60327</v>
      </c>
      <c r="H15" s="40">
        <v>51206</v>
      </c>
      <c r="I15" s="37">
        <v>12036</v>
      </c>
      <c r="J15">
        <f t="shared" si="0"/>
        <v>1.052462077922538</v>
      </c>
      <c r="K15">
        <f t="shared" si="1"/>
        <v>1.040330837152118</v>
      </c>
      <c r="L15"/>
      <c r="M15"/>
      <c r="N15" s="6">
        <v>13</v>
      </c>
      <c r="O15" s="51">
        <v>53856</v>
      </c>
      <c r="P15" s="38">
        <v>57590</v>
      </c>
      <c r="Q15" s="38">
        <v>12065</v>
      </c>
      <c r="R15">
        <f t="shared" si="2"/>
        <v>1.0057307035811216</v>
      </c>
      <c r="S15">
        <f t="shared" si="3"/>
        <v>0.99301307188068666</v>
      </c>
      <c r="T15"/>
      <c r="U15" s="6">
        <v>13</v>
      </c>
      <c r="V15" s="51">
        <v>42754</v>
      </c>
      <c r="W15" s="38">
        <v>31918</v>
      </c>
      <c r="X15" s="38">
        <v>8910</v>
      </c>
      <c r="Y15">
        <f t="shared" si="4"/>
        <v>0.57926926852608052</v>
      </c>
      <c r="Z15">
        <f t="shared" si="5"/>
        <v>0.62069190133996066</v>
      </c>
      <c r="AA15"/>
      <c r="AB15" s="6">
        <v>13</v>
      </c>
      <c r="AC15" s="51">
        <v>22883</v>
      </c>
      <c r="AD15" s="40">
        <v>63901</v>
      </c>
      <c r="AE15" s="37">
        <v>15180</v>
      </c>
      <c r="AF15">
        <f t="shared" si="6"/>
        <v>1.0568682613011213</v>
      </c>
      <c r="AG15">
        <f t="shared" si="7"/>
        <v>1.1431165237108614</v>
      </c>
      <c r="AH15" s="7"/>
      <c r="AI15" s="6">
        <v>13</v>
      </c>
      <c r="AJ15" s="51">
        <v>63453</v>
      </c>
      <c r="AK15" s="38">
        <v>46870</v>
      </c>
      <c r="AL15" s="38">
        <v>12186</v>
      </c>
      <c r="AM15">
        <f t="shared" si="8"/>
        <v>0.72567336183241782</v>
      </c>
      <c r="AN15">
        <f t="shared" si="9"/>
        <v>0.98421994906818766</v>
      </c>
      <c r="AO15" s="7"/>
      <c r="AP15" s="7"/>
      <c r="AQ15" s="7"/>
      <c r="AR15" s="7"/>
      <c r="AS15" s="7"/>
      <c r="AT15" s="7"/>
      <c r="AU15" s="7"/>
      <c r="AV15" s="7"/>
    </row>
    <row r="16" spans="4:48" x14ac:dyDescent="0.25">
      <c r="D16"/>
      <c r="E16"/>
      <c r="F16">
        <v>14</v>
      </c>
      <c r="G16" s="51">
        <v>58534</v>
      </c>
      <c r="H16" s="38">
        <v>41151</v>
      </c>
      <c r="I16" s="38">
        <v>7466</v>
      </c>
      <c r="J16">
        <f t="shared" si="0"/>
        <v>0.84579672242687121</v>
      </c>
      <c r="K16">
        <f t="shared" si="1"/>
        <v>0.64532319958272788</v>
      </c>
      <c r="L16"/>
      <c r="M16"/>
      <c r="N16" s="6">
        <v>14</v>
      </c>
      <c r="O16" s="51">
        <v>57458</v>
      </c>
      <c r="P16" s="38">
        <v>37071</v>
      </c>
      <c r="Q16" s="38">
        <v>7981</v>
      </c>
      <c r="R16">
        <f t="shared" si="2"/>
        <v>0.64739438986726439</v>
      </c>
      <c r="S16">
        <f t="shared" si="3"/>
        <v>0.65687835281224705</v>
      </c>
      <c r="T16"/>
      <c r="U16" s="6">
        <v>14</v>
      </c>
      <c r="V16" s="51">
        <v>48446</v>
      </c>
      <c r="W16" s="38">
        <v>25523</v>
      </c>
      <c r="X16" s="38">
        <v>7331</v>
      </c>
      <c r="Y16">
        <f t="shared" si="4"/>
        <v>0.46320851997591178</v>
      </c>
      <c r="Z16">
        <f t="shared" si="5"/>
        <v>0.5106949863886926</v>
      </c>
      <c r="AA16"/>
      <c r="AB16" s="6">
        <v>14</v>
      </c>
      <c r="AC16" s="51">
        <v>27950</v>
      </c>
      <c r="AD16" s="38">
        <v>30180</v>
      </c>
      <c r="AE16" s="38">
        <v>7030</v>
      </c>
      <c r="AF16">
        <f t="shared" si="6"/>
        <v>0.4991515645462174</v>
      </c>
      <c r="AG16">
        <f t="shared" si="7"/>
        <v>0.52938795531537264</v>
      </c>
      <c r="AH16" s="7"/>
      <c r="AI16" s="6">
        <v>14</v>
      </c>
      <c r="AJ16" s="51">
        <v>33250</v>
      </c>
      <c r="AK16" s="38">
        <v>30535</v>
      </c>
      <c r="AL16" s="38">
        <v>10028</v>
      </c>
      <c r="AM16">
        <f t="shared" si="8"/>
        <v>0.47276373167383989</v>
      </c>
      <c r="AN16">
        <f t="shared" si="9"/>
        <v>0.80992595185095895</v>
      </c>
      <c r="AO16" s="7"/>
      <c r="AP16" s="7"/>
      <c r="AQ16" s="7"/>
      <c r="AR16" s="7"/>
      <c r="AS16" s="7"/>
      <c r="AT16" s="7"/>
      <c r="AU16" s="7"/>
      <c r="AV16" s="7"/>
    </row>
    <row r="17" spans="4:48" x14ac:dyDescent="0.25">
      <c r="D17"/>
      <c r="E17"/>
      <c r="F17">
        <v>15</v>
      </c>
      <c r="G17" s="51">
        <v>46657</v>
      </c>
      <c r="H17" s="38">
        <v>37786</v>
      </c>
      <c r="I17" s="38">
        <v>9507</v>
      </c>
      <c r="J17">
        <f t="shared" si="0"/>
        <v>0.77663422404368676</v>
      </c>
      <c r="K17">
        <f t="shared" si="1"/>
        <v>0.82173689504861969</v>
      </c>
      <c r="L17"/>
      <c r="M17"/>
      <c r="N17" s="6">
        <v>15</v>
      </c>
      <c r="O17" s="51">
        <v>64777</v>
      </c>
      <c r="P17" s="38">
        <v>43454</v>
      </c>
      <c r="Q17" s="38">
        <v>8815</v>
      </c>
      <c r="R17">
        <f t="shared" si="2"/>
        <v>0.75886476807456249</v>
      </c>
      <c r="S17">
        <f t="shared" si="3"/>
        <v>0.72552094725472471</v>
      </c>
      <c r="T17"/>
      <c r="U17" s="6">
        <v>15</v>
      </c>
      <c r="V17" s="51">
        <v>42872</v>
      </c>
      <c r="W17" s="38">
        <v>52835</v>
      </c>
      <c r="X17" s="38">
        <v>16530</v>
      </c>
      <c r="Y17">
        <f t="shared" si="4"/>
        <v>0.95888501167289497</v>
      </c>
      <c r="Z17">
        <f t="shared" si="5"/>
        <v>1.1515193186475363</v>
      </c>
      <c r="AA17"/>
      <c r="AB17" s="6">
        <v>15</v>
      </c>
      <c r="AC17" s="51">
        <v>33136</v>
      </c>
      <c r="AD17" s="38">
        <v>39152</v>
      </c>
      <c r="AE17" s="38">
        <v>11030</v>
      </c>
      <c r="AF17">
        <f t="shared" si="6"/>
        <v>0.64754082356240905</v>
      </c>
      <c r="AG17">
        <f t="shared" si="7"/>
        <v>0.83060443060150213</v>
      </c>
      <c r="AH17" s="7"/>
      <c r="AI17" s="6">
        <v>15</v>
      </c>
      <c r="AJ17" s="51">
        <v>59122</v>
      </c>
      <c r="AK17" s="38">
        <v>37452</v>
      </c>
      <c r="AL17" s="38">
        <v>11888</v>
      </c>
      <c r="AM17">
        <f t="shared" si="8"/>
        <v>0.57985745140490097</v>
      </c>
      <c r="AN17">
        <f t="shared" si="9"/>
        <v>0.96015154722818108</v>
      </c>
      <c r="AO17" s="7"/>
      <c r="AP17" s="7"/>
      <c r="AQ17" s="7"/>
      <c r="AR17" s="7"/>
      <c r="AS17" s="7"/>
      <c r="AT17" s="7"/>
      <c r="AU17" s="7"/>
      <c r="AV17" s="7"/>
    </row>
    <row r="18" spans="4:48" x14ac:dyDescent="0.25">
      <c r="D18"/>
      <c r="E18"/>
      <c r="F18">
        <v>16</v>
      </c>
      <c r="G18" s="51">
        <v>35952</v>
      </c>
      <c r="H18" s="38">
        <v>46722</v>
      </c>
      <c r="I18" s="38">
        <v>8651</v>
      </c>
      <c r="J18">
        <f t="shared" si="0"/>
        <v>0.96030022272188464</v>
      </c>
      <c r="K18">
        <f t="shared" si="1"/>
        <v>0.74774859356953916</v>
      </c>
      <c r="L18"/>
      <c r="M18"/>
      <c r="N18" s="6">
        <v>16</v>
      </c>
      <c r="O18" s="51">
        <v>34458</v>
      </c>
      <c r="P18" s="38">
        <v>62524</v>
      </c>
      <c r="Q18" s="38">
        <v>11048</v>
      </c>
      <c r="R18">
        <f t="shared" si="2"/>
        <v>1.0918962755809349</v>
      </c>
      <c r="S18">
        <f t="shared" si="3"/>
        <v>0.90930861319003953</v>
      </c>
      <c r="T18"/>
      <c r="U18" s="6">
        <v>16</v>
      </c>
      <c r="V18" s="51">
        <v>35342</v>
      </c>
      <c r="W18" s="38">
        <v>33550</v>
      </c>
      <c r="X18" s="38">
        <v>8333</v>
      </c>
      <c r="Y18">
        <f t="shared" si="4"/>
        <v>0.60888789896140105</v>
      </c>
      <c r="Z18">
        <f t="shared" si="5"/>
        <v>0.58049670189291713</v>
      </c>
      <c r="AA18"/>
      <c r="AB18" s="6">
        <v>16</v>
      </c>
      <c r="AC18" s="51">
        <v>27464</v>
      </c>
      <c r="AD18" s="38">
        <v>33393</v>
      </c>
      <c r="AE18" s="38">
        <v>8232</v>
      </c>
      <c r="AF18">
        <f t="shared" si="6"/>
        <v>0.55229185536420933</v>
      </c>
      <c r="AG18">
        <f t="shared" si="7"/>
        <v>0.61990350613885448</v>
      </c>
      <c r="AH18" s="7"/>
      <c r="AI18" s="6">
        <v>16</v>
      </c>
      <c r="AJ18" s="51">
        <v>44669</v>
      </c>
      <c r="AK18" s="38">
        <v>46068</v>
      </c>
      <c r="AL18" s="38">
        <v>12525</v>
      </c>
      <c r="AM18">
        <f t="shared" si="8"/>
        <v>0.71325624990176706</v>
      </c>
      <c r="AN18">
        <f t="shared" si="9"/>
        <v>1.0115997753224233</v>
      </c>
      <c r="AO18" s="7"/>
      <c r="AP18" s="7"/>
      <c r="AQ18" s="124" t="s">
        <v>45</v>
      </c>
      <c r="AR18" s="124"/>
      <c r="AS18" s="124"/>
      <c r="AT18" s="124"/>
      <c r="AU18" s="124"/>
      <c r="AV18" s="124"/>
    </row>
    <row r="19" spans="4:48" x14ac:dyDescent="0.25">
      <c r="D19"/>
      <c r="E19"/>
      <c r="F19">
        <v>17</v>
      </c>
      <c r="G19" s="51">
        <v>52223</v>
      </c>
      <c r="H19" s="38">
        <v>37620</v>
      </c>
      <c r="I19" s="38">
        <v>8402</v>
      </c>
      <c r="J19">
        <f t="shared" si="0"/>
        <v>0.77322234448005867</v>
      </c>
      <c r="K19">
        <f t="shared" si="1"/>
        <v>0.72622629559256369</v>
      </c>
      <c r="L19"/>
      <c r="M19"/>
      <c r="N19" s="6">
        <v>17</v>
      </c>
      <c r="O19" s="51">
        <v>35761</v>
      </c>
      <c r="P19" s="40">
        <v>64761</v>
      </c>
      <c r="Q19" s="37">
        <v>13716</v>
      </c>
      <c r="R19">
        <f t="shared" si="2"/>
        <v>1.1309624256748916</v>
      </c>
      <c r="S19">
        <f t="shared" si="3"/>
        <v>1.1288990711906755</v>
      </c>
      <c r="T19"/>
      <c r="U19" s="6">
        <v>17</v>
      </c>
      <c r="V19" s="51">
        <v>43159</v>
      </c>
      <c r="W19" s="38">
        <v>44243</v>
      </c>
      <c r="X19" s="38">
        <v>13495</v>
      </c>
      <c r="Y19">
        <f t="shared" si="4"/>
        <v>0.80295163379282475</v>
      </c>
      <c r="Z19">
        <f t="shared" si="5"/>
        <v>0.94009396280390223</v>
      </c>
      <c r="AA19"/>
      <c r="AB19" s="6">
        <v>17</v>
      </c>
      <c r="AC19" s="51">
        <v>26569</v>
      </c>
      <c r="AD19" s="38">
        <v>20722</v>
      </c>
      <c r="AE19" s="38">
        <v>6194</v>
      </c>
      <c r="AF19">
        <f t="shared" si="6"/>
        <v>0.34272427834747243</v>
      </c>
      <c r="AG19">
        <f t="shared" si="7"/>
        <v>0.46643371198057154</v>
      </c>
      <c r="AH19" s="7"/>
      <c r="AI19" s="6">
        <v>17</v>
      </c>
      <c r="AJ19" s="51">
        <v>54816</v>
      </c>
      <c r="AK19" s="38">
        <v>44552</v>
      </c>
      <c r="AL19" s="38">
        <v>9853</v>
      </c>
      <c r="AM19">
        <f t="shared" si="8"/>
        <v>0.68978450216253206</v>
      </c>
      <c r="AN19">
        <f t="shared" si="9"/>
        <v>0.79579182325363973</v>
      </c>
      <c r="AO19" s="7"/>
      <c r="AP19" s="7"/>
      <c r="AQ19" s="68"/>
      <c r="AR19" s="68"/>
      <c r="AS19" s="68" t="s">
        <v>43</v>
      </c>
      <c r="AT19" s="68" t="s">
        <v>44</v>
      </c>
      <c r="AU19" s="68" t="s">
        <v>39</v>
      </c>
      <c r="AV19" s="68" t="s">
        <v>40</v>
      </c>
    </row>
    <row r="20" spans="4:48" x14ac:dyDescent="0.25">
      <c r="D20"/>
      <c r="E20"/>
      <c r="F20">
        <v>18</v>
      </c>
      <c r="G20" s="51">
        <v>46985</v>
      </c>
      <c r="H20" s="38">
        <v>39338</v>
      </c>
      <c r="I20" s="38">
        <v>10292</v>
      </c>
      <c r="J20">
        <f t="shared" si="0"/>
        <v>0.8085332426144749</v>
      </c>
      <c r="K20">
        <f t="shared" si="1"/>
        <v>0.88958831638165492</v>
      </c>
      <c r="L20"/>
      <c r="M20"/>
      <c r="N20" s="6">
        <v>18</v>
      </c>
      <c r="O20" s="51">
        <v>58991</v>
      </c>
      <c r="P20" s="38">
        <v>41722</v>
      </c>
      <c r="Q20" s="38">
        <v>7017</v>
      </c>
      <c r="R20">
        <f t="shared" si="2"/>
        <v>0.72861775333932199</v>
      </c>
      <c r="S20">
        <f t="shared" si="3"/>
        <v>0.5775360733847309</v>
      </c>
      <c r="T20"/>
      <c r="U20" s="6">
        <v>18</v>
      </c>
      <c r="V20" s="51">
        <v>65431</v>
      </c>
      <c r="W20" s="38">
        <v>29081</v>
      </c>
      <c r="X20" s="38">
        <v>8837</v>
      </c>
      <c r="Y20">
        <f t="shared" si="4"/>
        <v>0.52778149000585706</v>
      </c>
      <c r="Z20">
        <f t="shared" si="5"/>
        <v>0.61560654681719773</v>
      </c>
      <c r="AA20"/>
      <c r="AB20" s="6">
        <v>18</v>
      </c>
      <c r="AC20" s="51">
        <v>41368</v>
      </c>
      <c r="AD20" s="38">
        <v>29018</v>
      </c>
      <c r="AE20" s="38">
        <v>9561</v>
      </c>
      <c r="AF20">
        <f t="shared" si="6"/>
        <v>0.47993307157064735</v>
      </c>
      <c r="AG20">
        <f t="shared" si="7"/>
        <v>0.71998268005267108</v>
      </c>
      <c r="AH20" s="7"/>
      <c r="AI20" s="6">
        <v>18</v>
      </c>
      <c r="AJ20" s="51">
        <v>35758</v>
      </c>
      <c r="AK20" s="38">
        <v>24968</v>
      </c>
      <c r="AL20" s="38">
        <v>6616</v>
      </c>
      <c r="AM20">
        <f t="shared" si="8"/>
        <v>0.38657163426993402</v>
      </c>
      <c r="AN20">
        <f t="shared" si="9"/>
        <v>0.5343508274277966</v>
      </c>
      <c r="AO20" s="7"/>
      <c r="AP20" s="7"/>
      <c r="AQ20" t="s">
        <v>5</v>
      </c>
      <c r="AR20"/>
      <c r="AS20" s="3">
        <f t="shared" ref="AS20:AT22" si="10">AVERAGE(H61,P76,W80,AD75,AK69)</f>
        <v>57213.344688858349</v>
      </c>
      <c r="AT20" s="3">
        <f t="shared" si="10"/>
        <v>12747.019982724198</v>
      </c>
      <c r="AU20">
        <f>AS20/$AS$20</f>
        <v>1</v>
      </c>
      <c r="AV20">
        <f>AT20/$AT$20</f>
        <v>1</v>
      </c>
    </row>
    <row r="21" spans="4:48" x14ac:dyDescent="0.25">
      <c r="D21"/>
      <c r="E21"/>
      <c r="F21">
        <v>19</v>
      </c>
      <c r="G21" s="51">
        <v>31124</v>
      </c>
      <c r="H21" s="38">
        <v>26419</v>
      </c>
      <c r="I21" s="38">
        <v>6933</v>
      </c>
      <c r="J21">
        <f t="shared" si="0"/>
        <v>0.5430026879005494</v>
      </c>
      <c r="K21">
        <f t="shared" si="1"/>
        <v>0.59925338102157144</v>
      </c>
      <c r="L21"/>
      <c r="M21"/>
      <c r="N21" s="6">
        <v>19</v>
      </c>
      <c r="O21" s="51">
        <v>38340</v>
      </c>
      <c r="P21" s="38">
        <v>40251</v>
      </c>
      <c r="Q21" s="38">
        <v>9786</v>
      </c>
      <c r="R21">
        <f t="shared" si="2"/>
        <v>0.70292874717561593</v>
      </c>
      <c r="S21">
        <f t="shared" si="3"/>
        <v>0.8054393635660505</v>
      </c>
      <c r="T21"/>
      <c r="U21" s="6">
        <v>19</v>
      </c>
      <c r="V21" s="51">
        <v>53299</v>
      </c>
      <c r="W21" s="40">
        <v>57532</v>
      </c>
      <c r="X21" s="37">
        <v>16156</v>
      </c>
      <c r="Y21">
        <f t="shared" si="4"/>
        <v>1.0441293175274911</v>
      </c>
      <c r="Z21">
        <f t="shared" si="5"/>
        <v>1.125465584517217</v>
      </c>
      <c r="AA21"/>
      <c r="AB21" s="6">
        <v>19</v>
      </c>
      <c r="AC21" s="51">
        <v>27988</v>
      </c>
      <c r="AD21" s="38">
        <v>22025</v>
      </c>
      <c r="AE21" s="38">
        <v>5926</v>
      </c>
      <c r="AF21">
        <f t="shared" si="6"/>
        <v>0.36427479155501785</v>
      </c>
      <c r="AG21">
        <f t="shared" si="7"/>
        <v>0.44625220813640087</v>
      </c>
      <c r="AH21" s="7"/>
      <c r="AI21" s="6">
        <v>19</v>
      </c>
      <c r="AJ21" s="51">
        <v>45</v>
      </c>
      <c r="AK21" s="38">
        <v>29884</v>
      </c>
      <c r="AL21" s="38">
        <v>7171</v>
      </c>
      <c r="AM21">
        <f t="shared" si="8"/>
        <v>0.46268450490718954</v>
      </c>
      <c r="AN21">
        <f t="shared" si="9"/>
        <v>0.57917620669358061</v>
      </c>
      <c r="AO21" s="6"/>
      <c r="AP21" s="6"/>
      <c r="AQ21" t="s">
        <v>8</v>
      </c>
      <c r="AR21"/>
      <c r="AS21" s="3">
        <f t="shared" si="10"/>
        <v>72224.919190924018</v>
      </c>
      <c r="AT21" s="3">
        <f t="shared" si="10"/>
        <v>14772.856232522265</v>
      </c>
      <c r="AU21">
        <f t="shared" ref="AU21:AU22" si="11">AS21/$AS$20</f>
        <v>1.262378901001203</v>
      </c>
      <c r="AV21">
        <f t="shared" ref="AV21:AV22" si="12">AT21/$AT$20</f>
        <v>1.158926262965277</v>
      </c>
    </row>
    <row r="22" spans="4:48" x14ac:dyDescent="0.25">
      <c r="D22"/>
      <c r="E22"/>
      <c r="F22">
        <v>20</v>
      </c>
      <c r="G22" s="51">
        <v>27568</v>
      </c>
      <c r="H22" s="38">
        <v>28168</v>
      </c>
      <c r="I22" s="38">
        <v>8768</v>
      </c>
      <c r="J22">
        <f t="shared" si="0"/>
        <v>0.57895074426672755</v>
      </c>
      <c r="K22">
        <f t="shared" si="1"/>
        <v>0.75786148057076863</v>
      </c>
      <c r="L22"/>
      <c r="M22"/>
      <c r="N22" s="6">
        <v>20</v>
      </c>
      <c r="O22" s="51">
        <v>33601</v>
      </c>
      <c r="P22" s="38">
        <v>37021</v>
      </c>
      <c r="Q22" s="38">
        <v>7042</v>
      </c>
      <c r="R22">
        <f t="shared" si="2"/>
        <v>0.64652120814857961</v>
      </c>
      <c r="S22">
        <f t="shared" si="3"/>
        <v>0.57959370511262298</v>
      </c>
      <c r="T22"/>
      <c r="U22" s="6">
        <v>20</v>
      </c>
      <c r="V22" s="51">
        <v>45159</v>
      </c>
      <c r="W22" s="38">
        <v>41925</v>
      </c>
      <c r="X22" s="38">
        <v>10383</v>
      </c>
      <c r="Y22">
        <f t="shared" si="4"/>
        <v>0.76088301531912794</v>
      </c>
      <c r="Z22">
        <f t="shared" si="5"/>
        <v>0.72330460287461407</v>
      </c>
      <c r="AA22"/>
      <c r="AB22" s="6">
        <v>20</v>
      </c>
      <c r="AC22" s="51">
        <v>28706</v>
      </c>
      <c r="AD22" s="38">
        <v>47252</v>
      </c>
      <c r="AE22" s="38">
        <v>13573</v>
      </c>
      <c r="AF22">
        <f t="shared" si="6"/>
        <v>0.78150794327163242</v>
      </c>
      <c r="AG22">
        <f t="shared" si="7"/>
        <v>1.022102804764659</v>
      </c>
      <c r="AH22" s="7"/>
      <c r="AI22" s="6">
        <v>20</v>
      </c>
      <c r="AJ22" s="51">
        <v>38542</v>
      </c>
      <c r="AK22" s="38">
        <v>33281</v>
      </c>
      <c r="AL22" s="38">
        <v>9156</v>
      </c>
      <c r="AM22">
        <f t="shared" si="8"/>
        <v>0.51527917975559412</v>
      </c>
      <c r="AN22">
        <f t="shared" si="9"/>
        <v>0.73949760821174515</v>
      </c>
      <c r="AO22" s="6"/>
      <c r="AP22" s="7"/>
      <c r="AQ22" s="5" t="s">
        <v>30</v>
      </c>
      <c r="AR22"/>
      <c r="AS22" s="3">
        <f t="shared" si="10"/>
        <v>42185.908684493515</v>
      </c>
      <c r="AT22" s="3">
        <f t="shared" si="10"/>
        <v>10702.142386840282</v>
      </c>
      <c r="AU22">
        <f t="shared" si="11"/>
        <v>0.73734386468597324</v>
      </c>
      <c r="AV22">
        <f t="shared" si="12"/>
        <v>0.83957994898766131</v>
      </c>
    </row>
    <row r="23" spans="4:48" x14ac:dyDescent="0.25">
      <c r="D23"/>
      <c r="E23"/>
      <c r="F23">
        <v>21</v>
      </c>
      <c r="G23" s="51">
        <v>36706</v>
      </c>
      <c r="H23" s="38">
        <v>26250</v>
      </c>
      <c r="I23" s="38">
        <v>10962</v>
      </c>
      <c r="J23">
        <f t="shared" si="0"/>
        <v>0.53952914786287987</v>
      </c>
      <c r="K23">
        <f t="shared" si="1"/>
        <v>0.9474997205767296</v>
      </c>
      <c r="L23"/>
      <c r="M23"/>
      <c r="N23" s="6">
        <v>21</v>
      </c>
      <c r="O23" s="51">
        <v>45346</v>
      </c>
      <c r="P23" s="40">
        <v>61528</v>
      </c>
      <c r="Q23" s="37">
        <v>16987</v>
      </c>
      <c r="R23">
        <f t="shared" si="2"/>
        <v>1.0745024957447342</v>
      </c>
      <c r="S23">
        <f t="shared" si="3"/>
        <v>1.3981196064680668</v>
      </c>
      <c r="T23"/>
      <c r="U23" s="6">
        <v>21</v>
      </c>
      <c r="V23" s="51">
        <v>36172</v>
      </c>
      <c r="W23" s="38">
        <v>37931</v>
      </c>
      <c r="X23" s="38">
        <v>12293</v>
      </c>
      <c r="Y23">
        <f t="shared" si="4"/>
        <v>0.68839722490327582</v>
      </c>
      <c r="Z23">
        <f t="shared" si="5"/>
        <v>0.85635976915512191</v>
      </c>
      <c r="AA23"/>
      <c r="AB23" s="6">
        <v>21</v>
      </c>
      <c r="AC23" s="51">
        <v>28371</v>
      </c>
      <c r="AD23" s="38">
        <v>26978</v>
      </c>
      <c r="AE23" s="38">
        <v>7910</v>
      </c>
      <c r="AF23">
        <f t="shared" si="6"/>
        <v>0.44619320438462073</v>
      </c>
      <c r="AG23">
        <f t="shared" si="7"/>
        <v>0.59565557987832107</v>
      </c>
      <c r="AH23" s="7"/>
      <c r="AI23" s="6">
        <v>21</v>
      </c>
      <c r="AJ23" s="51">
        <v>39673</v>
      </c>
      <c r="AK23" s="38">
        <v>39102</v>
      </c>
      <c r="AL23" s="38">
        <v>10735</v>
      </c>
      <c r="AM23">
        <f t="shared" si="8"/>
        <v>0.6054038786936462</v>
      </c>
      <c r="AN23">
        <f t="shared" si="9"/>
        <v>0.86702783138412887</v>
      </c>
      <c r="AO23" s="6"/>
      <c r="AP23" s="6"/>
      <c r="AQ23" t="s">
        <v>31</v>
      </c>
      <c r="AR23">
        <f>AVERAGE(G64,O79,V83,AC78,AJ72)</f>
        <v>34.6</v>
      </c>
      <c r="AS23"/>
      <c r="AT23"/>
      <c r="AU23"/>
      <c r="AV23"/>
    </row>
    <row r="24" spans="4:48" x14ac:dyDescent="0.25">
      <c r="D24"/>
      <c r="E24"/>
      <c r="F24">
        <v>22</v>
      </c>
      <c r="G24" s="51">
        <v>45068</v>
      </c>
      <c r="H24" s="38">
        <v>26074</v>
      </c>
      <c r="I24" s="38">
        <v>12193</v>
      </c>
      <c r="J24">
        <f t="shared" si="0"/>
        <v>0.53591173338578013</v>
      </c>
      <c r="K24">
        <f t="shared" si="1"/>
        <v>1.0539011214187251</v>
      </c>
      <c r="L24"/>
      <c r="M24"/>
      <c r="N24" s="6">
        <v>22</v>
      </c>
      <c r="O24" s="51">
        <v>39580</v>
      </c>
      <c r="P24" s="38">
        <v>56545</v>
      </c>
      <c r="Q24" s="38">
        <v>11750</v>
      </c>
      <c r="R24">
        <f t="shared" si="2"/>
        <v>0.98748120566060982</v>
      </c>
      <c r="S24">
        <f t="shared" si="3"/>
        <v>0.96708691210924724</v>
      </c>
      <c r="T24"/>
      <c r="U24" s="6">
        <v>22</v>
      </c>
      <c r="V24" s="51">
        <v>44089</v>
      </c>
      <c r="W24" s="38">
        <v>33137</v>
      </c>
      <c r="X24" s="38">
        <v>12347</v>
      </c>
      <c r="Y24">
        <f t="shared" si="4"/>
        <v>0.60139249799952155</v>
      </c>
      <c r="Z24">
        <f t="shared" si="5"/>
        <v>0.86012153825415194</v>
      </c>
      <c r="AA24"/>
      <c r="AB24" s="6">
        <v>22</v>
      </c>
      <c r="AC24" s="51">
        <v>30902</v>
      </c>
      <c r="AD24" s="38">
        <v>56885</v>
      </c>
      <c r="AE24" s="38">
        <v>12984</v>
      </c>
      <c r="AF24">
        <f t="shared" si="6"/>
        <v>0.94082958082211987</v>
      </c>
      <c r="AG24">
        <f t="shared" si="7"/>
        <v>0.97774867877877636</v>
      </c>
      <c r="AH24" s="7"/>
      <c r="AI24" s="6">
        <v>22</v>
      </c>
      <c r="AJ24" s="51">
        <v>33715</v>
      </c>
      <c r="AK24" s="38">
        <v>30839</v>
      </c>
      <c r="AL24" s="38">
        <v>5538</v>
      </c>
      <c r="AM24">
        <f t="shared" si="8"/>
        <v>0.47747046736825116</v>
      </c>
      <c r="AN24">
        <f t="shared" si="9"/>
        <v>0.44728459526830983</v>
      </c>
      <c r="AO24" s="7"/>
      <c r="AP24" s="7"/>
      <c r="AQ24" s="3" t="s">
        <v>32</v>
      </c>
      <c r="AR24">
        <f>AVERAGE(G65,O80,V84,AC79,AJ73)</f>
        <v>50.754048650184401</v>
      </c>
      <c r="AS24" s="3"/>
      <c r="AT24" s="3"/>
      <c r="AU24" s="3"/>
      <c r="AV24"/>
    </row>
    <row r="25" spans="4:48" x14ac:dyDescent="0.25">
      <c r="D25"/>
      <c r="E25"/>
      <c r="F25">
        <v>23</v>
      </c>
      <c r="G25" s="51">
        <v>30194</v>
      </c>
      <c r="H25" s="38">
        <v>32786</v>
      </c>
      <c r="I25" s="38">
        <v>10173</v>
      </c>
      <c r="J25">
        <f t="shared" si="0"/>
        <v>0.67386676730790007</v>
      </c>
      <c r="K25">
        <f t="shared" si="1"/>
        <v>0.87930255951715663</v>
      </c>
      <c r="L25"/>
      <c r="M25"/>
      <c r="N25" s="6">
        <v>23</v>
      </c>
      <c r="O25" s="51">
        <v>38032</v>
      </c>
      <c r="P25" s="38">
        <v>58021</v>
      </c>
      <c r="Q25" s="38">
        <v>11298</v>
      </c>
      <c r="R25">
        <f t="shared" si="2"/>
        <v>1.0132575299961843</v>
      </c>
      <c r="S25">
        <f t="shared" si="3"/>
        <v>0.9298849304689597</v>
      </c>
      <c r="T25"/>
      <c r="U25" s="6">
        <v>23</v>
      </c>
      <c r="V25" s="51">
        <v>33325</v>
      </c>
      <c r="W25" s="38">
        <v>18851</v>
      </c>
      <c r="X25" s="38">
        <v>9842</v>
      </c>
      <c r="Y25">
        <f t="shared" si="4"/>
        <v>0.34212058966680692</v>
      </c>
      <c r="Z25">
        <f t="shared" si="5"/>
        <v>0.6856172494935906</v>
      </c>
      <c r="AA25"/>
      <c r="AB25" s="6">
        <v>23</v>
      </c>
      <c r="AC25" s="51">
        <v>40486</v>
      </c>
      <c r="AD25" s="38">
        <v>32708</v>
      </c>
      <c r="AE25" s="38">
        <v>9931</v>
      </c>
      <c r="AF25">
        <f t="shared" si="6"/>
        <v>0.54096253721596022</v>
      </c>
      <c r="AG25">
        <f t="shared" si="7"/>
        <v>0.74784520401663801</v>
      </c>
      <c r="AH25" s="7"/>
      <c r="AI25" s="6">
        <v>23</v>
      </c>
      <c r="AJ25" s="51">
        <v>53914</v>
      </c>
      <c r="AK25" s="38">
        <v>33267</v>
      </c>
      <c r="AL25" s="38">
        <v>6676</v>
      </c>
      <c r="AM25">
        <f t="shared" si="8"/>
        <v>0.51506242219071996</v>
      </c>
      <c r="AN25">
        <f t="shared" si="9"/>
        <v>0.53919681437544897</v>
      </c>
      <c r="AO25" s="6"/>
      <c r="AP25" s="7"/>
      <c r="AQ25"/>
      <c r="AR25" t="s">
        <v>11</v>
      </c>
      <c r="AS25" t="s">
        <v>0</v>
      </c>
      <c r="AT25"/>
      <c r="AU25"/>
      <c r="AV25"/>
    </row>
    <row r="26" spans="4:48" x14ac:dyDescent="0.25">
      <c r="D26"/>
      <c r="E26"/>
      <c r="F26">
        <v>24</v>
      </c>
      <c r="G26" s="51">
        <v>24377</v>
      </c>
      <c r="H26" s="38">
        <v>21525</v>
      </c>
      <c r="I26" s="38">
        <v>10287</v>
      </c>
      <c r="J26">
        <f t="shared" si="0"/>
        <v>0.44241390124756147</v>
      </c>
      <c r="K26">
        <f t="shared" si="1"/>
        <v>0.88915614172348278</v>
      </c>
      <c r="L26"/>
      <c r="M26"/>
      <c r="N26" s="6">
        <v>24</v>
      </c>
      <c r="O26" s="51">
        <v>33636</v>
      </c>
      <c r="P26" s="38">
        <v>56164</v>
      </c>
      <c r="Q26" s="38">
        <v>7800</v>
      </c>
      <c r="R26">
        <f t="shared" si="2"/>
        <v>0.98082756096423185</v>
      </c>
      <c r="S26">
        <f t="shared" si="3"/>
        <v>0.64198109910230883</v>
      </c>
      <c r="T26"/>
      <c r="U26" s="6">
        <v>24</v>
      </c>
      <c r="V26" s="51">
        <v>36159</v>
      </c>
      <c r="W26" s="38">
        <v>23648</v>
      </c>
      <c r="X26" s="38">
        <v>8636</v>
      </c>
      <c r="Y26">
        <f t="shared" si="4"/>
        <v>0.42917976258239082</v>
      </c>
      <c r="Z26">
        <f t="shared" si="5"/>
        <v>0.60160440628191925</v>
      </c>
      <c r="AA26"/>
      <c r="AB26" s="6">
        <v>24</v>
      </c>
      <c r="AC26" s="51">
        <v>52769</v>
      </c>
      <c r="AD26" s="38">
        <v>39615</v>
      </c>
      <c r="AE26" s="38">
        <v>13740</v>
      </c>
      <c r="AF26">
        <f t="shared" si="6"/>
        <v>0.65519845028159052</v>
      </c>
      <c r="AG26">
        <f t="shared" si="7"/>
        <v>1.0346785926078548</v>
      </c>
      <c r="AH26" s="7"/>
      <c r="AI26" s="6">
        <v>24</v>
      </c>
      <c r="AJ26" s="51">
        <v>65045</v>
      </c>
      <c r="AK26" s="38">
        <v>42682</v>
      </c>
      <c r="AL26" s="38">
        <v>11182</v>
      </c>
      <c r="AM26">
        <f t="shared" si="8"/>
        <v>0.66083188456862074</v>
      </c>
      <c r="AN26">
        <f t="shared" si="9"/>
        <v>0.90313043414413874</v>
      </c>
      <c r="AO26" s="6"/>
      <c r="AP26" s="6"/>
      <c r="AQ26" s="29" t="s">
        <v>10</v>
      </c>
      <c r="AR26">
        <f t="shared" ref="AR26:AS30" si="13">AVERAGE(G67,O82,V86,AC81,AJ75)</f>
        <v>33.064919387545743</v>
      </c>
      <c r="AS26">
        <f t="shared" si="13"/>
        <v>4.5244392794302044</v>
      </c>
      <c r="AT26"/>
      <c r="AU26"/>
      <c r="AV26"/>
    </row>
    <row r="27" spans="4:48" x14ac:dyDescent="0.25">
      <c r="D27"/>
      <c r="E27"/>
      <c r="F27">
        <v>25</v>
      </c>
      <c r="G27" s="51">
        <v>30114</v>
      </c>
      <c r="H27" s="38">
        <v>24023</v>
      </c>
      <c r="I27" s="38">
        <v>11443</v>
      </c>
      <c r="J27">
        <f t="shared" si="0"/>
        <v>0.49375652263276049</v>
      </c>
      <c r="K27">
        <f t="shared" si="1"/>
        <v>0.98907492269289521</v>
      </c>
      <c r="L27"/>
      <c r="M27"/>
      <c r="N27" s="6">
        <v>25</v>
      </c>
      <c r="O27" s="51">
        <v>40925</v>
      </c>
      <c r="P27" s="38">
        <v>31445</v>
      </c>
      <c r="Q27" s="38">
        <v>7082</v>
      </c>
      <c r="R27">
        <f t="shared" si="2"/>
        <v>0.54914398288085375</v>
      </c>
      <c r="S27">
        <f t="shared" si="3"/>
        <v>0.58288591587725014</v>
      </c>
      <c r="T27"/>
      <c r="U27" s="6">
        <v>25</v>
      </c>
      <c r="V27" s="51">
        <v>42575</v>
      </c>
      <c r="W27" s="38">
        <v>23908</v>
      </c>
      <c r="X27" s="38">
        <v>9767</v>
      </c>
      <c r="Y27">
        <f t="shared" si="4"/>
        <v>0.4338984169409591</v>
      </c>
      <c r="Z27">
        <f t="shared" si="5"/>
        <v>0.68039257018938226</v>
      </c>
      <c r="AA27"/>
      <c r="AB27" s="6">
        <v>25</v>
      </c>
      <c r="AC27" s="51">
        <v>32876</v>
      </c>
      <c r="AD27" s="38">
        <v>26099</v>
      </c>
      <c r="AE27" s="38">
        <v>9243</v>
      </c>
      <c r="AF27">
        <f t="shared" si="6"/>
        <v>0.4316552910235828</v>
      </c>
      <c r="AG27">
        <f t="shared" si="7"/>
        <v>0.6960359702674237</v>
      </c>
      <c r="AH27" s="7"/>
      <c r="AI27" s="6">
        <v>25</v>
      </c>
      <c r="AJ27" s="51">
        <v>68134</v>
      </c>
      <c r="AK27" s="38">
        <v>44134</v>
      </c>
      <c r="AL27" s="38">
        <v>12679</v>
      </c>
      <c r="AM27">
        <f t="shared" si="8"/>
        <v>0.68331274058271663</v>
      </c>
      <c r="AN27">
        <f t="shared" si="9"/>
        <v>1.0240378084880644</v>
      </c>
      <c r="AO27" s="7"/>
      <c r="AP27" s="6"/>
      <c r="AQ27" s="20" t="s">
        <v>12</v>
      </c>
      <c r="AR27">
        <f t="shared" si="13"/>
        <v>6.4451741246734162</v>
      </c>
      <c r="AS27">
        <f t="shared" si="13"/>
        <v>2.9582577132486385</v>
      </c>
      <c r="AT27" s="3"/>
      <c r="AU27" s="3"/>
      <c r="AV27"/>
    </row>
    <row r="28" spans="4:48" x14ac:dyDescent="0.25">
      <c r="D28"/>
      <c r="E28"/>
      <c r="F28">
        <v>26</v>
      </c>
      <c r="G28" s="51">
        <v>31074</v>
      </c>
      <c r="H28" s="38">
        <v>19747</v>
      </c>
      <c r="I28" s="38">
        <v>6883</v>
      </c>
      <c r="J28">
        <f t="shared" si="0"/>
        <v>0.40586979363231573</v>
      </c>
      <c r="K28">
        <f t="shared" si="1"/>
        <v>0.59493163443984953</v>
      </c>
      <c r="L28"/>
      <c r="M28"/>
      <c r="N28" s="6">
        <v>26</v>
      </c>
      <c r="O28" s="51">
        <v>44057</v>
      </c>
      <c r="P28" s="38">
        <v>31885</v>
      </c>
      <c r="Q28" s="38">
        <v>8908</v>
      </c>
      <c r="R28">
        <f t="shared" si="2"/>
        <v>0.55682798200527972</v>
      </c>
      <c r="S28">
        <f t="shared" si="3"/>
        <v>0.73317533728248296</v>
      </c>
      <c r="T28"/>
      <c r="U28" s="6">
        <v>26</v>
      </c>
      <c r="V28" s="51">
        <v>49138</v>
      </c>
      <c r="W28" s="38">
        <v>52789</v>
      </c>
      <c r="X28" s="38">
        <v>14725</v>
      </c>
      <c r="Y28">
        <f t="shared" si="4"/>
        <v>0.95805017282484062</v>
      </c>
      <c r="Z28">
        <f t="shared" si="5"/>
        <v>1.0257787033929204</v>
      </c>
      <c r="AA28"/>
      <c r="AB28" s="6">
        <v>26</v>
      </c>
      <c r="AC28" s="51">
        <v>46551</v>
      </c>
      <c r="AD28" s="38">
        <v>29712</v>
      </c>
      <c r="AE28" s="38">
        <v>9466</v>
      </c>
      <c r="AF28">
        <f t="shared" si="6"/>
        <v>0.49141124207412895</v>
      </c>
      <c r="AG28">
        <f t="shared" si="7"/>
        <v>0.71282878876462541</v>
      </c>
      <c r="AH28" s="7"/>
      <c r="AI28" s="6">
        <v>26</v>
      </c>
      <c r="AJ28" s="51">
        <v>37711</v>
      </c>
      <c r="AK28" s="38">
        <v>37737</v>
      </c>
      <c r="AL28" s="38">
        <v>11395</v>
      </c>
      <c r="AM28">
        <f t="shared" si="8"/>
        <v>0.58427001611841156</v>
      </c>
      <c r="AN28">
        <f t="shared" si="9"/>
        <v>0.92033368780830449</v>
      </c>
      <c r="AO28" s="6"/>
      <c r="AP28" s="7"/>
      <c r="AQ28" s="9" t="s">
        <v>13</v>
      </c>
      <c r="AR28">
        <f t="shared" si="13"/>
        <v>8.1937159570603129</v>
      </c>
      <c r="AS28">
        <f t="shared" si="13"/>
        <v>9.4429406371330149</v>
      </c>
      <c r="AT28"/>
      <c r="AU28"/>
      <c r="AV28"/>
    </row>
    <row r="29" spans="4:48" x14ac:dyDescent="0.25">
      <c r="D29"/>
      <c r="E29"/>
      <c r="F29">
        <v>27</v>
      </c>
      <c r="G29" s="51">
        <v>21920</v>
      </c>
      <c r="H29" s="38">
        <v>26640</v>
      </c>
      <c r="I29" s="38">
        <v>8424</v>
      </c>
      <c r="J29">
        <f t="shared" si="0"/>
        <v>0.54754500948827123</v>
      </c>
      <c r="K29">
        <f t="shared" si="1"/>
        <v>0.72812786408852126</v>
      </c>
      <c r="L29"/>
      <c r="M29"/>
      <c r="N29" s="6">
        <v>27</v>
      </c>
      <c r="O29" s="51">
        <v>39902</v>
      </c>
      <c r="P29" s="38">
        <v>40598</v>
      </c>
      <c r="Q29" s="38">
        <v>7717</v>
      </c>
      <c r="R29">
        <f t="shared" si="2"/>
        <v>0.70898862830328824</v>
      </c>
      <c r="S29">
        <f t="shared" si="3"/>
        <v>0.63514976176570737</v>
      </c>
      <c r="T29"/>
      <c r="U29" s="6">
        <v>27</v>
      </c>
      <c r="V29" s="51">
        <v>37830</v>
      </c>
      <c r="W29" s="38">
        <v>35302</v>
      </c>
      <c r="X29" s="38">
        <v>10434</v>
      </c>
      <c r="Y29">
        <f t="shared" si="4"/>
        <v>0.64068436986990707</v>
      </c>
      <c r="Z29">
        <f t="shared" si="5"/>
        <v>0.72685738480147577</v>
      </c>
      <c r="AA29"/>
      <c r="AB29" s="6">
        <v>27</v>
      </c>
      <c r="AC29" s="51">
        <v>32341</v>
      </c>
      <c r="AD29" s="38">
        <v>36963</v>
      </c>
      <c r="AE29" s="38">
        <v>12549</v>
      </c>
      <c r="AF29">
        <f t="shared" si="6"/>
        <v>0.61133662293975599</v>
      </c>
      <c r="AG29">
        <f t="shared" si="7"/>
        <v>0.94499138709140973</v>
      </c>
      <c r="AH29" s="7"/>
      <c r="AI29" s="6">
        <v>27</v>
      </c>
      <c r="AJ29" s="51">
        <v>29515</v>
      </c>
      <c r="AK29" s="38">
        <v>34826</v>
      </c>
      <c r="AL29" s="38">
        <v>7462</v>
      </c>
      <c r="AM29">
        <f t="shared" si="8"/>
        <v>0.53919992530778282</v>
      </c>
      <c r="AN29">
        <f t="shared" si="9"/>
        <v>0.60267924338969447</v>
      </c>
      <c r="AO29" s="6"/>
      <c r="AP29" s="7"/>
      <c r="AQ29" t="s">
        <v>15</v>
      </c>
      <c r="AR29">
        <f t="shared" si="13"/>
        <v>52.296190530720523</v>
      </c>
      <c r="AS29">
        <f t="shared" si="13"/>
        <v>83.07436237018814</v>
      </c>
      <c r="AT29"/>
      <c r="AU29"/>
      <c r="AV29"/>
    </row>
    <row r="30" spans="4:48" x14ac:dyDescent="0.25">
      <c r="D30"/>
      <c r="E30"/>
      <c r="F30">
        <v>28</v>
      </c>
      <c r="G30" s="51">
        <v>27934</v>
      </c>
      <c r="H30" s="38">
        <v>18245</v>
      </c>
      <c r="I30" s="38">
        <v>6425</v>
      </c>
      <c r="J30">
        <f t="shared" si="0"/>
        <v>0.37499844962888546</v>
      </c>
      <c r="K30">
        <f t="shared" si="1"/>
        <v>0.55534443575127601</v>
      </c>
      <c r="L30"/>
      <c r="M30"/>
      <c r="N30" s="6">
        <v>28</v>
      </c>
      <c r="O30" s="51">
        <v>30034</v>
      </c>
      <c r="P30" s="38">
        <v>30932</v>
      </c>
      <c r="Q30" s="38">
        <v>8127</v>
      </c>
      <c r="R30">
        <f t="shared" si="2"/>
        <v>0.54018513844714799</v>
      </c>
      <c r="S30">
        <f t="shared" si="3"/>
        <v>0.66889492210313639</v>
      </c>
      <c r="T30"/>
      <c r="U30" s="6">
        <v>28</v>
      </c>
      <c r="V30" s="51">
        <v>37354</v>
      </c>
      <c r="W30" s="38">
        <v>29024</v>
      </c>
      <c r="X30" s="38">
        <v>9695</v>
      </c>
      <c r="Y30">
        <f t="shared" si="4"/>
        <v>0.52674701578109406</v>
      </c>
      <c r="Z30">
        <f t="shared" si="5"/>
        <v>0.67537687805734214</v>
      </c>
      <c r="AA30"/>
      <c r="AB30" s="6">
        <v>28</v>
      </c>
      <c r="AC30" s="51">
        <v>34961</v>
      </c>
      <c r="AD30" s="38">
        <v>33848</v>
      </c>
      <c r="AE30" s="38">
        <v>11216</v>
      </c>
      <c r="AF30">
        <f t="shared" si="6"/>
        <v>0.55981716887873978</v>
      </c>
      <c r="AG30">
        <f t="shared" si="7"/>
        <v>0.8446109967023071</v>
      </c>
      <c r="AH30" s="7"/>
      <c r="AI30" s="6">
        <v>28</v>
      </c>
      <c r="AJ30" s="51">
        <v>28645</v>
      </c>
      <c r="AK30" s="38">
        <v>41586</v>
      </c>
      <c r="AL30" s="38">
        <v>10187</v>
      </c>
      <c r="AM30">
        <f t="shared" si="8"/>
        <v>0.64386286377561186</v>
      </c>
      <c r="AN30">
        <f t="shared" si="9"/>
        <v>0.82276781726223769</v>
      </c>
      <c r="AO30" s="6"/>
      <c r="AP30" s="7"/>
      <c r="AQ30" t="s">
        <v>11</v>
      </c>
      <c r="AR30">
        <f t="shared" si="13"/>
        <v>100</v>
      </c>
      <c r="AS30">
        <f t="shared" si="13"/>
        <v>100</v>
      </c>
      <c r="AT30"/>
      <c r="AU30"/>
      <c r="AV30"/>
    </row>
    <row r="31" spans="4:48" x14ac:dyDescent="0.25">
      <c r="D31"/>
      <c r="E31"/>
      <c r="F31">
        <v>29</v>
      </c>
      <c r="G31" s="51">
        <v>16654</v>
      </c>
      <c r="H31" s="38">
        <v>22281</v>
      </c>
      <c r="I31" s="38">
        <v>6470</v>
      </c>
      <c r="J31">
        <f t="shared" si="0"/>
        <v>0.45795234070601243</v>
      </c>
      <c r="K31">
        <f t="shared" si="1"/>
        <v>0.55923400767482578</v>
      </c>
      <c r="L31"/>
      <c r="M31"/>
      <c r="N31" s="6">
        <v>29</v>
      </c>
      <c r="O31" s="51">
        <v>40169</v>
      </c>
      <c r="P31" s="38">
        <v>23647</v>
      </c>
      <c r="Q31" s="38">
        <v>9941</v>
      </c>
      <c r="R31">
        <f t="shared" si="2"/>
        <v>0.41296256203477655</v>
      </c>
      <c r="S31">
        <f t="shared" si="3"/>
        <v>0.81819668027898107</v>
      </c>
      <c r="T31"/>
      <c r="U31" s="6">
        <v>29</v>
      </c>
      <c r="V31" s="51">
        <v>33896</v>
      </c>
      <c r="W31" s="38">
        <v>24256</v>
      </c>
      <c r="X31" s="38">
        <v>8448</v>
      </c>
      <c r="Y31">
        <f t="shared" si="4"/>
        <v>0.44021415431319655</v>
      </c>
      <c r="Z31">
        <f t="shared" si="5"/>
        <v>0.58850787682603678</v>
      </c>
      <c r="AA31"/>
      <c r="AB31" s="6">
        <v>29</v>
      </c>
      <c r="AC31" s="51">
        <v>27134</v>
      </c>
      <c r="AD31" s="38">
        <v>26342</v>
      </c>
      <c r="AE31" s="38">
        <v>7114</v>
      </c>
      <c r="AF31">
        <f t="shared" si="6"/>
        <v>0.43567430461485951</v>
      </c>
      <c r="AG31">
        <f t="shared" si="7"/>
        <v>0.53571350129638129</v>
      </c>
      <c r="AH31" s="7"/>
      <c r="AI31" s="6">
        <v>29</v>
      </c>
      <c r="AJ31" s="51">
        <v>39715</v>
      </c>
      <c r="AK31" s="38">
        <v>54538</v>
      </c>
      <c r="AL31" s="38">
        <v>9618</v>
      </c>
      <c r="AM31">
        <f t="shared" si="8"/>
        <v>0.84439457665065931</v>
      </c>
      <c r="AN31">
        <f t="shared" si="9"/>
        <v>0.77681170770866803</v>
      </c>
      <c r="AO31" s="7"/>
      <c r="AP31" s="7"/>
      <c r="AQ31" s="3"/>
      <c r="AR31" s="3" t="s">
        <v>41</v>
      </c>
      <c r="AS31" s="67" t="s">
        <v>42</v>
      </c>
      <c r="AT31" s="3"/>
      <c r="AU31" s="3"/>
      <c r="AV31"/>
    </row>
    <row r="32" spans="4:48" x14ac:dyDescent="0.25">
      <c r="D32"/>
      <c r="E32"/>
      <c r="F32">
        <v>30</v>
      </c>
      <c r="G32" s="38">
        <v>13780</v>
      </c>
      <c r="H32" s="38">
        <v>24478</v>
      </c>
      <c r="I32" s="38">
        <v>6717</v>
      </c>
      <c r="J32">
        <f t="shared" si="0"/>
        <v>0.503108361195717</v>
      </c>
      <c r="K32">
        <f t="shared" si="1"/>
        <v>0.58058343578853244</v>
      </c>
      <c r="L32"/>
      <c r="M32"/>
      <c r="N32" s="6">
        <v>30</v>
      </c>
      <c r="O32" s="51">
        <v>29684</v>
      </c>
      <c r="P32" s="38">
        <v>22380</v>
      </c>
      <c r="Q32" s="38">
        <v>7013</v>
      </c>
      <c r="R32">
        <f t="shared" si="2"/>
        <v>0.39083613728330441</v>
      </c>
      <c r="S32">
        <f t="shared" si="3"/>
        <v>0.57720685230826818</v>
      </c>
      <c r="T32"/>
      <c r="U32" s="6">
        <v>30</v>
      </c>
      <c r="V32" s="51">
        <v>35989</v>
      </c>
      <c r="W32" s="38">
        <v>26596</v>
      </c>
      <c r="X32" s="38">
        <v>11933</v>
      </c>
      <c r="Y32">
        <f t="shared" si="4"/>
        <v>0.48268204354031069</v>
      </c>
      <c r="Z32">
        <f t="shared" si="5"/>
        <v>0.83128130849492143</v>
      </c>
      <c r="AA32"/>
      <c r="AB32" s="6">
        <v>30</v>
      </c>
      <c r="AC32" s="51">
        <v>28086</v>
      </c>
      <c r="AD32" s="38">
        <v>18597</v>
      </c>
      <c r="AE32" s="38">
        <v>5590</v>
      </c>
      <c r="AF32">
        <f t="shared" si="6"/>
        <v>0.30757858336202804</v>
      </c>
      <c r="AG32">
        <f t="shared" si="7"/>
        <v>0.42095002421236599</v>
      </c>
      <c r="AH32" s="7"/>
      <c r="AI32" s="6">
        <v>30</v>
      </c>
      <c r="AJ32" s="51">
        <v>24180</v>
      </c>
      <c r="AK32" s="38">
        <v>35438</v>
      </c>
      <c r="AL32" s="38">
        <v>6836</v>
      </c>
      <c r="AM32">
        <f t="shared" si="8"/>
        <v>0.54867532742942648</v>
      </c>
      <c r="AN32">
        <f t="shared" si="9"/>
        <v>0.55211944623585518</v>
      </c>
      <c r="AO32" s="7"/>
      <c r="AP32" s="7"/>
      <c r="AQ32" t="s">
        <v>16</v>
      </c>
      <c r="AR32" s="3">
        <f>AVERAGE(G73,O88,V92,AC87,AJ81)</f>
        <v>80653.737746706844</v>
      </c>
      <c r="AS32" s="69">
        <f>AR32/$AS$20</f>
        <v>1.4097014985808589</v>
      </c>
      <c r="AT32"/>
      <c r="AU32"/>
      <c r="AV32"/>
    </row>
    <row r="33" spans="4:48" x14ac:dyDescent="0.25">
      <c r="D33"/>
      <c r="E33"/>
      <c r="F33">
        <v>31</v>
      </c>
      <c r="G33" s="38">
        <v>22932</v>
      </c>
      <c r="H33" s="38">
        <v>20175</v>
      </c>
      <c r="I33" s="38">
        <v>4767</v>
      </c>
      <c r="J33">
        <f t="shared" si="0"/>
        <v>0.41466668792889905</v>
      </c>
      <c r="K33">
        <f t="shared" si="1"/>
        <v>0.41203531910137475</v>
      </c>
      <c r="L33"/>
      <c r="M33"/>
      <c r="N33" s="6">
        <v>31</v>
      </c>
      <c r="O33" s="51">
        <v>29609</v>
      </c>
      <c r="P33" s="38">
        <v>25299</v>
      </c>
      <c r="Q33" s="38">
        <v>8034</v>
      </c>
      <c r="R33">
        <f t="shared" si="2"/>
        <v>0.44181248602012146</v>
      </c>
      <c r="S33">
        <f t="shared" si="3"/>
        <v>0.66124053207537814</v>
      </c>
      <c r="T33"/>
      <c r="U33" s="6">
        <v>31</v>
      </c>
      <c r="V33" s="51">
        <v>29654</v>
      </c>
      <c r="W33" s="38">
        <v>30865</v>
      </c>
      <c r="X33" s="38">
        <v>11487</v>
      </c>
      <c r="Y33">
        <f t="shared" si="4"/>
        <v>0.56015871837387909</v>
      </c>
      <c r="Z33">
        <f t="shared" si="5"/>
        <v>0.80021188223256201</v>
      </c>
      <c r="AA33"/>
      <c r="AB33" s="6">
        <v>31</v>
      </c>
      <c r="AC33" s="51">
        <v>27427</v>
      </c>
      <c r="AD33" s="38">
        <v>28600</v>
      </c>
      <c r="AE33" s="38">
        <v>10936</v>
      </c>
      <c r="AF33">
        <f t="shared" si="6"/>
        <v>0.47301970662762816</v>
      </c>
      <c r="AG33">
        <f t="shared" si="7"/>
        <v>0.82352584343227808</v>
      </c>
      <c r="AH33" s="7"/>
      <c r="AI33" s="6">
        <v>31</v>
      </c>
      <c r="AJ33" s="38">
        <v>6609</v>
      </c>
      <c r="AK33" s="38">
        <v>65149</v>
      </c>
      <c r="AL33" s="38">
        <v>12322</v>
      </c>
      <c r="AM33">
        <f t="shared" si="8"/>
        <v>1.0086813281420992</v>
      </c>
      <c r="AN33">
        <f t="shared" si="9"/>
        <v>0.99520418614953299</v>
      </c>
      <c r="AO33" s="7"/>
      <c r="AP33" s="7"/>
      <c r="AQ33" t="s">
        <v>19</v>
      </c>
      <c r="AR33" s="3">
        <f>AVERAGE(G74,O89,V93,AC88,AJ82)</f>
        <v>40095.618369453048</v>
      </c>
      <c r="AS33" s="69">
        <f>AR33/$AS$20</f>
        <v>0.70080885128292836</v>
      </c>
      <c r="AT33"/>
      <c r="AU33"/>
      <c r="AV33"/>
    </row>
    <row r="34" spans="4:48" x14ac:dyDescent="0.25">
      <c r="D34"/>
      <c r="E34"/>
      <c r="F34">
        <v>32</v>
      </c>
      <c r="G34" s="38">
        <v>11253</v>
      </c>
      <c r="H34" s="38">
        <v>84353</v>
      </c>
      <c r="I34" s="38">
        <v>8893</v>
      </c>
      <c r="J34">
        <f t="shared" si="0"/>
        <v>1.7337486556067621</v>
      </c>
      <c r="K34">
        <f t="shared" si="1"/>
        <v>0.76866584702507357</v>
      </c>
      <c r="L34"/>
      <c r="M34"/>
      <c r="N34" s="6">
        <v>32</v>
      </c>
      <c r="O34" s="51">
        <v>43713</v>
      </c>
      <c r="P34" s="38">
        <v>27147</v>
      </c>
      <c r="Q34" s="38">
        <v>6537</v>
      </c>
      <c r="R34">
        <f t="shared" si="2"/>
        <v>0.47408528234271063</v>
      </c>
      <c r="S34">
        <f t="shared" si="3"/>
        <v>0.53802954420920424</v>
      </c>
      <c r="T34"/>
      <c r="U34" s="6">
        <v>32</v>
      </c>
      <c r="V34" s="51">
        <v>22145</v>
      </c>
      <c r="W34" s="38">
        <v>28238</v>
      </c>
      <c r="X34" s="38">
        <v>12576</v>
      </c>
      <c r="Y34">
        <f t="shared" si="4"/>
        <v>0.51248216068173003</v>
      </c>
      <c r="Z34">
        <f t="shared" si="5"/>
        <v>0.87607422572966831</v>
      </c>
      <c r="AA34"/>
      <c r="AB34" s="6">
        <v>32</v>
      </c>
      <c r="AC34" s="51">
        <v>39605</v>
      </c>
      <c r="AD34" s="38">
        <v>29803</v>
      </c>
      <c r="AE34" s="38">
        <v>9408</v>
      </c>
      <c r="AF34">
        <f t="shared" si="6"/>
        <v>0.49291630477703507</v>
      </c>
      <c r="AG34">
        <f t="shared" si="7"/>
        <v>0.70846114987297659</v>
      </c>
      <c r="AH34" s="7"/>
      <c r="AI34" s="6">
        <v>32</v>
      </c>
      <c r="AJ34" s="38">
        <v>16005</v>
      </c>
      <c r="AK34" s="41">
        <v>87995</v>
      </c>
      <c r="AL34" s="42">
        <v>18371</v>
      </c>
      <c r="AM34">
        <f t="shared" si="8"/>
        <v>1.3623987086503861</v>
      </c>
      <c r="AN34">
        <f t="shared" si="9"/>
        <v>1.483760436922015</v>
      </c>
      <c r="AO34" s="7"/>
      <c r="AP34" s="7"/>
      <c r="AQ34"/>
      <c r="AR34"/>
      <c r="AS34" s="3" t="s">
        <v>41</v>
      </c>
      <c r="AT34" s="67" t="s">
        <v>42</v>
      </c>
      <c r="AU34"/>
      <c r="AV34"/>
    </row>
    <row r="35" spans="4:48" x14ac:dyDescent="0.25">
      <c r="D35"/>
      <c r="E35"/>
      <c r="F35">
        <v>33</v>
      </c>
      <c r="G35" s="38">
        <v>11911</v>
      </c>
      <c r="H35" s="41">
        <v>103071</v>
      </c>
      <c r="I35" s="42">
        <v>23757</v>
      </c>
      <c r="J35">
        <f t="shared" si="0"/>
        <v>2.1184689066428528</v>
      </c>
      <c r="K35">
        <f t="shared" si="1"/>
        <v>2.0534346708393874</v>
      </c>
      <c r="L35"/>
      <c r="M35"/>
      <c r="N35" s="6">
        <v>33</v>
      </c>
      <c r="O35" s="51">
        <v>26250</v>
      </c>
      <c r="P35" s="38">
        <v>39766</v>
      </c>
      <c r="Q35" s="38">
        <v>11906</v>
      </c>
      <c r="R35">
        <f t="shared" si="2"/>
        <v>0.69445888450437365</v>
      </c>
      <c r="S35">
        <f t="shared" si="3"/>
        <v>0.97992653409129349</v>
      </c>
      <c r="T35"/>
      <c r="U35" s="6">
        <v>33</v>
      </c>
      <c r="V35" s="51">
        <v>23443</v>
      </c>
      <c r="W35" s="38">
        <v>27847</v>
      </c>
      <c r="X35" s="38">
        <v>11786</v>
      </c>
      <c r="Y35">
        <f t="shared" si="4"/>
        <v>0.5053860304732678</v>
      </c>
      <c r="Z35">
        <f t="shared" si="5"/>
        <v>0.82104093705867298</v>
      </c>
      <c r="AA35"/>
      <c r="AB35" s="6">
        <v>33</v>
      </c>
      <c r="AC35" s="51">
        <v>26703</v>
      </c>
      <c r="AD35" s="38">
        <v>25848</v>
      </c>
      <c r="AE35" s="38">
        <v>8376</v>
      </c>
      <c r="AF35">
        <f t="shared" si="6"/>
        <v>0.42750396422765502</v>
      </c>
      <c r="AG35">
        <f t="shared" si="7"/>
        <v>0.63074729924915518</v>
      </c>
      <c r="AH35" s="7"/>
      <c r="AI35" s="6">
        <v>33</v>
      </c>
      <c r="AJ35" s="38">
        <v>5256</v>
      </c>
      <c r="AK35" s="45">
        <v>82180</v>
      </c>
      <c r="AL35" s="46">
        <v>21338</v>
      </c>
      <c r="AM35">
        <f t="shared" si="8"/>
        <v>1.2723669058115659</v>
      </c>
      <c r="AN35">
        <f t="shared" si="9"/>
        <v>1.7233944914834227</v>
      </c>
      <c r="AO35" s="7"/>
      <c r="AP35" s="7"/>
      <c r="AQ35" t="s">
        <v>17</v>
      </c>
      <c r="AR35"/>
      <c r="AS35" s="3">
        <f>AVERAGE(H76,P91,W95,AD90,AK84)</f>
        <v>16977.546252433349</v>
      </c>
      <c r="AT35">
        <f>AS35/$AT$20</f>
        <v>1.3318835520335504</v>
      </c>
      <c r="AU35"/>
      <c r="AV35"/>
    </row>
    <row r="36" spans="4:48" x14ac:dyDescent="0.25">
      <c r="D36"/>
      <c r="E36"/>
      <c r="F36">
        <v>34</v>
      </c>
      <c r="G36" s="38">
        <v>14176</v>
      </c>
      <c r="H36" s="43">
        <v>87994</v>
      </c>
      <c r="I36" s="44">
        <v>20365</v>
      </c>
      <c r="J36">
        <f t="shared" si="0"/>
        <v>1.8085839176017617</v>
      </c>
      <c r="K36">
        <f t="shared" si="1"/>
        <v>1.7602473827353675</v>
      </c>
      <c r="L36"/>
      <c r="M36"/>
      <c r="N36" s="6">
        <v>34</v>
      </c>
      <c r="O36" s="51">
        <v>30879</v>
      </c>
      <c r="P36" s="38">
        <v>19630</v>
      </c>
      <c r="Q36" s="38">
        <v>6745</v>
      </c>
      <c r="R36">
        <f t="shared" si="2"/>
        <v>0.3428111427556419</v>
      </c>
      <c r="S36">
        <f t="shared" si="3"/>
        <v>0.55514904018526579</v>
      </c>
      <c r="T36"/>
      <c r="U36" s="6">
        <v>34</v>
      </c>
      <c r="V36" s="51">
        <v>22315</v>
      </c>
      <c r="W36" s="38">
        <v>17793</v>
      </c>
      <c r="X36" s="38">
        <v>6793</v>
      </c>
      <c r="Y36">
        <f t="shared" si="4"/>
        <v>0.32291929616155618</v>
      </c>
      <c r="Z36">
        <f t="shared" si="5"/>
        <v>0.47321662017983757</v>
      </c>
      <c r="AA36"/>
      <c r="AB36" s="6">
        <v>34</v>
      </c>
      <c r="AC36" s="51">
        <v>57147</v>
      </c>
      <c r="AD36" s="38">
        <v>51721</v>
      </c>
      <c r="AE36" s="38">
        <v>11659</v>
      </c>
      <c r="AF36">
        <f t="shared" si="6"/>
        <v>0.85542140721984461</v>
      </c>
      <c r="AG36">
        <f t="shared" si="7"/>
        <v>0.87797072134024601</v>
      </c>
      <c r="AH36" s="7"/>
      <c r="AI36" s="6">
        <v>34</v>
      </c>
      <c r="AJ36" s="38">
        <v>9832</v>
      </c>
      <c r="AK36" s="38">
        <v>57112</v>
      </c>
      <c r="AL36" s="38">
        <v>8413</v>
      </c>
      <c r="AM36">
        <f t="shared" si="8"/>
        <v>0.88424700322110183</v>
      </c>
      <c r="AN36">
        <f t="shared" si="9"/>
        <v>0.67948813650998385</v>
      </c>
      <c r="AO36" s="7"/>
      <c r="AP36" s="7"/>
      <c r="AQ36" t="s">
        <v>18</v>
      </c>
      <c r="AR36"/>
      <c r="AS36" s="3">
        <f>AVERAGE(H77,P92,W96,AD91,AK85)</f>
        <v>9973.9946894409932</v>
      </c>
      <c r="AT36">
        <f>AS36/$AT$20</f>
        <v>0.78245697448961127</v>
      </c>
      <c r="AU36"/>
      <c r="AV36"/>
    </row>
    <row r="37" spans="4:48" x14ac:dyDescent="0.25">
      <c r="D37"/>
      <c r="E37"/>
      <c r="F37">
        <v>35</v>
      </c>
      <c r="G37" s="38">
        <v>17850</v>
      </c>
      <c r="H37" s="43">
        <v>82114</v>
      </c>
      <c r="I37" s="44">
        <v>15493</v>
      </c>
      <c r="J37">
        <f t="shared" si="0"/>
        <v>1.6877293884804767</v>
      </c>
      <c r="K37">
        <f t="shared" si="1"/>
        <v>1.3391363958123765</v>
      </c>
      <c r="L37"/>
      <c r="M37"/>
      <c r="N37" s="6">
        <v>35</v>
      </c>
      <c r="O37" s="51">
        <v>36685</v>
      </c>
      <c r="P37" s="38">
        <v>23256</v>
      </c>
      <c r="Q37" s="38">
        <v>6911</v>
      </c>
      <c r="R37">
        <f t="shared" si="2"/>
        <v>0.40613428099466159</v>
      </c>
      <c r="S37">
        <f t="shared" si="3"/>
        <v>0.56881171485846882</v>
      </c>
      <c r="T37"/>
      <c r="U37" s="6">
        <v>35</v>
      </c>
      <c r="V37" s="51">
        <v>33429</v>
      </c>
      <c r="W37" s="38">
        <v>26818</v>
      </c>
      <c r="X37" s="38">
        <v>10471</v>
      </c>
      <c r="Y37">
        <f t="shared" si="4"/>
        <v>0.48671104841570356</v>
      </c>
      <c r="Z37">
        <f t="shared" si="5"/>
        <v>0.72943489325821864</v>
      </c>
      <c r="AA37"/>
      <c r="AB37" s="6">
        <v>35</v>
      </c>
      <c r="AC37" s="51">
        <v>41087</v>
      </c>
      <c r="AD37" s="38">
        <v>29571</v>
      </c>
      <c r="AE37" s="38">
        <v>9548</v>
      </c>
      <c r="AF37">
        <f t="shared" si="6"/>
        <v>0.48907922184215358</v>
      </c>
      <c r="AG37">
        <f t="shared" si="7"/>
        <v>0.71900372650799116</v>
      </c>
      <c r="AH37" s="7"/>
      <c r="AI37" s="6">
        <v>35</v>
      </c>
      <c r="AJ37" s="38">
        <v>14876</v>
      </c>
      <c r="AK37" s="41">
        <v>98029</v>
      </c>
      <c r="AL37" s="42">
        <v>14829</v>
      </c>
      <c r="AM37">
        <f t="shared" si="8"/>
        <v>1.5177519519323679</v>
      </c>
      <c r="AN37">
        <f t="shared" si="9"/>
        <v>1.1976856741122728</v>
      </c>
      <c r="AO37" s="7"/>
      <c r="AP37" s="7"/>
      <c r="AQ37"/>
      <c r="AR37"/>
      <c r="AS37"/>
      <c r="AT37"/>
      <c r="AU37"/>
      <c r="AV37" s="3"/>
    </row>
    <row r="38" spans="4:48" x14ac:dyDescent="0.25">
      <c r="D38"/>
      <c r="E38"/>
      <c r="F38">
        <v>36</v>
      </c>
      <c r="G38" s="38">
        <v>10421</v>
      </c>
      <c r="H38" s="43">
        <v>80992</v>
      </c>
      <c r="I38" s="44">
        <v>15202</v>
      </c>
      <c r="J38">
        <f t="shared" si="0"/>
        <v>1.6646683711889663</v>
      </c>
      <c r="K38">
        <f t="shared" si="1"/>
        <v>1.3139838307067546</v>
      </c>
      <c r="L38"/>
      <c r="M38"/>
      <c r="N38" s="6">
        <v>36</v>
      </c>
      <c r="O38" s="51">
        <v>23465</v>
      </c>
      <c r="P38" s="38">
        <v>28218</v>
      </c>
      <c r="Q38" s="38">
        <v>7178</v>
      </c>
      <c r="R38">
        <f t="shared" si="2"/>
        <v>0.49278883475693847</v>
      </c>
      <c r="S38">
        <f t="shared" si="3"/>
        <v>0.59078722171235554</v>
      </c>
      <c r="T38"/>
      <c r="U38" s="6">
        <v>36</v>
      </c>
      <c r="V38" s="51">
        <v>24590</v>
      </c>
      <c r="W38" s="38">
        <v>25731</v>
      </c>
      <c r="X38" s="38">
        <v>10365</v>
      </c>
      <c r="Y38">
        <f t="shared" si="4"/>
        <v>0.46698344346276638</v>
      </c>
      <c r="Z38">
        <f t="shared" si="5"/>
        <v>0.72205067984160409</v>
      </c>
      <c r="AA38"/>
      <c r="AB38" s="6">
        <v>36</v>
      </c>
      <c r="AC38" s="51">
        <v>49655</v>
      </c>
      <c r="AD38" s="38">
        <v>37067</v>
      </c>
      <c r="AE38" s="38">
        <v>11849</v>
      </c>
      <c r="AF38">
        <f t="shared" si="6"/>
        <v>0.61305669460022005</v>
      </c>
      <c r="AG38">
        <f t="shared" si="7"/>
        <v>0.89227850391633712</v>
      </c>
      <c r="AH38" s="7"/>
      <c r="AI38" s="6">
        <v>36</v>
      </c>
      <c r="AJ38" s="38">
        <v>5598</v>
      </c>
      <c r="AK38" s="45">
        <v>89033</v>
      </c>
      <c r="AL38" s="46">
        <v>13959</v>
      </c>
      <c r="AM38">
        <f t="shared" si="8"/>
        <v>1.3784697338174878</v>
      </c>
      <c r="AN38">
        <f t="shared" si="9"/>
        <v>1.127418863371314</v>
      </c>
      <c r="AO38" s="7"/>
      <c r="AP38" s="7"/>
      <c r="AQ38"/>
      <c r="AR38"/>
      <c r="AS38"/>
      <c r="AT38"/>
      <c r="AU38"/>
      <c r="AV38"/>
    </row>
    <row r="39" spans="4:48" x14ac:dyDescent="0.25">
      <c r="D39"/>
      <c r="E39"/>
      <c r="F39">
        <v>37</v>
      </c>
      <c r="G39" s="38">
        <v>6734</v>
      </c>
      <c r="H39" s="43">
        <v>66922</v>
      </c>
      <c r="I39" s="44">
        <v>20344</v>
      </c>
      <c r="J39">
        <f t="shared" si="0"/>
        <v>1.3754807479344626</v>
      </c>
      <c r="K39">
        <f t="shared" si="1"/>
        <v>1.7584322491710442</v>
      </c>
      <c r="L39"/>
      <c r="M39"/>
      <c r="N39" s="6">
        <v>37</v>
      </c>
      <c r="O39" s="51">
        <v>24852</v>
      </c>
      <c r="P39" s="38">
        <v>36133</v>
      </c>
      <c r="Q39" s="38">
        <v>10933</v>
      </c>
      <c r="R39">
        <f t="shared" si="2"/>
        <v>0.63101350082473806</v>
      </c>
      <c r="S39">
        <f t="shared" si="3"/>
        <v>0.89984350724173623</v>
      </c>
      <c r="T39"/>
      <c r="U39" s="6">
        <v>37</v>
      </c>
      <c r="V39" s="51">
        <v>33496</v>
      </c>
      <c r="W39" s="38">
        <v>26380</v>
      </c>
      <c r="X39" s="38">
        <v>9132</v>
      </c>
      <c r="Y39">
        <f t="shared" si="4"/>
        <v>0.47876193068857709</v>
      </c>
      <c r="Z39">
        <f t="shared" si="5"/>
        <v>0.63615695208041756</v>
      </c>
      <c r="AA39"/>
      <c r="AB39" s="6">
        <v>37</v>
      </c>
      <c r="AC39" s="51">
        <v>42224</v>
      </c>
      <c r="AD39" s="38">
        <v>30500</v>
      </c>
      <c r="AE39" s="38">
        <v>13143</v>
      </c>
      <c r="AF39">
        <f t="shared" si="6"/>
        <v>0.50444409273226076</v>
      </c>
      <c r="AG39">
        <f t="shared" si="7"/>
        <v>0.98972203367139999</v>
      </c>
      <c r="AH39" s="7"/>
      <c r="AI39" s="6">
        <v>37</v>
      </c>
      <c r="AJ39" s="38">
        <v>22028</v>
      </c>
      <c r="AK39" s="38">
        <v>103440</v>
      </c>
      <c r="AL39" s="38">
        <v>11887</v>
      </c>
      <c r="AM39">
        <f t="shared" si="8"/>
        <v>1.601528750756247</v>
      </c>
      <c r="AN39">
        <f t="shared" si="9"/>
        <v>0.96007078077905361</v>
      </c>
      <c r="AO39" s="7"/>
      <c r="AP39" s="7"/>
      <c r="AQ39" s="3"/>
      <c r="AR39" s="3"/>
      <c r="AS39" s="3" t="s">
        <v>27</v>
      </c>
      <c r="AT39" s="3" t="s">
        <v>28</v>
      </c>
      <c r="AU39" s="3" t="s">
        <v>29</v>
      </c>
      <c r="AV39"/>
    </row>
    <row r="40" spans="4:48" x14ac:dyDescent="0.25">
      <c r="D40"/>
      <c r="E40"/>
      <c r="F40">
        <v>38</v>
      </c>
      <c r="G40" s="38">
        <v>6471</v>
      </c>
      <c r="H40" s="43">
        <v>87894</v>
      </c>
      <c r="I40" s="44">
        <v>19413</v>
      </c>
      <c r="J40">
        <f t="shared" si="0"/>
        <v>1.806528568467046</v>
      </c>
      <c r="K40">
        <f t="shared" si="1"/>
        <v>1.6779613278193808</v>
      </c>
      <c r="L40"/>
      <c r="M40"/>
      <c r="N40" s="6">
        <v>38</v>
      </c>
      <c r="O40" s="51">
        <v>25368</v>
      </c>
      <c r="P40" s="38">
        <v>46368</v>
      </c>
      <c r="Q40" s="38">
        <v>10447</v>
      </c>
      <c r="R40">
        <f t="shared" si="2"/>
        <v>0.80975379863951114</v>
      </c>
      <c r="S40">
        <f t="shared" si="3"/>
        <v>0.85984314645151549</v>
      </c>
      <c r="T40"/>
      <c r="U40" s="6">
        <v>38</v>
      </c>
      <c r="V40" s="38">
        <v>7475</v>
      </c>
      <c r="W40" s="41">
        <v>55352</v>
      </c>
      <c r="X40" s="42">
        <v>17720</v>
      </c>
      <c r="Y40">
        <f t="shared" si="4"/>
        <v>1.0045652155979574</v>
      </c>
      <c r="Z40">
        <f t="shared" si="5"/>
        <v>1.2344175636076433</v>
      </c>
      <c r="AA40"/>
      <c r="AB40" s="6">
        <v>38</v>
      </c>
      <c r="AC40" s="51">
        <v>25919</v>
      </c>
      <c r="AD40" s="38">
        <v>43081</v>
      </c>
      <c r="AE40" s="38">
        <v>11909</v>
      </c>
      <c r="AF40">
        <f t="shared" si="6"/>
        <v>0.71252314619667301</v>
      </c>
      <c r="AG40">
        <f t="shared" si="7"/>
        <v>0.89679675104562906</v>
      </c>
      <c r="AH40" s="7"/>
      <c r="AI40" s="6">
        <v>38</v>
      </c>
      <c r="AJ40" s="38">
        <v>10215</v>
      </c>
      <c r="AK40" s="41">
        <v>99320</v>
      </c>
      <c r="AL40" s="42">
        <v>17436</v>
      </c>
      <c r="AM40">
        <f t="shared" si="8"/>
        <v>1.5377400959504104</v>
      </c>
      <c r="AN40">
        <f t="shared" si="9"/>
        <v>1.4082438069877663</v>
      </c>
      <c r="AO40" s="7"/>
      <c r="AP40" s="7"/>
      <c r="AQ40" s="10" t="s">
        <v>20</v>
      </c>
      <c r="AR40" s="10">
        <f>AVERAGE(G81,O96,V100,AC95,AJ89)</f>
        <v>27.4</v>
      </c>
      <c r="AS40" s="10">
        <f>AVERAGE(H81,P96,W100,AD95,AK89)</f>
        <v>39.510093512219157</v>
      </c>
      <c r="AT40" s="10">
        <f>AVERAGE(I81,Q96,X100,AE95,AL89)</f>
        <v>100</v>
      </c>
      <c r="AU40" s="10"/>
      <c r="AV40"/>
    </row>
    <row r="41" spans="4:48" x14ac:dyDescent="0.25">
      <c r="D41"/>
      <c r="E41"/>
      <c r="F41">
        <v>39</v>
      </c>
      <c r="G41" s="38">
        <v>8924</v>
      </c>
      <c r="H41" s="43">
        <v>80152</v>
      </c>
      <c r="I41" s="44">
        <v>17167</v>
      </c>
      <c r="J41">
        <f t="shared" si="0"/>
        <v>1.6474034384573542</v>
      </c>
      <c r="K41">
        <f t="shared" si="1"/>
        <v>1.4838284713684289</v>
      </c>
      <c r="L41"/>
      <c r="M41"/>
      <c r="N41" s="6">
        <v>39</v>
      </c>
      <c r="O41" s="38">
        <v>13686</v>
      </c>
      <c r="P41" s="41">
        <v>69098</v>
      </c>
      <c r="Q41" s="42">
        <v>16608</v>
      </c>
      <c r="R41">
        <f t="shared" si="2"/>
        <v>1.2067022079536089</v>
      </c>
      <c r="S41">
        <f t="shared" si="3"/>
        <v>1.3669259094732238</v>
      </c>
      <c r="T41"/>
      <c r="U41" s="6">
        <v>39</v>
      </c>
      <c r="V41" s="38">
        <v>7589</v>
      </c>
      <c r="W41" s="45">
        <v>65835</v>
      </c>
      <c r="X41" s="46">
        <v>17722</v>
      </c>
      <c r="Y41">
        <f t="shared" si="4"/>
        <v>1.1948177296013067</v>
      </c>
      <c r="Z41">
        <f t="shared" si="5"/>
        <v>1.2345568883890889</v>
      </c>
      <c r="AA41"/>
      <c r="AB41" s="6">
        <v>39</v>
      </c>
      <c r="AC41" s="51">
        <v>22850</v>
      </c>
      <c r="AD41" s="38">
        <v>46083</v>
      </c>
      <c r="AE41" s="38">
        <v>8624</v>
      </c>
      <c r="AF41">
        <f t="shared" si="6"/>
        <v>0.76217367624199261</v>
      </c>
      <c r="AG41">
        <f t="shared" si="7"/>
        <v>0.64942272071689522</v>
      </c>
      <c r="AH41" s="7"/>
      <c r="AI41" s="6">
        <v>39</v>
      </c>
      <c r="AJ41" s="38">
        <v>4151</v>
      </c>
      <c r="AK41" s="43">
        <v>71318</v>
      </c>
      <c r="AL41" s="44">
        <v>12899</v>
      </c>
      <c r="AM41">
        <f t="shared" si="8"/>
        <v>1.1041940008355957</v>
      </c>
      <c r="AN41">
        <f t="shared" si="9"/>
        <v>1.0418064272961229</v>
      </c>
      <c r="AO41" s="7"/>
      <c r="AP41" s="7"/>
      <c r="AQ41" s="9" t="s">
        <v>21</v>
      </c>
      <c r="AR41" s="8">
        <f t="shared" ref="AR41:AS46" si="14">AVERAGE(G82,O97,V101,AC96,AJ90)</f>
        <v>29.4</v>
      </c>
      <c r="AS41" s="8">
        <f t="shared" si="14"/>
        <v>42.354525755564957</v>
      </c>
      <c r="AT41" s="8"/>
      <c r="AU41" s="8">
        <f>AVERAGE(J82,R97,Y101,AF96,AM90)</f>
        <v>100</v>
      </c>
      <c r="AV41"/>
    </row>
    <row r="42" spans="4:48" x14ac:dyDescent="0.25">
      <c r="D42"/>
      <c r="E42"/>
      <c r="F42">
        <v>40</v>
      </c>
      <c r="G42" s="38">
        <v>6289</v>
      </c>
      <c r="H42" s="43">
        <v>52970</v>
      </c>
      <c r="I42" s="44">
        <v>15511</v>
      </c>
      <c r="J42">
        <f t="shared" si="0"/>
        <v>1.0887184366589235</v>
      </c>
      <c r="K42">
        <f t="shared" si="1"/>
        <v>1.3406922245817965</v>
      </c>
      <c r="L42"/>
      <c r="M42"/>
      <c r="N42" s="6">
        <v>40</v>
      </c>
      <c r="O42" s="38">
        <v>14372</v>
      </c>
      <c r="P42" s="45">
        <v>82051</v>
      </c>
      <c r="Q42" s="46">
        <v>14321</v>
      </c>
      <c r="R42">
        <f t="shared" si="2"/>
        <v>1.4329086639960862</v>
      </c>
      <c r="S42">
        <f t="shared" si="3"/>
        <v>1.1786937590056621</v>
      </c>
      <c r="T42"/>
      <c r="U42" s="6">
        <v>40</v>
      </c>
      <c r="V42" s="38">
        <v>7040</v>
      </c>
      <c r="W42" s="38">
        <v>47849</v>
      </c>
      <c r="X42" s="38">
        <v>12183</v>
      </c>
      <c r="Y42">
        <f t="shared" si="4"/>
        <v>0.86839574001204412</v>
      </c>
      <c r="Z42">
        <f t="shared" si="5"/>
        <v>0.84869690617561622</v>
      </c>
      <c r="AA42"/>
      <c r="AB42" s="6">
        <v>40</v>
      </c>
      <c r="AC42" s="38">
        <v>7778</v>
      </c>
      <c r="AD42" s="41">
        <v>79453</v>
      </c>
      <c r="AE42" s="42">
        <v>16598</v>
      </c>
      <c r="AF42">
        <f t="shared" si="6"/>
        <v>1.3140851311428301</v>
      </c>
      <c r="AG42">
        <f t="shared" si="7"/>
        <v>1.2498977641997944</v>
      </c>
      <c r="AH42" s="7"/>
      <c r="AI42" s="6">
        <v>40</v>
      </c>
      <c r="AJ42" s="38">
        <v>7462</v>
      </c>
      <c r="AK42" s="45">
        <v>71892</v>
      </c>
      <c r="AL42" s="46">
        <v>17385</v>
      </c>
      <c r="AM42">
        <f t="shared" si="8"/>
        <v>1.113081060995438</v>
      </c>
      <c r="AN42">
        <f t="shared" si="9"/>
        <v>1.4041247180822618</v>
      </c>
      <c r="AO42" s="7"/>
      <c r="AP42" s="7"/>
      <c r="AQ42" s="20" t="s">
        <v>22</v>
      </c>
      <c r="AR42" s="10">
        <f t="shared" si="14"/>
        <v>4.4000000000000004</v>
      </c>
      <c r="AS42" s="10">
        <f t="shared" si="14"/>
        <v>6.4451741246734162</v>
      </c>
      <c r="AT42" s="10">
        <f>AVERAGE(I83,Q98,X102,AE97,AL91)</f>
        <v>16.363302169753783</v>
      </c>
      <c r="AU42" s="10"/>
      <c r="AV42" s="3"/>
    </row>
    <row r="43" spans="4:48" x14ac:dyDescent="0.25">
      <c r="D43"/>
      <c r="E43"/>
      <c r="F43">
        <v>41</v>
      </c>
      <c r="G43" s="38">
        <v>6876</v>
      </c>
      <c r="H43" s="45">
        <v>82302</v>
      </c>
      <c r="I43" s="46">
        <v>15124</v>
      </c>
      <c r="J43">
        <f t="shared" si="0"/>
        <v>1.6915934448537424</v>
      </c>
      <c r="K43">
        <f t="shared" si="1"/>
        <v>1.3072419060392684</v>
      </c>
      <c r="L43"/>
      <c r="M43"/>
      <c r="N43" s="6">
        <v>41</v>
      </c>
      <c r="O43" s="38">
        <v>18780</v>
      </c>
      <c r="P43" s="38">
        <v>62610</v>
      </c>
      <c r="Q43" s="38">
        <v>10355</v>
      </c>
      <c r="R43">
        <f t="shared" si="2"/>
        <v>1.0933981481370727</v>
      </c>
      <c r="S43">
        <f t="shared" si="3"/>
        <v>0.85227106169287281</v>
      </c>
      <c r="T43"/>
      <c r="U43" s="6">
        <v>41</v>
      </c>
      <c r="V43" s="38">
        <v>5609</v>
      </c>
      <c r="W43" s="38">
        <v>57870</v>
      </c>
      <c r="X43" s="38">
        <v>10326</v>
      </c>
      <c r="Y43">
        <f t="shared" si="4"/>
        <v>1.0502635681936299</v>
      </c>
      <c r="Z43">
        <f t="shared" si="5"/>
        <v>0.71933384660341571</v>
      </c>
      <c r="AA43"/>
      <c r="AB43" s="6">
        <v>41</v>
      </c>
      <c r="AC43" s="38">
        <v>16639</v>
      </c>
      <c r="AD43" s="45">
        <v>119933</v>
      </c>
      <c r="AE43" s="46">
        <v>14513</v>
      </c>
      <c r="AF43">
        <f t="shared" si="6"/>
        <v>1.9835899466773192</v>
      </c>
      <c r="AG43">
        <f t="shared" si="7"/>
        <v>1.0928886764568995</v>
      </c>
      <c r="AH43" s="7"/>
      <c r="AI43" s="6">
        <v>41</v>
      </c>
      <c r="AJ43" s="38">
        <v>5862</v>
      </c>
      <c r="AK43" s="38">
        <v>53977</v>
      </c>
      <c r="AL43" s="38">
        <v>13723</v>
      </c>
      <c r="AM43">
        <f t="shared" si="8"/>
        <v>0.83570879137248588</v>
      </c>
      <c r="AN43">
        <f t="shared" si="9"/>
        <v>1.1083579813772149</v>
      </c>
      <c r="AO43" s="7"/>
      <c r="AP43" s="7"/>
      <c r="AQ43" s="9" t="s">
        <v>23</v>
      </c>
      <c r="AR43" s="8">
        <f t="shared" si="14"/>
        <v>5.6</v>
      </c>
      <c r="AS43" s="8">
        <f t="shared" si="14"/>
        <v>8.1937159570603129</v>
      </c>
      <c r="AT43" s="8"/>
      <c r="AU43" s="8">
        <f>AVERAGE(J84,R99,Y103,AF98,AM92)</f>
        <v>19.354596691553212</v>
      </c>
      <c r="AV43"/>
    </row>
    <row r="44" spans="4:48" x14ac:dyDescent="0.25">
      <c r="D44"/>
      <c r="E44"/>
      <c r="F44">
        <v>42</v>
      </c>
      <c r="G44" s="38">
        <v>20136</v>
      </c>
      <c r="H44" s="38">
        <v>41114</v>
      </c>
      <c r="I44" s="38">
        <v>8318</v>
      </c>
      <c r="J44">
        <f t="shared" si="0"/>
        <v>0.84503624324702631</v>
      </c>
      <c r="K44">
        <f t="shared" si="1"/>
        <v>0.71896576133527068</v>
      </c>
      <c r="L44"/>
      <c r="M44"/>
      <c r="N44" s="6">
        <v>42</v>
      </c>
      <c r="O44" s="38">
        <v>8859</v>
      </c>
      <c r="P44" s="41">
        <v>102690</v>
      </c>
      <c r="Q44" s="42">
        <v>22489</v>
      </c>
      <c r="R44">
        <f t="shared" si="2"/>
        <v>1.7933406138347867</v>
      </c>
      <c r="S44">
        <f t="shared" si="3"/>
        <v>1.8509631971425415</v>
      </c>
      <c r="T44"/>
      <c r="U44" s="6">
        <v>42</v>
      </c>
      <c r="V44" s="38">
        <v>4604</v>
      </c>
      <c r="W44" s="41">
        <v>77851</v>
      </c>
      <c r="X44" s="42">
        <v>21584</v>
      </c>
      <c r="Y44">
        <f t="shared" si="4"/>
        <v>1.4128921556495988</v>
      </c>
      <c r="Z44">
        <f t="shared" si="5"/>
        <v>1.5035930413604612</v>
      </c>
      <c r="AA44"/>
      <c r="AB44" s="6">
        <v>42</v>
      </c>
      <c r="AC44" s="38">
        <v>6765</v>
      </c>
      <c r="AD44" s="38">
        <v>75066</v>
      </c>
      <c r="AE44" s="38">
        <v>11910</v>
      </c>
      <c r="AF44">
        <f t="shared" si="6"/>
        <v>1.2415278775422915</v>
      </c>
      <c r="AG44">
        <f t="shared" si="7"/>
        <v>0.89687205516445057</v>
      </c>
      <c r="AH44" s="7"/>
      <c r="AI44" s="6">
        <v>42</v>
      </c>
      <c r="AJ44" s="38">
        <v>10682</v>
      </c>
      <c r="AK44" s="41">
        <v>90836</v>
      </c>
      <c r="AL44" s="42">
        <v>15445</v>
      </c>
      <c r="AM44">
        <f t="shared" si="8"/>
        <v>1.4063850116366439</v>
      </c>
      <c r="AN44">
        <f t="shared" si="9"/>
        <v>1.2474378067748366</v>
      </c>
      <c r="AO44" s="7"/>
      <c r="AP44" s="7"/>
      <c r="AQ44" s="7" t="s">
        <v>24</v>
      </c>
      <c r="AR44" s="6">
        <f t="shared" si="14"/>
        <v>46.2</v>
      </c>
      <c r="AS44" s="6">
        <f t="shared" si="14"/>
        <v>68.076113384332572</v>
      </c>
      <c r="AT44" s="6"/>
      <c r="AU44" s="6"/>
      <c r="AV44" s="3"/>
    </row>
    <row r="45" spans="4:48" x14ac:dyDescent="0.25">
      <c r="D45"/>
      <c r="E45"/>
      <c r="F45">
        <v>43</v>
      </c>
      <c r="G45" s="38">
        <v>6637</v>
      </c>
      <c r="H45" s="40">
        <v>76061</v>
      </c>
      <c r="I45" s="37">
        <v>16581</v>
      </c>
      <c r="J45">
        <f t="shared" si="0"/>
        <v>1.5633191053561335</v>
      </c>
      <c r="K45">
        <f t="shared" si="1"/>
        <v>1.4331776014306472</v>
      </c>
      <c r="L45"/>
      <c r="M45"/>
      <c r="N45" s="6">
        <v>43</v>
      </c>
      <c r="O45" s="38">
        <v>10031</v>
      </c>
      <c r="P45" s="43">
        <v>112352</v>
      </c>
      <c r="Q45" s="44">
        <v>24026</v>
      </c>
      <c r="R45">
        <f t="shared" si="2"/>
        <v>1.9620742491534322</v>
      </c>
      <c r="S45">
        <f t="shared" si="3"/>
        <v>1.9774663957733427</v>
      </c>
      <c r="T45"/>
      <c r="U45" s="6">
        <v>43</v>
      </c>
      <c r="V45" s="38">
        <v>13596</v>
      </c>
      <c r="W45" s="45">
        <v>127873</v>
      </c>
      <c r="X45" s="46">
        <v>27608</v>
      </c>
      <c r="Y45">
        <f t="shared" si="4"/>
        <v>2.3207249568969073</v>
      </c>
      <c r="Z45">
        <f t="shared" si="5"/>
        <v>1.9232392830744818</v>
      </c>
      <c r="AA45"/>
      <c r="AB45" s="6">
        <v>43</v>
      </c>
      <c r="AC45" s="38">
        <v>3918</v>
      </c>
      <c r="AD45" s="38">
        <v>65531</v>
      </c>
      <c r="AE45" s="38">
        <v>7796</v>
      </c>
      <c r="AF45">
        <f t="shared" si="6"/>
        <v>1.0838270767487799</v>
      </c>
      <c r="AG45">
        <f t="shared" si="7"/>
        <v>0.58707091033266634</v>
      </c>
      <c r="AH45" s="7"/>
      <c r="AI45" s="6">
        <v>43</v>
      </c>
      <c r="AJ45" s="38">
        <v>20619</v>
      </c>
      <c r="AK45" s="43">
        <v>145137</v>
      </c>
      <c r="AL45" s="44">
        <v>18735</v>
      </c>
      <c r="AM45">
        <f t="shared" si="8"/>
        <v>2.2471101923676469</v>
      </c>
      <c r="AN45">
        <f t="shared" si="9"/>
        <v>1.5131594244044393</v>
      </c>
      <c r="AO45" s="7"/>
      <c r="AP45" s="7"/>
      <c r="AQ45" s="7" t="s">
        <v>25</v>
      </c>
      <c r="AR45" s="6">
        <f t="shared" si="14"/>
        <v>39.799999999999997</v>
      </c>
      <c r="AS45" s="6">
        <f t="shared" si="14"/>
        <v>57.645474244435036</v>
      </c>
      <c r="AT45" s="6"/>
      <c r="AU45" s="6"/>
      <c r="AV45" s="3"/>
    </row>
    <row r="46" spans="4:48" x14ac:dyDescent="0.25">
      <c r="D46"/>
      <c r="E46"/>
      <c r="F46">
        <v>44</v>
      </c>
      <c r="G46" s="38">
        <v>12197</v>
      </c>
      <c r="H46" s="38">
        <v>95167</v>
      </c>
      <c r="I46" s="38">
        <v>10667</v>
      </c>
      <c r="J46">
        <f t="shared" si="0"/>
        <v>1.9560141110349214</v>
      </c>
      <c r="K46">
        <f t="shared" si="1"/>
        <v>0.92200141574456984</v>
      </c>
      <c r="L46"/>
      <c r="M46"/>
      <c r="N46" s="6">
        <v>44</v>
      </c>
      <c r="O46" s="38">
        <v>18821</v>
      </c>
      <c r="P46" s="45">
        <v>89339</v>
      </c>
      <c r="Q46" s="46">
        <v>17458</v>
      </c>
      <c r="R46">
        <f t="shared" si="2"/>
        <v>1.5601836313115787</v>
      </c>
      <c r="S46">
        <f t="shared" si="3"/>
        <v>1.4368853882215522</v>
      </c>
      <c r="T46"/>
      <c r="U46" s="6">
        <v>44</v>
      </c>
      <c r="V46" s="38">
        <v>4114</v>
      </c>
      <c r="W46" s="38">
        <v>54795</v>
      </c>
      <c r="X46" s="38">
        <v>18966</v>
      </c>
      <c r="Y46">
        <f t="shared" si="4"/>
        <v>0.99445640606825547</v>
      </c>
      <c r="Z46">
        <f t="shared" si="5"/>
        <v>1.3212169024482261</v>
      </c>
      <c r="AA46"/>
      <c r="AB46" s="6">
        <v>44</v>
      </c>
      <c r="AC46" s="38">
        <v>28432</v>
      </c>
      <c r="AD46" s="40">
        <v>70541</v>
      </c>
      <c r="AE46" s="37">
        <v>16252</v>
      </c>
      <c r="AF46">
        <f t="shared" si="6"/>
        <v>1.1666882211615217</v>
      </c>
      <c r="AG46">
        <f t="shared" si="7"/>
        <v>1.2238425390875443</v>
      </c>
      <c r="AH46" s="7"/>
      <c r="AI46" s="6">
        <v>44</v>
      </c>
      <c r="AJ46" s="38">
        <v>26115</v>
      </c>
      <c r="AK46" s="43">
        <v>93699</v>
      </c>
      <c r="AL46" s="44">
        <v>13735</v>
      </c>
      <c r="AM46">
        <f t="shared" si="8"/>
        <v>1.4507119336534182</v>
      </c>
      <c r="AN46">
        <f t="shared" si="9"/>
        <v>1.1093271787667454</v>
      </c>
      <c r="AO46" s="7"/>
      <c r="AP46" s="7"/>
      <c r="AQ46" s="36" t="s">
        <v>26</v>
      </c>
      <c r="AR46" s="33">
        <f t="shared" si="14"/>
        <v>23</v>
      </c>
      <c r="AS46" s="33">
        <f t="shared" si="14"/>
        <v>33.064919387545743</v>
      </c>
      <c r="AT46" s="33">
        <f>AVERAGE(I87,Q102,X106,AE101,AL95)</f>
        <v>83.63669783024622</v>
      </c>
      <c r="AU46" s="37">
        <f>AVERAGE(J87,R102,Y106,AF101,AM95)</f>
        <v>78.221160884204366</v>
      </c>
      <c r="AV46"/>
    </row>
    <row r="47" spans="4:48" x14ac:dyDescent="0.25">
      <c r="D47"/>
      <c r="E47"/>
      <c r="F47">
        <v>45</v>
      </c>
      <c r="G47" s="38">
        <v>7202</v>
      </c>
      <c r="H47" s="41">
        <v>60857</v>
      </c>
      <c r="I47" s="42">
        <v>13872</v>
      </c>
      <c r="J47">
        <f t="shared" si="0"/>
        <v>1.2508238229139534</v>
      </c>
      <c r="K47">
        <f t="shared" si="1"/>
        <v>1.1990253716329495</v>
      </c>
      <c r="L47"/>
      <c r="M47"/>
      <c r="N47" s="6">
        <v>45</v>
      </c>
      <c r="O47" s="38">
        <v>22864</v>
      </c>
      <c r="P47" s="38">
        <v>50555</v>
      </c>
      <c r="Q47" s="38">
        <v>11409</v>
      </c>
      <c r="R47">
        <f t="shared" si="2"/>
        <v>0.88287403576217394</v>
      </c>
      <c r="S47">
        <f t="shared" si="3"/>
        <v>0.93902081534080017</v>
      </c>
      <c r="T47"/>
      <c r="U47" s="6">
        <v>45</v>
      </c>
      <c r="V47" s="38">
        <v>4667</v>
      </c>
      <c r="W47" s="41">
        <v>66097</v>
      </c>
      <c r="X47" s="42">
        <v>27278</v>
      </c>
      <c r="Y47">
        <f t="shared" si="4"/>
        <v>1.1995726813010947</v>
      </c>
      <c r="Z47">
        <f t="shared" si="5"/>
        <v>1.9002506941359647</v>
      </c>
      <c r="AA47"/>
      <c r="AB47" s="6">
        <v>45</v>
      </c>
      <c r="AC47" s="38">
        <v>24911</v>
      </c>
      <c r="AD47" s="38">
        <v>51311</v>
      </c>
      <c r="AE47" s="38">
        <v>12267</v>
      </c>
      <c r="AF47">
        <f t="shared" si="6"/>
        <v>0.84864035548147654</v>
      </c>
      <c r="AG47">
        <f t="shared" si="7"/>
        <v>0.92375562558373769</v>
      </c>
      <c r="AH47" s="7"/>
      <c r="AI47" s="6">
        <v>45</v>
      </c>
      <c r="AJ47" s="38">
        <v>20622</v>
      </c>
      <c r="AK47" s="43">
        <v>129439</v>
      </c>
      <c r="AL47" s="44">
        <v>27286</v>
      </c>
      <c r="AM47">
        <f t="shared" si="8"/>
        <v>2.0040630314108454</v>
      </c>
      <c r="AN47">
        <f t="shared" si="9"/>
        <v>2.2037933308940234</v>
      </c>
      <c r="AO47"/>
      <c r="AP47"/>
      <c r="AQ47"/>
      <c r="AR47"/>
      <c r="AS47"/>
      <c r="AT47"/>
      <c r="AU47"/>
      <c r="AV47"/>
    </row>
    <row r="48" spans="4:48" x14ac:dyDescent="0.25">
      <c r="D48"/>
      <c r="E48"/>
      <c r="F48">
        <v>46</v>
      </c>
      <c r="G48" s="38">
        <v>7648</v>
      </c>
      <c r="H48" s="43">
        <v>79448</v>
      </c>
      <c r="I48" s="44">
        <v>16531</v>
      </c>
      <c r="J48">
        <f t="shared" si="0"/>
        <v>1.6329337805489552</v>
      </c>
      <c r="K48">
        <f t="shared" si="1"/>
        <v>1.4288558548489252</v>
      </c>
      <c r="L48"/>
      <c r="M48"/>
      <c r="N48" s="6">
        <v>46</v>
      </c>
      <c r="O48" s="38">
        <v>28477</v>
      </c>
      <c r="P48" s="41">
        <v>63659</v>
      </c>
      <c r="Q48" s="42">
        <v>15676</v>
      </c>
      <c r="R48">
        <f t="shared" si="2"/>
        <v>1.1117175005950792</v>
      </c>
      <c r="S48">
        <f t="shared" si="3"/>
        <v>1.2902173986574095</v>
      </c>
      <c r="T48"/>
      <c r="U48" s="6">
        <v>46</v>
      </c>
      <c r="V48" s="38">
        <v>5932</v>
      </c>
      <c r="W48" s="45">
        <v>95816</v>
      </c>
      <c r="X48" s="46">
        <v>29718</v>
      </c>
      <c r="Y48">
        <f t="shared" si="4"/>
        <v>1.7389330231560538</v>
      </c>
      <c r="Z48">
        <f t="shared" si="5"/>
        <v>2.0702269274995455</v>
      </c>
      <c r="AA48"/>
      <c r="AB48" s="6">
        <v>46</v>
      </c>
      <c r="AC48" s="38">
        <v>6270</v>
      </c>
      <c r="AD48" s="41">
        <v>130472</v>
      </c>
      <c r="AE48" s="42">
        <v>29404</v>
      </c>
      <c r="AF48">
        <f t="shared" si="6"/>
        <v>2.1578960546545423</v>
      </c>
      <c r="AG48">
        <f t="shared" si="7"/>
        <v>2.2142423098283381</v>
      </c>
      <c r="AH48" s="7"/>
      <c r="AI48" s="6">
        <v>46</v>
      </c>
      <c r="AJ48" s="38">
        <v>20681</v>
      </c>
      <c r="AK48" s="43">
        <v>126127</v>
      </c>
      <c r="AL48" s="44">
        <v>17940</v>
      </c>
      <c r="AM48">
        <f t="shared" si="8"/>
        <v>1.9527843846348913</v>
      </c>
      <c r="AN48">
        <f t="shared" si="9"/>
        <v>1.4489500973480458</v>
      </c>
      <c r="AO48"/>
      <c r="AP48"/>
      <c r="AQ48" s="81" t="s">
        <v>46</v>
      </c>
      <c r="AR48" s="73" t="s">
        <v>1</v>
      </c>
      <c r="AS48" s="73" t="s">
        <v>2</v>
      </c>
      <c r="AT48" s="73" t="s">
        <v>39</v>
      </c>
      <c r="AU48" s="74" t="s">
        <v>40</v>
      </c>
      <c r="AV48"/>
    </row>
    <row r="49" spans="4:48" x14ac:dyDescent="0.25">
      <c r="D49"/>
      <c r="E49"/>
      <c r="F49">
        <v>47</v>
      </c>
      <c r="G49" s="38">
        <v>10167</v>
      </c>
      <c r="H49" s="45">
        <v>61833</v>
      </c>
      <c r="I49" s="46">
        <v>14292</v>
      </c>
      <c r="J49">
        <f t="shared" si="0"/>
        <v>1.270884030468779</v>
      </c>
      <c r="K49">
        <f t="shared" si="1"/>
        <v>1.2353280429194144</v>
      </c>
      <c r="L49"/>
      <c r="M49"/>
      <c r="N49" s="6">
        <v>47</v>
      </c>
      <c r="O49" s="38">
        <v>10952</v>
      </c>
      <c r="P49" s="43">
        <v>88984</v>
      </c>
      <c r="Q49" s="44">
        <v>14167</v>
      </c>
      <c r="R49">
        <f t="shared" si="2"/>
        <v>1.5539840411089167</v>
      </c>
      <c r="S49">
        <f t="shared" si="3"/>
        <v>1.1660187475618473</v>
      </c>
      <c r="T49"/>
      <c r="U49" s="6">
        <v>47</v>
      </c>
      <c r="V49" s="38">
        <v>19386</v>
      </c>
      <c r="W49" s="38">
        <v>55171</v>
      </c>
      <c r="X49" s="38">
        <v>8686</v>
      </c>
      <c r="Y49">
        <f t="shared" si="4"/>
        <v>1.0012803062175697</v>
      </c>
      <c r="Z49">
        <f t="shared" si="5"/>
        <v>0.60508752581805814</v>
      </c>
      <c r="AA49"/>
      <c r="AB49" s="6">
        <v>47</v>
      </c>
      <c r="AC49" s="38">
        <v>6960</v>
      </c>
      <c r="AD49" s="43">
        <v>120880</v>
      </c>
      <c r="AE49" s="44">
        <v>27240</v>
      </c>
      <c r="AF49">
        <f t="shared" si="6"/>
        <v>1.9992525222778914</v>
      </c>
      <c r="AG49">
        <f t="shared" si="7"/>
        <v>2.0512841966985418</v>
      </c>
      <c r="AH49" s="7"/>
      <c r="AI49" s="6">
        <v>47</v>
      </c>
      <c r="AJ49" s="38">
        <v>22039</v>
      </c>
      <c r="AK49" s="43">
        <v>124264</v>
      </c>
      <c r="AL49" s="44">
        <v>27762</v>
      </c>
      <c r="AM49">
        <f t="shared" si="8"/>
        <v>1.9239401458234171</v>
      </c>
      <c r="AN49">
        <f t="shared" si="9"/>
        <v>2.2422381606787321</v>
      </c>
      <c r="AO49"/>
      <c r="AP49"/>
      <c r="AQ49" s="75" t="s">
        <v>37</v>
      </c>
      <c r="AR49" s="38">
        <f t="shared" ref="AR49:AU50" si="15">AVERAGE(AJ98,AC106,V110,O106,G91)</f>
        <v>18508</v>
      </c>
      <c r="AS49" s="38">
        <f t="shared" si="15"/>
        <v>5445.6</v>
      </c>
      <c r="AT49" s="71">
        <f t="shared" si="15"/>
        <v>0.32625070149699431</v>
      </c>
      <c r="AU49" s="76">
        <f t="shared" si="15"/>
        <v>0.42739781934207127</v>
      </c>
      <c r="AV49"/>
    </row>
    <row r="50" spans="4:48" x14ac:dyDescent="0.25">
      <c r="D50"/>
      <c r="E50"/>
      <c r="F50">
        <v>48</v>
      </c>
      <c r="G50" s="38">
        <v>6902</v>
      </c>
      <c r="H50" s="38">
        <v>61275</v>
      </c>
      <c r="I50" s="38">
        <v>6882</v>
      </c>
      <c r="J50">
        <f t="shared" si="0"/>
        <v>1.2594151822970652</v>
      </c>
      <c r="K50">
        <f t="shared" si="1"/>
        <v>0.59484519950821502</v>
      </c>
      <c r="L50"/>
      <c r="M50"/>
      <c r="N50" s="6">
        <v>48</v>
      </c>
      <c r="O50" s="38">
        <v>18346</v>
      </c>
      <c r="P50" s="45">
        <v>92415</v>
      </c>
      <c r="Q50" s="46">
        <v>17063</v>
      </c>
      <c r="R50">
        <f t="shared" si="2"/>
        <v>1.613901770645066</v>
      </c>
      <c r="S50">
        <f t="shared" si="3"/>
        <v>1.4043748069208584</v>
      </c>
      <c r="T50"/>
      <c r="U50" s="6">
        <v>48</v>
      </c>
      <c r="V50" s="38">
        <v>7353</v>
      </c>
      <c r="W50" s="41">
        <v>74480</v>
      </c>
      <c r="X50" s="42">
        <v>15273</v>
      </c>
      <c r="Y50">
        <f t="shared" si="4"/>
        <v>1.3517129870237006</v>
      </c>
      <c r="Z50">
        <f t="shared" si="5"/>
        <v>1.0639536935090033</v>
      </c>
      <c r="AA50"/>
      <c r="AB50" s="6">
        <v>48</v>
      </c>
      <c r="AC50" s="38">
        <v>7629</v>
      </c>
      <c r="AD50" s="43">
        <v>130181</v>
      </c>
      <c r="AE50" s="44">
        <v>20905</v>
      </c>
      <c r="AF50">
        <f t="shared" si="6"/>
        <v>2.153083161835359</v>
      </c>
      <c r="AG50">
        <f t="shared" si="7"/>
        <v>1.5742326039641343</v>
      </c>
      <c r="AH50" s="7"/>
      <c r="AI50" s="6">
        <v>48</v>
      </c>
      <c r="AJ50" s="38">
        <v>16270</v>
      </c>
      <c r="AK50" s="43">
        <v>88496</v>
      </c>
      <c r="AL50" s="44">
        <v>14972</v>
      </c>
      <c r="AM50">
        <f t="shared" si="8"/>
        <v>1.3701555329362416</v>
      </c>
      <c r="AN50">
        <f t="shared" si="9"/>
        <v>1.2092352763375107</v>
      </c>
      <c r="AO50"/>
      <c r="AP50"/>
      <c r="AQ50" s="75" t="s">
        <v>38</v>
      </c>
      <c r="AR50" s="38">
        <f t="shared" si="15"/>
        <v>129431.8</v>
      </c>
      <c r="AS50" s="38">
        <f t="shared" si="15"/>
        <v>29404.400000000001</v>
      </c>
      <c r="AT50" s="71">
        <f t="shared" si="15"/>
        <v>2.3815626696719354</v>
      </c>
      <c r="AU50" s="76">
        <f t="shared" si="15"/>
        <v>2.2967845760656891</v>
      </c>
      <c r="AV50"/>
    </row>
    <row r="51" spans="4:48" x14ac:dyDescent="0.25">
      <c r="D51"/>
      <c r="E51"/>
      <c r="F51">
        <v>49</v>
      </c>
      <c r="G51" s="38">
        <v>7058</v>
      </c>
      <c r="H51" s="38">
        <v>43594</v>
      </c>
      <c r="I51" s="38">
        <v>13022</v>
      </c>
      <c r="J51">
        <f t="shared" si="0"/>
        <v>0.89600890178797654</v>
      </c>
      <c r="K51">
        <f t="shared" si="1"/>
        <v>1.1255556797436757</v>
      </c>
      <c r="L51"/>
      <c r="M51"/>
      <c r="N51" s="6">
        <v>49</v>
      </c>
      <c r="O51" s="38">
        <v>16195</v>
      </c>
      <c r="P51" s="38">
        <v>124270</v>
      </c>
      <c r="Q51" s="38">
        <v>11738</v>
      </c>
      <c r="R51">
        <f t="shared" si="2"/>
        <v>2.1702058436191347</v>
      </c>
      <c r="S51">
        <f t="shared" si="3"/>
        <v>0.9660992488798591</v>
      </c>
      <c r="T51"/>
      <c r="U51" s="6">
        <v>49</v>
      </c>
      <c r="V51" s="38">
        <v>15472</v>
      </c>
      <c r="W51" s="43">
        <v>104391</v>
      </c>
      <c r="X51" s="44">
        <v>15814</v>
      </c>
      <c r="Y51">
        <f t="shared" si="4"/>
        <v>1.8945578736357562</v>
      </c>
      <c r="Z51">
        <f t="shared" si="5"/>
        <v>1.1016410468900266</v>
      </c>
      <c r="AA51"/>
      <c r="AB51" s="6">
        <v>49</v>
      </c>
      <c r="AC51" s="38">
        <v>5417</v>
      </c>
      <c r="AD51" s="45">
        <v>113849</v>
      </c>
      <c r="AE51" s="46">
        <v>24135</v>
      </c>
      <c r="AF51">
        <f t="shared" si="6"/>
        <v>1.8829657545401692</v>
      </c>
      <c r="AG51">
        <f t="shared" si="7"/>
        <v>1.8174649077576839</v>
      </c>
      <c r="AH51" s="7"/>
      <c r="AI51" s="6">
        <v>49</v>
      </c>
      <c r="AJ51" s="38">
        <v>11227</v>
      </c>
      <c r="AK51" s="43">
        <v>108826</v>
      </c>
      <c r="AL51" s="44">
        <v>24924</v>
      </c>
      <c r="AM51">
        <f t="shared" si="8"/>
        <v>1.6849184824999934</v>
      </c>
      <c r="AN51">
        <f t="shared" si="9"/>
        <v>2.0130229780547766</v>
      </c>
      <c r="AO51"/>
      <c r="AP51"/>
      <c r="AQ51" s="77" t="s">
        <v>4</v>
      </c>
      <c r="AR51" s="78">
        <f>AVERAGE(AJ100,AC108,V112,O108,G93)</f>
        <v>57213.344688858349</v>
      </c>
      <c r="AS51" s="78">
        <f>AVERAGE(AK100,AD108,W112,P108,H93)</f>
        <v>12747.0199827242</v>
      </c>
      <c r="AT51" s="79"/>
      <c r="AU51" s="80"/>
      <c r="AV51"/>
    </row>
    <row r="52" spans="4:48" x14ac:dyDescent="0.25">
      <c r="D52"/>
      <c r="E52"/>
      <c r="F52">
        <v>50</v>
      </c>
      <c r="G52" s="38">
        <v>7447</v>
      </c>
      <c r="H52" s="38">
        <v>40371</v>
      </c>
      <c r="I52" s="38">
        <v>13098</v>
      </c>
      <c r="J52">
        <f t="shared" si="0"/>
        <v>0.82976499917608848</v>
      </c>
      <c r="K52">
        <f t="shared" si="1"/>
        <v>1.1321247345478931</v>
      </c>
      <c r="L52"/>
      <c r="M52"/>
      <c r="N52" s="6">
        <v>50</v>
      </c>
      <c r="O52" s="38">
        <v>8991</v>
      </c>
      <c r="P52" s="41">
        <v>90269</v>
      </c>
      <c r="Q52" s="42">
        <v>16093</v>
      </c>
      <c r="R52">
        <f t="shared" si="2"/>
        <v>1.5764248112791155</v>
      </c>
      <c r="S52">
        <f t="shared" si="3"/>
        <v>1.3245386958786483</v>
      </c>
      <c r="T52"/>
      <c r="U52" s="6">
        <v>50</v>
      </c>
      <c r="V52" s="38">
        <v>18811</v>
      </c>
      <c r="W52" s="43">
        <v>88899</v>
      </c>
      <c r="X52" s="44">
        <v>16633</v>
      </c>
      <c r="Y52">
        <f t="shared" si="4"/>
        <v>1.613398668547529</v>
      </c>
      <c r="Z52">
        <f t="shared" si="5"/>
        <v>1.1586945448919825</v>
      </c>
      <c r="AA52"/>
      <c r="AB52" s="6">
        <v>50</v>
      </c>
      <c r="AC52" s="38">
        <v>9713</v>
      </c>
      <c r="AD52" s="38">
        <v>98021</v>
      </c>
      <c r="AE52" s="38">
        <v>4185</v>
      </c>
      <c r="AF52">
        <f t="shared" si="6"/>
        <v>1.6211840791379979</v>
      </c>
      <c r="AG52">
        <f t="shared" si="7"/>
        <v>0.31514773726811302</v>
      </c>
      <c r="AH52" s="7"/>
      <c r="AI52" s="6">
        <v>50</v>
      </c>
      <c r="AJ52" s="38">
        <v>18630</v>
      </c>
      <c r="AK52" s="43">
        <v>110537</v>
      </c>
      <c r="AL52" s="44">
        <v>14713</v>
      </c>
      <c r="AM52">
        <f t="shared" si="8"/>
        <v>1.711409353464262</v>
      </c>
      <c r="AN52">
        <f t="shared" si="9"/>
        <v>1.1883167660134781</v>
      </c>
      <c r="AO52"/>
      <c r="AP52"/>
      <c r="AQ52"/>
      <c r="AR52"/>
      <c r="AS52"/>
      <c r="AT52"/>
      <c r="AU52"/>
      <c r="AV52"/>
    </row>
    <row r="53" spans="4:48" x14ac:dyDescent="0.25">
      <c r="D53"/>
      <c r="E53"/>
      <c r="F53">
        <v>51</v>
      </c>
      <c r="G53" s="38">
        <v>3293</v>
      </c>
      <c r="H53" s="41">
        <v>57172</v>
      </c>
      <c r="I53" s="42">
        <v>13862</v>
      </c>
      <c r="J53">
        <f t="shared" si="0"/>
        <v>1.1750842072996788</v>
      </c>
      <c r="K53">
        <f t="shared" si="1"/>
        <v>1.1981610223166053</v>
      </c>
      <c r="L53"/>
      <c r="M53"/>
      <c r="N53" s="6">
        <v>51</v>
      </c>
      <c r="O53" s="38">
        <v>9198</v>
      </c>
      <c r="P53" s="43">
        <v>85347</v>
      </c>
      <c r="Q53" s="44">
        <v>14762</v>
      </c>
      <c r="R53">
        <f t="shared" si="2"/>
        <v>1.4904688028917865</v>
      </c>
      <c r="S53">
        <f t="shared" si="3"/>
        <v>1.2149903826856774</v>
      </c>
      <c r="T53"/>
      <c r="U53" s="6">
        <v>51</v>
      </c>
      <c r="V53" s="38">
        <v>10279</v>
      </c>
      <c r="W53" s="45">
        <v>102884</v>
      </c>
      <c r="X53" s="46">
        <v>22291</v>
      </c>
      <c r="Y53">
        <f t="shared" si="4"/>
        <v>1.8672078270266703</v>
      </c>
      <c r="Z53">
        <f t="shared" si="5"/>
        <v>1.5528443516014661</v>
      </c>
      <c r="AA53"/>
      <c r="AB53" s="6">
        <v>51</v>
      </c>
      <c r="AC53" s="38">
        <v>6946</v>
      </c>
      <c r="AD53" s="41">
        <v>87574</v>
      </c>
      <c r="AE53" s="42">
        <v>18730</v>
      </c>
      <c r="AF53">
        <f t="shared" si="6"/>
        <v>1.4483995730142625</v>
      </c>
      <c r="AG53">
        <f t="shared" si="7"/>
        <v>1.4104461455273014</v>
      </c>
      <c r="AH53" s="7"/>
      <c r="AI53" s="6">
        <v>51</v>
      </c>
      <c r="AJ53" s="38">
        <v>19699</v>
      </c>
      <c r="AK53" s="45">
        <v>109259</v>
      </c>
      <c r="AL53" s="46">
        <v>21583</v>
      </c>
      <c r="AM53">
        <f t="shared" si="8"/>
        <v>1.6916224843278884</v>
      </c>
      <c r="AN53">
        <f t="shared" si="9"/>
        <v>1.7431822715196696</v>
      </c>
      <c r="AO53"/>
      <c r="AP53"/>
      <c r="AQ53" s="81" t="s">
        <v>47</v>
      </c>
      <c r="AR53" s="73" t="s">
        <v>39</v>
      </c>
      <c r="AS53" s="74" t="s">
        <v>40</v>
      </c>
      <c r="AV53"/>
    </row>
    <row r="54" spans="4:48" x14ac:dyDescent="0.25">
      <c r="D54"/>
      <c r="E54"/>
      <c r="F54">
        <v>52</v>
      </c>
      <c r="G54" s="38">
        <v>3515</v>
      </c>
      <c r="H54" s="45">
        <v>55278</v>
      </c>
      <c r="I54" s="46">
        <v>13608</v>
      </c>
      <c r="J54">
        <f t="shared" si="0"/>
        <v>1.1361558946881627</v>
      </c>
      <c r="K54">
        <f t="shared" si="1"/>
        <v>1.1762065496814575</v>
      </c>
      <c r="L54"/>
      <c r="M54"/>
      <c r="N54" s="6">
        <v>52</v>
      </c>
      <c r="O54" s="38">
        <v>17571</v>
      </c>
      <c r="P54" s="43">
        <v>119473</v>
      </c>
      <c r="Q54" s="44">
        <v>26337</v>
      </c>
      <c r="R54">
        <f t="shared" si="2"/>
        <v>2.0864327895285175</v>
      </c>
      <c r="S54">
        <f t="shared" si="3"/>
        <v>2.1676738726996807</v>
      </c>
      <c r="T54"/>
      <c r="U54" s="6">
        <v>52</v>
      </c>
      <c r="V54" s="38">
        <v>8626</v>
      </c>
      <c r="W54" s="38">
        <v>75480</v>
      </c>
      <c r="X54" s="38">
        <v>13205</v>
      </c>
      <c r="Y54">
        <f t="shared" si="4"/>
        <v>1.3698616576335785</v>
      </c>
      <c r="Z54">
        <f t="shared" si="5"/>
        <v>0.91989186949429635</v>
      </c>
      <c r="AA54"/>
      <c r="AB54" s="6">
        <v>52</v>
      </c>
      <c r="AC54" s="38">
        <v>12847</v>
      </c>
      <c r="AD54" s="43">
        <v>130233</v>
      </c>
      <c r="AE54" s="44">
        <v>22290</v>
      </c>
      <c r="AF54">
        <f t="shared" si="6"/>
        <v>2.1539431976655909</v>
      </c>
      <c r="AG54">
        <f t="shared" si="7"/>
        <v>1.6785288085319567</v>
      </c>
      <c r="AH54" s="7"/>
      <c r="AI54" s="6">
        <v>52</v>
      </c>
      <c r="AJ54" s="38">
        <v>26487</v>
      </c>
      <c r="AK54" s="38">
        <v>50213</v>
      </c>
      <c r="AL54" s="38">
        <v>10300</v>
      </c>
      <c r="AM54">
        <f t="shared" si="8"/>
        <v>0.77743197178773615</v>
      </c>
      <c r="AN54">
        <f t="shared" si="9"/>
        <v>0.83189442601364949</v>
      </c>
      <c r="AO54"/>
      <c r="AP54"/>
      <c r="AQ54" s="75" t="s">
        <v>37</v>
      </c>
      <c r="AR54" s="71">
        <v>0.28294603557686016</v>
      </c>
      <c r="AS54" s="76">
        <v>0.31514773726811302</v>
      </c>
      <c r="AV54"/>
    </row>
    <row r="55" spans="4:48" x14ac:dyDescent="0.25">
      <c r="D55"/>
      <c r="E55"/>
      <c r="F55">
        <v>53</v>
      </c>
      <c r="G55" s="38">
        <v>3597</v>
      </c>
      <c r="H55" s="38">
        <v>43325</v>
      </c>
      <c r="I55" s="38">
        <v>11214</v>
      </c>
      <c r="J55">
        <f t="shared" si="0"/>
        <v>0.89048001261559118</v>
      </c>
      <c r="K55">
        <f t="shared" si="1"/>
        <v>0.9692813233486085</v>
      </c>
      <c r="L55"/>
      <c r="M55"/>
      <c r="N55" s="6">
        <v>53</v>
      </c>
      <c r="O55" s="38">
        <v>5561</v>
      </c>
      <c r="P55" s="43">
        <v>62087</v>
      </c>
      <c r="Q55" s="44">
        <v>12434</v>
      </c>
      <c r="R55">
        <f t="shared" si="2"/>
        <v>1.0842646673596301</v>
      </c>
      <c r="S55">
        <f t="shared" si="3"/>
        <v>1.0233837161843728</v>
      </c>
      <c r="T55"/>
      <c r="U55" s="6">
        <v>53</v>
      </c>
      <c r="V55" s="38">
        <v>16983</v>
      </c>
      <c r="W55" s="41">
        <v>93160</v>
      </c>
      <c r="X55" s="42">
        <v>19840</v>
      </c>
      <c r="Y55">
        <f t="shared" si="4"/>
        <v>1.6907301540162183</v>
      </c>
      <c r="Z55">
        <f t="shared" si="5"/>
        <v>1.3821018319399347</v>
      </c>
      <c r="AA55"/>
      <c r="AB55" s="6">
        <v>53</v>
      </c>
      <c r="AC55" s="38">
        <v>8101</v>
      </c>
      <c r="AD55" s="43">
        <v>104658</v>
      </c>
      <c r="AE55" s="44">
        <v>21608</v>
      </c>
      <c r="AF55">
        <f t="shared" si="6"/>
        <v>1.7309544215466541</v>
      </c>
      <c r="AG55">
        <f t="shared" si="7"/>
        <v>1.6271713994956716</v>
      </c>
      <c r="AH55" s="7"/>
      <c r="AI55" s="6">
        <v>53</v>
      </c>
      <c r="AJ55" s="38">
        <v>12656</v>
      </c>
      <c r="AK55" s="40">
        <v>94810</v>
      </c>
      <c r="AL55" s="37">
        <v>14882</v>
      </c>
      <c r="AM55">
        <f t="shared" si="8"/>
        <v>1.4679131946945068</v>
      </c>
      <c r="AN55">
        <f t="shared" si="9"/>
        <v>1.2019662959160322</v>
      </c>
      <c r="AO55"/>
      <c r="AP55"/>
      <c r="AQ55" s="75" t="s">
        <v>38</v>
      </c>
      <c r="AR55" s="39">
        <v>2.6340436063058381</v>
      </c>
      <c r="AS55" s="76">
        <v>2.5488075517650368</v>
      </c>
      <c r="AV55"/>
    </row>
    <row r="56" spans="4:48" x14ac:dyDescent="0.25">
      <c r="D56"/>
      <c r="E56"/>
      <c r="F56">
        <v>54</v>
      </c>
      <c r="G56" s="38">
        <v>5912</v>
      </c>
      <c r="H56" s="38">
        <v>42936</v>
      </c>
      <c r="I56" s="38">
        <v>9976</v>
      </c>
      <c r="J56">
        <f t="shared" si="0"/>
        <v>0.88248470448154703</v>
      </c>
      <c r="K56">
        <f t="shared" si="1"/>
        <v>0.86227487798517199</v>
      </c>
      <c r="L56"/>
      <c r="M56"/>
      <c r="N56" s="6">
        <v>54</v>
      </c>
      <c r="O56" s="38">
        <v>6486</v>
      </c>
      <c r="P56" s="43">
        <v>61086</v>
      </c>
      <c r="Q56" s="44">
        <v>14886</v>
      </c>
      <c r="R56">
        <f t="shared" si="2"/>
        <v>1.0667835693515608</v>
      </c>
      <c r="S56">
        <f t="shared" si="3"/>
        <v>1.2251962360560218</v>
      </c>
      <c r="T56"/>
      <c r="U56" s="6">
        <v>54</v>
      </c>
      <c r="V56" s="38">
        <v>7716</v>
      </c>
      <c r="W56" s="43">
        <v>89170</v>
      </c>
      <c r="X56" s="44">
        <v>19803</v>
      </c>
      <c r="Y56">
        <f t="shared" si="4"/>
        <v>1.6183169582828059</v>
      </c>
      <c r="Z56">
        <f t="shared" si="5"/>
        <v>1.379524323483192</v>
      </c>
      <c r="AA56"/>
      <c r="AB56" s="6">
        <v>54</v>
      </c>
      <c r="AC56" s="38">
        <v>9799</v>
      </c>
      <c r="AD56" s="45">
        <v>85784</v>
      </c>
      <c r="AE56" s="46">
        <v>13669</v>
      </c>
      <c r="AF56">
        <f t="shared" si="6"/>
        <v>1.4187944934735823</v>
      </c>
      <c r="AG56">
        <f t="shared" si="7"/>
        <v>1.029332000171526</v>
      </c>
      <c r="AH56" s="7"/>
      <c r="AI56" s="6">
        <v>54</v>
      </c>
      <c r="AJ56" s="38">
        <v>9813</v>
      </c>
      <c r="AK56" s="38">
        <v>70947</v>
      </c>
      <c r="AL56" s="38">
        <v>9920</v>
      </c>
      <c r="AM56">
        <f t="shared" si="8"/>
        <v>1.0984499253664293</v>
      </c>
      <c r="AN56">
        <f t="shared" si="9"/>
        <v>0.80120317534518481</v>
      </c>
      <c r="AO56"/>
      <c r="AP56"/>
      <c r="AQ56" s="77" t="s">
        <v>4</v>
      </c>
      <c r="AR56" s="78"/>
      <c r="AS56" s="82"/>
      <c r="AV56" s="50"/>
    </row>
    <row r="57" spans="4:48" x14ac:dyDescent="0.25">
      <c r="D57"/>
      <c r="E57"/>
      <c r="F57">
        <v>55</v>
      </c>
      <c r="G57" s="38">
        <v>4201</v>
      </c>
      <c r="H57" s="38">
        <v>46479</v>
      </c>
      <c r="I57" s="38">
        <v>11450</v>
      </c>
      <c r="J57">
        <f t="shared" si="0"/>
        <v>0.95530572432452543</v>
      </c>
      <c r="K57">
        <f t="shared" si="1"/>
        <v>0.98967996721433626</v>
      </c>
      <c r="L57"/>
      <c r="M57"/>
      <c r="N57" s="6">
        <v>55</v>
      </c>
      <c r="O57" s="38">
        <v>7385</v>
      </c>
      <c r="P57" s="43">
        <v>100407</v>
      </c>
      <c r="Q57" s="44">
        <v>15652</v>
      </c>
      <c r="R57">
        <f t="shared" si="2"/>
        <v>1.75347113655964</v>
      </c>
      <c r="S57">
        <f t="shared" si="3"/>
        <v>1.2882420721986332</v>
      </c>
      <c r="T57"/>
      <c r="U57" s="6">
        <v>55</v>
      </c>
      <c r="V57" s="38">
        <v>9418</v>
      </c>
      <c r="W57" s="43">
        <v>64945</v>
      </c>
      <c r="X57" s="44">
        <v>19308</v>
      </c>
      <c r="Y57">
        <f t="shared" si="4"/>
        <v>1.1786654127585154</v>
      </c>
      <c r="Z57">
        <f t="shared" si="5"/>
        <v>1.3450414400754165</v>
      </c>
      <c r="AA57"/>
      <c r="AB57" s="6">
        <v>55</v>
      </c>
      <c r="AC57" s="38">
        <v>8759</v>
      </c>
      <c r="AD57" s="38">
        <v>126684</v>
      </c>
      <c r="AE57" s="38">
        <v>13218</v>
      </c>
      <c r="AF57">
        <f t="shared" si="6"/>
        <v>2.0952457522522532</v>
      </c>
      <c r="AG57">
        <f t="shared" si="7"/>
        <v>0.99536984258301497</v>
      </c>
      <c r="AH57" s="7"/>
      <c r="AI57" s="6">
        <v>55</v>
      </c>
      <c r="AJ57" s="38">
        <v>9797</v>
      </c>
      <c r="AK57" s="41">
        <v>89360</v>
      </c>
      <c r="AL57" s="42">
        <v>13096</v>
      </c>
      <c r="AM57">
        <f t="shared" si="8"/>
        <v>1.383532571225621</v>
      </c>
      <c r="AN57">
        <f t="shared" si="9"/>
        <v>1.0577174177742479</v>
      </c>
      <c r="AO57"/>
      <c r="AP57"/>
      <c r="AQ57"/>
      <c r="AR57"/>
      <c r="AS57"/>
      <c r="AT57" s="50"/>
      <c r="AU57" s="50"/>
      <c r="AV57" s="50"/>
    </row>
    <row r="58" spans="4:48" x14ac:dyDescent="0.25">
      <c r="D58"/>
      <c r="E58"/>
      <c r="F58">
        <v>56</v>
      </c>
      <c r="G58" s="38">
        <v>4591</v>
      </c>
      <c r="H58" s="38">
        <v>43769</v>
      </c>
      <c r="I58" s="38">
        <v>10444</v>
      </c>
      <c r="J58">
        <f t="shared" si="0"/>
        <v>0.89960576277372906</v>
      </c>
      <c r="K58">
        <f t="shared" si="1"/>
        <v>0.90272642599008979</v>
      </c>
      <c r="L58"/>
      <c r="M58"/>
      <c r="N58" s="6">
        <v>56</v>
      </c>
      <c r="O58" s="38">
        <v>16899</v>
      </c>
      <c r="P58" s="45">
        <v>79682</v>
      </c>
      <c r="Q58" s="46">
        <v>15054</v>
      </c>
      <c r="R58">
        <f t="shared" si="2"/>
        <v>1.3915373141648015</v>
      </c>
      <c r="S58">
        <f t="shared" si="3"/>
        <v>1.2390235212674561</v>
      </c>
      <c r="T58"/>
      <c r="U58" s="6">
        <v>56</v>
      </c>
      <c r="V58" s="38">
        <v>14417</v>
      </c>
      <c r="W58" s="43">
        <v>107859</v>
      </c>
      <c r="X58" s="44">
        <v>23487</v>
      </c>
      <c r="Y58">
        <f t="shared" si="4"/>
        <v>1.9574974633108124</v>
      </c>
      <c r="Z58">
        <f t="shared" si="5"/>
        <v>1.6361605709059097</v>
      </c>
      <c r="AA58"/>
      <c r="AB58" s="6">
        <v>56</v>
      </c>
      <c r="AC58" s="38">
        <v>17027</v>
      </c>
      <c r="AD58" s="41">
        <v>127045</v>
      </c>
      <c r="AE58" s="42">
        <v>21418</v>
      </c>
      <c r="AF58">
        <f t="shared" si="6"/>
        <v>2.1012163856121338</v>
      </c>
      <c r="AG58">
        <f t="shared" si="7"/>
        <v>1.6128636169195805</v>
      </c>
      <c r="AH58" s="7"/>
      <c r="AI58" s="6">
        <v>56</v>
      </c>
      <c r="AJ58" s="38">
        <v>18100</v>
      </c>
      <c r="AK58" s="43">
        <v>97749</v>
      </c>
      <c r="AL58" s="44">
        <v>16717</v>
      </c>
      <c r="AM58">
        <f t="shared" si="8"/>
        <v>1.5134168006348838</v>
      </c>
      <c r="AN58">
        <f t="shared" si="9"/>
        <v>1.3501727300650659</v>
      </c>
      <c r="AO58"/>
      <c r="AP58"/>
      <c r="AQ58"/>
      <c r="AR58"/>
      <c r="AS58"/>
      <c r="AT58" s="50"/>
      <c r="AU58" s="50"/>
      <c r="AV58" s="50"/>
    </row>
    <row r="59" spans="4:48" x14ac:dyDescent="0.25">
      <c r="D59"/>
      <c r="E59"/>
      <c r="F59">
        <v>57</v>
      </c>
      <c r="G59" s="38">
        <v>1591</v>
      </c>
      <c r="H59" s="38">
        <v>29567</v>
      </c>
      <c r="I59" s="38">
        <v>9551</v>
      </c>
      <c r="J59">
        <f t="shared" si="0"/>
        <v>0.60770507866140067</v>
      </c>
      <c r="K59">
        <f t="shared" si="1"/>
        <v>0.82554003204053505</v>
      </c>
      <c r="L59"/>
      <c r="M59"/>
      <c r="N59" s="6">
        <v>57</v>
      </c>
      <c r="O59" s="38">
        <v>22500</v>
      </c>
      <c r="P59" s="38">
        <v>45821</v>
      </c>
      <c r="Q59" s="38">
        <v>9077</v>
      </c>
      <c r="R59">
        <f t="shared" si="2"/>
        <v>0.80020119063709971</v>
      </c>
      <c r="S59">
        <f t="shared" si="3"/>
        <v>0.74708492776303304</v>
      </c>
      <c r="T59"/>
      <c r="U59" s="6">
        <v>57</v>
      </c>
      <c r="V59" s="38">
        <v>16316</v>
      </c>
      <c r="W59" s="43">
        <v>144209</v>
      </c>
      <c r="X59" s="44">
        <v>18160</v>
      </c>
      <c r="Y59">
        <f t="shared" si="4"/>
        <v>2.6172016399798714</v>
      </c>
      <c r="Z59">
        <f t="shared" si="5"/>
        <v>1.2650690155256661</v>
      </c>
      <c r="AA59"/>
      <c r="AB59" s="6">
        <v>57</v>
      </c>
      <c r="AC59" s="38">
        <v>17748</v>
      </c>
      <c r="AD59" s="43">
        <v>87986</v>
      </c>
      <c r="AE59" s="44">
        <v>15538</v>
      </c>
      <c r="AF59">
        <f t="shared" si="6"/>
        <v>1.4552137030537935</v>
      </c>
      <c r="AG59">
        <f t="shared" si="7"/>
        <v>1.17007539824897</v>
      </c>
      <c r="AH59" s="7"/>
      <c r="AI59" s="6">
        <v>57</v>
      </c>
      <c r="AJ59" s="38">
        <v>12820</v>
      </c>
      <c r="AK59" s="43">
        <v>113026</v>
      </c>
      <c r="AL59" s="44">
        <v>18163</v>
      </c>
      <c r="AM59">
        <f t="shared" si="8"/>
        <v>1.7499457519622541</v>
      </c>
      <c r="AN59">
        <f t="shared" si="9"/>
        <v>1.4669610155034871</v>
      </c>
      <c r="AO59"/>
      <c r="AP59"/>
      <c r="AQ59"/>
      <c r="AR59"/>
      <c r="AS59"/>
      <c r="AT59" s="50"/>
      <c r="AU59" s="50"/>
      <c r="AV59" s="50"/>
    </row>
    <row r="60" spans="4:48" x14ac:dyDescent="0.25">
      <c r="D60"/>
      <c r="E60"/>
      <c r="F60">
        <v>58</v>
      </c>
      <c r="G60" s="38">
        <v>1840</v>
      </c>
      <c r="H60" s="38">
        <v>24491</v>
      </c>
      <c r="I60" s="38">
        <v>7926</v>
      </c>
      <c r="J60">
        <f t="shared" si="0"/>
        <v>0.50337555658323008</v>
      </c>
      <c r="K60">
        <f t="shared" si="1"/>
        <v>0.68508326813457021</v>
      </c>
      <c r="L60"/>
      <c r="M60"/>
      <c r="N60" s="6">
        <v>58</v>
      </c>
      <c r="O60" s="38">
        <v>15215</v>
      </c>
      <c r="P60" s="41">
        <v>62169</v>
      </c>
      <c r="Q60" s="42">
        <v>14185</v>
      </c>
      <c r="R60">
        <f t="shared" si="2"/>
        <v>1.085696685378273</v>
      </c>
      <c r="S60">
        <f t="shared" si="3"/>
        <v>1.1675002424059295</v>
      </c>
      <c r="T60"/>
      <c r="U60" s="6">
        <v>58</v>
      </c>
      <c r="V60" s="38">
        <v>16439</v>
      </c>
      <c r="W60" s="43">
        <v>88925</v>
      </c>
      <c r="X60" s="44">
        <v>19732</v>
      </c>
      <c r="Y60">
        <f t="shared" si="4"/>
        <v>1.6138705339833856</v>
      </c>
      <c r="Z60">
        <f t="shared" si="5"/>
        <v>1.3745782937418747</v>
      </c>
      <c r="AA60"/>
      <c r="AB60" s="6">
        <v>58</v>
      </c>
      <c r="AC60" s="38">
        <v>11713</v>
      </c>
      <c r="AD60" s="43">
        <v>117338</v>
      </c>
      <c r="AE60" s="44">
        <v>29934</v>
      </c>
      <c r="AF60">
        <f t="shared" si="6"/>
        <v>1.9406708509186237</v>
      </c>
      <c r="AG60">
        <f t="shared" si="7"/>
        <v>2.2541534928037503</v>
      </c>
      <c r="AH60" s="7"/>
      <c r="AI60" s="6">
        <v>58</v>
      </c>
      <c r="AJ60" s="38">
        <v>16639</v>
      </c>
      <c r="AK60" s="45">
        <v>92833</v>
      </c>
      <c r="AL60" s="46">
        <v>17183</v>
      </c>
      <c r="AM60">
        <f t="shared" si="8"/>
        <v>1.4373039299976282</v>
      </c>
      <c r="AN60">
        <f t="shared" si="9"/>
        <v>1.387809895358499</v>
      </c>
      <c r="AO60"/>
      <c r="AP60"/>
      <c r="AQ60"/>
      <c r="AR60"/>
      <c r="AS60"/>
      <c r="AT60"/>
      <c r="AU60"/>
      <c r="AV60"/>
    </row>
    <row r="61" spans="4:48" x14ac:dyDescent="0.25">
      <c r="D61"/>
      <c r="E61"/>
      <c r="F61" t="s">
        <v>5</v>
      </c>
      <c r="G61"/>
      <c r="H61" s="3">
        <f>AVERAGE(H3:H60)</f>
        <v>48653.534482758623</v>
      </c>
      <c r="I61" s="3">
        <f>AVERAGE(I3:I60)</f>
        <v>11569.396551724138</v>
      </c>
      <c r="J61"/>
      <c r="K61"/>
      <c r="L61"/>
      <c r="M61"/>
      <c r="N61" s="6">
        <v>59</v>
      </c>
      <c r="O61" s="38">
        <v>7977</v>
      </c>
      <c r="P61" s="43">
        <v>89240</v>
      </c>
      <c r="Q61" s="44">
        <v>13132</v>
      </c>
      <c r="R61">
        <f t="shared" si="2"/>
        <v>1.5584547315085828</v>
      </c>
      <c r="S61">
        <f t="shared" si="3"/>
        <v>1.0808327940271178</v>
      </c>
      <c r="T61"/>
      <c r="U61" s="6">
        <v>59</v>
      </c>
      <c r="V61" s="38">
        <v>14622</v>
      </c>
      <c r="W61" s="43">
        <v>125083</v>
      </c>
      <c r="X61" s="44">
        <v>21156</v>
      </c>
      <c r="Y61">
        <f t="shared" si="4"/>
        <v>2.2700901658953483</v>
      </c>
      <c r="Z61">
        <f t="shared" si="5"/>
        <v>1.473777538131112</v>
      </c>
      <c r="AA61"/>
      <c r="AB61" s="6">
        <v>59</v>
      </c>
      <c r="AC61" s="38">
        <v>10017</v>
      </c>
      <c r="AD61" s="43">
        <v>129624</v>
      </c>
      <c r="AE61" s="44">
        <v>20323</v>
      </c>
      <c r="AF61">
        <f t="shared" si="6"/>
        <v>2.1438708549615271</v>
      </c>
      <c r="AG61">
        <f t="shared" si="7"/>
        <v>1.5304056068100025</v>
      </c>
      <c r="AH61" s="7"/>
      <c r="AI61" s="6">
        <v>59</v>
      </c>
      <c r="AJ61" s="38">
        <v>6</v>
      </c>
      <c r="AK61" s="38">
        <v>60775</v>
      </c>
      <c r="AL61" s="38">
        <v>10616</v>
      </c>
      <c r="AM61">
        <f t="shared" si="8"/>
        <v>0.94096007180211627</v>
      </c>
      <c r="AN61">
        <f t="shared" si="9"/>
        <v>0.85741662393795182</v>
      </c>
      <c r="AO61"/>
      <c r="AP61"/>
      <c r="AQ61"/>
      <c r="AR61"/>
      <c r="AS61"/>
      <c r="AT61"/>
      <c r="AU61"/>
      <c r="AV61"/>
    </row>
    <row r="62" spans="4:48" x14ac:dyDescent="0.25">
      <c r="D62"/>
      <c r="E62"/>
      <c r="F62" t="s">
        <v>8</v>
      </c>
      <c r="G62"/>
      <c r="H62" s="3">
        <f>AVERAGE(H3:H31)</f>
        <v>36750.034482758623</v>
      </c>
      <c r="I62" s="3">
        <f>AVERAGE(I3:I31)</f>
        <v>9895.7931034482754</v>
      </c>
      <c r="J62"/>
      <c r="K62"/>
      <c r="L62"/>
      <c r="M62"/>
      <c r="N62" s="6">
        <v>60</v>
      </c>
      <c r="O62" s="38">
        <v>8273</v>
      </c>
      <c r="P62" s="43">
        <v>83311</v>
      </c>
      <c r="Q62" s="44">
        <v>18061</v>
      </c>
      <c r="R62">
        <f t="shared" si="2"/>
        <v>1.4549128433069425</v>
      </c>
      <c r="S62">
        <f t="shared" si="3"/>
        <v>1.4865154654983077</v>
      </c>
      <c r="T62"/>
      <c r="U62" s="6">
        <v>60</v>
      </c>
      <c r="V62" s="38">
        <v>5849</v>
      </c>
      <c r="W62" s="43">
        <v>124340</v>
      </c>
      <c r="X62" s="44">
        <v>30113</v>
      </c>
      <c r="Y62">
        <f t="shared" si="4"/>
        <v>2.2566057036322089</v>
      </c>
      <c r="Z62">
        <f t="shared" si="5"/>
        <v>2.0977435718350432</v>
      </c>
      <c r="AA62"/>
      <c r="AB62" s="6">
        <v>60</v>
      </c>
      <c r="AC62" s="38">
        <v>10258</v>
      </c>
      <c r="AD62" s="45">
        <v>113358</v>
      </c>
      <c r="AE62" s="46">
        <v>20179</v>
      </c>
      <c r="AF62">
        <f t="shared" si="6"/>
        <v>1.8748450316047089</v>
      </c>
      <c r="AG62">
        <f t="shared" si="7"/>
        <v>1.5195618136997018</v>
      </c>
      <c r="AH62" s="7"/>
      <c r="AI62" s="6">
        <v>60</v>
      </c>
      <c r="AJ62" s="38">
        <v>5984</v>
      </c>
      <c r="AK62" s="38">
        <v>55302</v>
      </c>
      <c r="AL62" s="38">
        <v>9389</v>
      </c>
      <c r="AM62">
        <f t="shared" si="8"/>
        <v>0.85622334661950861</v>
      </c>
      <c r="AN62">
        <f t="shared" si="9"/>
        <v>0.75831619085846169</v>
      </c>
      <c r="AO62"/>
      <c r="AP62"/>
      <c r="AQ62"/>
      <c r="AR62"/>
      <c r="AS62"/>
      <c r="AT62"/>
      <c r="AU62"/>
      <c r="AV62"/>
    </row>
    <row r="63" spans="4:48" x14ac:dyDescent="0.25">
      <c r="D63"/>
      <c r="E63"/>
      <c r="F63" s="5" t="s">
        <v>30</v>
      </c>
      <c r="G63"/>
      <c r="H63" s="3">
        <f>AVERAGE(H32:H60)</f>
        <v>60557.034482758623</v>
      </c>
      <c r="I63" s="3">
        <f>AVERAGE(I32:I60)</f>
        <v>13243</v>
      </c>
      <c r="J63"/>
      <c r="K63"/>
      <c r="L63"/>
      <c r="M63"/>
      <c r="N63" s="6">
        <v>61</v>
      </c>
      <c r="O63" s="38">
        <v>16520</v>
      </c>
      <c r="P63" s="45">
        <v>103540</v>
      </c>
      <c r="Q63" s="46">
        <v>15613</v>
      </c>
      <c r="R63">
        <f t="shared" si="2"/>
        <v>1.8081847030524278</v>
      </c>
      <c r="S63">
        <f t="shared" si="3"/>
        <v>1.2850321667031215</v>
      </c>
      <c r="T63"/>
      <c r="U63" s="6">
        <v>61</v>
      </c>
      <c r="V63" s="38">
        <v>6510</v>
      </c>
      <c r="W63" s="43">
        <v>66342</v>
      </c>
      <c r="X63" s="44">
        <v>16745</v>
      </c>
      <c r="Y63">
        <f t="shared" si="4"/>
        <v>1.2040191056005147</v>
      </c>
      <c r="Z63">
        <f t="shared" si="5"/>
        <v>1.1664967326529339</v>
      </c>
      <c r="AA63"/>
      <c r="AB63" s="6">
        <v>61</v>
      </c>
      <c r="AC63" s="38">
        <v>14689</v>
      </c>
      <c r="AD63" s="38">
        <v>59697</v>
      </c>
      <c r="AE63" s="38">
        <v>14134</v>
      </c>
      <c r="AF63">
        <f t="shared" si="6"/>
        <v>0.98733767225697622</v>
      </c>
      <c r="AG63">
        <f t="shared" si="7"/>
        <v>1.0643484154235385</v>
      </c>
      <c r="AH63" s="7"/>
      <c r="AI63" s="6">
        <v>61</v>
      </c>
      <c r="AJ63" s="38">
        <v>5995</v>
      </c>
      <c r="AK63" s="40">
        <v>70155</v>
      </c>
      <c r="AL63" s="37">
        <v>12440</v>
      </c>
      <c r="AM63">
        <f t="shared" si="8"/>
        <v>1.0861876402678317</v>
      </c>
      <c r="AN63">
        <f t="shared" si="9"/>
        <v>1.0047346271465825</v>
      </c>
      <c r="AO63"/>
      <c r="AP63"/>
      <c r="AQ63"/>
      <c r="AR63"/>
      <c r="AS63"/>
      <c r="AT63"/>
      <c r="AU63"/>
      <c r="AV63"/>
    </row>
    <row r="64" spans="4:48" x14ac:dyDescent="0.25">
      <c r="D64"/>
      <c r="E64"/>
      <c r="F64" t="s">
        <v>31</v>
      </c>
      <c r="G64">
        <f>COUNT(G3:G31)</f>
        <v>29</v>
      </c>
      <c r="H64"/>
      <c r="I64"/>
      <c r="J64"/>
      <c r="K64"/>
      <c r="L64"/>
      <c r="M64"/>
      <c r="N64" s="6">
        <v>62</v>
      </c>
      <c r="O64" s="38">
        <v>6612</v>
      </c>
      <c r="P64" s="38">
        <v>57359</v>
      </c>
      <c r="Q64" s="38">
        <v>10951</v>
      </c>
      <c r="R64">
        <f t="shared" si="2"/>
        <v>1.001696604040798</v>
      </c>
      <c r="S64">
        <f t="shared" si="3"/>
        <v>0.90132500208581845</v>
      </c>
      <c r="T64"/>
      <c r="U64" s="6">
        <v>62</v>
      </c>
      <c r="V64" s="38">
        <v>7696</v>
      </c>
      <c r="W64" s="43">
        <v>112196</v>
      </c>
      <c r="X64" s="44">
        <v>36588</v>
      </c>
      <c r="Y64">
        <f t="shared" si="4"/>
        <v>2.0362082477458525</v>
      </c>
      <c r="Z64">
        <f t="shared" si="5"/>
        <v>2.5488075517650368</v>
      </c>
      <c r="AA64"/>
      <c r="AB64" s="6">
        <v>62</v>
      </c>
      <c r="AC64" s="38">
        <v>12386</v>
      </c>
      <c r="AD64" s="40">
        <v>105661</v>
      </c>
      <c r="AE64" s="37">
        <v>20234</v>
      </c>
      <c r="AF64">
        <f t="shared" si="6"/>
        <v>1.7475431895797839</v>
      </c>
      <c r="AG64">
        <f t="shared" si="7"/>
        <v>1.523703540234886</v>
      </c>
      <c r="AH64" s="7"/>
      <c r="AI64" s="6">
        <v>62</v>
      </c>
      <c r="AJ64" s="38">
        <v>4867</v>
      </c>
      <c r="AK64" s="38">
        <v>48513</v>
      </c>
      <c r="AL64" s="38">
        <v>6876</v>
      </c>
      <c r="AM64">
        <f t="shared" si="8"/>
        <v>0.75111141033872586</v>
      </c>
      <c r="AN64">
        <f t="shared" si="9"/>
        <v>0.55535010420095676</v>
      </c>
      <c r="AO64"/>
      <c r="AP64"/>
      <c r="AQ64"/>
      <c r="AR64"/>
      <c r="AS64"/>
      <c r="AT64"/>
      <c r="AU64"/>
      <c r="AV64"/>
    </row>
    <row r="65" spans="4:48" x14ac:dyDescent="0.25">
      <c r="D65"/>
      <c r="E65"/>
      <c r="F65" s="3" t="s">
        <v>32</v>
      </c>
      <c r="G65" s="3">
        <f>(G64/F60)*100</f>
        <v>50</v>
      </c>
      <c r="H65" s="3"/>
      <c r="I65" s="3"/>
      <c r="J65" s="3"/>
      <c r="K65" s="3"/>
      <c r="L65" s="3"/>
      <c r="M65"/>
      <c r="N65" s="6">
        <v>63</v>
      </c>
      <c r="O65" s="38">
        <v>6750</v>
      </c>
      <c r="P65" s="38">
        <v>57079</v>
      </c>
      <c r="Q65" s="38">
        <v>11507</v>
      </c>
      <c r="R65">
        <f t="shared" si="2"/>
        <v>0.99680678641616316</v>
      </c>
      <c r="S65">
        <f t="shared" si="3"/>
        <v>0.94708673171413693</v>
      </c>
      <c r="U65" s="6">
        <v>63</v>
      </c>
      <c r="V65" s="38">
        <v>8170</v>
      </c>
      <c r="W65" s="43">
        <v>66193</v>
      </c>
      <c r="X65" s="44">
        <v>16574</v>
      </c>
      <c r="Y65">
        <f t="shared" si="4"/>
        <v>1.201314953679643</v>
      </c>
      <c r="Z65">
        <f t="shared" si="5"/>
        <v>1.1545844638393388</v>
      </c>
      <c r="AA65"/>
      <c r="AB65" s="6">
        <v>63</v>
      </c>
      <c r="AC65" s="38">
        <v>3456</v>
      </c>
      <c r="AD65" s="38">
        <v>58648</v>
      </c>
      <c r="AE65" s="38">
        <v>16248</v>
      </c>
      <c r="AF65">
        <f t="shared" si="6"/>
        <v>0.96998810329710272</v>
      </c>
      <c r="AG65">
        <f t="shared" si="7"/>
        <v>1.223541322612258</v>
      </c>
      <c r="AH65" s="7"/>
      <c r="AI65" s="6">
        <v>63</v>
      </c>
      <c r="AJ65" s="38">
        <v>8426</v>
      </c>
      <c r="AK65" s="38">
        <v>59147</v>
      </c>
      <c r="AL65" s="38">
        <v>7705</v>
      </c>
      <c r="AM65">
        <f t="shared" si="8"/>
        <v>0.91575426354388767</v>
      </c>
      <c r="AN65">
        <f t="shared" si="9"/>
        <v>0.62230549052768636</v>
      </c>
      <c r="AO65"/>
      <c r="AP65"/>
      <c r="AQ65"/>
      <c r="AR65"/>
      <c r="AS65"/>
      <c r="AT65"/>
      <c r="AU65"/>
      <c r="AV65"/>
    </row>
    <row r="66" spans="4:48" x14ac:dyDescent="0.25">
      <c r="D66"/>
      <c r="E66"/>
      <c r="F66"/>
      <c r="G66" t="s">
        <v>11</v>
      </c>
      <c r="H66" t="s">
        <v>0</v>
      </c>
      <c r="I66"/>
      <c r="J66"/>
      <c r="K66"/>
      <c r="L66"/>
      <c r="M66"/>
      <c r="N66" s="6">
        <v>64</v>
      </c>
      <c r="O66" s="38">
        <v>5761</v>
      </c>
      <c r="P66" s="40">
        <v>109717</v>
      </c>
      <c r="Q66" s="37">
        <v>28981</v>
      </c>
      <c r="R66">
        <f t="shared" si="2"/>
        <v>1.9160575725787448</v>
      </c>
      <c r="S66">
        <f t="shared" si="3"/>
        <v>2.3852890042415402</v>
      </c>
      <c r="U66" s="6">
        <v>64</v>
      </c>
      <c r="V66" s="38">
        <v>15698</v>
      </c>
      <c r="W66" s="43">
        <v>95446</v>
      </c>
      <c r="X66" s="44">
        <v>18921</v>
      </c>
      <c r="Y66">
        <f t="shared" si="4"/>
        <v>1.732218015030399</v>
      </c>
      <c r="Z66">
        <f t="shared" si="5"/>
        <v>1.3180820948657008</v>
      </c>
      <c r="AA66"/>
      <c r="AB66" s="6">
        <v>64</v>
      </c>
      <c r="AC66" s="38">
        <v>5495</v>
      </c>
      <c r="AD66" s="41">
        <v>84404</v>
      </c>
      <c r="AE66" s="42">
        <v>13908</v>
      </c>
      <c r="AF66">
        <f t="shared" si="6"/>
        <v>1.3959704656712701</v>
      </c>
      <c r="AG66">
        <f t="shared" si="7"/>
        <v>1.0473296845698723</v>
      </c>
      <c r="AH66" s="7"/>
      <c r="AI66" s="6">
        <v>64</v>
      </c>
      <c r="AJ66" s="38">
        <v>10890</v>
      </c>
      <c r="AK66" s="38">
        <v>58331</v>
      </c>
      <c r="AL66" s="38">
        <v>6839</v>
      </c>
      <c r="AM66">
        <f t="shared" si="8"/>
        <v>0.90312039404836275</v>
      </c>
      <c r="AN66">
        <f t="shared" si="9"/>
        <v>0.55236174558323781</v>
      </c>
      <c r="AO66"/>
      <c r="AP66"/>
      <c r="AQ66"/>
      <c r="AR66"/>
      <c r="AS66"/>
      <c r="AT66"/>
      <c r="AU66"/>
      <c r="AV66"/>
    </row>
    <row r="67" spans="4:48" x14ac:dyDescent="0.25">
      <c r="D67"/>
      <c r="E67"/>
      <c r="F67" s="29" t="s">
        <v>10</v>
      </c>
      <c r="G67">
        <f>(COUNT(H53:H54,H47:H49,H45,H35:H43,H15,H12)/F60)*100</f>
        <v>29.310344827586203</v>
      </c>
      <c r="H67">
        <f>(COUNT(I12,I15)/G64)*100</f>
        <v>6.8965517241379306</v>
      </c>
      <c r="I67"/>
      <c r="J67"/>
      <c r="K67"/>
      <c r="L67"/>
      <c r="M67"/>
      <c r="N67" s="6">
        <v>65</v>
      </c>
      <c r="O67" s="38">
        <v>16465</v>
      </c>
      <c r="P67" s="38">
        <v>53743</v>
      </c>
      <c r="Q67" s="38">
        <v>13436</v>
      </c>
      <c r="R67">
        <f t="shared" si="2"/>
        <v>0.9385481021455151</v>
      </c>
      <c r="S67">
        <f t="shared" si="3"/>
        <v>1.1058535958382849</v>
      </c>
      <c r="U67" s="6">
        <v>65</v>
      </c>
      <c r="V67" s="38">
        <v>7028</v>
      </c>
      <c r="W67" s="43">
        <v>75890</v>
      </c>
      <c r="X67" s="44">
        <v>16945</v>
      </c>
      <c r="Y67">
        <f t="shared" si="4"/>
        <v>1.3773026125836283</v>
      </c>
      <c r="Z67">
        <f t="shared" si="5"/>
        <v>1.1804292107974896</v>
      </c>
      <c r="AA67"/>
      <c r="AB67" s="6">
        <v>65</v>
      </c>
      <c r="AC67" s="38">
        <v>5016</v>
      </c>
      <c r="AD67" s="45">
        <v>66992</v>
      </c>
      <c r="AE67" s="46">
        <v>13504</v>
      </c>
      <c r="AF67">
        <f t="shared" si="6"/>
        <v>1.1079907757481842</v>
      </c>
      <c r="AG67">
        <f t="shared" si="7"/>
        <v>1.0169068205659733</v>
      </c>
      <c r="AH67" s="7"/>
      <c r="AI67" s="6">
        <v>65</v>
      </c>
      <c r="AJ67" s="38">
        <v>4793</v>
      </c>
      <c r="AK67" s="38">
        <v>44753</v>
      </c>
      <c r="AL67" s="38">
        <v>9590</v>
      </c>
      <c r="AM67">
        <f t="shared" si="8"/>
        <v>0.69289652148679737</v>
      </c>
      <c r="AN67">
        <f t="shared" si="9"/>
        <v>0.77455024713309695</v>
      </c>
      <c r="AO67"/>
      <c r="AP67"/>
      <c r="AQ67"/>
      <c r="AR67"/>
      <c r="AS67"/>
      <c r="AT67"/>
      <c r="AU67"/>
      <c r="AV67"/>
    </row>
    <row r="68" spans="4:48" x14ac:dyDescent="0.25">
      <c r="D68"/>
      <c r="E68"/>
      <c r="F68" s="20" t="s">
        <v>12</v>
      </c>
      <c r="G68">
        <f>(COUNT(H50,H46,H34,H14,H11)/F60)*100</f>
        <v>8.6206896551724146</v>
      </c>
      <c r="H68">
        <f>(COUNT(H11,H14)/G64)*100</f>
        <v>6.8965517241379306</v>
      </c>
      <c r="I68" s="3"/>
      <c r="J68" s="3"/>
      <c r="K68" s="3"/>
      <c r="L68" s="3"/>
      <c r="M68"/>
      <c r="N68" s="6">
        <v>66</v>
      </c>
      <c r="O68" s="38">
        <v>9336</v>
      </c>
      <c r="P68" s="41">
        <v>85856</v>
      </c>
      <c r="Q68" s="42">
        <v>20562</v>
      </c>
      <c r="R68">
        <f t="shared" ref="R68:R75" si="16">P68/$P$76</f>
        <v>1.4993577927879973</v>
      </c>
      <c r="S68">
        <f t="shared" ref="S68:S75" si="17">Q68/$Q$76</f>
        <v>1.6923609435566249</v>
      </c>
      <c r="U68" s="6">
        <v>66</v>
      </c>
      <c r="V68" s="38">
        <v>7388</v>
      </c>
      <c r="W68" s="43">
        <v>72770</v>
      </c>
      <c r="X68" s="44">
        <v>20353</v>
      </c>
      <c r="Y68">
        <f t="shared" ref="Y68:Y79" si="18">W68/$W$80</f>
        <v>1.3206787602808094</v>
      </c>
      <c r="Z68">
        <f t="shared" ref="Z68:Z79" si="19">X68/$X$80</f>
        <v>1.4178386383807204</v>
      </c>
      <c r="AA68"/>
      <c r="AB68" s="6">
        <v>66</v>
      </c>
      <c r="AC68" s="38">
        <v>4217</v>
      </c>
      <c r="AD68" s="38">
        <v>61580</v>
      </c>
      <c r="AE68" s="38">
        <v>8609</v>
      </c>
      <c r="AF68">
        <f t="shared" ref="AF68:AF74" si="20">AD68/$AD$75</f>
        <v>1.0184808928017253</v>
      </c>
      <c r="AG68">
        <f t="shared" ref="AG68:AG74" si="21">AE68/$AE$75</f>
        <v>0.64829315893457218</v>
      </c>
      <c r="AH68" s="7"/>
      <c r="AI68" s="6">
        <v>66</v>
      </c>
      <c r="AJ68" s="38">
        <v>3122</v>
      </c>
      <c r="AK68" s="38">
        <v>51939</v>
      </c>
      <c r="AL68" s="38">
        <v>10034</v>
      </c>
      <c r="AM68">
        <f t="shared" ref="AM68" si="22">AK68/$AK$69</f>
        <v>0.8041550830000842</v>
      </c>
      <c r="AN68">
        <f t="shared" ref="AN68" si="23">AL68/$AL$69</f>
        <v>0.8104105505457242</v>
      </c>
      <c r="AO68"/>
      <c r="AP68"/>
      <c r="AQ68"/>
      <c r="AR68"/>
      <c r="AS68"/>
      <c r="AT68"/>
      <c r="AU68"/>
      <c r="AV68"/>
    </row>
    <row r="69" spans="4:48" x14ac:dyDescent="0.25">
      <c r="D69"/>
      <c r="E69"/>
      <c r="F69" s="9" t="s">
        <v>13</v>
      </c>
      <c r="G69">
        <f>(COUNT(I51:I52,I24,I6:I8)/F60)*100</f>
        <v>10.344827586206897</v>
      </c>
      <c r="H69">
        <f>(COUNT(I24,I6:I8)/G64)*100</f>
        <v>13.793103448275861</v>
      </c>
      <c r="I69"/>
      <c r="J69"/>
      <c r="K69"/>
      <c r="L69"/>
      <c r="M69"/>
      <c r="N69" s="6">
        <v>67</v>
      </c>
      <c r="O69" s="38">
        <v>14206</v>
      </c>
      <c r="P69" s="45">
        <v>63454</v>
      </c>
      <c r="Q69" s="46">
        <v>13216</v>
      </c>
      <c r="R69">
        <f t="shared" si="16"/>
        <v>1.1081374555484718</v>
      </c>
      <c r="S69">
        <f t="shared" si="17"/>
        <v>1.0877464366328351</v>
      </c>
      <c r="U69" s="6">
        <v>67</v>
      </c>
      <c r="V69" s="38">
        <v>7189</v>
      </c>
      <c r="W69" s="43">
        <v>65698</v>
      </c>
      <c r="X69" s="44">
        <v>16142</v>
      </c>
      <c r="Y69">
        <f t="shared" si="18"/>
        <v>1.1923313617277536</v>
      </c>
      <c r="Z69">
        <f t="shared" si="19"/>
        <v>1.1244903110470981</v>
      </c>
      <c r="AA69"/>
      <c r="AB69" s="6">
        <v>67</v>
      </c>
      <c r="AC69" s="38">
        <v>3674</v>
      </c>
      <c r="AD69" s="38">
        <v>56411</v>
      </c>
      <c r="AE69" s="38">
        <v>14095</v>
      </c>
      <c r="AF69">
        <f t="shared" si="20"/>
        <v>0.93299002344654314</v>
      </c>
      <c r="AG69">
        <f t="shared" si="21"/>
        <v>1.0614115547894989</v>
      </c>
      <c r="AH69" s="7"/>
      <c r="AI69" t="s">
        <v>5</v>
      </c>
      <c r="AJ69"/>
      <c r="AK69" s="3">
        <f>AVERAGE(AK3:AK68)</f>
        <v>64588.28787878788</v>
      </c>
      <c r="AL69" s="3">
        <f>AVERAGE(AL3:AL68)</f>
        <v>12381.378787878788</v>
      </c>
      <c r="AM69"/>
      <c r="AN69"/>
      <c r="AO69"/>
      <c r="AP69"/>
      <c r="AQ69"/>
      <c r="AR69"/>
      <c r="AS69"/>
      <c r="AT69"/>
      <c r="AU69"/>
      <c r="AV69"/>
    </row>
    <row r="70" spans="4:48" x14ac:dyDescent="0.25">
      <c r="D70"/>
      <c r="E70"/>
      <c r="F70" t="s">
        <v>15</v>
      </c>
      <c r="G70">
        <f>(COUNT(H55:H60,H44,H25:H33,H17:H23,H16,H13,H9:H10,H3:H5)/F60)*100</f>
        <v>51.724137931034484</v>
      </c>
      <c r="H70">
        <f>(COUNT(I25:I31,I16:I23,I13,I9:I10,I3:I5)/G64)*100</f>
        <v>72.41379310344827</v>
      </c>
      <c r="I70"/>
      <c r="J70"/>
      <c r="K70"/>
      <c r="L70"/>
      <c r="M70"/>
      <c r="N70" s="6">
        <v>68</v>
      </c>
      <c r="O70" s="38">
        <v>12028</v>
      </c>
      <c r="P70" s="38">
        <v>52713</v>
      </c>
      <c r="Q70" s="38">
        <v>10935</v>
      </c>
      <c r="R70">
        <f t="shared" si="16"/>
        <v>0.92056055874060883</v>
      </c>
      <c r="S70">
        <f t="shared" si="17"/>
        <v>0.90000811777996759</v>
      </c>
      <c r="U70" s="6">
        <v>68</v>
      </c>
      <c r="V70" s="38">
        <v>7293</v>
      </c>
      <c r="W70" s="43">
        <v>83052</v>
      </c>
      <c r="X70" s="44">
        <v>19586</v>
      </c>
      <c r="Y70">
        <f t="shared" si="18"/>
        <v>1.5072833914915733</v>
      </c>
      <c r="Z70">
        <f t="shared" si="19"/>
        <v>1.364407584696349</v>
      </c>
      <c r="AA70"/>
      <c r="AB70" s="6">
        <v>68</v>
      </c>
      <c r="AC70" s="38">
        <v>4571</v>
      </c>
      <c r="AD70" s="40">
        <v>64839</v>
      </c>
      <c r="AE70" s="37">
        <v>15839</v>
      </c>
      <c r="AF70">
        <f t="shared" si="20"/>
        <v>1.0723819845464611</v>
      </c>
      <c r="AG70">
        <f t="shared" si="21"/>
        <v>1.1927419380142512</v>
      </c>
      <c r="AH70" s="7"/>
      <c r="AI70" t="s">
        <v>8</v>
      </c>
      <c r="AJ70"/>
      <c r="AK70" s="3">
        <f>AVERAGE(AK33:AK68)</f>
        <v>85108.833333333328</v>
      </c>
      <c r="AL70" s="3">
        <f>AVERAGE(AL33:AL68)</f>
        <v>14816.861111111111</v>
      </c>
      <c r="AM70"/>
      <c r="AN70"/>
      <c r="AO70"/>
      <c r="AP70"/>
      <c r="AQ70"/>
      <c r="AR70"/>
      <c r="AS70"/>
      <c r="AT70"/>
      <c r="AU70"/>
      <c r="AV70"/>
    </row>
    <row r="71" spans="4:48" x14ac:dyDescent="0.25">
      <c r="D71"/>
      <c r="E71"/>
      <c r="F71" t="s">
        <v>11</v>
      </c>
      <c r="G71">
        <f>SUM(G67:G70)</f>
        <v>100</v>
      </c>
      <c r="H71">
        <f>SUM(H67:H70)</f>
        <v>100</v>
      </c>
      <c r="I71"/>
      <c r="J71"/>
      <c r="K71"/>
      <c r="L71"/>
      <c r="M71"/>
      <c r="N71" s="6">
        <v>69</v>
      </c>
      <c r="O71" s="38">
        <v>13785</v>
      </c>
      <c r="P71" s="38">
        <v>53240</v>
      </c>
      <c r="Q71" s="38">
        <v>8711</v>
      </c>
      <c r="R71">
        <f t="shared" si="16"/>
        <v>0.92976389405554627</v>
      </c>
      <c r="S71">
        <f t="shared" si="17"/>
        <v>0.71696119926669388</v>
      </c>
      <c r="U71" s="6">
        <v>69</v>
      </c>
      <c r="V71" s="38">
        <v>4317</v>
      </c>
      <c r="W71" s="45">
        <v>69146</v>
      </c>
      <c r="X71" s="46">
        <v>15713</v>
      </c>
      <c r="Y71">
        <f t="shared" si="18"/>
        <v>1.2549079779906123</v>
      </c>
      <c r="Z71">
        <f t="shared" si="19"/>
        <v>1.094605145427026</v>
      </c>
      <c r="AA71"/>
      <c r="AB71" s="6">
        <v>69</v>
      </c>
      <c r="AC71" s="38">
        <v>19848</v>
      </c>
      <c r="AD71" s="38">
        <v>41467</v>
      </c>
      <c r="AE71" s="38">
        <v>9130</v>
      </c>
      <c r="AF71">
        <f t="shared" si="20"/>
        <v>0.68582895715831671</v>
      </c>
      <c r="AG71">
        <f t="shared" si="21"/>
        <v>0.68752660484059058</v>
      </c>
      <c r="AH71" s="7"/>
      <c r="AI71" s="5" t="s">
        <v>30</v>
      </c>
      <c r="AJ71"/>
      <c r="AK71" s="3">
        <f>AVERAGE(AK3:AK32)</f>
        <v>39963.633333333331</v>
      </c>
      <c r="AL71" s="3">
        <f>AVERAGE(AL3:AL32)</f>
        <v>9458.7999999999993</v>
      </c>
      <c r="AM71"/>
      <c r="AN71"/>
      <c r="AO71"/>
      <c r="AP71"/>
      <c r="AQ71"/>
      <c r="AR71"/>
      <c r="AS71"/>
      <c r="AT71"/>
      <c r="AU71"/>
      <c r="AV71"/>
    </row>
    <row r="72" spans="4:48" x14ac:dyDescent="0.25">
      <c r="D72"/>
      <c r="E72"/>
      <c r="F72" s="3"/>
      <c r="G72" s="3" t="s">
        <v>41</v>
      </c>
      <c r="H72" s="67" t="s">
        <v>42</v>
      </c>
      <c r="I72" s="3"/>
      <c r="J72" s="3"/>
      <c r="K72" s="3"/>
      <c r="L72" s="3"/>
      <c r="M72"/>
      <c r="N72" s="6">
        <v>70</v>
      </c>
      <c r="O72" s="38">
        <v>5903</v>
      </c>
      <c r="P72" s="38">
        <v>57073</v>
      </c>
      <c r="Q72" s="38">
        <v>12597</v>
      </c>
      <c r="R72">
        <f t="shared" si="16"/>
        <v>0.99670200460992098</v>
      </c>
      <c r="S72">
        <f t="shared" si="17"/>
        <v>1.0367994750502287</v>
      </c>
      <c r="U72" s="6">
        <v>70</v>
      </c>
      <c r="V72" s="38">
        <v>3620</v>
      </c>
      <c r="W72" s="38">
        <v>47916</v>
      </c>
      <c r="X72" s="38">
        <v>11144</v>
      </c>
      <c r="Y72">
        <f t="shared" si="18"/>
        <v>0.86961170094290596</v>
      </c>
      <c r="Z72">
        <f t="shared" si="19"/>
        <v>0.77631768221464892</v>
      </c>
      <c r="AB72" s="6">
        <v>70</v>
      </c>
      <c r="AC72" s="38">
        <v>1966</v>
      </c>
      <c r="AD72" s="38">
        <v>50709</v>
      </c>
      <c r="AE72" s="38">
        <v>8009</v>
      </c>
      <c r="AF72">
        <f t="shared" si="20"/>
        <v>0.83868378683148237</v>
      </c>
      <c r="AG72">
        <f t="shared" si="21"/>
        <v>0.60311068764165277</v>
      </c>
      <c r="AH72" s="7"/>
      <c r="AI72" t="s">
        <v>31</v>
      </c>
      <c r="AJ72">
        <f>COUNT(AJ3:AJ32)</f>
        <v>30</v>
      </c>
      <c r="AK72"/>
      <c r="AL72"/>
      <c r="AM72"/>
      <c r="AN72"/>
      <c r="AO72"/>
      <c r="AP72"/>
      <c r="AQ72"/>
      <c r="AR72"/>
      <c r="AS72"/>
      <c r="AT72"/>
      <c r="AU72"/>
      <c r="AV72"/>
    </row>
    <row r="73" spans="4:48" x14ac:dyDescent="0.25">
      <c r="D73"/>
      <c r="E73"/>
      <c r="F73" t="s">
        <v>16</v>
      </c>
      <c r="G73" s="3">
        <f>AVERAGE(H51:H54,H47:H49,H45,H35:H43,H24,H15,H12,H6:H8)</f>
        <v>64124.043478260872</v>
      </c>
      <c r="H73">
        <f>G73/48910</f>
        <v>1.311062021636902</v>
      </c>
      <c r="I73"/>
      <c r="J73"/>
      <c r="K73"/>
      <c r="L73"/>
      <c r="M73"/>
      <c r="N73" s="6">
        <v>71</v>
      </c>
      <c r="O73" s="38">
        <v>9120</v>
      </c>
      <c r="P73" s="38">
        <v>53079</v>
      </c>
      <c r="Q73" s="38">
        <v>13225</v>
      </c>
      <c r="R73">
        <f t="shared" si="16"/>
        <v>0.92695224892138128</v>
      </c>
      <c r="S73">
        <f t="shared" si="17"/>
        <v>1.0884871840548762</v>
      </c>
      <c r="U73" s="6">
        <v>71</v>
      </c>
      <c r="V73" s="38">
        <v>4922</v>
      </c>
      <c r="W73" s="38">
        <v>43971</v>
      </c>
      <c r="X73" s="38">
        <v>11359</v>
      </c>
      <c r="Y73">
        <f t="shared" si="18"/>
        <v>0.79801519538693788</v>
      </c>
      <c r="Z73">
        <f t="shared" si="19"/>
        <v>0.79129509622004635</v>
      </c>
      <c r="AB73" s="6">
        <v>71</v>
      </c>
      <c r="AC73" s="38">
        <v>10277</v>
      </c>
      <c r="AD73" s="38">
        <v>53184</v>
      </c>
      <c r="AE73" s="38">
        <v>13326</v>
      </c>
      <c r="AF73">
        <f t="shared" si="20"/>
        <v>0.87961818452041174</v>
      </c>
      <c r="AG73">
        <f t="shared" si="21"/>
        <v>1.0035026874157404</v>
      </c>
      <c r="AH73" s="7"/>
      <c r="AI73" s="3" t="s">
        <v>32</v>
      </c>
      <c r="AJ73" s="3">
        <f>(AJ72/AI68)*100</f>
        <v>45.454545454545453</v>
      </c>
      <c r="AK73" s="3"/>
      <c r="AL73" s="3"/>
      <c r="AM73" s="3"/>
      <c r="AN73" s="3"/>
      <c r="AO73"/>
      <c r="AP73"/>
      <c r="AQ73"/>
      <c r="AR73"/>
      <c r="AS73"/>
      <c r="AT73"/>
      <c r="AU73"/>
      <c r="AV73"/>
    </row>
    <row r="74" spans="4:48" x14ac:dyDescent="0.25">
      <c r="D74"/>
      <c r="E74"/>
      <c r="F74" t="s">
        <v>19</v>
      </c>
      <c r="G74" s="3">
        <f>AVERAGE(H55:H60,H44,H25:H33,H50,H46,H16:H23,H13:H14,H9:H11,H3:H5)</f>
        <v>37138.205882352944</v>
      </c>
      <c r="H74">
        <f>G74/48910</f>
        <v>0.75931723333373424</v>
      </c>
      <c r="I74"/>
      <c r="J74"/>
      <c r="K74"/>
      <c r="L74"/>
      <c r="M74"/>
      <c r="N74" s="6">
        <v>72</v>
      </c>
      <c r="O74" s="38">
        <v>7824</v>
      </c>
      <c r="P74" s="38">
        <v>37495</v>
      </c>
      <c r="Q74" s="38">
        <v>5945</v>
      </c>
      <c r="R74">
        <f t="shared" si="16"/>
        <v>0.65479897084171124</v>
      </c>
      <c r="S74">
        <f t="shared" si="17"/>
        <v>0.48930482489272131</v>
      </c>
      <c r="T74"/>
      <c r="U74" s="6">
        <v>72</v>
      </c>
      <c r="V74" s="38">
        <v>6904</v>
      </c>
      <c r="W74" s="38">
        <v>41921</v>
      </c>
      <c r="X74" s="38">
        <v>10124</v>
      </c>
      <c r="Y74">
        <f t="shared" si="18"/>
        <v>0.76081042063668836</v>
      </c>
      <c r="Z74">
        <f t="shared" si="19"/>
        <v>0.7052620436774143</v>
      </c>
      <c r="AB74" s="6">
        <v>72</v>
      </c>
      <c r="AC74" s="38">
        <v>7324</v>
      </c>
      <c r="AD74" s="38">
        <v>36082</v>
      </c>
      <c r="AE74" s="38">
        <v>11290</v>
      </c>
      <c r="AF74">
        <f t="shared" si="20"/>
        <v>0.59676563127755522</v>
      </c>
      <c r="AG74">
        <f t="shared" si="21"/>
        <v>0.85018350149510047</v>
      </c>
      <c r="AH74" s="7"/>
      <c r="AI74"/>
      <c r="AJ74" t="s">
        <v>11</v>
      </c>
      <c r="AK74" t="s">
        <v>0</v>
      </c>
      <c r="AL74"/>
      <c r="AM74"/>
      <c r="AN74"/>
      <c r="AO74"/>
      <c r="AP74"/>
      <c r="AQ74"/>
      <c r="AR74"/>
      <c r="AS74"/>
      <c r="AT74"/>
      <c r="AU74"/>
      <c r="AV74"/>
    </row>
    <row r="75" spans="4:48" x14ac:dyDescent="0.25">
      <c r="D75"/>
      <c r="E75"/>
      <c r="F75"/>
      <c r="G75"/>
      <c r="H75" s="3" t="s">
        <v>41</v>
      </c>
      <c r="I75" s="67" t="s">
        <v>42</v>
      </c>
      <c r="J75"/>
      <c r="K75"/>
      <c r="L75"/>
      <c r="M75"/>
      <c r="N75" s="6">
        <v>73</v>
      </c>
      <c r="O75" s="38">
        <v>5983</v>
      </c>
      <c r="P75" s="38">
        <v>44621</v>
      </c>
      <c r="Q75" s="38">
        <v>7259</v>
      </c>
      <c r="R75">
        <f t="shared" si="16"/>
        <v>0.77924482938866513</v>
      </c>
      <c r="S75">
        <f t="shared" si="17"/>
        <v>0.59745394851072564</v>
      </c>
      <c r="T75"/>
      <c r="U75" s="6">
        <v>73</v>
      </c>
      <c r="V75" s="38">
        <v>5941</v>
      </c>
      <c r="W75" s="38">
        <v>38412</v>
      </c>
      <c r="X75" s="38">
        <v>8420</v>
      </c>
      <c r="Y75">
        <f t="shared" si="18"/>
        <v>0.69712673546662707</v>
      </c>
      <c r="Z75">
        <f t="shared" si="19"/>
        <v>0.58655732988579889</v>
      </c>
      <c r="AB75" t="s">
        <v>5</v>
      </c>
      <c r="AC75"/>
      <c r="AD75" s="3">
        <f>AVERAGE(AD3:AD74)</f>
        <v>60462.597222222219</v>
      </c>
      <c r="AE75" s="3">
        <f>AVERAGE(AE3:AE74)</f>
        <v>13279.486111111111</v>
      </c>
      <c r="AF75"/>
      <c r="AG75"/>
      <c r="AH75" s="7"/>
      <c r="AI75" s="29" t="s">
        <v>10</v>
      </c>
      <c r="AJ75">
        <f>(COUNT(AK63,AK57:AK60,AK55,AK44:AK53,AK40:AK42,AK37:AK38,AK34:AK35)/AI68)*100</f>
        <v>34.848484848484851</v>
      </c>
      <c r="AK75">
        <f>(0/AJ72)*100</f>
        <v>0</v>
      </c>
      <c r="AL75"/>
      <c r="AM75"/>
      <c r="AN75"/>
      <c r="AO75"/>
      <c r="AP75"/>
      <c r="AQ75"/>
      <c r="AR75"/>
      <c r="AS75"/>
      <c r="AT75"/>
      <c r="AU75"/>
      <c r="AV75"/>
    </row>
    <row r="76" spans="4:48" x14ac:dyDescent="0.25">
      <c r="D76"/>
      <c r="E76"/>
      <c r="F76" t="s">
        <v>17</v>
      </c>
      <c r="G76"/>
      <c r="H76" s="3">
        <f>AVERAGE(I53:I54,I45:I50,I34:I43,I14:I15,I11:I12)</f>
        <v>14789.681818181818</v>
      </c>
      <c r="I76">
        <f>H76/11553</f>
        <v>1.2801594233689793</v>
      </c>
      <c r="J76"/>
      <c r="K76"/>
      <c r="L76"/>
      <c r="M76"/>
      <c r="N76" t="s">
        <v>5</v>
      </c>
      <c r="O76"/>
      <c r="P76" s="3">
        <f>AVERAGE(P3:P75)</f>
        <v>57261.849315068495</v>
      </c>
      <c r="Q76" s="3">
        <f>AVERAGE(Q3:Q75)</f>
        <v>12149.890410958904</v>
      </c>
      <c r="R76"/>
      <c r="S76"/>
      <c r="T76" s="3"/>
      <c r="U76" s="6">
        <v>74</v>
      </c>
      <c r="V76" s="38">
        <v>6046</v>
      </c>
      <c r="W76" s="38">
        <v>44415</v>
      </c>
      <c r="X76" s="38">
        <v>17108</v>
      </c>
      <c r="Y76">
        <f t="shared" si="18"/>
        <v>0.80607320513772374</v>
      </c>
      <c r="Z76">
        <f t="shared" si="19"/>
        <v>1.1917841804853027</v>
      </c>
      <c r="AB76" t="s">
        <v>8</v>
      </c>
      <c r="AC76"/>
      <c r="AD76" s="3">
        <f>AVERAGE(AD42:AD74)</f>
        <v>88036.242424242431</v>
      </c>
      <c r="AE76" s="3">
        <f>AVERAGE(AE42:AE74)</f>
        <v>16376.90909090909</v>
      </c>
      <c r="AF76"/>
      <c r="AG76"/>
      <c r="AH76" s="7"/>
      <c r="AI76" s="20" t="s">
        <v>12</v>
      </c>
      <c r="AJ76">
        <f>(COUNT(AK56,AK39,AK33)/AI68)*100</f>
        <v>4.5454545454545459</v>
      </c>
      <c r="AK76">
        <f>(0/AJ72)*100</f>
        <v>0</v>
      </c>
      <c r="AL76" s="3"/>
      <c r="AM76" s="3"/>
      <c r="AN76" s="3"/>
      <c r="AO76"/>
      <c r="AP76"/>
      <c r="AQ76"/>
      <c r="AR76"/>
      <c r="AS76"/>
      <c r="AT76"/>
      <c r="AU76"/>
      <c r="AV76"/>
    </row>
    <row r="77" spans="4:48" x14ac:dyDescent="0.25">
      <c r="D77"/>
      <c r="E77"/>
      <c r="F77" t="s">
        <v>18</v>
      </c>
      <c r="G77"/>
      <c r="H77" s="3">
        <f>AVERAGE(I55:I60,I51:I52,I44,I16:I33,I13,I3:I10)</f>
        <v>9601.4444444444453</v>
      </c>
      <c r="I77">
        <f>H77/11553</f>
        <v>0.83107802687132737</v>
      </c>
      <c r="J77"/>
      <c r="K77"/>
      <c r="L77"/>
      <c r="M77"/>
      <c r="N77" t="s">
        <v>8</v>
      </c>
      <c r="O77"/>
      <c r="P77" s="3">
        <f>AVERAGE(P41:P75)</f>
        <v>75596.685714285719</v>
      </c>
      <c r="Q77" s="3">
        <f>AVERAGE(Q41:Q75)</f>
        <v>14797.742857142857</v>
      </c>
      <c r="R77"/>
      <c r="S77"/>
      <c r="T77"/>
      <c r="U77" s="6">
        <v>75</v>
      </c>
      <c r="V77" s="38">
        <v>4595</v>
      </c>
      <c r="W77" s="38">
        <v>38437</v>
      </c>
      <c r="X77" s="38">
        <v>11484</v>
      </c>
      <c r="Y77">
        <f t="shared" si="18"/>
        <v>0.69758045223187404</v>
      </c>
      <c r="Z77">
        <f t="shared" si="19"/>
        <v>0.80000289506039368</v>
      </c>
      <c r="AB77" s="5" t="s">
        <v>30</v>
      </c>
      <c r="AC77"/>
      <c r="AD77" s="3">
        <f>AVERAGE(AD3:AD41)</f>
        <v>37131.051282051281</v>
      </c>
      <c r="AE77" s="3">
        <f>AVERAGE(AE3:AE41)</f>
        <v>10658.589743589744</v>
      </c>
      <c r="AF77"/>
      <c r="AG77"/>
      <c r="AH77"/>
      <c r="AI77" s="9" t="s">
        <v>13</v>
      </c>
      <c r="AJ77">
        <f>(COUNT(AL43,AL27,AL18,AL5)/AI68)*100</f>
        <v>6.0606060606060606</v>
      </c>
      <c r="AK77">
        <f>(COUNT(AL5,AL18,AL27)/AJ72)*100</f>
        <v>10</v>
      </c>
      <c r="AL77"/>
      <c r="AM77"/>
      <c r="AN77"/>
      <c r="AO77"/>
      <c r="AP77"/>
      <c r="AQ77"/>
      <c r="AR77"/>
      <c r="AS77"/>
      <c r="AT77"/>
      <c r="AU77"/>
      <c r="AV77"/>
    </row>
    <row r="78" spans="4:48" x14ac:dyDescent="0.25">
      <c r="D78"/>
      <c r="E78"/>
      <c r="F78"/>
      <c r="G78"/>
      <c r="H78"/>
      <c r="I78"/>
      <c r="J78"/>
      <c r="K78"/>
      <c r="L78"/>
      <c r="M78"/>
      <c r="N78" s="5" t="s">
        <v>30</v>
      </c>
      <c r="O78"/>
      <c r="P78" s="3">
        <f>AVERAGE(P3:P40)</f>
        <v>40374.5</v>
      </c>
      <c r="Q78" s="3">
        <f>AVERAGE(Q3:Q40)</f>
        <v>9711.0789473684217</v>
      </c>
      <c r="R78"/>
      <c r="S78"/>
      <c r="T78"/>
      <c r="U78" s="6">
        <v>76</v>
      </c>
      <c r="V78" s="38">
        <v>3113</v>
      </c>
      <c r="W78" s="38">
        <v>42360</v>
      </c>
      <c r="X78" s="38">
        <v>11220</v>
      </c>
      <c r="Y78">
        <f t="shared" si="18"/>
        <v>0.76877768703442473</v>
      </c>
      <c r="Z78">
        <f t="shared" si="19"/>
        <v>0.78161202390958007</v>
      </c>
      <c r="AB78" t="s">
        <v>31</v>
      </c>
      <c r="AC78">
        <f>COUNT(AC3:AC41)</f>
        <v>39</v>
      </c>
      <c r="AD78"/>
      <c r="AE78"/>
      <c r="AF78"/>
      <c r="AG78"/>
      <c r="AH78"/>
      <c r="AI78" t="s">
        <v>15</v>
      </c>
      <c r="AJ78">
        <f>(COUNT(AK64:AK68,AK61:AK62,AK54,AK36,AK28:AK32,AK19:AK26,AK6:AK17,AK3:AK4)/AI68)*100</f>
        <v>54.54545454545454</v>
      </c>
      <c r="AK78">
        <f>(COUNT(AL28:AL32,AL19:AL26,AL6:AL17,AL3:AL4)/AJ72)*100</f>
        <v>90</v>
      </c>
      <c r="AL78"/>
      <c r="AM78"/>
      <c r="AN78"/>
      <c r="AO78"/>
      <c r="AP78"/>
      <c r="AQ78"/>
      <c r="AR78"/>
      <c r="AS78"/>
      <c r="AT78"/>
      <c r="AU78"/>
      <c r="AV78"/>
    </row>
    <row r="79" spans="4:48" x14ac:dyDescent="0.25">
      <c r="D79"/>
      <c r="E79"/>
      <c r="F79"/>
      <c r="G79"/>
      <c r="H79"/>
      <c r="I79"/>
      <c r="J79"/>
      <c r="K79"/>
      <c r="L79"/>
      <c r="M79"/>
      <c r="N79" t="s">
        <v>31</v>
      </c>
      <c r="O79">
        <f>COUNT(O3:O40)</f>
        <v>38</v>
      </c>
      <c r="P79"/>
      <c r="Q79"/>
      <c r="R79"/>
      <c r="S79"/>
      <c r="T79" s="3"/>
      <c r="U79" s="6">
        <v>77</v>
      </c>
      <c r="V79" s="38">
        <v>13117</v>
      </c>
      <c r="W79" s="38">
        <v>32813</v>
      </c>
      <c r="X79" s="38">
        <v>14047</v>
      </c>
      <c r="Y79">
        <f t="shared" si="18"/>
        <v>0.59551232872192117</v>
      </c>
      <c r="Z79">
        <f t="shared" si="19"/>
        <v>0.9785476024828762</v>
      </c>
      <c r="AB79" s="3" t="s">
        <v>32</v>
      </c>
      <c r="AC79" s="3">
        <f>(AC78/AB69)*100</f>
        <v>58.208955223880601</v>
      </c>
      <c r="AD79" s="3"/>
      <c r="AE79" s="3"/>
      <c r="AF79" s="3"/>
      <c r="AG79" s="3"/>
      <c r="AH79"/>
      <c r="AI79" t="s">
        <v>11</v>
      </c>
      <c r="AJ79">
        <f>SUM(AJ75:AJ78)</f>
        <v>100</v>
      </c>
      <c r="AK79">
        <f>SUM(AK75:AK78)</f>
        <v>100</v>
      </c>
      <c r="AL79"/>
      <c r="AM79"/>
      <c r="AN79"/>
      <c r="AO79"/>
      <c r="AP79"/>
      <c r="AQ79"/>
      <c r="AR79"/>
      <c r="AS79"/>
      <c r="AT79"/>
      <c r="AU79"/>
      <c r="AV79"/>
    </row>
    <row r="80" spans="4:48" x14ac:dyDescent="0.25">
      <c r="D80"/>
      <c r="E80"/>
      <c r="F80" s="3"/>
      <c r="G80" s="3"/>
      <c r="H80" s="3" t="s">
        <v>27</v>
      </c>
      <c r="I80" s="3" t="s">
        <v>28</v>
      </c>
      <c r="J80" s="3" t="s">
        <v>29</v>
      </c>
      <c r="K80" s="3"/>
      <c r="L80" s="3"/>
      <c r="M80"/>
      <c r="N80" s="3" t="s">
        <v>32</v>
      </c>
      <c r="O80" s="3">
        <f>(O79/N75)*100</f>
        <v>52.054794520547944</v>
      </c>
      <c r="P80" s="3"/>
      <c r="Q80" s="3"/>
      <c r="R80" s="3"/>
      <c r="S80" s="3"/>
      <c r="T80"/>
      <c r="U80" t="s">
        <v>5</v>
      </c>
      <c r="V80"/>
      <c r="W80" s="3">
        <f>AVERAGE(W3:W79)</f>
        <v>55100.454545454544</v>
      </c>
      <c r="X80" s="3">
        <f>AVERAGE(X3:X79)</f>
        <v>14354.948051948051</v>
      </c>
      <c r="Y80"/>
      <c r="Z80"/>
      <c r="AB80"/>
      <c r="AC80" t="s">
        <v>11</v>
      </c>
      <c r="AD80" t="s">
        <v>0</v>
      </c>
      <c r="AE80"/>
      <c r="AF80"/>
      <c r="AG80"/>
      <c r="AH80"/>
      <c r="AI80" s="3"/>
      <c r="AJ80" s="3" t="s">
        <v>41</v>
      </c>
      <c r="AK80" s="67" t="s">
        <v>42</v>
      </c>
      <c r="AL80" s="3"/>
      <c r="AM80" s="3"/>
      <c r="AN80" s="3"/>
      <c r="AO80"/>
      <c r="AP80"/>
      <c r="AQ80"/>
      <c r="AR80"/>
      <c r="AS80"/>
      <c r="AT80"/>
      <c r="AU80"/>
      <c r="AV80"/>
    </row>
    <row r="81" spans="4:48" x14ac:dyDescent="0.25">
      <c r="D81"/>
      <c r="E81"/>
      <c r="F81" s="10" t="s">
        <v>20</v>
      </c>
      <c r="G81" s="10">
        <f>COUNT(H53:H54,H45:H50,H34:H43,H14:H15,H11:H12)</f>
        <v>22</v>
      </c>
      <c r="H81" s="10">
        <f>(G81/$F$60)*100</f>
        <v>37.931034482758619</v>
      </c>
      <c r="I81" s="10">
        <f>(G81/$G$81)*100</f>
        <v>100</v>
      </c>
      <c r="J81" s="10"/>
      <c r="K81" s="10"/>
      <c r="L81" s="10"/>
      <c r="M81"/>
      <c r="N81"/>
      <c r="O81" t="s">
        <v>11</v>
      </c>
      <c r="P81" t="s">
        <v>0</v>
      </c>
      <c r="Q81"/>
      <c r="R81"/>
      <c r="S81"/>
      <c r="T81"/>
      <c r="U81" t="s">
        <v>8</v>
      </c>
      <c r="V81"/>
      <c r="W81" s="3">
        <f>AVERAGE(W40:W79)</f>
        <v>75632.800000000003</v>
      </c>
      <c r="X81" s="3">
        <f>AVERAGE(X40:X79)</f>
        <v>17976.974999999999</v>
      </c>
      <c r="Y81"/>
      <c r="Z81"/>
      <c r="AB81" s="29" t="s">
        <v>10</v>
      </c>
      <c r="AC81">
        <f>(COUNT(AD70,AD66:AD67,AD64,AD58:AD62,AD53:AD56,AD48:AD51,AD46,AD42:AD43,AD15,AD6)/AB74)*100</f>
        <v>30.555555555555557</v>
      </c>
      <c r="AD81">
        <f>(COUNT(AD6,AD15)/AC78)*100</f>
        <v>5.1282051282051277</v>
      </c>
      <c r="AE81"/>
      <c r="AF81"/>
      <c r="AG81"/>
      <c r="AH81"/>
      <c r="AI81" t="s">
        <v>16</v>
      </c>
      <c r="AJ81" s="3">
        <f>AVERAGE(AK63,AK57:AK60,AK55,AK40:AK53,AK37:AK38,AK34:AK35,AK27,AK18,AK5)</f>
        <v>91381.592592592599</v>
      </c>
      <c r="AK81">
        <f>AJ81/$AK$69</f>
        <v>1.4148322489069136</v>
      </c>
      <c r="AL81"/>
      <c r="AM81"/>
      <c r="AN81"/>
      <c r="AO81"/>
      <c r="AP81"/>
      <c r="AQ81"/>
      <c r="AR81"/>
      <c r="AS81"/>
      <c r="AT81"/>
      <c r="AU81"/>
      <c r="AV81"/>
    </row>
    <row r="82" spans="4:48" x14ac:dyDescent="0.25">
      <c r="D82"/>
      <c r="E82"/>
      <c r="F82" s="9" t="s">
        <v>21</v>
      </c>
      <c r="G82" s="9">
        <f>COUNT(I51:I54,I47:I49,I45,I35:I43,I24,I15,I12,I6:I8)</f>
        <v>23</v>
      </c>
      <c r="H82" s="8">
        <f t="shared" ref="H82:H87" si="24">(G82/$F$60)*100</f>
        <v>39.655172413793103</v>
      </c>
      <c r="I82" s="8"/>
      <c r="J82" s="9">
        <f>(G82/$G$82)*100</f>
        <v>100</v>
      </c>
      <c r="K82" s="9"/>
      <c r="L82" s="9"/>
      <c r="M82"/>
      <c r="N82" s="29" t="s">
        <v>10</v>
      </c>
      <c r="O82">
        <f>(COUNT(P68:P69,P66,P60:P63,P52:P58,P48:P50,P44:P46,P41:P42,P23,P19,P14)/N75)*100</f>
        <v>34.246575342465754</v>
      </c>
      <c r="P82">
        <f>(COUNT(P14,P19,P23)/O79)*100</f>
        <v>7.8947368421052628</v>
      </c>
      <c r="Q82"/>
      <c r="R82"/>
      <c r="S82"/>
      <c r="T82"/>
      <c r="U82" s="5" t="s">
        <v>30</v>
      </c>
      <c r="V82"/>
      <c r="W82" s="3">
        <f>AVERAGE(W3:W39)</f>
        <v>32903.324324324327</v>
      </c>
      <c r="X82" s="3">
        <f>AVERAGE(X3:X39)</f>
        <v>10439.243243243243</v>
      </c>
      <c r="Y82"/>
      <c r="Z82"/>
      <c r="AB82" s="20" t="s">
        <v>12</v>
      </c>
      <c r="AC82">
        <f>(COUNT(AD68,AD57,AD52,AD44:AD45)/AB74)*100</f>
        <v>6.9444444444444446</v>
      </c>
      <c r="AD82">
        <f>(0/AC78)*100</f>
        <v>0</v>
      </c>
      <c r="AE82" s="3"/>
      <c r="AF82" s="3"/>
      <c r="AG82" s="3"/>
      <c r="AH82"/>
      <c r="AI82" t="s">
        <v>19</v>
      </c>
      <c r="AJ82" s="3">
        <f>AVERAGE(AK64:AK68,AK61:AK62,AK54,AK36,AK33,AK39,AK56,AK28:AK31,AK19:AK26,AK6:AK17,AK3:AK4)</f>
        <v>46318.052631578947</v>
      </c>
      <c r="AK82">
        <f>AJ82/$AK$69</f>
        <v>0.7171277355811555</v>
      </c>
      <c r="AL82"/>
      <c r="AM82"/>
      <c r="AN82"/>
      <c r="AO82"/>
      <c r="AP82"/>
      <c r="AQ82"/>
      <c r="AR82"/>
      <c r="AS82"/>
      <c r="AT82"/>
      <c r="AU82"/>
      <c r="AV82"/>
    </row>
    <row r="83" spans="4:48" x14ac:dyDescent="0.25">
      <c r="D83"/>
      <c r="E83"/>
      <c r="F83" s="20" t="s">
        <v>22</v>
      </c>
      <c r="G83" s="20">
        <f>COUNT(H50,H46,H34,H14,H11)</f>
        <v>5</v>
      </c>
      <c r="H83" s="10">
        <f t="shared" si="24"/>
        <v>8.6206896551724146</v>
      </c>
      <c r="I83" s="10">
        <f>(G83/$G$81)*100</f>
        <v>22.727272727272727</v>
      </c>
      <c r="J83" s="20"/>
      <c r="K83" s="20"/>
      <c r="L83" s="20"/>
      <c r="M83"/>
      <c r="N83" s="20" t="s">
        <v>12</v>
      </c>
      <c r="O83">
        <f>(COUNT(P64,P51,P43,P25,P18,P15)/N75)*100</f>
        <v>8.2191780821917799</v>
      </c>
      <c r="P83">
        <f>(COUNT(P25,P18,P15)/O79)*100</f>
        <v>7.8947368421052628</v>
      </c>
      <c r="Q83" s="3"/>
      <c r="R83" s="3"/>
      <c r="S83" s="3"/>
      <c r="T83" s="3"/>
      <c r="U83" t="s">
        <v>31</v>
      </c>
      <c r="V83">
        <f>COUNT(V3:V39)</f>
        <v>37</v>
      </c>
      <c r="W83"/>
      <c r="X83"/>
      <c r="Y83"/>
      <c r="Z83"/>
      <c r="AB83" s="9" t="s">
        <v>13</v>
      </c>
      <c r="AC83">
        <f>(COUNT(AE69,AE73,AE65,AE63,AE26,AE22,AE7:AE10)/AB74)*100</f>
        <v>13.888888888888889</v>
      </c>
      <c r="AD83">
        <f>(COUNT(AE26,AE22,AE7:AE10)/AC78)*100</f>
        <v>15.384615384615385</v>
      </c>
      <c r="AE83"/>
      <c r="AF83"/>
      <c r="AG83"/>
      <c r="AH83"/>
      <c r="AI83"/>
      <c r="AJ83"/>
      <c r="AK83" s="3" t="s">
        <v>41</v>
      </c>
      <c r="AL83" s="67" t="s">
        <v>42</v>
      </c>
      <c r="AM83"/>
      <c r="AN83"/>
      <c r="AO83"/>
      <c r="AP83"/>
      <c r="AQ83"/>
      <c r="AR83"/>
      <c r="AS83"/>
      <c r="AT83"/>
      <c r="AU83"/>
      <c r="AV83"/>
    </row>
    <row r="84" spans="4:48" x14ac:dyDescent="0.25">
      <c r="D84"/>
      <c r="E84"/>
      <c r="F84" s="9" t="s">
        <v>23</v>
      </c>
      <c r="G84" s="9">
        <f>COUNT(I51:I52,I24,I6:I8)</f>
        <v>6</v>
      </c>
      <c r="H84" s="8">
        <f t="shared" si="24"/>
        <v>10.344827586206897</v>
      </c>
      <c r="I84" s="8"/>
      <c r="J84" s="9">
        <f>(G84/$G$82)*100</f>
        <v>26.086956521739129</v>
      </c>
      <c r="K84" s="9"/>
      <c r="L84" s="9"/>
      <c r="M84"/>
      <c r="N84" s="9" t="s">
        <v>13</v>
      </c>
      <c r="O84">
        <f>(COUNT(Q72:Q73,Q67,Q10)/N75)*100</f>
        <v>5.4794520547945202</v>
      </c>
      <c r="P84">
        <f>(COUNT(Q10)/O79)*100</f>
        <v>2.6315789473684208</v>
      </c>
      <c r="Q84"/>
      <c r="R84"/>
      <c r="S84"/>
      <c r="T84"/>
      <c r="U84" s="3" t="s">
        <v>32</v>
      </c>
      <c r="V84" s="3">
        <f>(V83/U79)*100</f>
        <v>48.051948051948052</v>
      </c>
      <c r="W84" s="3"/>
      <c r="X84" s="3"/>
      <c r="Y84" s="3"/>
      <c r="Z84" s="3"/>
      <c r="AB84" t="s">
        <v>15</v>
      </c>
      <c r="AC84">
        <f>(COUNT(AD74,AD71:AD72,AD47,AD27:AD41,AD23:AD25,AD16:AD21,AD11:AD14,AD3:AD5)/AB74)*100</f>
        <v>48.611111111111107</v>
      </c>
      <c r="AD84">
        <f>(COUNT(AD27:AD41,AD23:AD25,AD16:AD21,AD11:AD14,AD3:AD5)/AC78)*100</f>
        <v>79.487179487179489</v>
      </c>
      <c r="AE84"/>
      <c r="AF84"/>
      <c r="AG84"/>
      <c r="AH84"/>
      <c r="AI84" t="s">
        <v>17</v>
      </c>
      <c r="AJ84"/>
      <c r="AK84" s="3">
        <f>AVERAGE(AL63,AL55:AL60,AL44:AL53,AL37:AL42,AL33:AL35)</f>
        <v>16920.076923076922</v>
      </c>
      <c r="AL84">
        <f>AK84/$AL$69</f>
        <v>1.3665745320417353</v>
      </c>
      <c r="AM84"/>
      <c r="AN84"/>
      <c r="AO84"/>
      <c r="AP84"/>
      <c r="AQ84"/>
      <c r="AR84"/>
      <c r="AS84"/>
      <c r="AT84"/>
      <c r="AU84"/>
      <c r="AV84"/>
    </row>
    <row r="85" spans="4:48" x14ac:dyDescent="0.25">
      <c r="D85"/>
      <c r="E85"/>
      <c r="F85" s="7" t="s">
        <v>24</v>
      </c>
      <c r="G85" s="38">
        <f>F60-G80</f>
        <v>58</v>
      </c>
      <c r="H85" s="6">
        <f t="shared" si="24"/>
        <v>100</v>
      </c>
      <c r="I85" s="38"/>
      <c r="M85"/>
      <c r="N85" t="s">
        <v>15</v>
      </c>
      <c r="O85">
        <f>(COUNT(P74:P75,P70:P71,P65,P59,P47,P26:P40,P24,P20:P22,P16:P17,P11:P13,P3:P9)/N75)*100</f>
        <v>52.054794520547944</v>
      </c>
      <c r="P85">
        <f>(COUNT(P26:P40,P24,P20:P22,P16:P17,P11:P13,P3:P9)/O79)*100</f>
        <v>81.578947368421055</v>
      </c>
      <c r="Q85"/>
      <c r="R85"/>
      <c r="S85"/>
      <c r="T85"/>
      <c r="U85"/>
      <c r="V85" t="s">
        <v>11</v>
      </c>
      <c r="W85" t="s">
        <v>0</v>
      </c>
      <c r="X85"/>
      <c r="Y85"/>
      <c r="Z85"/>
      <c r="AA85"/>
      <c r="AB85" t="s">
        <v>11</v>
      </c>
      <c r="AC85">
        <f>SUM(AC81:AC84)</f>
        <v>100</v>
      </c>
      <c r="AD85">
        <f>SUM(AD81:AD84)</f>
        <v>100</v>
      </c>
      <c r="AE85"/>
      <c r="AF85"/>
      <c r="AG85"/>
      <c r="AH85"/>
      <c r="AI85" t="s">
        <v>18</v>
      </c>
      <c r="AJ85"/>
      <c r="AK85" s="3">
        <f>AVERAGE(AL64:AL68,AL61:AL62,AL54,AL43,AL36,AL3:AL32)</f>
        <v>9431.2250000000004</v>
      </c>
      <c r="AL85">
        <f>AK85/$AL$69</f>
        <v>0.76172655417287205</v>
      </c>
      <c r="AM85"/>
      <c r="AN85"/>
      <c r="AO85"/>
      <c r="AP85"/>
      <c r="AQ85"/>
      <c r="AR85"/>
      <c r="AS85"/>
      <c r="AT85"/>
      <c r="AU85"/>
      <c r="AV85"/>
    </row>
    <row r="86" spans="4:48" x14ac:dyDescent="0.25">
      <c r="D86"/>
      <c r="E86"/>
      <c r="F86" s="7" t="s">
        <v>25</v>
      </c>
      <c r="G86" s="39">
        <f>F60-G82</f>
        <v>35</v>
      </c>
      <c r="H86" s="6">
        <f t="shared" si="24"/>
        <v>60.344827586206897</v>
      </c>
      <c r="I86" s="38"/>
      <c r="M86"/>
      <c r="N86" t="s">
        <v>11</v>
      </c>
      <c r="O86">
        <f>SUM(O82:O85)</f>
        <v>100</v>
      </c>
      <c r="P86">
        <f>SUM(P82:P85)</f>
        <v>100</v>
      </c>
      <c r="Q86"/>
      <c r="R86"/>
      <c r="S86"/>
      <c r="T86"/>
      <c r="U86" s="29" t="s">
        <v>10</v>
      </c>
      <c r="V86">
        <f>(COUNT(W55:W71,W50:W53,W47:W48,W44:W45,W40:W41,W21)/U79)*100</f>
        <v>36.363636363636367</v>
      </c>
      <c r="W86">
        <f>(COUNT(X21)/V83)*100</f>
        <v>2.7027027027027026</v>
      </c>
      <c r="X86"/>
      <c r="Y86"/>
      <c r="Z86"/>
      <c r="AA86"/>
      <c r="AB86" s="3"/>
      <c r="AC86" s="3" t="s">
        <v>41</v>
      </c>
      <c r="AD86" s="67" t="s">
        <v>42</v>
      </c>
      <c r="AE86" s="3"/>
      <c r="AF86" s="3"/>
      <c r="AG86" s="3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4:48" x14ac:dyDescent="0.25">
      <c r="D87"/>
      <c r="E87"/>
      <c r="F87" s="36" t="s">
        <v>26</v>
      </c>
      <c r="G87" s="33">
        <f>G82-G84</f>
        <v>17</v>
      </c>
      <c r="H87" s="33">
        <f t="shared" si="24"/>
        <v>29.310344827586203</v>
      </c>
      <c r="I87" s="33">
        <f>(G87/$G$81)*100</f>
        <v>77.272727272727266</v>
      </c>
      <c r="J87" s="35">
        <f>(G87/$G$82)*100</f>
        <v>73.91304347826086</v>
      </c>
      <c r="M87"/>
      <c r="N87" s="3"/>
      <c r="O87" s="3" t="s">
        <v>41</v>
      </c>
      <c r="P87" s="67" t="s">
        <v>42</v>
      </c>
      <c r="Q87" s="3"/>
      <c r="R87" s="3"/>
      <c r="S87" s="3"/>
      <c r="T87"/>
      <c r="U87" s="20" t="s">
        <v>12</v>
      </c>
      <c r="V87">
        <f>(COUNT(W54,W49,W43)/U79)*100</f>
        <v>3.8961038961038961</v>
      </c>
      <c r="W87">
        <f>(0/V83)*100</f>
        <v>0</v>
      </c>
      <c r="X87" s="3"/>
      <c r="Y87" s="3"/>
      <c r="Z87" s="3"/>
      <c r="AA87"/>
      <c r="AB87" t="s">
        <v>16</v>
      </c>
      <c r="AC87" s="3">
        <f>AVERAGE(AD73,AD69:AD70,AD58:AD67,AD53:AD56,AD48:AD51,AD46,AD42:AD43,AD26,AD22,AD15,AD6:AD10)</f>
        <v>84326.78125</v>
      </c>
      <c r="AD87">
        <f>AC87/$AD$75</f>
        <v>1.3946933331373139</v>
      </c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4:48" x14ac:dyDescent="0.25">
      <c r="D88"/>
      <c r="E88"/>
      <c r="M88"/>
      <c r="N88" t="s">
        <v>16</v>
      </c>
      <c r="O88" s="3">
        <f>AVERAGE(P72:P73,P66:P69,P60:P63,P52:P58,P48:P50,P44:P46,P41:P42,P23,P19,P14,P10)</f>
        <v>79195.206896551725</v>
      </c>
      <c r="P88">
        <f>O88/$P$76</f>
        <v>1.3830361373905444</v>
      </c>
      <c r="Q88"/>
      <c r="R88"/>
      <c r="S88"/>
      <c r="T88"/>
      <c r="U88" s="9" t="s">
        <v>13</v>
      </c>
      <c r="V88">
        <f>(COUNT(X76,X46,X28,X17)/U79)*100</f>
        <v>5.1948051948051948</v>
      </c>
      <c r="W88">
        <f>(COUNT(X17,X28)/V83)*100</f>
        <v>5.4054054054054053</v>
      </c>
      <c r="X88"/>
      <c r="Y88"/>
      <c r="Z88"/>
      <c r="AA88"/>
      <c r="AB88" t="s">
        <v>19</v>
      </c>
      <c r="AC88" s="3">
        <f>AVERAGE(AD74,AD71:AD72,AD68,AD57,AD52,AD47,AD44:AD45,AD27:AD41,AD24:AD25,AD23,AD16:AD21,AD11:AD14,AD3:AD5)</f>
        <v>41371.25</v>
      </c>
      <c r="AD88">
        <f>AC88/$AD$75</f>
        <v>0.68424533349014904</v>
      </c>
      <c r="AE88"/>
      <c r="AF88"/>
      <c r="AG88"/>
      <c r="AH88"/>
      <c r="AI88" s="3"/>
      <c r="AJ88" s="3"/>
      <c r="AK88" s="3" t="s">
        <v>27</v>
      </c>
      <c r="AL88" s="3" t="s">
        <v>28</v>
      </c>
      <c r="AM88" s="3" t="s">
        <v>29</v>
      </c>
      <c r="AN88" s="3"/>
      <c r="AO88" s="3"/>
      <c r="AP88"/>
      <c r="AQ88"/>
      <c r="AR88"/>
      <c r="AS88"/>
      <c r="AT88"/>
      <c r="AU88"/>
      <c r="AV88"/>
    </row>
    <row r="89" spans="4:48" x14ac:dyDescent="0.25">
      <c r="D89"/>
      <c r="E89"/>
      <c r="M89"/>
      <c r="N89" t="s">
        <v>19</v>
      </c>
      <c r="O89" s="3">
        <f>AVERAGE(P74:P75,P70:P71,P67,P64:P65,P59,P51,P47,P24:P40,P20:P22,P15:P18,P11:P13,P3:P9)</f>
        <v>42604.25</v>
      </c>
      <c r="P89">
        <f>O89/$P$76</f>
        <v>0.74402504476551479</v>
      </c>
      <c r="R89"/>
      <c r="S89"/>
      <c r="T89"/>
      <c r="U89" t="s">
        <v>15</v>
      </c>
      <c r="V89">
        <f>(COUNT(W77:W79,W72:W75,W42,W29:W39,W22:W27,W18:W19,W20,W3:W16)/U79)*100</f>
        <v>54.54545454545454</v>
      </c>
      <c r="W89">
        <f>(COUNT(W29:W39,W22:W27,W18:W20,W3:W16)/V83)*100</f>
        <v>91.891891891891902</v>
      </c>
      <c r="X89"/>
      <c r="Y89"/>
      <c r="Z89"/>
      <c r="AA89"/>
      <c r="AB89"/>
      <c r="AC89"/>
      <c r="AD89" s="3" t="s">
        <v>41</v>
      </c>
      <c r="AE89" s="67" t="s">
        <v>42</v>
      </c>
      <c r="AF89"/>
      <c r="AG89"/>
      <c r="AH89"/>
      <c r="AI89" s="10" t="s">
        <v>20</v>
      </c>
      <c r="AJ89" s="10">
        <f>COUNT(AK63,AK55:AK60,AK44:AK53,AK37:AK42,AK33:AK35)</f>
        <v>26</v>
      </c>
      <c r="AK89" s="10">
        <f>(AJ89/$AI$68)*100</f>
        <v>39.393939393939391</v>
      </c>
      <c r="AL89" s="10">
        <f>(AJ89/$AJ$89)*100</f>
        <v>100</v>
      </c>
      <c r="AM89" s="10"/>
      <c r="AN89" s="10"/>
      <c r="AO89"/>
      <c r="AP89"/>
      <c r="AQ89"/>
      <c r="AR89"/>
      <c r="AS89"/>
      <c r="AT89"/>
      <c r="AU89"/>
      <c r="AV89"/>
    </row>
    <row r="90" spans="4:48" x14ac:dyDescent="0.25">
      <c r="D90"/>
      <c r="E90"/>
      <c r="F90" s="58"/>
      <c r="G90" s="59" t="s">
        <v>1</v>
      </c>
      <c r="H90" s="59" t="s">
        <v>2</v>
      </c>
      <c r="I90" s="59" t="s">
        <v>39</v>
      </c>
      <c r="J90" s="60" t="s">
        <v>40</v>
      </c>
      <c r="M90"/>
      <c r="N90"/>
      <c r="O90"/>
      <c r="P90" s="3" t="s">
        <v>41</v>
      </c>
      <c r="Q90" s="67" t="s">
        <v>42</v>
      </c>
      <c r="R90"/>
      <c r="S90"/>
      <c r="T90" s="7"/>
      <c r="U90" t="s">
        <v>11</v>
      </c>
      <c r="V90">
        <f>SUM(V86:V89)</f>
        <v>100</v>
      </c>
      <c r="W90">
        <f>SUM(W86:W89)</f>
        <v>100.00000000000001</v>
      </c>
      <c r="X90"/>
      <c r="Y90"/>
      <c r="Z90"/>
      <c r="AA90"/>
      <c r="AB90" t="s">
        <v>17</v>
      </c>
      <c r="AC90"/>
      <c r="AD90" s="3">
        <f>AVERAGE(AE70,AE66:AE68,AE64,AE48:AE62,AE42:AE46,AE15,AE6)</f>
        <v>17616.037037037036</v>
      </c>
      <c r="AE90">
        <f>AD90/$AE$75</f>
        <v>1.3265601462015522</v>
      </c>
      <c r="AF90"/>
      <c r="AG90"/>
      <c r="AH90"/>
      <c r="AI90" s="9" t="s">
        <v>21</v>
      </c>
      <c r="AJ90" s="9">
        <f>COUNT(AL63,AL57:AL60,AL55,AL40:AL53,AL37:AL38,AL34:AL35,AL27,AL18,AL5)</f>
        <v>27</v>
      </c>
      <c r="AK90" s="8">
        <f t="shared" ref="AK90:AK95" si="25">(AJ90/$AI$68)*100</f>
        <v>40.909090909090914</v>
      </c>
      <c r="AL90" s="8"/>
      <c r="AM90" s="9">
        <f>(AJ90/$AJ$90)*100</f>
        <v>100</v>
      </c>
      <c r="AN90" s="9"/>
      <c r="AO90"/>
      <c r="AP90"/>
      <c r="AQ90"/>
      <c r="AR90"/>
      <c r="AS90"/>
      <c r="AT90"/>
      <c r="AU90"/>
      <c r="AV90"/>
    </row>
    <row r="91" spans="4:48" x14ac:dyDescent="0.25">
      <c r="D91"/>
      <c r="E91"/>
      <c r="F91" s="61" t="s">
        <v>37</v>
      </c>
      <c r="G91" s="38">
        <f>H30</f>
        <v>18245</v>
      </c>
      <c r="H91" s="38">
        <f>I33</f>
        <v>4767</v>
      </c>
      <c r="I91" s="39">
        <f>G91/$G$93</f>
        <v>0.37499844962888546</v>
      </c>
      <c r="J91" s="62">
        <f>H91/$H$93</f>
        <v>0.41203531910137475</v>
      </c>
      <c r="M91"/>
      <c r="N91" t="s">
        <v>17</v>
      </c>
      <c r="O91"/>
      <c r="P91" s="3">
        <f>AVERAGE(Q68:Q69,Q66,Q60:Q64,Q52:Q58,Q48:Q51,Q41:Q46,Q25,Q23,Q18:Q19,Q14:Q15)</f>
        <v>15910.967741935483</v>
      </c>
      <c r="Q91">
        <f>P91/$Q$76</f>
        <v>1.3095564818909131</v>
      </c>
      <c r="R91"/>
      <c r="S91"/>
      <c r="T91" s="6"/>
      <c r="U91" s="3"/>
      <c r="V91" s="3" t="s">
        <v>41</v>
      </c>
      <c r="W91" s="67" t="s">
        <v>42</v>
      </c>
      <c r="X91" s="3"/>
      <c r="Y91" s="3"/>
      <c r="Z91" s="3"/>
      <c r="AA91"/>
      <c r="AB91" t="s">
        <v>18</v>
      </c>
      <c r="AC91"/>
      <c r="AD91" s="3">
        <f>AVERAGE(AE71:AE74,AE69,AE65,AE63,AE47,AE16:AE41,AE7:AE14,AE3:AE5)</f>
        <v>10677.555555555555</v>
      </c>
      <c r="AE91">
        <f>AD91/$AE$75</f>
        <v>0.80406391227906859</v>
      </c>
      <c r="AF91"/>
      <c r="AG91"/>
      <c r="AH91" s="3"/>
      <c r="AI91" s="20" t="s">
        <v>22</v>
      </c>
      <c r="AJ91" s="20">
        <f>COUNT(AK56,AK39,AK33)</f>
        <v>3</v>
      </c>
      <c r="AK91" s="10">
        <f t="shared" si="25"/>
        <v>4.5454545454545459</v>
      </c>
      <c r="AL91" s="10">
        <f>(AJ91/$AJ$89)*100</f>
        <v>11.538461538461538</v>
      </c>
      <c r="AM91" s="20"/>
      <c r="AN91" s="20"/>
      <c r="AO91"/>
      <c r="AP91"/>
      <c r="AQ91"/>
      <c r="AR91"/>
      <c r="AS91"/>
      <c r="AT91"/>
      <c r="AU91"/>
      <c r="AV91"/>
    </row>
    <row r="92" spans="4:48" x14ac:dyDescent="0.25">
      <c r="D92"/>
      <c r="E92"/>
      <c r="F92" s="61" t="s">
        <v>38</v>
      </c>
      <c r="G92" s="38">
        <f>H35</f>
        <v>103071</v>
      </c>
      <c r="H92" s="38">
        <f>I35</f>
        <v>23757</v>
      </c>
      <c r="I92" s="39">
        <f>G92/$G$93</f>
        <v>2.1184689066428528</v>
      </c>
      <c r="J92" s="62">
        <f>H92/$H$93</f>
        <v>2.0534346708393874</v>
      </c>
      <c r="M92"/>
      <c r="N92" t="s">
        <v>18</v>
      </c>
      <c r="O92"/>
      <c r="P92" s="3">
        <f>AVERAGE(Q70:Q75,Q67,Q65,Q59,Q47,Q26:Q40,Q24,Q20:Q22,Q16:Q17,Q3:Q13)</f>
        <v>9373.8571428571431</v>
      </c>
      <c r="Q92">
        <f>P92/$Q$76</f>
        <v>0.77151783479480218</v>
      </c>
      <c r="R92"/>
      <c r="S92"/>
      <c r="T92" s="6"/>
      <c r="U92" t="s">
        <v>16</v>
      </c>
      <c r="V92" s="3">
        <f>AVERAGE(W76,W55:W71,W50:W53,W47:W48,W44:W45,W40:W41,W17,W21,W28)</f>
        <v>84241.06451612903</v>
      </c>
      <c r="W92">
        <f>V92/$W$80</f>
        <v>1.5288633317286928</v>
      </c>
      <c r="X92"/>
      <c r="Y92"/>
      <c r="Z92"/>
      <c r="AA92"/>
      <c r="AB92"/>
      <c r="AC92"/>
      <c r="AD92"/>
      <c r="AE92"/>
      <c r="AF92"/>
      <c r="AG92"/>
      <c r="AH92"/>
      <c r="AI92" s="9" t="s">
        <v>23</v>
      </c>
      <c r="AJ92" s="9">
        <f>COUNT(AL43,AL27,AL18,AL5)</f>
        <v>4</v>
      </c>
      <c r="AK92" s="8">
        <f t="shared" si="25"/>
        <v>6.0606060606060606</v>
      </c>
      <c r="AL92" s="8"/>
      <c r="AM92" s="9">
        <f>(AJ92/$AJ$90)*100</f>
        <v>14.814814814814813</v>
      </c>
      <c r="AN92" s="9"/>
      <c r="AO92"/>
      <c r="AP92"/>
      <c r="AQ92"/>
      <c r="AR92"/>
      <c r="AS92"/>
      <c r="AT92"/>
      <c r="AU92"/>
      <c r="AV92"/>
    </row>
    <row r="93" spans="4:48" x14ac:dyDescent="0.25">
      <c r="D93"/>
      <c r="E93"/>
      <c r="F93" s="63" t="s">
        <v>4</v>
      </c>
      <c r="G93" s="64">
        <v>48653.534482758623</v>
      </c>
      <c r="H93" s="65">
        <v>11569.396551724138</v>
      </c>
      <c r="I93" s="65"/>
      <c r="J93" s="66"/>
      <c r="M93"/>
      <c r="N93"/>
      <c r="O93"/>
      <c r="P93"/>
      <c r="Q93"/>
      <c r="R93"/>
      <c r="S93"/>
      <c r="T93" s="7"/>
      <c r="U93" t="s">
        <v>19</v>
      </c>
      <c r="V93" s="3">
        <f>AVERAGE(W77:W79,W72:W75,W42,W29:W39,W22:W27,W18:W20,W3:W16)</f>
        <v>33046.333333333336</v>
      </c>
      <c r="W93">
        <f>V93/$W$80</f>
        <v>0.59974701853089263</v>
      </c>
      <c r="X93"/>
      <c r="Y93"/>
      <c r="Z93"/>
      <c r="AA93"/>
      <c r="AB93"/>
      <c r="AC93"/>
      <c r="AD93"/>
      <c r="AE93"/>
      <c r="AF93"/>
      <c r="AG93"/>
      <c r="AH93"/>
      <c r="AI93" s="7" t="s">
        <v>24</v>
      </c>
      <c r="AJ93" s="6">
        <f>AI68-AJ89</f>
        <v>40</v>
      </c>
      <c r="AK93" s="6">
        <f t="shared" si="25"/>
        <v>60.606060606060609</v>
      </c>
      <c r="AL93" s="6"/>
      <c r="AM93" s="7"/>
      <c r="AN93" s="7"/>
      <c r="AO93" s="3"/>
      <c r="AP93"/>
      <c r="AQ93"/>
      <c r="AR93"/>
      <c r="AS93"/>
      <c r="AT93"/>
      <c r="AU93"/>
      <c r="AV93"/>
    </row>
    <row r="94" spans="4:48" x14ac:dyDescent="0.25">
      <c r="D94"/>
      <c r="E94"/>
      <c r="M94"/>
      <c r="N94"/>
      <c r="O94"/>
      <c r="P94"/>
      <c r="Q94"/>
      <c r="R94"/>
      <c r="S94"/>
      <c r="T94" s="3"/>
      <c r="U94"/>
      <c r="V94"/>
      <c r="W94" s="3" t="s">
        <v>41</v>
      </c>
      <c r="X94" s="67" t="s">
        <v>42</v>
      </c>
      <c r="Y94"/>
      <c r="Z94"/>
      <c r="AA94"/>
      <c r="AB94" s="3"/>
      <c r="AC94" s="3"/>
      <c r="AD94" s="3" t="s">
        <v>27</v>
      </c>
      <c r="AE94" s="3" t="s">
        <v>28</v>
      </c>
      <c r="AF94" s="3" t="s">
        <v>29</v>
      </c>
      <c r="AG94" s="3"/>
      <c r="AH94"/>
      <c r="AI94" s="7" t="s">
        <v>25</v>
      </c>
      <c r="AJ94" s="6">
        <f>AI68-AJ90</f>
        <v>39</v>
      </c>
      <c r="AK94" s="6">
        <f t="shared" si="25"/>
        <v>59.090909090909093</v>
      </c>
      <c r="AL94" s="6"/>
      <c r="AM94" s="7"/>
      <c r="AN94" s="7"/>
      <c r="AO94"/>
      <c r="AP94"/>
      <c r="AQ94"/>
      <c r="AR94"/>
      <c r="AS94"/>
      <c r="AT94"/>
      <c r="AU94"/>
      <c r="AV94"/>
    </row>
    <row r="95" spans="4:48" x14ac:dyDescent="0.25">
      <c r="D95"/>
      <c r="E95"/>
      <c r="M95"/>
      <c r="N95" s="3"/>
      <c r="O95" s="3"/>
      <c r="P95" s="3" t="s">
        <v>27</v>
      </c>
      <c r="Q95" s="3" t="s">
        <v>28</v>
      </c>
      <c r="R95" s="3" t="s">
        <v>29</v>
      </c>
      <c r="S95" s="3"/>
      <c r="T95"/>
      <c r="U95" t="s">
        <v>17</v>
      </c>
      <c r="V95"/>
      <c r="W95" s="3">
        <f>AVERAGE(X47:X71,X43:X45,X40:X41,X21)</f>
        <v>19650.967741935485</v>
      </c>
      <c r="X95">
        <f>W95/$X$80</f>
        <v>1.3689333929194354</v>
      </c>
      <c r="Y95"/>
      <c r="Z95"/>
      <c r="AA95"/>
      <c r="AB95" s="10" t="s">
        <v>20</v>
      </c>
      <c r="AC95" s="10">
        <f>COUNT(AD70,AD66:AD68,AD64,AD48:AD62,AD42:AD46,AD15,AD6)</f>
        <v>27</v>
      </c>
      <c r="AD95" s="10">
        <f>(AC95/$AB$74)*100</f>
        <v>37.5</v>
      </c>
      <c r="AE95" s="10">
        <f>(AC95/$AC$95)*100</f>
        <v>100</v>
      </c>
      <c r="AF95" s="10"/>
      <c r="AG95" s="10"/>
      <c r="AH95"/>
      <c r="AI95" s="36" t="s">
        <v>26</v>
      </c>
      <c r="AJ95" s="33">
        <f>AJ89-AJ91</f>
        <v>23</v>
      </c>
      <c r="AK95" s="33">
        <f t="shared" si="25"/>
        <v>34.848484848484851</v>
      </c>
      <c r="AL95" s="33">
        <f>(AJ95/$AJ$89)*100</f>
        <v>88.461538461538453</v>
      </c>
      <c r="AM95" s="35">
        <f>(AJ95/$AJ$90)*100</f>
        <v>85.18518518518519</v>
      </c>
      <c r="AO95" s="3"/>
      <c r="AP95" s="3"/>
      <c r="AQ95" s="3"/>
      <c r="AR95" s="3"/>
      <c r="AS95" s="3"/>
      <c r="AT95" s="3"/>
      <c r="AU95" s="3"/>
      <c r="AV95" s="3"/>
    </row>
    <row r="96" spans="4:48" x14ac:dyDescent="0.25">
      <c r="D96"/>
      <c r="E96"/>
      <c r="M96" s="3"/>
      <c r="N96" s="10" t="s">
        <v>20</v>
      </c>
      <c r="O96" s="10">
        <f>COUNT(P68:P69,P66,P60:P64,P48:P58,P41:P46,P25,P23,P18:P19,P14:P15)</f>
        <v>31</v>
      </c>
      <c r="P96" s="10">
        <f>(O96/$N$75)*100</f>
        <v>42.465753424657535</v>
      </c>
      <c r="Q96" s="10">
        <f>(O96/$O$96)*100</f>
        <v>100</v>
      </c>
      <c r="R96" s="10"/>
      <c r="S96" s="10"/>
      <c r="T96" s="3"/>
      <c r="U96" t="s">
        <v>18</v>
      </c>
      <c r="V96"/>
      <c r="W96" s="3">
        <f>AVERAGE(X72:X79,X46,X42,X22:X39,X3:X20)</f>
        <v>10785.891304347826</v>
      </c>
      <c r="X96">
        <f>W96/$X$80</f>
        <v>0.75137097433690236</v>
      </c>
      <c r="Y96"/>
      <c r="Z96"/>
      <c r="AA96"/>
      <c r="AB96" s="9" t="s">
        <v>21</v>
      </c>
      <c r="AC96" s="9">
        <f>COUNT(AE73,AE69:AE70,AE58:AE67,AE53:AE56,AE48:AE50,AE51,AE46,AE42:AE43,AE26,AE22,AE15,AE6:AE10)</f>
        <v>32</v>
      </c>
      <c r="AD96" s="8">
        <f t="shared" ref="AD96:AD101" si="26">(AC96/$AB$74)*100</f>
        <v>44.444444444444443</v>
      </c>
      <c r="AE96" s="8"/>
      <c r="AF96" s="9">
        <f>(AC96/$AC$96)*100</f>
        <v>100</v>
      </c>
      <c r="AG96" s="9"/>
      <c r="AH96" s="3"/>
      <c r="AI96"/>
      <c r="AJ96"/>
      <c r="AK96"/>
      <c r="AL96"/>
      <c r="AM96"/>
      <c r="AN96"/>
      <c r="AO96" s="3"/>
      <c r="AP96"/>
      <c r="AQ96"/>
      <c r="AR96"/>
      <c r="AS96"/>
      <c r="AT96"/>
      <c r="AU96"/>
      <c r="AV96"/>
    </row>
    <row r="97" spans="4:48" x14ac:dyDescent="0.25">
      <c r="D97"/>
      <c r="E97"/>
      <c r="M97"/>
      <c r="N97" s="9" t="s">
        <v>21</v>
      </c>
      <c r="O97" s="9">
        <f>COUNT(Q72:Q73,Q66:Q69,Q60:Q63,Q48:Q58,Q41:Q46,Q25,Q23,Q18:Q19,Q14:Q15)</f>
        <v>33</v>
      </c>
      <c r="P97" s="8">
        <f t="shared" ref="P97:P102" si="27">(O97/$N$75)*100</f>
        <v>45.205479452054789</v>
      </c>
      <c r="Q97" s="8"/>
      <c r="R97" s="9">
        <f>(O97/$O$97)*100</f>
        <v>100</v>
      </c>
      <c r="S97" s="9"/>
      <c r="T97" s="3"/>
      <c r="U97"/>
      <c r="V97"/>
      <c r="W97"/>
      <c r="X97"/>
      <c r="Y97"/>
      <c r="Z97"/>
      <c r="AA97"/>
      <c r="AB97" s="20" t="s">
        <v>22</v>
      </c>
      <c r="AC97" s="20">
        <f>COUNT(AD68,AD57,AD52,AD44:AD45)</f>
        <v>5</v>
      </c>
      <c r="AD97" s="10">
        <f t="shared" si="26"/>
        <v>6.9444444444444446</v>
      </c>
      <c r="AE97" s="10">
        <f>(AC97/$AC$95)*100</f>
        <v>18.518518518518519</v>
      </c>
      <c r="AF97" s="20"/>
      <c r="AG97" s="20"/>
      <c r="AH97"/>
      <c r="AI97" s="58"/>
      <c r="AJ97" s="59" t="s">
        <v>1</v>
      </c>
      <c r="AK97" s="59" t="s">
        <v>2</v>
      </c>
      <c r="AL97" s="59" t="s">
        <v>39</v>
      </c>
      <c r="AM97" s="60" t="s">
        <v>40</v>
      </c>
      <c r="AP97"/>
      <c r="AQ97"/>
      <c r="AR97"/>
      <c r="AS97"/>
      <c r="AT97"/>
      <c r="AU97"/>
      <c r="AV97"/>
    </row>
    <row r="98" spans="4:48" x14ac:dyDescent="0.25">
      <c r="D98"/>
      <c r="E98"/>
      <c r="M98"/>
      <c r="N98" s="20" t="s">
        <v>22</v>
      </c>
      <c r="O98" s="20">
        <f>COUNT(Q64,Q51,Q43,Q25,Q18,Q15)</f>
        <v>6</v>
      </c>
      <c r="P98" s="10">
        <f t="shared" si="27"/>
        <v>8.2191780821917799</v>
      </c>
      <c r="Q98" s="10">
        <f>(O98/$O$96)*100</f>
        <v>19.35483870967742</v>
      </c>
      <c r="R98" s="20"/>
      <c r="S98" s="20"/>
      <c r="T98"/>
      <c r="U98"/>
      <c r="V98"/>
      <c r="W98"/>
      <c r="X98"/>
      <c r="Y98"/>
      <c r="Z98"/>
      <c r="AA98"/>
      <c r="AB98" s="9" t="s">
        <v>23</v>
      </c>
      <c r="AC98" s="9">
        <f>COUNT(AE73,AE69,AE65,AE63,AE26,AE22,AE7:AE10)</f>
        <v>10</v>
      </c>
      <c r="AD98" s="8">
        <f t="shared" si="26"/>
        <v>13.888888888888889</v>
      </c>
      <c r="AE98" s="8"/>
      <c r="AF98" s="9">
        <f>(AC98/$AC$96)*100</f>
        <v>31.25</v>
      </c>
      <c r="AG98" s="9"/>
      <c r="AH98" s="3"/>
      <c r="AI98" s="61" t="s">
        <v>37</v>
      </c>
      <c r="AJ98" s="38">
        <v>18275</v>
      </c>
      <c r="AK98" s="39">
        <v>5538</v>
      </c>
      <c r="AL98" s="39">
        <f>AJ98/$AJ$100</f>
        <v>0.28294603557686016</v>
      </c>
      <c r="AM98" s="62">
        <f>AK98/$AK$100</f>
        <v>0.44728459526830983</v>
      </c>
      <c r="AP98"/>
      <c r="AQ98"/>
      <c r="AR98"/>
      <c r="AS98"/>
      <c r="AT98"/>
      <c r="AU98"/>
      <c r="AV98"/>
    </row>
    <row r="99" spans="4:48" x14ac:dyDescent="0.25">
      <c r="D99"/>
      <c r="E99"/>
      <c r="M99" s="3"/>
      <c r="N99" s="9" t="s">
        <v>23</v>
      </c>
      <c r="O99" s="9">
        <f>COUNT(Q72:Q73,Q67,Q10)</f>
        <v>4</v>
      </c>
      <c r="P99" s="8">
        <f t="shared" si="27"/>
        <v>5.4794520547945202</v>
      </c>
      <c r="Q99" s="8"/>
      <c r="R99" s="9">
        <f>(O99/$O$97)*100</f>
        <v>12.121212121212121</v>
      </c>
      <c r="S99" s="9"/>
      <c r="T99" s="3"/>
      <c r="U99" s="3"/>
      <c r="V99" s="3"/>
      <c r="W99" s="3" t="s">
        <v>27</v>
      </c>
      <c r="X99" s="3" t="s">
        <v>28</v>
      </c>
      <c r="Y99" s="3" t="s">
        <v>29</v>
      </c>
      <c r="Z99" s="3"/>
      <c r="AA99"/>
      <c r="AB99" s="7" t="s">
        <v>24</v>
      </c>
      <c r="AC99" s="6">
        <f>AB74-AC95</f>
        <v>45</v>
      </c>
      <c r="AD99" s="6">
        <f t="shared" si="26"/>
        <v>62.5</v>
      </c>
      <c r="AE99" s="6"/>
      <c r="AF99" s="7"/>
      <c r="AG99" s="7"/>
      <c r="AH99" s="3"/>
      <c r="AI99" s="61" t="s">
        <v>38</v>
      </c>
      <c r="AJ99" s="38">
        <v>145137</v>
      </c>
      <c r="AK99" s="39">
        <v>27762</v>
      </c>
      <c r="AL99" s="39">
        <f>AJ99/$V$112</f>
        <v>2.6340436063058381</v>
      </c>
      <c r="AM99" s="62">
        <f>AK99/$AK$100</f>
        <v>2.2422381606787321</v>
      </c>
      <c r="AP99"/>
      <c r="AQ99"/>
      <c r="AR99"/>
      <c r="AS99"/>
      <c r="AT99"/>
      <c r="AU99"/>
      <c r="AV99"/>
    </row>
    <row r="100" spans="4:48" x14ac:dyDescent="0.25">
      <c r="D100"/>
      <c r="E100"/>
      <c r="M100"/>
      <c r="N100" s="7" t="s">
        <v>24</v>
      </c>
      <c r="O100" s="38">
        <f>N75-O96</f>
        <v>42</v>
      </c>
      <c r="P100" s="6">
        <f t="shared" si="27"/>
        <v>57.534246575342465</v>
      </c>
      <c r="Q100" s="38"/>
      <c r="T100" s="3"/>
      <c r="U100" s="10" t="s">
        <v>20</v>
      </c>
      <c r="V100" s="10">
        <f>COUNT(W47:W71,W43:W45,W40:W41,W21)</f>
        <v>31</v>
      </c>
      <c r="W100" s="10">
        <f>(V100/$U$79)*100</f>
        <v>40.259740259740262</v>
      </c>
      <c r="X100" s="10">
        <f>(V100/$V$100)*100</f>
        <v>100</v>
      </c>
      <c r="Y100" s="10"/>
      <c r="Z100" s="10"/>
      <c r="AA100"/>
      <c r="AB100" s="7" t="s">
        <v>25</v>
      </c>
      <c r="AC100" s="6">
        <f>AB74-AC96</f>
        <v>40</v>
      </c>
      <c r="AD100" s="6">
        <f t="shared" si="26"/>
        <v>55.555555555555557</v>
      </c>
      <c r="AE100" s="6"/>
      <c r="AF100" s="7"/>
      <c r="AG100" s="7"/>
      <c r="AH100"/>
      <c r="AI100" s="63" t="s">
        <v>4</v>
      </c>
      <c r="AJ100" s="64">
        <v>64588.28787878788</v>
      </c>
      <c r="AK100" s="65">
        <v>12381.378787878788</v>
      </c>
      <c r="AL100" s="65"/>
      <c r="AM100" s="66"/>
      <c r="AP100" s="3"/>
      <c r="AQ100" s="3"/>
      <c r="AR100" s="3"/>
      <c r="AS100" s="3"/>
      <c r="AT100" s="3"/>
      <c r="AU100" s="3"/>
      <c r="AV100" s="3"/>
    </row>
    <row r="101" spans="4:48" x14ac:dyDescent="0.25">
      <c r="D101"/>
      <c r="E101"/>
      <c r="M101"/>
      <c r="N101" s="7" t="s">
        <v>25</v>
      </c>
      <c r="O101" s="38">
        <f>N75-O97</f>
        <v>40</v>
      </c>
      <c r="P101" s="6">
        <f t="shared" si="27"/>
        <v>54.794520547945204</v>
      </c>
      <c r="Q101" s="38"/>
      <c r="R101" s="7"/>
      <c r="S101" s="7"/>
      <c r="T101"/>
      <c r="U101" s="9" t="s">
        <v>21</v>
      </c>
      <c r="V101" s="9">
        <f>COUNT(X76,X55:X71,X50:X53,X44:X48,X40:X41,X28,X21,X17)</f>
        <v>32</v>
      </c>
      <c r="W101" s="8">
        <f t="shared" ref="W101:W106" si="28">(V101/$U$79)*100</f>
        <v>41.558441558441558</v>
      </c>
      <c r="X101" s="8"/>
      <c r="Y101" s="9">
        <f>(V101/$V$101)*100</f>
        <v>100</v>
      </c>
      <c r="Z101" s="9"/>
      <c r="AA101"/>
      <c r="AB101" s="36" t="s">
        <v>26</v>
      </c>
      <c r="AC101" s="33">
        <f>AC95-AC97</f>
        <v>22</v>
      </c>
      <c r="AD101" s="33">
        <f t="shared" si="26"/>
        <v>30.555555555555557</v>
      </c>
      <c r="AE101" s="33">
        <f>(AC101/$AC$95)*100</f>
        <v>81.481481481481481</v>
      </c>
      <c r="AF101" s="35">
        <f>(AC101/$AC$96)*100</f>
        <v>68.75</v>
      </c>
      <c r="AH101" s="3"/>
      <c r="AP101"/>
      <c r="AQ101"/>
      <c r="AR101"/>
      <c r="AS101"/>
      <c r="AT101"/>
      <c r="AU101"/>
      <c r="AV101"/>
    </row>
    <row r="102" spans="4:48" x14ac:dyDescent="0.25">
      <c r="D102"/>
      <c r="E102"/>
      <c r="M102"/>
      <c r="N102" s="36" t="s">
        <v>26</v>
      </c>
      <c r="O102" s="33">
        <f>O96-O98</f>
        <v>25</v>
      </c>
      <c r="P102" s="33">
        <f t="shared" si="27"/>
        <v>34.246575342465754</v>
      </c>
      <c r="Q102" s="33">
        <f>(O102/$O$96)*100</f>
        <v>80.645161290322577</v>
      </c>
      <c r="R102" s="35">
        <f>(O102/$O$97)*100</f>
        <v>75.757575757575751</v>
      </c>
      <c r="U102" s="20" t="s">
        <v>22</v>
      </c>
      <c r="V102" s="20">
        <f>COUNT(W54,W49,W43)</f>
        <v>3</v>
      </c>
      <c r="W102" s="10">
        <f t="shared" si="28"/>
        <v>3.8961038961038961</v>
      </c>
      <c r="X102" s="10">
        <f>(V102/$V$100)*100</f>
        <v>9.67741935483871</v>
      </c>
      <c r="Y102" s="20"/>
      <c r="Z102" s="20"/>
      <c r="AA102"/>
      <c r="AB102" s="7"/>
      <c r="AC102" s="7"/>
      <c r="AD102" s="7"/>
      <c r="AE102" s="7"/>
      <c r="AF102" s="7"/>
      <c r="AG102" s="7"/>
      <c r="AH102" s="3"/>
      <c r="AP102" s="3"/>
      <c r="AQ102" s="3"/>
      <c r="AR102" s="3"/>
      <c r="AS102" s="3"/>
      <c r="AT102" s="3"/>
      <c r="AU102" s="3"/>
      <c r="AV102" s="3"/>
    </row>
    <row r="103" spans="4:48" x14ac:dyDescent="0.25">
      <c r="D103"/>
      <c r="E103"/>
      <c r="M103" s="3"/>
      <c r="U103" s="9" t="s">
        <v>23</v>
      </c>
      <c r="V103" s="9">
        <f>COUNT(X76,X28,X17,X46)</f>
        <v>4</v>
      </c>
      <c r="W103" s="8">
        <f t="shared" si="28"/>
        <v>5.1948051948051948</v>
      </c>
      <c r="X103" s="8"/>
      <c r="Y103" s="9">
        <f>(V103/$V$101)*100</f>
        <v>12.5</v>
      </c>
      <c r="Z103" s="9"/>
      <c r="AA103"/>
      <c r="AP103" s="3"/>
      <c r="AQ103" s="3"/>
      <c r="AR103" s="3"/>
      <c r="AS103" s="3"/>
      <c r="AT103" s="3"/>
      <c r="AU103" s="3"/>
      <c r="AV103" s="3"/>
    </row>
    <row r="104" spans="4:48" x14ac:dyDescent="0.25">
      <c r="D104"/>
      <c r="E104"/>
      <c r="M104"/>
      <c r="U104" s="7" t="s">
        <v>24</v>
      </c>
      <c r="V104" s="6">
        <f>U79-V100</f>
        <v>46</v>
      </c>
      <c r="W104" s="6">
        <f t="shared" si="28"/>
        <v>59.740259740259738</v>
      </c>
      <c r="X104" s="6"/>
      <c r="Y104" s="7"/>
      <c r="Z104" s="7"/>
      <c r="AA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</row>
    <row r="105" spans="4:48" x14ac:dyDescent="0.25">
      <c r="D105"/>
      <c r="E105"/>
      <c r="M105"/>
      <c r="N105" s="58"/>
      <c r="O105" s="59" t="s">
        <v>1</v>
      </c>
      <c r="P105" s="59" t="s">
        <v>2</v>
      </c>
      <c r="Q105" s="59" t="s">
        <v>39</v>
      </c>
      <c r="R105" s="60" t="s">
        <v>40</v>
      </c>
      <c r="U105" s="7" t="s">
        <v>25</v>
      </c>
      <c r="V105" s="6">
        <f>U79-V101</f>
        <v>45</v>
      </c>
      <c r="W105" s="6">
        <f t="shared" si="28"/>
        <v>58.441558441558442</v>
      </c>
      <c r="X105" s="6"/>
      <c r="Y105" s="7"/>
      <c r="Z105" s="7"/>
      <c r="AA105"/>
      <c r="AB105" s="58"/>
      <c r="AC105" s="59" t="s">
        <v>1</v>
      </c>
      <c r="AD105" s="59" t="s">
        <v>2</v>
      </c>
      <c r="AE105" s="59" t="s">
        <v>39</v>
      </c>
      <c r="AF105" s="60" t="s">
        <v>40</v>
      </c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</row>
    <row r="106" spans="4:48" x14ac:dyDescent="0.25">
      <c r="D106"/>
      <c r="E106"/>
      <c r="M106"/>
      <c r="N106" s="61" t="s">
        <v>37</v>
      </c>
      <c r="O106" s="38">
        <v>19630</v>
      </c>
      <c r="P106" s="39">
        <v>5945</v>
      </c>
      <c r="Q106" s="39">
        <f>O106/$O$108</f>
        <v>0.3428111427556419</v>
      </c>
      <c r="R106" s="62">
        <f>P106/$P$108</f>
        <v>0.48930482489272131</v>
      </c>
      <c r="U106" s="36" t="s">
        <v>26</v>
      </c>
      <c r="V106" s="33">
        <f>V100-V102</f>
        <v>28</v>
      </c>
      <c r="W106" s="33">
        <f t="shared" si="28"/>
        <v>36.363636363636367</v>
      </c>
      <c r="X106" s="33">
        <f>(V106/$V$100)*100</f>
        <v>90.322580645161281</v>
      </c>
      <c r="Y106" s="35">
        <f>(V106/$V$101)*100</f>
        <v>87.5</v>
      </c>
      <c r="AA106"/>
      <c r="AB106" s="61" t="s">
        <v>37</v>
      </c>
      <c r="AC106" s="38">
        <v>18597</v>
      </c>
      <c r="AD106" s="39">
        <v>4185</v>
      </c>
      <c r="AE106" s="39">
        <f>AC106/$AC$108</f>
        <v>0.30757858336202804</v>
      </c>
      <c r="AF106" s="62">
        <f>AD106/$AD$108</f>
        <v>0.31514773726811302</v>
      </c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spans="4:48" x14ac:dyDescent="0.25">
      <c r="D107"/>
      <c r="E107"/>
      <c r="M107"/>
      <c r="N107" s="61" t="s">
        <v>38</v>
      </c>
      <c r="O107" s="38">
        <v>124270</v>
      </c>
      <c r="P107" s="39">
        <v>28981</v>
      </c>
      <c r="Q107" s="39">
        <f>O107/$O$108</f>
        <v>2.1702058436191347</v>
      </c>
      <c r="R107" s="62">
        <f>P107/$P$108</f>
        <v>2.3852890042415402</v>
      </c>
      <c r="AA107"/>
      <c r="AB107" s="61" t="s">
        <v>38</v>
      </c>
      <c r="AC107" s="38">
        <v>130472</v>
      </c>
      <c r="AD107" s="39">
        <v>29934</v>
      </c>
      <c r="AE107" s="39">
        <f>AC107/$V$112</f>
        <v>2.36789335181198</v>
      </c>
      <c r="AF107" s="62">
        <f>AD107/$AD$108</f>
        <v>2.2541534928037503</v>
      </c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spans="4:48" x14ac:dyDescent="0.25">
      <c r="D108"/>
      <c r="E108"/>
      <c r="M108" s="7"/>
      <c r="N108" s="63" t="s">
        <v>4</v>
      </c>
      <c r="O108" s="64">
        <v>57261.849315068495</v>
      </c>
      <c r="P108" s="65">
        <v>12149.890410958904</v>
      </c>
      <c r="Q108" s="65"/>
      <c r="R108" s="66"/>
      <c r="T108"/>
      <c r="AA108" s="3"/>
      <c r="AB108" s="63" t="s">
        <v>4</v>
      </c>
      <c r="AC108" s="64">
        <v>60462.597222222219</v>
      </c>
      <c r="AD108" s="65">
        <v>13279.486111111111</v>
      </c>
      <c r="AE108" s="65"/>
      <c r="AF108" s="66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</row>
    <row r="109" spans="4:48" x14ac:dyDescent="0.25">
      <c r="D109"/>
      <c r="E109"/>
      <c r="M109" s="7"/>
      <c r="N109" s="7"/>
      <c r="O109"/>
      <c r="P109"/>
      <c r="Q109"/>
      <c r="R109"/>
      <c r="S109"/>
      <c r="T109"/>
      <c r="U109" s="58"/>
      <c r="V109" s="59" t="s">
        <v>1</v>
      </c>
      <c r="W109" s="59" t="s">
        <v>2</v>
      </c>
      <c r="X109" s="59" t="s">
        <v>39</v>
      </c>
      <c r="Y109" s="60" t="s">
        <v>40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4:48" x14ac:dyDescent="0.25">
      <c r="D110"/>
      <c r="E110"/>
      <c r="M110" s="7"/>
      <c r="N110" s="7"/>
      <c r="O110"/>
      <c r="P110"/>
      <c r="Q110"/>
      <c r="R110"/>
      <c r="S110"/>
      <c r="T110"/>
      <c r="U110" s="61" t="s">
        <v>37</v>
      </c>
      <c r="V110" s="38">
        <v>17793</v>
      </c>
      <c r="W110" s="39">
        <v>6793</v>
      </c>
      <c r="X110" s="39">
        <f>V110/$V$112</f>
        <v>0.32291929616155618</v>
      </c>
      <c r="Y110" s="62">
        <f>W110/$W$112</f>
        <v>0.47321662017983757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4:48" x14ac:dyDescent="0.25">
      <c r="U111" s="61" t="s">
        <v>38</v>
      </c>
      <c r="V111" s="38">
        <v>144209</v>
      </c>
      <c r="W111" s="39">
        <v>36588</v>
      </c>
      <c r="X111" s="39">
        <f>V111/$V$112</f>
        <v>2.6172016399798714</v>
      </c>
      <c r="Y111" s="62">
        <f>W111/$W$112</f>
        <v>2.5488075517650368</v>
      </c>
      <c r="AA111"/>
    </row>
    <row r="112" spans="4:48" x14ac:dyDescent="0.25">
      <c r="U112" s="63" t="s">
        <v>4</v>
      </c>
      <c r="V112" s="64">
        <v>55100.454545454544</v>
      </c>
      <c r="W112" s="65">
        <v>14354.948051948051</v>
      </c>
      <c r="X112" s="65"/>
      <c r="Y112" s="66"/>
    </row>
    <row r="113" spans="5:95" x14ac:dyDescent="0.25"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</row>
    <row r="120" spans="5:95" x14ac:dyDescent="0.25"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2" spans="5:95" x14ac:dyDescent="0.25">
      <c r="E122" s="5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</row>
    <row r="124" spans="5:95" x14ac:dyDescent="0.25"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</row>
  </sheetData>
  <sortState ref="R5:R71">
    <sortCondition ref="R5"/>
  </sortState>
  <mergeCells count="6">
    <mergeCell ref="F1:K1"/>
    <mergeCell ref="AI1:AL1"/>
    <mergeCell ref="AQ18:AV18"/>
    <mergeCell ref="N1:Q1"/>
    <mergeCell ref="U1:X1"/>
    <mergeCell ref="AB1:AE1"/>
  </mergeCells>
  <conditionalFormatting sqref="H3:H60">
    <cfRule type="top10" dxfId="59" priority="21" bottom="1" rank="1"/>
    <cfRule type="top10" dxfId="58" priority="22" rank="1"/>
    <cfRule type="cellIs" dxfId="57" priority="31" operator="greaterThan">
      <formula>$H$61</formula>
    </cfRule>
  </conditionalFormatting>
  <conditionalFormatting sqref="I3:I60">
    <cfRule type="top10" dxfId="56" priority="19" bottom="1" rank="1"/>
    <cfRule type="top10" dxfId="55" priority="20" rank="1"/>
    <cfRule type="cellIs" dxfId="54" priority="30" operator="greaterThan">
      <formula>$I$61</formula>
    </cfRule>
  </conditionalFormatting>
  <conditionalFormatting sqref="P3:P75">
    <cfRule type="top10" dxfId="53" priority="17" bottom="1" rank="1"/>
    <cfRule type="top10" dxfId="52" priority="18" rank="1"/>
    <cfRule type="cellIs" dxfId="51" priority="29" operator="greaterThan">
      <formula>$P$76</formula>
    </cfRule>
  </conditionalFormatting>
  <conditionalFormatting sqref="Q3:Q75">
    <cfRule type="top10" dxfId="50" priority="15" bottom="1" rank="1"/>
    <cfRule type="top10" dxfId="49" priority="16" rank="1"/>
    <cfRule type="cellIs" dxfId="48" priority="28" operator="greaterThan">
      <formula>$Q$76</formula>
    </cfRule>
  </conditionalFormatting>
  <conditionalFormatting sqref="W3:W79">
    <cfRule type="top10" dxfId="47" priority="13" bottom="1" rank="1"/>
    <cfRule type="top10" dxfId="46" priority="14" rank="1"/>
    <cfRule type="cellIs" dxfId="45" priority="27" operator="greaterThan">
      <formula>$W$80</formula>
    </cfRule>
  </conditionalFormatting>
  <conditionalFormatting sqref="X3:X79">
    <cfRule type="top10" dxfId="44" priority="11" bottom="1" rank="1"/>
    <cfRule type="top10" dxfId="43" priority="12" rank="1"/>
    <cfRule type="cellIs" dxfId="42" priority="25" operator="greaterThan">
      <formula>$X$80</formula>
    </cfRule>
  </conditionalFormatting>
  <conditionalFormatting sqref="AD3:AD74">
    <cfRule type="top10" dxfId="41" priority="9" bottom="1" rank="1"/>
    <cfRule type="top10" dxfId="40" priority="10" rank="1"/>
    <cfRule type="cellIs" dxfId="39" priority="24" operator="greaterThan">
      <formula>$AD$75</formula>
    </cfRule>
  </conditionalFormatting>
  <conditionalFormatting sqref="AE3:AE74">
    <cfRule type="top10" dxfId="38" priority="7" bottom="1" rank="1"/>
    <cfRule type="top10" dxfId="37" priority="8" rank="1"/>
    <cfRule type="cellIs" dxfId="36" priority="23" operator="greaterThan">
      <formula>$AE$75</formula>
    </cfRule>
  </conditionalFormatting>
  <conditionalFormatting sqref="AK3:AK68">
    <cfRule type="top10" dxfId="35" priority="4" bottom="1" rank="1"/>
    <cfRule type="top10" dxfId="34" priority="5" rank="1"/>
    <cfRule type="cellIs" dxfId="33" priority="6" operator="greaterThan">
      <formula>$AK$69</formula>
    </cfRule>
  </conditionalFormatting>
  <conditionalFormatting sqref="AL3:AL68">
    <cfRule type="cellIs" dxfId="32" priority="1" operator="greaterThan">
      <formula>$AL$69</formula>
    </cfRule>
    <cfRule type="top10" dxfId="31" priority="2" bottom="1" rank="1"/>
    <cfRule type="top10" dxfId="30" priority="3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8"/>
  <sheetViews>
    <sheetView topLeftCell="G26" zoomScale="70" zoomScaleNormal="70" workbookViewId="0">
      <selection activeCell="M19" sqref="M19:N72"/>
    </sheetView>
  </sheetViews>
  <sheetFormatPr defaultColWidth="8.85546875" defaultRowHeight="15" x14ac:dyDescent="0.25"/>
  <cols>
    <col min="3" max="3" width="22.85546875" bestFit="1" customWidth="1"/>
    <col min="9" max="9" width="22.85546875" bestFit="1" customWidth="1"/>
    <col min="17" max="17" width="22.85546875" bestFit="1" customWidth="1"/>
    <col min="24" max="24" width="22.85546875" bestFit="1" customWidth="1"/>
    <col min="30" max="30" width="22.85546875" bestFit="1" customWidth="1"/>
    <col min="37" max="37" width="23.28515625" bestFit="1" customWidth="1"/>
    <col min="39" max="39" width="11" bestFit="1" customWidth="1"/>
    <col min="40" max="41" width="12.42578125" bestFit="1" customWidth="1"/>
    <col min="42" max="42" width="11.140625" bestFit="1" customWidth="1"/>
  </cols>
  <sheetData>
    <row r="1" spans="1:42" x14ac:dyDescent="0.25">
      <c r="A1" s="2" t="s">
        <v>3</v>
      </c>
      <c r="C1" s="122">
        <v>1</v>
      </c>
      <c r="D1" s="122"/>
      <c r="E1" s="122"/>
      <c r="F1" s="122"/>
      <c r="I1" s="121">
        <v>2</v>
      </c>
      <c r="J1" s="121"/>
      <c r="K1" s="121"/>
      <c r="L1" s="121"/>
      <c r="M1" s="121"/>
      <c r="N1" s="121"/>
      <c r="Q1" s="122">
        <v>3</v>
      </c>
      <c r="R1" s="122"/>
      <c r="S1" s="122"/>
      <c r="T1" s="122"/>
      <c r="X1" s="122">
        <v>4</v>
      </c>
      <c r="Y1" s="122"/>
      <c r="Z1" s="122"/>
      <c r="AA1" s="122"/>
      <c r="AD1" s="122">
        <v>5</v>
      </c>
      <c r="AE1" s="122"/>
      <c r="AF1" s="122"/>
      <c r="AG1" s="122"/>
      <c r="AI1" s="48"/>
    </row>
    <row r="2" spans="1:42" x14ac:dyDescent="0.25">
      <c r="D2" t="s">
        <v>6</v>
      </c>
      <c r="E2" t="s">
        <v>1</v>
      </c>
      <c r="F2" t="s">
        <v>2</v>
      </c>
      <c r="J2" t="s">
        <v>6</v>
      </c>
      <c r="K2" t="s">
        <v>1</v>
      </c>
      <c r="L2" t="s">
        <v>2</v>
      </c>
      <c r="M2" t="s">
        <v>39</v>
      </c>
      <c r="N2" t="s">
        <v>40</v>
      </c>
      <c r="R2" t="s">
        <v>6</v>
      </c>
      <c r="S2" t="s">
        <v>1</v>
      </c>
      <c r="T2" t="s">
        <v>2</v>
      </c>
      <c r="Y2" t="s">
        <v>6</v>
      </c>
      <c r="Z2" t="s">
        <v>1</v>
      </c>
      <c r="AA2" t="s">
        <v>2</v>
      </c>
      <c r="AE2" t="s">
        <v>6</v>
      </c>
      <c r="AF2" t="s">
        <v>1</v>
      </c>
      <c r="AG2" t="s">
        <v>2</v>
      </c>
      <c r="AI2" s="7"/>
    </row>
    <row r="3" spans="1:42" x14ac:dyDescent="0.25">
      <c r="C3">
        <v>1</v>
      </c>
      <c r="D3" s="4">
        <v>28004</v>
      </c>
      <c r="E3" s="103">
        <v>108939</v>
      </c>
      <c r="F3" s="104">
        <v>21909</v>
      </c>
      <c r="I3" s="6">
        <v>1</v>
      </c>
      <c r="J3" s="4">
        <v>38969</v>
      </c>
      <c r="K3" s="3">
        <v>63068</v>
      </c>
      <c r="L3" s="3">
        <v>6288</v>
      </c>
      <c r="M3" s="39">
        <f>K3/$K$73</f>
        <v>1.0748661213727384</v>
      </c>
      <c r="N3" s="39">
        <f>L3/$L$73</f>
        <v>0.38203988956116969</v>
      </c>
      <c r="O3" s="39"/>
      <c r="Q3" s="6">
        <v>1</v>
      </c>
      <c r="R3" s="4">
        <v>32489</v>
      </c>
      <c r="S3" s="103">
        <v>152905</v>
      </c>
      <c r="T3" s="104">
        <v>32292</v>
      </c>
      <c r="X3" s="6">
        <v>1</v>
      </c>
      <c r="Y3" s="4">
        <v>34628</v>
      </c>
      <c r="Z3" s="3">
        <v>58672</v>
      </c>
      <c r="AA3" s="3">
        <v>19772</v>
      </c>
      <c r="AB3" s="7"/>
      <c r="AC3" s="7"/>
      <c r="AD3" s="6">
        <v>1</v>
      </c>
      <c r="AE3" s="4">
        <v>32521</v>
      </c>
      <c r="AF3" s="3">
        <v>64821</v>
      </c>
      <c r="AG3" s="3">
        <v>13162</v>
      </c>
      <c r="AH3" s="7"/>
      <c r="AI3" s="7"/>
    </row>
    <row r="4" spans="1:42" x14ac:dyDescent="0.25">
      <c r="C4">
        <v>2</v>
      </c>
      <c r="D4" s="4">
        <v>17514</v>
      </c>
      <c r="E4" s="107">
        <v>65796</v>
      </c>
      <c r="F4" s="108">
        <v>16014</v>
      </c>
      <c r="I4" s="6">
        <v>2</v>
      </c>
      <c r="J4" s="4">
        <v>62428</v>
      </c>
      <c r="K4" s="103">
        <v>108840</v>
      </c>
      <c r="L4" s="104">
        <v>25283</v>
      </c>
      <c r="M4" s="39">
        <f t="shared" ref="M4:M67" si="0">K4/$K$73</f>
        <v>1.8549570091045988</v>
      </c>
      <c r="N4" s="39">
        <f t="shared" ref="N4:N67" si="1">L4/$L$73</f>
        <v>1.5361187226105364</v>
      </c>
      <c r="O4" s="39"/>
      <c r="Q4" s="6">
        <v>2</v>
      </c>
      <c r="R4" s="4">
        <v>29993</v>
      </c>
      <c r="S4" s="107">
        <v>88448</v>
      </c>
      <c r="T4" s="108">
        <v>20537</v>
      </c>
      <c r="X4" s="6">
        <v>2</v>
      </c>
      <c r="Y4" s="4">
        <v>30917</v>
      </c>
      <c r="Z4" s="3">
        <v>55400</v>
      </c>
      <c r="AA4" s="3">
        <v>17883</v>
      </c>
      <c r="AB4" s="7"/>
      <c r="AC4" s="7"/>
      <c r="AD4" s="6">
        <v>2</v>
      </c>
      <c r="AE4" s="4">
        <v>33340</v>
      </c>
      <c r="AF4" s="3">
        <v>74732</v>
      </c>
      <c r="AG4" s="3">
        <v>12614</v>
      </c>
      <c r="AH4" s="7"/>
      <c r="AI4" s="7"/>
    </row>
    <row r="5" spans="1:42" x14ac:dyDescent="0.25">
      <c r="C5">
        <v>3</v>
      </c>
      <c r="D5" s="4">
        <v>29483</v>
      </c>
      <c r="E5" s="107">
        <v>78767</v>
      </c>
      <c r="F5" s="108">
        <v>18198</v>
      </c>
      <c r="I5" s="6">
        <v>3</v>
      </c>
      <c r="J5" s="4">
        <v>70785</v>
      </c>
      <c r="K5" s="107">
        <v>118860</v>
      </c>
      <c r="L5" s="108">
        <v>29491</v>
      </c>
      <c r="M5" s="39">
        <f t="shared" si="0"/>
        <v>2.0257275827101489</v>
      </c>
      <c r="N5" s="39">
        <f t="shared" si="1"/>
        <v>1.7917840939962557</v>
      </c>
      <c r="O5" s="39"/>
      <c r="Q5" s="6">
        <v>3</v>
      </c>
      <c r="R5" s="4">
        <v>28909</v>
      </c>
      <c r="S5" s="105">
        <v>77705</v>
      </c>
      <c r="T5" s="106">
        <v>26330</v>
      </c>
      <c r="X5" s="6">
        <v>3</v>
      </c>
      <c r="Y5" s="4">
        <v>53468</v>
      </c>
      <c r="Z5" s="3">
        <v>70138</v>
      </c>
      <c r="AA5" s="3">
        <v>15277</v>
      </c>
      <c r="AB5" s="7"/>
      <c r="AC5" s="7"/>
      <c r="AD5" s="6">
        <v>3</v>
      </c>
      <c r="AE5" s="4">
        <v>29162</v>
      </c>
      <c r="AF5" s="3">
        <v>59178</v>
      </c>
      <c r="AG5" s="3">
        <v>14283</v>
      </c>
      <c r="AH5" s="7"/>
      <c r="AI5" s="7"/>
    </row>
    <row r="6" spans="1:42" x14ac:dyDescent="0.25">
      <c r="C6">
        <v>4</v>
      </c>
      <c r="D6" s="4">
        <v>35271</v>
      </c>
      <c r="E6" s="107">
        <v>124380</v>
      </c>
      <c r="F6" s="108">
        <v>24904</v>
      </c>
      <c r="I6" s="6">
        <v>4</v>
      </c>
      <c r="J6" s="4">
        <v>64251</v>
      </c>
      <c r="K6" s="107">
        <v>88025</v>
      </c>
      <c r="L6" s="108">
        <v>18609</v>
      </c>
      <c r="M6" s="39">
        <f t="shared" si="0"/>
        <v>1.5002075590447659</v>
      </c>
      <c r="N6" s="39">
        <f t="shared" si="1"/>
        <v>1.130626638811038</v>
      </c>
      <c r="O6" s="39"/>
      <c r="Q6" s="6">
        <v>4</v>
      </c>
      <c r="R6" s="4">
        <v>34321</v>
      </c>
      <c r="S6" s="3">
        <v>87255</v>
      </c>
      <c r="T6" s="3">
        <v>18307</v>
      </c>
      <c r="X6" s="6">
        <v>4</v>
      </c>
      <c r="Y6" s="4">
        <v>58962</v>
      </c>
      <c r="Z6" s="109">
        <v>84502</v>
      </c>
      <c r="AA6" s="110">
        <v>30364</v>
      </c>
      <c r="AB6" s="7"/>
      <c r="AC6" s="7"/>
      <c r="AD6" s="6">
        <v>4</v>
      </c>
      <c r="AE6" s="4">
        <v>25792</v>
      </c>
      <c r="AF6" s="3">
        <v>46075</v>
      </c>
      <c r="AG6" s="3">
        <v>14849</v>
      </c>
      <c r="AH6" s="7"/>
      <c r="AI6" s="7"/>
    </row>
    <row r="7" spans="1:42" x14ac:dyDescent="0.25">
      <c r="C7">
        <v>5</v>
      </c>
      <c r="D7" s="4">
        <v>34600</v>
      </c>
      <c r="E7" s="107">
        <v>91760</v>
      </c>
      <c r="F7" s="108">
        <v>17229</v>
      </c>
      <c r="I7" s="6">
        <v>5</v>
      </c>
      <c r="J7" s="4">
        <v>59006</v>
      </c>
      <c r="K7" s="105">
        <v>78789</v>
      </c>
      <c r="L7" s="106">
        <v>18972</v>
      </c>
      <c r="M7" s="39">
        <f t="shared" si="0"/>
        <v>1.3427986750307079</v>
      </c>
      <c r="N7" s="39">
        <f t="shared" si="1"/>
        <v>1.1526814225118498</v>
      </c>
      <c r="O7" s="39"/>
      <c r="Q7" s="6">
        <v>5</v>
      </c>
      <c r="R7" s="4">
        <v>25304</v>
      </c>
      <c r="S7" s="3">
        <v>63576</v>
      </c>
      <c r="T7" s="3">
        <v>14250</v>
      </c>
      <c r="X7" s="6">
        <v>5</v>
      </c>
      <c r="Y7" s="4">
        <v>56676</v>
      </c>
      <c r="Z7" s="3">
        <v>85608</v>
      </c>
      <c r="AA7" s="3">
        <v>18122</v>
      </c>
      <c r="AB7" s="7"/>
      <c r="AC7" s="7"/>
      <c r="AD7" s="6">
        <v>5</v>
      </c>
      <c r="AE7" s="4">
        <v>30977</v>
      </c>
      <c r="AF7" s="103">
        <v>82205</v>
      </c>
      <c r="AG7" s="104">
        <v>19523</v>
      </c>
      <c r="AH7" s="7"/>
      <c r="AI7" s="7"/>
      <c r="AK7" s="124" t="s">
        <v>45</v>
      </c>
      <c r="AL7" s="124"/>
      <c r="AM7" s="124"/>
      <c r="AN7" s="124"/>
      <c r="AO7" s="124"/>
      <c r="AP7" s="124"/>
    </row>
    <row r="8" spans="1:42" x14ac:dyDescent="0.25">
      <c r="C8">
        <v>6</v>
      </c>
      <c r="D8" s="4">
        <v>27384</v>
      </c>
      <c r="E8" s="107">
        <v>96110</v>
      </c>
      <c r="F8" s="108">
        <v>19801</v>
      </c>
      <c r="I8" s="6">
        <v>6</v>
      </c>
      <c r="J8" s="4">
        <v>43126</v>
      </c>
      <c r="K8" s="3">
        <v>62402</v>
      </c>
      <c r="L8" s="3">
        <v>14931</v>
      </c>
      <c r="M8" s="39">
        <f t="shared" si="0"/>
        <v>1.0635155024085372</v>
      </c>
      <c r="N8" s="39">
        <f t="shared" si="1"/>
        <v>0.90716246676810186</v>
      </c>
      <c r="O8" s="39"/>
      <c r="Q8" s="6">
        <v>6</v>
      </c>
      <c r="R8" s="4">
        <v>46164</v>
      </c>
      <c r="S8" s="109">
        <v>93690</v>
      </c>
      <c r="T8" s="110">
        <v>24948</v>
      </c>
      <c r="X8" s="6">
        <v>6</v>
      </c>
      <c r="Y8" s="4">
        <v>58241</v>
      </c>
      <c r="Z8" s="103">
        <v>92545</v>
      </c>
      <c r="AA8" s="104">
        <v>26732</v>
      </c>
      <c r="AB8" s="7"/>
      <c r="AC8" s="7"/>
      <c r="AD8" s="6">
        <v>6</v>
      </c>
      <c r="AE8" s="4">
        <v>35625</v>
      </c>
      <c r="AF8" s="107">
        <v>67319</v>
      </c>
      <c r="AG8" s="108">
        <v>21844</v>
      </c>
      <c r="AH8" s="7"/>
      <c r="AI8" s="7"/>
      <c r="AK8" s="68"/>
      <c r="AL8" s="68"/>
      <c r="AM8" s="68" t="s">
        <v>43</v>
      </c>
      <c r="AN8" s="68" t="s">
        <v>44</v>
      </c>
      <c r="AO8" s="68" t="s">
        <v>39</v>
      </c>
      <c r="AP8" s="68" t="s">
        <v>40</v>
      </c>
    </row>
    <row r="9" spans="1:42" x14ac:dyDescent="0.25">
      <c r="C9">
        <v>7</v>
      </c>
      <c r="D9" s="4">
        <v>28524</v>
      </c>
      <c r="E9" s="107">
        <v>95979</v>
      </c>
      <c r="F9" s="108">
        <v>20874</v>
      </c>
      <c r="I9" s="6">
        <v>7</v>
      </c>
      <c r="J9" s="4">
        <v>51547</v>
      </c>
      <c r="K9" s="109">
        <v>78151</v>
      </c>
      <c r="L9" s="110">
        <v>19512</v>
      </c>
      <c r="M9" s="39">
        <f t="shared" si="0"/>
        <v>1.3319252592662028</v>
      </c>
      <c r="N9" s="39">
        <f t="shared" si="1"/>
        <v>1.1854901916535534</v>
      </c>
      <c r="O9" s="39"/>
      <c r="Q9" s="6">
        <v>7</v>
      </c>
      <c r="R9" s="4">
        <v>32091</v>
      </c>
      <c r="S9" s="3">
        <v>71955</v>
      </c>
      <c r="T9" s="3">
        <v>17409</v>
      </c>
      <c r="X9" s="6">
        <v>7</v>
      </c>
      <c r="Y9" s="4">
        <v>65496</v>
      </c>
      <c r="Z9" s="107">
        <v>95139</v>
      </c>
      <c r="AA9" s="108">
        <v>22243</v>
      </c>
      <c r="AB9" s="7"/>
      <c r="AC9" s="7"/>
      <c r="AD9" s="6">
        <v>7</v>
      </c>
      <c r="AE9" s="4">
        <v>47775</v>
      </c>
      <c r="AF9" s="107">
        <v>95625</v>
      </c>
      <c r="AG9" s="108">
        <v>29450</v>
      </c>
      <c r="AH9" s="7"/>
      <c r="AI9" s="6"/>
      <c r="AK9" t="s">
        <v>5</v>
      </c>
      <c r="AM9" s="3">
        <f t="shared" ref="AM9:AN11" si="2">AVERAGE(E83,K73,S74,Z63,AF71)</f>
        <v>60728.483722235382</v>
      </c>
      <c r="AN9" s="3">
        <f t="shared" si="2"/>
        <v>17675.040999921093</v>
      </c>
      <c r="AO9">
        <f>AM9/$AM$9</f>
        <v>1</v>
      </c>
      <c r="AP9">
        <f>AN9/$AN$9</f>
        <v>1</v>
      </c>
    </row>
    <row r="10" spans="1:42" x14ac:dyDescent="0.25">
      <c r="C10">
        <v>8</v>
      </c>
      <c r="D10" s="4">
        <v>27224</v>
      </c>
      <c r="E10" s="107">
        <v>114316</v>
      </c>
      <c r="F10" s="108">
        <v>26224</v>
      </c>
      <c r="I10" s="6">
        <v>8</v>
      </c>
      <c r="J10" s="4">
        <v>30622</v>
      </c>
      <c r="K10" s="3">
        <v>68171</v>
      </c>
      <c r="L10" s="3">
        <v>10244</v>
      </c>
      <c r="M10" s="39">
        <f t="shared" si="0"/>
        <v>1.1618364045173615</v>
      </c>
      <c r="N10" s="39">
        <f t="shared" si="1"/>
        <v>0.62239450201409385</v>
      </c>
      <c r="O10" s="39"/>
      <c r="Q10" s="6">
        <v>8</v>
      </c>
      <c r="R10" s="4">
        <v>37583</v>
      </c>
      <c r="S10" s="3">
        <v>94569</v>
      </c>
      <c r="T10" s="3">
        <v>18347</v>
      </c>
      <c r="X10" s="6">
        <v>8</v>
      </c>
      <c r="Y10" s="4">
        <v>68275</v>
      </c>
      <c r="Z10" s="107">
        <v>94968</v>
      </c>
      <c r="AA10" s="108">
        <v>24534</v>
      </c>
      <c r="AB10" s="7"/>
      <c r="AC10" s="7"/>
      <c r="AD10" s="6">
        <v>8</v>
      </c>
      <c r="AE10" s="4">
        <v>39863</v>
      </c>
      <c r="AF10" s="107">
        <v>99410</v>
      </c>
      <c r="AG10" s="108">
        <v>20165</v>
      </c>
      <c r="AH10" s="7"/>
      <c r="AI10" s="6"/>
      <c r="AK10" t="s">
        <v>8</v>
      </c>
      <c r="AM10" s="3">
        <f t="shared" si="2"/>
        <v>53627.487246179742</v>
      </c>
      <c r="AN10" s="3">
        <f t="shared" si="2"/>
        <v>16468.307551152549</v>
      </c>
      <c r="AO10">
        <f t="shared" ref="AO10:AO11" si="3">AM10/$AM$9</f>
        <v>0.88306975506691843</v>
      </c>
      <c r="AP10">
        <f t="shared" ref="AP10:AP11" si="4">AN10/$AN$9</f>
        <v>0.93172669592257629</v>
      </c>
    </row>
    <row r="11" spans="1:42" x14ac:dyDescent="0.25">
      <c r="C11">
        <v>9</v>
      </c>
      <c r="D11" s="4">
        <v>25</v>
      </c>
      <c r="E11" s="107">
        <v>117727</v>
      </c>
      <c r="F11" s="108">
        <v>26512</v>
      </c>
      <c r="G11" s="3"/>
      <c r="H11" s="3"/>
      <c r="I11" s="6">
        <v>9</v>
      </c>
      <c r="J11" s="4">
        <v>42760</v>
      </c>
      <c r="K11" s="103">
        <v>82882</v>
      </c>
      <c r="L11" s="104">
        <v>22185</v>
      </c>
      <c r="M11" s="39">
        <f t="shared" si="0"/>
        <v>1.4125555570434341</v>
      </c>
      <c r="N11" s="39">
        <f t="shared" si="1"/>
        <v>1.3478935989049856</v>
      </c>
      <c r="O11" s="38"/>
      <c r="P11" s="3"/>
      <c r="Q11" s="6">
        <v>9</v>
      </c>
      <c r="R11" s="4">
        <v>40158</v>
      </c>
      <c r="S11" s="103">
        <v>139036</v>
      </c>
      <c r="T11" s="104">
        <v>47279</v>
      </c>
      <c r="U11" s="3"/>
      <c r="V11" s="3"/>
      <c r="W11" s="3"/>
      <c r="X11" s="6">
        <v>9</v>
      </c>
      <c r="Y11" s="4">
        <v>56106</v>
      </c>
      <c r="Z11" s="107">
        <v>86865</v>
      </c>
      <c r="AA11" s="108">
        <v>26418</v>
      </c>
      <c r="AB11" s="6"/>
      <c r="AC11" s="6"/>
      <c r="AD11" s="6">
        <v>9</v>
      </c>
      <c r="AE11" s="4">
        <v>32625</v>
      </c>
      <c r="AF11" s="107">
        <v>88946</v>
      </c>
      <c r="AG11" s="108">
        <v>22571</v>
      </c>
      <c r="AH11" s="6"/>
      <c r="AI11" s="6"/>
      <c r="AK11" s="5" t="s">
        <v>7</v>
      </c>
      <c r="AM11" s="3">
        <f t="shared" si="2"/>
        <v>86923.935833333322</v>
      </c>
      <c r="AN11" s="3">
        <f t="shared" si="2"/>
        <v>22147.145833333336</v>
      </c>
      <c r="AO11">
        <f t="shared" si="3"/>
        <v>1.431353633509322</v>
      </c>
      <c r="AP11">
        <f t="shared" si="4"/>
        <v>1.2530180740985102</v>
      </c>
    </row>
    <row r="12" spans="1:42" x14ac:dyDescent="0.25">
      <c r="C12">
        <v>10</v>
      </c>
      <c r="D12" s="4">
        <v>43262</v>
      </c>
      <c r="E12" s="107">
        <v>130306</v>
      </c>
      <c r="F12" s="108">
        <v>31235</v>
      </c>
      <c r="I12" s="6">
        <v>10</v>
      </c>
      <c r="J12" s="4">
        <v>46519</v>
      </c>
      <c r="K12" s="107">
        <v>65025</v>
      </c>
      <c r="L12" s="108">
        <v>20617</v>
      </c>
      <c r="M12" s="39">
        <f t="shared" si="0"/>
        <v>1.1082192164372155</v>
      </c>
      <c r="N12" s="39">
        <f t="shared" si="1"/>
        <v>1.2526266544342615</v>
      </c>
      <c r="O12" s="39"/>
      <c r="Q12" s="6">
        <v>10</v>
      </c>
      <c r="R12" s="4">
        <v>42587</v>
      </c>
      <c r="S12" s="107">
        <v>134910</v>
      </c>
      <c r="T12" s="108">
        <v>36303</v>
      </c>
      <c r="X12" s="6">
        <v>10</v>
      </c>
      <c r="Y12" s="4">
        <v>53242</v>
      </c>
      <c r="Z12" s="107">
        <v>87475</v>
      </c>
      <c r="AA12" s="108">
        <v>27929</v>
      </c>
      <c r="AB12" s="7"/>
      <c r="AC12" s="7"/>
      <c r="AD12" s="6">
        <v>10</v>
      </c>
      <c r="AE12" s="4">
        <v>35844</v>
      </c>
      <c r="AF12" s="107">
        <v>96195</v>
      </c>
      <c r="AG12" s="108">
        <v>33312</v>
      </c>
      <c r="AH12" s="7"/>
      <c r="AI12" s="7"/>
      <c r="AK12" t="s">
        <v>14</v>
      </c>
      <c r="AL12" s="3">
        <f>AVERAGE(D86,J76,R77,Y66,AE74)</f>
        <v>15</v>
      </c>
    </row>
    <row r="13" spans="1:42" x14ac:dyDescent="0.25">
      <c r="C13">
        <v>11</v>
      </c>
      <c r="D13" s="4">
        <v>34406</v>
      </c>
      <c r="E13" s="107">
        <v>93119</v>
      </c>
      <c r="F13" s="108">
        <v>18594</v>
      </c>
      <c r="I13" s="6">
        <v>11</v>
      </c>
      <c r="J13" s="4">
        <v>35051</v>
      </c>
      <c r="K13" s="107">
        <v>65158</v>
      </c>
      <c r="L13" s="108">
        <v>22316</v>
      </c>
      <c r="M13" s="39">
        <f t="shared" si="0"/>
        <v>1.1104859316357722</v>
      </c>
      <c r="N13" s="39">
        <f t="shared" si="1"/>
        <v>1.3558527632708433</v>
      </c>
      <c r="O13" s="39"/>
      <c r="Q13" s="6">
        <v>11</v>
      </c>
      <c r="R13" s="4">
        <v>39318</v>
      </c>
      <c r="S13" s="107">
        <v>116779</v>
      </c>
      <c r="T13" s="108">
        <v>32851</v>
      </c>
      <c r="X13" s="6">
        <v>11</v>
      </c>
      <c r="Y13" s="4">
        <v>46299</v>
      </c>
      <c r="Z13" s="107">
        <v>118474</v>
      </c>
      <c r="AA13" s="108">
        <v>31443</v>
      </c>
      <c r="AB13" s="7"/>
      <c r="AC13" s="7"/>
      <c r="AD13" s="6">
        <v>11</v>
      </c>
      <c r="AE13" s="4">
        <v>37078</v>
      </c>
      <c r="AF13" s="107">
        <v>82328</v>
      </c>
      <c r="AG13" s="108">
        <v>17767</v>
      </c>
      <c r="AH13" s="7"/>
      <c r="AI13" s="7"/>
      <c r="AK13" s="3" t="s">
        <v>9</v>
      </c>
      <c r="AL13" s="3">
        <f>AVERAGE(D87,J77,R78,Y67,AE75)</f>
        <v>21.534353177890875</v>
      </c>
      <c r="AM13" s="3"/>
      <c r="AN13" s="3"/>
      <c r="AO13" s="3"/>
    </row>
    <row r="14" spans="1:42" x14ac:dyDescent="0.25">
      <c r="C14">
        <v>12</v>
      </c>
      <c r="D14" s="4">
        <v>23857</v>
      </c>
      <c r="E14" s="107">
        <v>87088</v>
      </c>
      <c r="F14" s="108">
        <v>15791</v>
      </c>
      <c r="I14" s="6">
        <v>12</v>
      </c>
      <c r="J14" s="4">
        <v>43814</v>
      </c>
      <c r="K14" s="107">
        <v>70530</v>
      </c>
      <c r="L14" s="108">
        <v>23586</v>
      </c>
      <c r="M14" s="39">
        <f t="shared" si="0"/>
        <v>1.2020407740917618</v>
      </c>
      <c r="N14" s="39">
        <f t="shared" si="1"/>
        <v>1.4330141277337387</v>
      </c>
      <c r="O14" s="38"/>
      <c r="P14" s="3"/>
      <c r="Q14" s="6">
        <v>12</v>
      </c>
      <c r="R14" s="4">
        <v>38631</v>
      </c>
      <c r="S14" s="107">
        <v>108281</v>
      </c>
      <c r="T14" s="108">
        <v>27438</v>
      </c>
      <c r="U14" s="3"/>
      <c r="V14" s="3"/>
      <c r="W14" s="3"/>
      <c r="X14" s="6">
        <v>12</v>
      </c>
      <c r="Y14" s="4">
        <v>53021</v>
      </c>
      <c r="Z14" s="105">
        <v>70529</v>
      </c>
      <c r="AA14" s="106">
        <v>20800</v>
      </c>
      <c r="AB14" s="6"/>
      <c r="AC14" s="6"/>
      <c r="AD14" s="6">
        <v>12</v>
      </c>
      <c r="AE14" s="4">
        <v>41412</v>
      </c>
      <c r="AF14" s="107">
        <v>94109</v>
      </c>
      <c r="AG14" s="108">
        <v>27664</v>
      </c>
      <c r="AH14" s="6"/>
      <c r="AI14" s="7"/>
      <c r="AL14" t="s">
        <v>11</v>
      </c>
      <c r="AM14" t="s">
        <v>6</v>
      </c>
    </row>
    <row r="15" spans="1:42" x14ac:dyDescent="0.25">
      <c r="C15">
        <v>13</v>
      </c>
      <c r="D15" s="4">
        <v>29091</v>
      </c>
      <c r="E15" s="107">
        <v>68225</v>
      </c>
      <c r="F15" s="108">
        <v>18770</v>
      </c>
      <c r="I15" s="6">
        <v>13</v>
      </c>
      <c r="J15" s="4">
        <v>52688</v>
      </c>
      <c r="K15" s="105">
        <v>102405</v>
      </c>
      <c r="L15" s="106">
        <v>29549</v>
      </c>
      <c r="M15" s="39">
        <f t="shared" si="0"/>
        <v>1.7452854880315734</v>
      </c>
      <c r="N15" s="39">
        <f t="shared" si="1"/>
        <v>1.7953079988299943</v>
      </c>
      <c r="O15" s="39"/>
      <c r="Q15" s="6">
        <v>13</v>
      </c>
      <c r="R15" s="4">
        <v>45468</v>
      </c>
      <c r="S15" s="105">
        <v>130413</v>
      </c>
      <c r="T15" s="106">
        <v>40336</v>
      </c>
      <c r="X15" s="6">
        <v>13</v>
      </c>
      <c r="Y15" s="3">
        <v>4817</v>
      </c>
      <c r="Z15" s="3">
        <v>51911</v>
      </c>
      <c r="AA15" s="3">
        <v>18150</v>
      </c>
      <c r="AB15" s="7"/>
      <c r="AC15" s="7"/>
      <c r="AD15" s="6">
        <v>13</v>
      </c>
      <c r="AE15" s="4">
        <v>39947</v>
      </c>
      <c r="AF15" s="105">
        <v>65800</v>
      </c>
      <c r="AG15" s="106">
        <v>19976</v>
      </c>
      <c r="AH15" s="7"/>
      <c r="AI15" s="7"/>
      <c r="AK15" s="29" t="s">
        <v>10</v>
      </c>
      <c r="AL15">
        <f t="shared" ref="AL15:AM19" si="5">AVERAGE(D89,J79,R80,Y69,AE77)</f>
        <v>32.544699569968834</v>
      </c>
      <c r="AM15">
        <f t="shared" si="5"/>
        <v>72.083333333333329</v>
      </c>
    </row>
    <row r="16" spans="1:42" x14ac:dyDescent="0.25">
      <c r="C16">
        <v>14</v>
      </c>
      <c r="D16" s="4">
        <v>22703</v>
      </c>
      <c r="E16" s="107">
        <v>80484</v>
      </c>
      <c r="F16" s="108">
        <v>18593</v>
      </c>
      <c r="I16" s="6">
        <v>14</v>
      </c>
      <c r="J16" s="4">
        <v>50274</v>
      </c>
      <c r="K16" s="3">
        <v>54269</v>
      </c>
      <c r="L16" s="3">
        <v>14926</v>
      </c>
      <c r="M16" s="39">
        <f t="shared" si="0"/>
        <v>0.92490501586822382</v>
      </c>
      <c r="N16" s="39">
        <f t="shared" si="1"/>
        <v>0.90685868186864171</v>
      </c>
      <c r="O16" s="39"/>
      <c r="Q16" s="6">
        <v>14</v>
      </c>
      <c r="R16" s="4">
        <v>18883</v>
      </c>
      <c r="S16" s="3">
        <v>69012</v>
      </c>
      <c r="T16" s="3">
        <v>21031</v>
      </c>
      <c r="X16" s="6">
        <v>14</v>
      </c>
      <c r="Y16" s="3">
        <v>5805</v>
      </c>
      <c r="Z16" s="3">
        <v>33817</v>
      </c>
      <c r="AA16" s="3">
        <v>11744</v>
      </c>
      <c r="AB16" s="7"/>
      <c r="AC16" s="7"/>
      <c r="AD16" s="6">
        <v>14</v>
      </c>
      <c r="AE16" s="4">
        <v>44250</v>
      </c>
      <c r="AF16" s="30">
        <v>95849</v>
      </c>
      <c r="AG16" s="30">
        <v>12184</v>
      </c>
      <c r="AH16" s="7"/>
      <c r="AI16" s="7"/>
      <c r="AK16" s="20" t="s">
        <v>12</v>
      </c>
      <c r="AL16">
        <f t="shared" si="5"/>
        <v>10.015603424468377</v>
      </c>
      <c r="AM16">
        <f t="shared" si="5"/>
        <v>17.083333333333332</v>
      </c>
      <c r="AN16" s="3"/>
      <c r="AO16" s="3"/>
    </row>
    <row r="17" spans="3:42" x14ac:dyDescent="0.25">
      <c r="C17">
        <v>15</v>
      </c>
      <c r="D17" s="4">
        <v>27335</v>
      </c>
      <c r="E17" s="105">
        <v>98877</v>
      </c>
      <c r="F17" s="106">
        <v>22837</v>
      </c>
      <c r="I17" s="6">
        <v>15</v>
      </c>
      <c r="J17" s="4">
        <v>34536</v>
      </c>
      <c r="K17" s="109">
        <v>81824</v>
      </c>
      <c r="L17" s="110">
        <v>26056</v>
      </c>
      <c r="M17" s="39">
        <f t="shared" si="0"/>
        <v>1.3945240932834868</v>
      </c>
      <c r="N17" s="39">
        <f t="shared" si="1"/>
        <v>1.5830838680670862</v>
      </c>
      <c r="O17" s="39"/>
      <c r="Q17" s="6">
        <v>15</v>
      </c>
      <c r="R17" s="4">
        <v>39945</v>
      </c>
      <c r="S17" s="109">
        <v>87956</v>
      </c>
      <c r="T17" s="110">
        <v>23846</v>
      </c>
      <c r="X17" s="6">
        <v>15</v>
      </c>
      <c r="Y17" s="3">
        <v>4581</v>
      </c>
      <c r="Z17" s="3">
        <v>39816</v>
      </c>
      <c r="AA17" s="3">
        <v>13434</v>
      </c>
      <c r="AB17" s="7"/>
      <c r="AC17" s="7"/>
      <c r="AD17" s="6">
        <v>15</v>
      </c>
      <c r="AE17" s="4">
        <v>45240</v>
      </c>
      <c r="AF17" s="109">
        <v>86961</v>
      </c>
      <c r="AG17" s="110">
        <v>29286</v>
      </c>
      <c r="AH17" s="7"/>
      <c r="AI17" s="7"/>
      <c r="AK17" s="9" t="s">
        <v>13</v>
      </c>
      <c r="AL17">
        <f t="shared" si="5"/>
        <v>10.847536197577622</v>
      </c>
      <c r="AM17">
        <f t="shared" si="5"/>
        <v>2.9166666666666665</v>
      </c>
    </row>
    <row r="18" spans="3:42" x14ac:dyDescent="0.25">
      <c r="C18">
        <v>16</v>
      </c>
      <c r="D18" s="3">
        <v>4177</v>
      </c>
      <c r="E18" s="3">
        <v>58156</v>
      </c>
      <c r="F18" s="3">
        <v>10052</v>
      </c>
      <c r="I18" s="6">
        <v>16</v>
      </c>
      <c r="J18" s="4">
        <v>39191</v>
      </c>
      <c r="K18" s="3">
        <v>52088</v>
      </c>
      <c r="L18" s="3">
        <v>15162</v>
      </c>
      <c r="M18" s="39">
        <f t="shared" si="0"/>
        <v>0.88773429520617742</v>
      </c>
      <c r="N18" s="39">
        <f t="shared" si="1"/>
        <v>0.92119732912316399</v>
      </c>
      <c r="O18" s="39"/>
      <c r="Q18" s="6">
        <v>16</v>
      </c>
      <c r="R18" s="4">
        <v>36449</v>
      </c>
      <c r="S18" s="3">
        <v>71039</v>
      </c>
      <c r="T18" s="3">
        <v>15551</v>
      </c>
      <c r="X18" s="6">
        <v>16</v>
      </c>
      <c r="Y18" s="3">
        <v>5969</v>
      </c>
      <c r="Z18" s="109">
        <v>77398</v>
      </c>
      <c r="AA18" s="110">
        <v>23472</v>
      </c>
      <c r="AB18" s="7"/>
      <c r="AC18" s="7"/>
      <c r="AD18" s="6">
        <v>16</v>
      </c>
      <c r="AE18" s="4">
        <v>23087</v>
      </c>
      <c r="AF18" s="3">
        <v>43928</v>
      </c>
      <c r="AG18" s="3">
        <v>14333</v>
      </c>
      <c r="AH18" s="7"/>
      <c r="AI18" s="7"/>
      <c r="AK18" t="s">
        <v>15</v>
      </c>
      <c r="AL18">
        <f t="shared" si="5"/>
        <v>46.592160807985167</v>
      </c>
      <c r="AM18">
        <f t="shared" si="5"/>
        <v>7.9166666666666661</v>
      </c>
    </row>
    <row r="19" spans="3:42" x14ac:dyDescent="0.25">
      <c r="C19">
        <v>17</v>
      </c>
      <c r="D19" s="3">
        <v>4784</v>
      </c>
      <c r="E19" s="3">
        <v>47047</v>
      </c>
      <c r="F19" s="3">
        <v>7797</v>
      </c>
      <c r="I19" s="6">
        <v>17</v>
      </c>
      <c r="J19" s="3">
        <v>6948</v>
      </c>
      <c r="K19" s="3">
        <v>57566</v>
      </c>
      <c r="L19" s="3">
        <v>17590</v>
      </c>
      <c r="M19" s="39">
        <f t="shared" si="0"/>
        <v>0.98109569263244523</v>
      </c>
      <c r="N19" s="39">
        <f t="shared" si="1"/>
        <v>1.0687152763010457</v>
      </c>
      <c r="O19" s="39"/>
      <c r="Q19" s="6">
        <v>17</v>
      </c>
      <c r="R19" s="3">
        <v>4701</v>
      </c>
      <c r="S19" s="3">
        <v>46272</v>
      </c>
      <c r="T19" s="3">
        <v>14170</v>
      </c>
      <c r="X19" s="6">
        <v>17</v>
      </c>
      <c r="Y19" s="3">
        <v>5654</v>
      </c>
      <c r="Z19" s="3">
        <v>43503</v>
      </c>
      <c r="AA19" s="3">
        <v>12717</v>
      </c>
      <c r="AB19" s="7"/>
      <c r="AC19" s="7"/>
      <c r="AD19" s="6">
        <v>17</v>
      </c>
      <c r="AE19" s="3">
        <v>3902</v>
      </c>
      <c r="AF19" s="3">
        <v>64590</v>
      </c>
      <c r="AG19" s="3">
        <v>13615</v>
      </c>
      <c r="AH19" s="7"/>
      <c r="AI19" s="7"/>
      <c r="AK19" t="s">
        <v>11</v>
      </c>
      <c r="AL19">
        <f t="shared" si="5"/>
        <v>100</v>
      </c>
      <c r="AM19">
        <f t="shared" si="5"/>
        <v>100</v>
      </c>
    </row>
    <row r="20" spans="3:42" x14ac:dyDescent="0.25">
      <c r="C20">
        <v>18</v>
      </c>
      <c r="D20" s="3">
        <v>5535</v>
      </c>
      <c r="E20" s="3">
        <v>41873</v>
      </c>
      <c r="F20" s="3">
        <v>9044</v>
      </c>
      <c r="I20" s="6">
        <v>18</v>
      </c>
      <c r="J20" s="3">
        <v>6702</v>
      </c>
      <c r="K20" s="3">
        <v>41645</v>
      </c>
      <c r="L20" s="3">
        <v>10557</v>
      </c>
      <c r="M20" s="39">
        <f t="shared" si="0"/>
        <v>0.7097545446909318</v>
      </c>
      <c r="N20" s="39">
        <f t="shared" si="1"/>
        <v>0.64141143672030354</v>
      </c>
      <c r="O20" s="39"/>
      <c r="Q20" s="6">
        <v>18</v>
      </c>
      <c r="R20" s="3">
        <v>3983</v>
      </c>
      <c r="S20" s="3">
        <v>58850</v>
      </c>
      <c r="T20" s="3">
        <v>15033</v>
      </c>
      <c r="X20" s="6">
        <v>18</v>
      </c>
      <c r="Y20" s="3">
        <v>5603</v>
      </c>
      <c r="Z20" s="3">
        <v>59824</v>
      </c>
      <c r="AA20" s="3">
        <v>17978</v>
      </c>
      <c r="AB20" s="7"/>
      <c r="AC20" s="7"/>
      <c r="AD20" s="6">
        <v>18</v>
      </c>
      <c r="AE20" s="3">
        <v>2896</v>
      </c>
      <c r="AF20" s="3">
        <v>36776</v>
      </c>
      <c r="AG20" s="3">
        <v>10104</v>
      </c>
      <c r="AH20" s="7"/>
      <c r="AI20" s="7"/>
      <c r="AK20" s="3"/>
      <c r="AL20" s="3" t="s">
        <v>41</v>
      </c>
      <c r="AM20" s="67" t="s">
        <v>42</v>
      </c>
      <c r="AN20" s="3"/>
      <c r="AO20" s="3"/>
    </row>
    <row r="21" spans="3:42" x14ac:dyDescent="0.25">
      <c r="C21">
        <v>19</v>
      </c>
      <c r="D21" s="3">
        <v>3114</v>
      </c>
      <c r="E21" s="3">
        <v>58353</v>
      </c>
      <c r="F21" s="3">
        <v>12551</v>
      </c>
      <c r="I21" s="6">
        <v>19</v>
      </c>
      <c r="J21" s="3">
        <v>8383</v>
      </c>
      <c r="K21" s="3">
        <v>59099</v>
      </c>
      <c r="L21" s="3">
        <v>11395</v>
      </c>
      <c r="M21" s="39">
        <f t="shared" si="0"/>
        <v>1.0072225678158093</v>
      </c>
      <c r="N21" s="39">
        <f t="shared" si="1"/>
        <v>0.69232578586983595</v>
      </c>
      <c r="O21" s="39"/>
      <c r="Q21" s="6">
        <v>19</v>
      </c>
      <c r="R21" s="3">
        <v>3391</v>
      </c>
      <c r="S21" s="3">
        <v>65518</v>
      </c>
      <c r="T21" s="3">
        <v>24718</v>
      </c>
      <c r="X21" s="6">
        <v>19</v>
      </c>
      <c r="Y21" s="3">
        <v>8980</v>
      </c>
      <c r="Z21" s="3">
        <v>41418</v>
      </c>
      <c r="AA21" s="3">
        <v>10092</v>
      </c>
      <c r="AB21" s="7"/>
      <c r="AC21" s="7"/>
      <c r="AD21" s="6">
        <v>19</v>
      </c>
      <c r="AE21" s="3">
        <v>3647</v>
      </c>
      <c r="AF21" s="3">
        <v>27991</v>
      </c>
      <c r="AG21" s="3">
        <v>5716</v>
      </c>
      <c r="AH21" s="7"/>
      <c r="AI21" s="6"/>
      <c r="AK21" t="s">
        <v>16</v>
      </c>
      <c r="AL21" s="3">
        <f>AVERAGE(D95,J85,R86,Y75,AE83)</f>
        <v>76489.998611111107</v>
      </c>
      <c r="AM21" s="69">
        <f>AVERAGE(E95,K85,S86,Z75,AF83)</f>
        <v>1.2588258823557161</v>
      </c>
    </row>
    <row r="22" spans="3:42" x14ac:dyDescent="0.25">
      <c r="C22">
        <v>20</v>
      </c>
      <c r="D22" s="3">
        <v>4760</v>
      </c>
      <c r="E22" s="109">
        <v>93509</v>
      </c>
      <c r="F22" s="110">
        <v>22892</v>
      </c>
      <c r="I22" s="6">
        <v>20</v>
      </c>
      <c r="J22" s="3">
        <v>8052</v>
      </c>
      <c r="K22" s="3">
        <v>69013</v>
      </c>
      <c r="L22" s="3">
        <v>13046</v>
      </c>
      <c r="M22" s="39">
        <f t="shared" si="0"/>
        <v>1.1761865864510812</v>
      </c>
      <c r="N22" s="39">
        <f t="shared" si="1"/>
        <v>0.79263555967159982</v>
      </c>
      <c r="O22" s="39"/>
      <c r="Q22" s="6">
        <v>20</v>
      </c>
      <c r="R22" s="3">
        <v>4108</v>
      </c>
      <c r="S22" s="3">
        <v>64294</v>
      </c>
      <c r="T22" s="3">
        <v>19569</v>
      </c>
      <c r="X22" s="6">
        <v>20</v>
      </c>
      <c r="Y22" s="3">
        <v>5968</v>
      </c>
      <c r="Z22" s="3">
        <v>56887</v>
      </c>
      <c r="AA22" s="3">
        <v>14065</v>
      </c>
      <c r="AB22" s="7"/>
      <c r="AC22" s="7"/>
      <c r="AD22" s="6">
        <v>20</v>
      </c>
      <c r="AE22" s="3">
        <v>5162</v>
      </c>
      <c r="AF22" s="3">
        <v>44181</v>
      </c>
      <c r="AG22" s="3">
        <v>10562</v>
      </c>
      <c r="AH22" s="7"/>
      <c r="AI22" s="6"/>
      <c r="AK22" t="s">
        <v>19</v>
      </c>
      <c r="AL22" s="3">
        <f>AVERAGE(D96,J86,R87,Y76,AE84)</f>
        <v>48177.899212454213</v>
      </c>
      <c r="AM22" s="69">
        <f>AVERAGE(E96,K86,S87,Z76,AF84)</f>
        <v>0.79454565064126559</v>
      </c>
    </row>
    <row r="23" spans="3:42" x14ac:dyDescent="0.25">
      <c r="C23">
        <v>21</v>
      </c>
      <c r="D23" s="3">
        <v>4207</v>
      </c>
      <c r="E23" s="3">
        <v>60213</v>
      </c>
      <c r="F23" s="3">
        <v>13707</v>
      </c>
      <c r="I23" s="6">
        <v>21</v>
      </c>
      <c r="J23" s="3">
        <v>6591</v>
      </c>
      <c r="K23" s="3">
        <v>28031</v>
      </c>
      <c r="L23" s="3">
        <v>7417</v>
      </c>
      <c r="M23" s="39">
        <f t="shared" si="0"/>
        <v>0.47773153181009748</v>
      </c>
      <c r="N23" s="39">
        <f t="shared" si="1"/>
        <v>0.45063451985928682</v>
      </c>
      <c r="O23" s="39"/>
      <c r="Q23" s="6">
        <v>21</v>
      </c>
      <c r="R23" s="3">
        <v>3706</v>
      </c>
      <c r="S23" s="3">
        <v>64353</v>
      </c>
      <c r="T23" s="3">
        <v>17431</v>
      </c>
      <c r="X23" s="6">
        <v>21</v>
      </c>
      <c r="Y23" s="3">
        <v>6868</v>
      </c>
      <c r="Z23" s="3">
        <v>52110</v>
      </c>
      <c r="AA23" s="3">
        <v>19875</v>
      </c>
      <c r="AB23" s="7"/>
      <c r="AC23" s="7"/>
      <c r="AD23" s="6">
        <v>21</v>
      </c>
      <c r="AE23" s="3">
        <v>3741</v>
      </c>
      <c r="AF23" s="3">
        <v>47518</v>
      </c>
      <c r="AG23" s="3">
        <v>19473</v>
      </c>
      <c r="AH23" s="7"/>
      <c r="AI23" s="6"/>
      <c r="AM23" s="3" t="s">
        <v>41</v>
      </c>
      <c r="AN23" s="67" t="s">
        <v>42</v>
      </c>
    </row>
    <row r="24" spans="3:42" x14ac:dyDescent="0.25">
      <c r="C24">
        <v>22</v>
      </c>
      <c r="D24" s="3">
        <v>4078</v>
      </c>
      <c r="E24" s="3">
        <v>73078</v>
      </c>
      <c r="F24" s="3">
        <v>14695</v>
      </c>
      <c r="I24" s="6">
        <v>22</v>
      </c>
      <c r="J24" s="3">
        <v>9769</v>
      </c>
      <c r="K24" s="109">
        <v>61983</v>
      </c>
      <c r="L24" s="110">
        <v>18223</v>
      </c>
      <c r="M24" s="39">
        <f t="shared" si="0"/>
        <v>1.0563744973845126</v>
      </c>
      <c r="N24" s="39">
        <f t="shared" si="1"/>
        <v>1.1071744445727092</v>
      </c>
      <c r="O24" s="39"/>
      <c r="Q24" s="6">
        <v>22</v>
      </c>
      <c r="R24" s="3">
        <v>3833</v>
      </c>
      <c r="S24" s="3">
        <v>35392</v>
      </c>
      <c r="T24" s="3">
        <v>13275</v>
      </c>
      <c r="X24" s="6">
        <v>22</v>
      </c>
      <c r="Y24" s="3">
        <v>5914</v>
      </c>
      <c r="Z24" s="3">
        <v>52716</v>
      </c>
      <c r="AA24" s="3">
        <v>14741</v>
      </c>
      <c r="AB24" s="7"/>
      <c r="AC24" s="7"/>
      <c r="AD24" s="6">
        <v>22</v>
      </c>
      <c r="AE24" s="3">
        <v>2792</v>
      </c>
      <c r="AF24" s="3">
        <v>40358</v>
      </c>
      <c r="AG24" s="3">
        <v>16481</v>
      </c>
      <c r="AH24" s="7"/>
      <c r="AI24" s="7"/>
      <c r="AK24" t="s">
        <v>17</v>
      </c>
      <c r="AM24" s="3">
        <f>AVERAGE(E98,K88,S89,Z78,AF86)</f>
        <v>22024.754738514173</v>
      </c>
      <c r="AN24" s="69">
        <f>AVERAGE(F98,L88,T89,AA78,AG86)</f>
        <v>1.2476102075285078</v>
      </c>
    </row>
    <row r="25" spans="3:42" x14ac:dyDescent="0.25">
      <c r="C25">
        <v>23</v>
      </c>
      <c r="D25" s="3">
        <v>3597</v>
      </c>
      <c r="E25" s="3">
        <v>46363</v>
      </c>
      <c r="F25" s="3">
        <v>11871</v>
      </c>
      <c r="I25" s="6">
        <v>23</v>
      </c>
      <c r="J25" s="3">
        <v>6652</v>
      </c>
      <c r="K25" s="3">
        <v>39519</v>
      </c>
      <c r="L25" s="3">
        <v>12410</v>
      </c>
      <c r="M25" s="39">
        <f t="shared" si="0"/>
        <v>0.67352118745685996</v>
      </c>
      <c r="N25" s="39">
        <f t="shared" si="1"/>
        <v>0.75399412046026015</v>
      </c>
      <c r="O25" s="39"/>
      <c r="Q25" s="6">
        <v>23</v>
      </c>
      <c r="R25" s="3">
        <v>3857</v>
      </c>
      <c r="S25" s="3">
        <v>54208</v>
      </c>
      <c r="T25" s="3">
        <v>27961</v>
      </c>
      <c r="X25" s="6">
        <v>23</v>
      </c>
      <c r="Y25" s="3">
        <v>8141</v>
      </c>
      <c r="Z25" s="109">
        <v>68391</v>
      </c>
      <c r="AA25" s="110">
        <v>26964</v>
      </c>
      <c r="AB25" s="7"/>
      <c r="AC25" s="7"/>
      <c r="AD25" s="6">
        <v>23</v>
      </c>
      <c r="AE25" s="3">
        <v>3524</v>
      </c>
      <c r="AF25" s="3">
        <v>55167</v>
      </c>
      <c r="AG25" s="3">
        <v>17429</v>
      </c>
      <c r="AH25" s="7"/>
      <c r="AI25" s="6"/>
      <c r="AK25" t="s">
        <v>18</v>
      </c>
      <c r="AM25" s="3">
        <f>AVERAGE(E99,K89,S90,Z79,AF87)</f>
        <v>14502.319022869022</v>
      </c>
      <c r="AN25" s="69">
        <f>AVERAGE(F99,L89,T90,AA79,AG87)</f>
        <v>0.81995914790523572</v>
      </c>
    </row>
    <row r="26" spans="3:42" x14ac:dyDescent="0.25">
      <c r="C26">
        <v>24</v>
      </c>
      <c r="D26" s="3">
        <v>8551</v>
      </c>
      <c r="E26" s="3">
        <v>55981</v>
      </c>
      <c r="F26" s="3">
        <v>12823</v>
      </c>
      <c r="I26" s="6">
        <v>24</v>
      </c>
      <c r="J26" s="3">
        <v>7287</v>
      </c>
      <c r="K26" s="109">
        <v>74966</v>
      </c>
      <c r="L26" s="110">
        <v>19270</v>
      </c>
      <c r="M26" s="39">
        <f t="shared" si="0"/>
        <v>1.277643395300766</v>
      </c>
      <c r="N26" s="39">
        <f t="shared" si="1"/>
        <v>1.1707870025196787</v>
      </c>
      <c r="O26" s="39"/>
      <c r="Q26" s="6">
        <v>24</v>
      </c>
      <c r="R26" s="3">
        <v>3859</v>
      </c>
      <c r="S26" s="3">
        <v>69397</v>
      </c>
      <c r="T26" s="3">
        <v>22026</v>
      </c>
      <c r="X26" s="6">
        <v>24</v>
      </c>
      <c r="Y26" s="3">
        <v>7339</v>
      </c>
      <c r="Z26" s="3">
        <v>58790</v>
      </c>
      <c r="AA26" s="3">
        <v>20694</v>
      </c>
      <c r="AB26" s="7"/>
      <c r="AC26" s="7"/>
      <c r="AD26" s="6">
        <v>24</v>
      </c>
      <c r="AE26" s="3">
        <v>3991</v>
      </c>
      <c r="AF26" s="3">
        <v>32037</v>
      </c>
      <c r="AG26" s="3">
        <v>9725</v>
      </c>
      <c r="AH26" s="7"/>
      <c r="AI26" s="6"/>
      <c r="AP26" s="3"/>
    </row>
    <row r="27" spans="3:42" x14ac:dyDescent="0.25">
      <c r="C27">
        <v>25</v>
      </c>
      <c r="D27" s="3">
        <v>3821</v>
      </c>
      <c r="E27" s="3">
        <v>55071</v>
      </c>
      <c r="F27" s="3">
        <v>11400</v>
      </c>
      <c r="I27" s="6">
        <v>25</v>
      </c>
      <c r="J27" s="3">
        <v>11629</v>
      </c>
      <c r="K27" s="3">
        <v>50045</v>
      </c>
      <c r="L27" s="3">
        <v>10939</v>
      </c>
      <c r="M27" s="39">
        <f t="shared" si="0"/>
        <v>0.85291550459977628</v>
      </c>
      <c r="N27" s="39">
        <f t="shared" si="1"/>
        <v>0.66462060303906412</v>
      </c>
      <c r="O27" s="39"/>
      <c r="Q27" s="6">
        <v>25</v>
      </c>
      <c r="R27" s="3">
        <v>4372</v>
      </c>
      <c r="S27" s="109">
        <v>91203</v>
      </c>
      <c r="T27" s="110">
        <v>24936</v>
      </c>
      <c r="X27" s="6">
        <v>25</v>
      </c>
      <c r="Y27" s="3">
        <v>6263</v>
      </c>
      <c r="Z27" s="3">
        <v>43382</v>
      </c>
      <c r="AA27" s="3">
        <v>15053</v>
      </c>
      <c r="AB27" s="7"/>
      <c r="AC27" s="7"/>
      <c r="AD27" s="6">
        <v>25</v>
      </c>
      <c r="AE27" s="3">
        <v>2825</v>
      </c>
      <c r="AF27" s="3">
        <v>36317</v>
      </c>
      <c r="AG27" s="3">
        <v>11659</v>
      </c>
      <c r="AH27" s="7"/>
      <c r="AI27" s="7"/>
    </row>
    <row r="28" spans="3:42" x14ac:dyDescent="0.25">
      <c r="C28">
        <v>26</v>
      </c>
      <c r="D28" s="3">
        <v>5991</v>
      </c>
      <c r="E28" s="3">
        <v>53701</v>
      </c>
      <c r="F28" s="3">
        <v>9521</v>
      </c>
      <c r="I28" s="6">
        <v>26</v>
      </c>
      <c r="J28" s="3">
        <v>8059</v>
      </c>
      <c r="K28" s="3">
        <v>75422</v>
      </c>
      <c r="L28" s="3">
        <v>14219</v>
      </c>
      <c r="M28" s="39">
        <f t="shared" si="0"/>
        <v>1.285414990267246</v>
      </c>
      <c r="N28" s="39">
        <f t="shared" si="1"/>
        <v>0.86390349708496694</v>
      </c>
      <c r="O28" s="39"/>
      <c r="Q28" s="6">
        <v>26</v>
      </c>
      <c r="R28" s="3">
        <v>4128</v>
      </c>
      <c r="S28" s="3">
        <v>68624</v>
      </c>
      <c r="T28" s="3">
        <v>26203</v>
      </c>
      <c r="X28" s="6">
        <v>26</v>
      </c>
      <c r="Y28" s="3">
        <v>9030</v>
      </c>
      <c r="Z28" s="3">
        <v>55321</v>
      </c>
      <c r="AA28" s="3">
        <v>19657</v>
      </c>
      <c r="AB28" s="7"/>
      <c r="AC28" s="7"/>
      <c r="AD28" s="6">
        <v>26</v>
      </c>
      <c r="AE28" s="3">
        <v>3507</v>
      </c>
      <c r="AF28" s="109">
        <v>62410</v>
      </c>
      <c r="AG28" s="110">
        <v>17903</v>
      </c>
      <c r="AH28" s="7"/>
      <c r="AI28" s="6"/>
      <c r="AK28" s="3"/>
      <c r="AL28" s="3"/>
      <c r="AM28" s="3" t="s">
        <v>27</v>
      </c>
      <c r="AN28" s="3" t="s">
        <v>28</v>
      </c>
      <c r="AO28" s="3" t="s">
        <v>29</v>
      </c>
    </row>
    <row r="29" spans="3:42" x14ac:dyDescent="0.25">
      <c r="C29">
        <v>27</v>
      </c>
      <c r="D29" s="3">
        <v>2567</v>
      </c>
      <c r="E29" s="3">
        <v>46346</v>
      </c>
      <c r="F29" s="3">
        <v>9904</v>
      </c>
      <c r="I29" s="6">
        <v>27</v>
      </c>
      <c r="J29" s="3">
        <v>8762</v>
      </c>
      <c r="K29" s="109">
        <v>77756</v>
      </c>
      <c r="L29" s="110">
        <v>18446</v>
      </c>
      <c r="M29" s="39">
        <f t="shared" si="0"/>
        <v>1.3251932855562036</v>
      </c>
      <c r="N29" s="39">
        <f t="shared" si="1"/>
        <v>1.1207232510886349</v>
      </c>
      <c r="O29" s="39"/>
      <c r="Q29" s="6">
        <v>27</v>
      </c>
      <c r="R29" s="3">
        <v>5141</v>
      </c>
      <c r="S29" s="103">
        <v>82380</v>
      </c>
      <c r="T29" s="104">
        <v>23598</v>
      </c>
      <c r="X29" s="6">
        <v>27</v>
      </c>
      <c r="Y29" s="3">
        <v>10948</v>
      </c>
      <c r="Z29" s="3">
        <v>37991</v>
      </c>
      <c r="AA29" s="3">
        <v>11509</v>
      </c>
      <c r="AB29" s="7"/>
      <c r="AC29" s="7"/>
      <c r="AD29" s="6">
        <v>27</v>
      </c>
      <c r="AE29" s="3">
        <v>3874</v>
      </c>
      <c r="AF29" s="3">
        <v>41667</v>
      </c>
      <c r="AG29" s="3">
        <v>12198</v>
      </c>
      <c r="AH29" s="7"/>
      <c r="AI29" s="6"/>
      <c r="AK29" s="10" t="s">
        <v>20</v>
      </c>
      <c r="AL29" s="10">
        <f>AVERAGE(D103,J93,R94,Y83,AE91)</f>
        <v>29.8</v>
      </c>
      <c r="AM29" s="10">
        <f>AVERAGE(E103,K93,S94,Z83,AF91)</f>
        <v>42.560302994437208</v>
      </c>
      <c r="AN29" s="10">
        <f>AVERAGE(F103,L93,T94,AA83,AG91)</f>
        <v>100</v>
      </c>
      <c r="AO29" s="10"/>
    </row>
    <row r="30" spans="3:42" x14ac:dyDescent="0.25">
      <c r="C30">
        <v>28</v>
      </c>
      <c r="D30" s="3">
        <v>3023</v>
      </c>
      <c r="E30" s="3">
        <v>71098</v>
      </c>
      <c r="F30" s="3">
        <v>10803</v>
      </c>
      <c r="I30" s="6">
        <v>28</v>
      </c>
      <c r="J30" s="3">
        <v>5272</v>
      </c>
      <c r="K30" s="3">
        <v>45074</v>
      </c>
      <c r="L30" s="3">
        <v>14222</v>
      </c>
      <c r="M30" s="39">
        <f t="shared" si="0"/>
        <v>0.76819489368229232</v>
      </c>
      <c r="N30" s="39">
        <f t="shared" si="1"/>
        <v>0.8640857680246431</v>
      </c>
      <c r="O30" s="39"/>
      <c r="Q30" s="6">
        <v>28</v>
      </c>
      <c r="R30" s="3">
        <v>5088</v>
      </c>
      <c r="S30" s="105">
        <v>91294</v>
      </c>
      <c r="T30" s="106">
        <v>21838</v>
      </c>
      <c r="X30" s="6">
        <v>28</v>
      </c>
      <c r="Y30" s="3">
        <v>6295</v>
      </c>
      <c r="Z30" s="3">
        <v>42357</v>
      </c>
      <c r="AA30" s="3">
        <v>11446</v>
      </c>
      <c r="AB30" s="7"/>
      <c r="AC30" s="7"/>
      <c r="AD30" s="6">
        <v>28</v>
      </c>
      <c r="AE30" s="3">
        <v>3312</v>
      </c>
      <c r="AF30" s="3">
        <v>49123</v>
      </c>
      <c r="AG30" s="3">
        <v>16578</v>
      </c>
      <c r="AH30" s="7"/>
      <c r="AI30" s="6"/>
      <c r="AK30" s="9" t="s">
        <v>21</v>
      </c>
      <c r="AL30" s="8">
        <f t="shared" ref="AL30:AM35" si="6">AVERAGE(D104,J94,R95,Y84,AE92)</f>
        <v>30.2</v>
      </c>
      <c r="AM30" s="8">
        <f t="shared" si="6"/>
        <v>43.106521481832168</v>
      </c>
      <c r="AN30" s="8"/>
      <c r="AO30" s="8">
        <f ca="1">AVERAGE(G104,M94,U95,AB84,AH92)</f>
        <v>30.2</v>
      </c>
    </row>
    <row r="31" spans="3:42" x14ac:dyDescent="0.25">
      <c r="C31">
        <v>29</v>
      </c>
      <c r="D31" s="3">
        <v>6048</v>
      </c>
      <c r="E31" s="109">
        <v>67175</v>
      </c>
      <c r="F31" s="110">
        <v>17762</v>
      </c>
      <c r="I31" s="6">
        <v>29</v>
      </c>
      <c r="J31" s="3">
        <v>14009</v>
      </c>
      <c r="K31" s="3">
        <v>53879</v>
      </c>
      <c r="L31" s="3">
        <v>13788</v>
      </c>
      <c r="M31" s="39">
        <f t="shared" si="0"/>
        <v>0.91825825701531316</v>
      </c>
      <c r="N31" s="39">
        <f t="shared" si="1"/>
        <v>0.83771723875149617</v>
      </c>
      <c r="O31" s="39"/>
      <c r="Q31" s="6">
        <v>29</v>
      </c>
      <c r="R31" s="3">
        <v>3768</v>
      </c>
      <c r="S31" s="3">
        <v>38196</v>
      </c>
      <c r="T31" s="3">
        <v>9536</v>
      </c>
      <c r="X31" s="6">
        <v>29</v>
      </c>
      <c r="Y31" s="3">
        <v>7799</v>
      </c>
      <c r="Z31" s="3">
        <v>63381</v>
      </c>
      <c r="AA31" s="3">
        <v>18097</v>
      </c>
      <c r="AB31" s="7"/>
      <c r="AC31" s="7"/>
      <c r="AD31" s="6">
        <v>29</v>
      </c>
      <c r="AE31" s="3">
        <v>3980</v>
      </c>
      <c r="AF31" s="109">
        <v>70881</v>
      </c>
      <c r="AG31" s="110">
        <v>22921</v>
      </c>
      <c r="AH31" s="7"/>
      <c r="AI31" s="7"/>
      <c r="AK31" s="20" t="s">
        <v>22</v>
      </c>
      <c r="AL31" s="10">
        <f t="shared" si="6"/>
        <v>6.8</v>
      </c>
      <c r="AM31" s="10">
        <f t="shared" si="6"/>
        <v>10.015603424468377</v>
      </c>
      <c r="AN31" s="10">
        <f>AVERAGE(F105,L95,T96,AA85,AG93)</f>
        <v>23.590542521994131</v>
      </c>
      <c r="AO31" s="10"/>
      <c r="AP31" s="3"/>
    </row>
    <row r="32" spans="3:42" x14ac:dyDescent="0.25">
      <c r="C32">
        <v>30</v>
      </c>
      <c r="D32" s="3">
        <v>4405</v>
      </c>
      <c r="E32" s="3">
        <v>35114</v>
      </c>
      <c r="F32" s="3">
        <v>10215</v>
      </c>
      <c r="I32" s="6">
        <v>30</v>
      </c>
      <c r="J32" s="3">
        <v>11441</v>
      </c>
      <c r="K32" s="3">
        <v>55279</v>
      </c>
      <c r="L32" s="3">
        <v>13838</v>
      </c>
      <c r="M32" s="39">
        <f t="shared" si="0"/>
        <v>0.94211841700012056</v>
      </c>
      <c r="N32" s="39">
        <f t="shared" si="1"/>
        <v>0.84075508774609831</v>
      </c>
      <c r="O32" s="39"/>
      <c r="Q32" s="6">
        <v>30</v>
      </c>
      <c r="R32" s="3">
        <v>4246</v>
      </c>
      <c r="S32" s="3">
        <v>31261</v>
      </c>
      <c r="T32" s="3">
        <v>7841</v>
      </c>
      <c r="X32" s="6">
        <v>30</v>
      </c>
      <c r="Y32" s="3">
        <v>6431</v>
      </c>
      <c r="Z32" s="3">
        <v>56542</v>
      </c>
      <c r="AA32" s="3">
        <v>16764</v>
      </c>
      <c r="AB32" s="7"/>
      <c r="AC32" s="7"/>
      <c r="AD32" s="6">
        <v>30</v>
      </c>
      <c r="AE32" s="3">
        <v>3176</v>
      </c>
      <c r="AF32" s="3">
        <v>47696</v>
      </c>
      <c r="AG32" s="3">
        <v>11833</v>
      </c>
      <c r="AH32" s="7"/>
      <c r="AI32" s="7"/>
      <c r="AK32" s="9" t="s">
        <v>23</v>
      </c>
      <c r="AL32" s="8">
        <f t="shared" si="6"/>
        <v>7.2</v>
      </c>
      <c r="AM32" s="8">
        <f t="shared" si="6"/>
        <v>10.561821911863337</v>
      </c>
      <c r="AN32" s="8"/>
      <c r="AO32" s="8">
        <f ca="1">AVERAGE(G106,M96,U97,AB86,AH94)</f>
        <v>7.2</v>
      </c>
    </row>
    <row r="33" spans="3:42" x14ac:dyDescent="0.25">
      <c r="C33">
        <v>31</v>
      </c>
      <c r="D33" s="3">
        <v>3300</v>
      </c>
      <c r="E33" s="3">
        <v>40371</v>
      </c>
      <c r="F33" s="3">
        <v>12093</v>
      </c>
      <c r="I33" s="6">
        <v>31</v>
      </c>
      <c r="J33" s="3">
        <v>8102</v>
      </c>
      <c r="K33" s="3">
        <v>47784</v>
      </c>
      <c r="L33" s="3">
        <v>13080</v>
      </c>
      <c r="M33" s="39">
        <f t="shared" si="0"/>
        <v>0.81438134622431235</v>
      </c>
      <c r="N33" s="39">
        <f t="shared" si="1"/>
        <v>0.79470129698792935</v>
      </c>
      <c r="O33" s="39"/>
      <c r="Q33" s="6">
        <v>31</v>
      </c>
      <c r="R33" s="3">
        <v>4078</v>
      </c>
      <c r="S33" s="3">
        <v>69978</v>
      </c>
      <c r="T33" s="3">
        <v>19200</v>
      </c>
      <c r="X33" s="6">
        <v>31</v>
      </c>
      <c r="Y33" s="3">
        <v>5867</v>
      </c>
      <c r="Z33" s="3">
        <v>39600</v>
      </c>
      <c r="AA33" s="3">
        <v>14367</v>
      </c>
      <c r="AB33" s="7"/>
      <c r="AC33" s="7"/>
      <c r="AD33" s="6">
        <v>31</v>
      </c>
      <c r="AE33" s="3">
        <v>3218</v>
      </c>
      <c r="AF33" s="3">
        <v>49427</v>
      </c>
      <c r="AG33" s="3">
        <v>12500</v>
      </c>
      <c r="AH33" s="7"/>
      <c r="AI33" s="7"/>
      <c r="AK33" s="7" t="s">
        <v>24</v>
      </c>
      <c r="AL33" s="6">
        <f t="shared" si="6"/>
        <v>46.4</v>
      </c>
      <c r="AM33" s="6">
        <f t="shared" si="6"/>
        <v>65.439697005562792</v>
      </c>
      <c r="AN33" s="6"/>
      <c r="AO33" s="6"/>
      <c r="AP33" s="3"/>
    </row>
    <row r="34" spans="3:42" x14ac:dyDescent="0.25">
      <c r="C34">
        <v>32</v>
      </c>
      <c r="D34" s="3">
        <v>6466</v>
      </c>
      <c r="E34" s="3">
        <v>52738</v>
      </c>
      <c r="F34" s="3">
        <v>11621</v>
      </c>
      <c r="I34" s="6">
        <v>32</v>
      </c>
      <c r="J34" s="3">
        <v>9167</v>
      </c>
      <c r="K34" s="3">
        <v>37899</v>
      </c>
      <c r="L34" s="3">
        <v>12543</v>
      </c>
      <c r="M34" s="39">
        <f t="shared" si="0"/>
        <v>0.64591157376015429</v>
      </c>
      <c r="N34" s="39">
        <f t="shared" si="1"/>
        <v>0.76207479878590201</v>
      </c>
      <c r="O34" s="39"/>
      <c r="Q34" s="6">
        <v>32</v>
      </c>
      <c r="R34" s="3">
        <v>4194</v>
      </c>
      <c r="S34" s="3">
        <v>45049</v>
      </c>
      <c r="T34" s="3">
        <v>11728</v>
      </c>
      <c r="X34" s="6">
        <v>32</v>
      </c>
      <c r="Y34" s="3">
        <v>5840</v>
      </c>
      <c r="Z34" s="3">
        <v>51064</v>
      </c>
      <c r="AA34" s="3">
        <v>20846</v>
      </c>
      <c r="AB34" s="7"/>
      <c r="AC34" s="7"/>
      <c r="AD34" s="6">
        <v>32</v>
      </c>
      <c r="AE34" s="3">
        <v>3976</v>
      </c>
      <c r="AF34" s="3">
        <v>43073</v>
      </c>
      <c r="AG34" s="3">
        <v>8984</v>
      </c>
      <c r="AH34" s="7"/>
      <c r="AI34" s="7"/>
      <c r="AK34" s="7" t="s">
        <v>25</v>
      </c>
      <c r="AL34" s="6">
        <f t="shared" si="6"/>
        <v>39.6</v>
      </c>
      <c r="AM34" s="6">
        <f t="shared" si="6"/>
        <v>56.893478518167832</v>
      </c>
      <c r="AN34" s="6"/>
      <c r="AO34" s="6"/>
      <c r="AP34" s="3"/>
    </row>
    <row r="35" spans="3:42" x14ac:dyDescent="0.25">
      <c r="C35">
        <v>33</v>
      </c>
      <c r="D35" s="3">
        <v>6857</v>
      </c>
      <c r="E35" s="103">
        <v>100371</v>
      </c>
      <c r="F35" s="104">
        <v>23550</v>
      </c>
      <c r="I35" s="6">
        <v>33</v>
      </c>
      <c r="J35" s="3">
        <v>6933</v>
      </c>
      <c r="K35" s="3">
        <v>37833</v>
      </c>
      <c r="L35" s="3">
        <v>8837</v>
      </c>
      <c r="M35" s="39">
        <f t="shared" si="0"/>
        <v>0.64478673764658478</v>
      </c>
      <c r="N35" s="39">
        <f t="shared" si="1"/>
        <v>0.53690943130598867</v>
      </c>
      <c r="O35" s="39"/>
      <c r="Q35" s="6">
        <v>33</v>
      </c>
      <c r="R35" s="3">
        <v>4404</v>
      </c>
      <c r="S35" s="3">
        <v>67489</v>
      </c>
      <c r="T35" s="3">
        <v>12504</v>
      </c>
      <c r="X35" s="6">
        <v>33</v>
      </c>
      <c r="Y35" s="3">
        <v>15369</v>
      </c>
      <c r="Z35" s="3">
        <v>56566</v>
      </c>
      <c r="AA35" s="3">
        <v>14959</v>
      </c>
      <c r="AB35" s="7"/>
      <c r="AC35" s="7"/>
      <c r="AD35" s="6">
        <v>33</v>
      </c>
      <c r="AE35" s="3">
        <v>4746</v>
      </c>
      <c r="AF35" s="109">
        <v>63475</v>
      </c>
      <c r="AG35" s="110">
        <v>19220</v>
      </c>
      <c r="AH35" s="7"/>
      <c r="AI35" s="7"/>
      <c r="AK35" s="99" t="s">
        <v>26</v>
      </c>
      <c r="AL35" s="111">
        <f t="shared" si="6"/>
        <v>23</v>
      </c>
      <c r="AM35" s="111">
        <f t="shared" si="6"/>
        <v>32.544699569968834</v>
      </c>
      <c r="AN35" s="111">
        <f>AVERAGE(F109,L99,T100,AA89,AG97)</f>
        <v>76.409457478005862</v>
      </c>
      <c r="AO35" s="113">
        <f ca="1">AVERAGE(G109,M99,U100,AB89,AH97)</f>
        <v>23</v>
      </c>
    </row>
    <row r="36" spans="3:42" x14ac:dyDescent="0.25">
      <c r="C36">
        <v>34</v>
      </c>
      <c r="D36" s="3">
        <v>5970</v>
      </c>
      <c r="E36" s="105">
        <v>99109</v>
      </c>
      <c r="F36" s="106">
        <v>20279</v>
      </c>
      <c r="I36" s="6">
        <v>34</v>
      </c>
      <c r="J36" s="3">
        <v>8149</v>
      </c>
      <c r="K36" s="103">
        <v>75139</v>
      </c>
      <c r="L36" s="104">
        <v>22109</v>
      </c>
      <c r="M36" s="39">
        <f t="shared" si="0"/>
        <v>1.2805918293560314</v>
      </c>
      <c r="N36" s="39">
        <f t="shared" si="1"/>
        <v>1.3432760684331904</v>
      </c>
      <c r="O36" s="39"/>
      <c r="Q36" s="6">
        <v>34</v>
      </c>
      <c r="R36" s="3">
        <v>4278</v>
      </c>
      <c r="S36" s="3">
        <v>41357</v>
      </c>
      <c r="T36" s="3">
        <v>7563</v>
      </c>
      <c r="X36" s="6">
        <v>34</v>
      </c>
      <c r="Y36" s="3">
        <v>6230</v>
      </c>
      <c r="Z36" s="3">
        <v>51243</v>
      </c>
      <c r="AA36" s="3">
        <v>16171</v>
      </c>
      <c r="AB36" s="7"/>
      <c r="AC36" s="7"/>
      <c r="AD36" s="6">
        <v>34</v>
      </c>
      <c r="AE36" s="3">
        <v>4978</v>
      </c>
      <c r="AF36" s="3">
        <v>40926</v>
      </c>
      <c r="AG36" s="3">
        <v>12667</v>
      </c>
      <c r="AH36" s="7"/>
      <c r="AI36" s="7"/>
    </row>
    <row r="37" spans="3:42" x14ac:dyDescent="0.25">
      <c r="C37">
        <v>35</v>
      </c>
      <c r="D37" s="3">
        <v>3210</v>
      </c>
      <c r="E37" s="3">
        <v>43903</v>
      </c>
      <c r="F37" s="3">
        <v>16645</v>
      </c>
      <c r="I37" s="6">
        <v>35</v>
      </c>
      <c r="J37" s="3">
        <v>8904</v>
      </c>
      <c r="K37" s="105">
        <v>86400</v>
      </c>
      <c r="L37" s="106">
        <v>27252</v>
      </c>
      <c r="M37" s="39">
        <f t="shared" si="0"/>
        <v>1.4725127304909715</v>
      </c>
      <c r="N37" s="39">
        <f t="shared" si="1"/>
        <v>1.6557492160179701</v>
      </c>
      <c r="O37" s="39"/>
      <c r="Q37" s="6">
        <v>35</v>
      </c>
      <c r="R37" s="3">
        <v>5056</v>
      </c>
      <c r="S37" s="3">
        <v>82341</v>
      </c>
      <c r="T37" s="3">
        <v>19810</v>
      </c>
      <c r="X37" s="6">
        <v>35</v>
      </c>
      <c r="Y37" s="3">
        <v>6349</v>
      </c>
      <c r="Z37" s="3">
        <v>53678</v>
      </c>
      <c r="AA37" s="3">
        <v>19781</v>
      </c>
      <c r="AB37" s="7"/>
      <c r="AC37" s="7"/>
      <c r="AD37" s="6">
        <v>35</v>
      </c>
      <c r="AE37" s="3">
        <v>3890</v>
      </c>
      <c r="AF37" s="109">
        <v>61630</v>
      </c>
      <c r="AG37" s="110">
        <v>24219</v>
      </c>
      <c r="AH37" s="7"/>
      <c r="AI37" s="7"/>
      <c r="AK37" s="81" t="s">
        <v>46</v>
      </c>
      <c r="AL37" s="73" t="s">
        <v>1</v>
      </c>
      <c r="AM37" s="73" t="s">
        <v>2</v>
      </c>
      <c r="AN37" s="73" t="s">
        <v>39</v>
      </c>
      <c r="AO37" s="74" t="s">
        <v>40</v>
      </c>
    </row>
    <row r="38" spans="3:42" x14ac:dyDescent="0.25">
      <c r="C38">
        <v>36</v>
      </c>
      <c r="D38" s="3">
        <v>4609</v>
      </c>
      <c r="E38" s="3">
        <v>55866</v>
      </c>
      <c r="F38" s="3">
        <v>19050</v>
      </c>
      <c r="I38" s="6">
        <v>36</v>
      </c>
      <c r="J38" s="3">
        <v>9545</v>
      </c>
      <c r="K38" s="3">
        <v>62929</v>
      </c>
      <c r="L38" s="3">
        <v>13330</v>
      </c>
      <c r="M38" s="39">
        <f t="shared" si="0"/>
        <v>1.0724971483456753</v>
      </c>
      <c r="N38" s="39">
        <f t="shared" si="1"/>
        <v>0.80989054196094024</v>
      </c>
      <c r="O38" s="39"/>
      <c r="Q38" s="6">
        <v>36</v>
      </c>
      <c r="R38" s="3">
        <v>3354</v>
      </c>
      <c r="S38" s="3">
        <v>56438</v>
      </c>
      <c r="T38" s="3">
        <v>17062</v>
      </c>
      <c r="X38" s="6">
        <v>36</v>
      </c>
      <c r="Y38" s="3">
        <v>7026</v>
      </c>
      <c r="Z38" s="3">
        <v>56066</v>
      </c>
      <c r="AA38" s="3">
        <v>8355</v>
      </c>
      <c r="AB38" s="7"/>
      <c r="AC38" s="7"/>
      <c r="AD38" s="6">
        <v>36</v>
      </c>
      <c r="AE38" s="3">
        <v>3956</v>
      </c>
      <c r="AF38" s="3">
        <v>40982</v>
      </c>
      <c r="AG38" s="3">
        <v>11175</v>
      </c>
      <c r="AH38" s="7"/>
      <c r="AI38" s="7"/>
      <c r="AK38" s="75" t="s">
        <v>37</v>
      </c>
      <c r="AL38" s="38">
        <f t="shared" ref="AL38:AO39" si="7">AVERAGE(AE100,Y94,R104,J103,D112)</f>
        <v>26714.799999999999</v>
      </c>
      <c r="AM38" s="38">
        <f t="shared" si="7"/>
        <v>6887.8</v>
      </c>
      <c r="AN38" s="71">
        <f t="shared" si="7"/>
        <v>0.44169316503742484</v>
      </c>
      <c r="AO38" s="76">
        <f t="shared" si="7"/>
        <v>0.38998488712499724</v>
      </c>
    </row>
    <row r="39" spans="3:42" x14ac:dyDescent="0.25">
      <c r="C39">
        <v>37</v>
      </c>
      <c r="D39" s="3">
        <v>5650</v>
      </c>
      <c r="E39" s="109">
        <v>106010</v>
      </c>
      <c r="F39" s="110">
        <v>16440</v>
      </c>
      <c r="I39" s="6">
        <v>37</v>
      </c>
      <c r="J39" s="3">
        <v>6263</v>
      </c>
      <c r="K39" s="3">
        <v>46632</v>
      </c>
      <c r="L39" s="3">
        <v>10653</v>
      </c>
      <c r="M39" s="39">
        <f t="shared" si="0"/>
        <v>0.79474784315109936</v>
      </c>
      <c r="N39" s="39">
        <f t="shared" si="1"/>
        <v>0.64724410678993971</v>
      </c>
      <c r="O39" s="39"/>
      <c r="Q39" s="6">
        <v>37</v>
      </c>
      <c r="R39" s="3">
        <v>4629</v>
      </c>
      <c r="S39" s="3">
        <v>52164</v>
      </c>
      <c r="T39" s="3">
        <v>17483</v>
      </c>
      <c r="X39" s="6">
        <v>37</v>
      </c>
      <c r="Y39" s="3">
        <v>6902</v>
      </c>
      <c r="Z39" s="3">
        <v>49891</v>
      </c>
      <c r="AA39" s="3">
        <v>16361</v>
      </c>
      <c r="AB39" s="7"/>
      <c r="AC39" s="7"/>
      <c r="AD39" s="6">
        <v>37</v>
      </c>
      <c r="AE39" s="3">
        <v>5229</v>
      </c>
      <c r="AF39" s="3">
        <v>50636</v>
      </c>
      <c r="AG39" s="3">
        <v>15746</v>
      </c>
      <c r="AH39" s="7"/>
      <c r="AI39" s="7"/>
      <c r="AK39" s="75" t="s">
        <v>38</v>
      </c>
      <c r="AL39" s="38">
        <f t="shared" si="7"/>
        <v>123991</v>
      </c>
      <c r="AM39" s="38">
        <f t="shared" si="7"/>
        <v>38547.800000000003</v>
      </c>
      <c r="AN39" s="71">
        <f t="shared" si="7"/>
        <v>2.0321392617441676</v>
      </c>
      <c r="AO39" s="76">
        <f t="shared" si="7"/>
        <v>2.1697167893952609</v>
      </c>
    </row>
    <row r="40" spans="3:42" x14ac:dyDescent="0.25">
      <c r="C40">
        <v>38</v>
      </c>
      <c r="D40" s="3">
        <v>4985</v>
      </c>
      <c r="E40" s="3">
        <v>41808</v>
      </c>
      <c r="F40" s="3">
        <v>14662</v>
      </c>
      <c r="I40" s="6">
        <v>38</v>
      </c>
      <c r="J40" s="3">
        <v>6717</v>
      </c>
      <c r="K40" s="3">
        <v>52399</v>
      </c>
      <c r="L40" s="3">
        <v>11942</v>
      </c>
      <c r="M40" s="39">
        <f t="shared" si="0"/>
        <v>0.89303465931708814</v>
      </c>
      <c r="N40" s="39">
        <f t="shared" si="1"/>
        <v>0.72555985387078381</v>
      </c>
      <c r="O40" s="39"/>
      <c r="Q40" s="6">
        <v>38</v>
      </c>
      <c r="R40" s="3">
        <v>7680</v>
      </c>
      <c r="S40" s="3">
        <v>48853</v>
      </c>
      <c r="T40" s="3">
        <v>18480</v>
      </c>
      <c r="X40" s="6">
        <v>38</v>
      </c>
      <c r="Y40" s="3">
        <v>6839</v>
      </c>
      <c r="Z40" s="3">
        <v>82795</v>
      </c>
      <c r="AA40" s="3">
        <v>18232</v>
      </c>
      <c r="AB40" s="7"/>
      <c r="AC40" s="7"/>
      <c r="AD40" s="6">
        <v>38</v>
      </c>
      <c r="AE40" s="3">
        <v>4875</v>
      </c>
      <c r="AF40" s="103">
        <v>84133</v>
      </c>
      <c r="AG40" s="104">
        <v>34781</v>
      </c>
      <c r="AH40" s="7"/>
      <c r="AI40" s="7"/>
      <c r="AK40" s="77" t="s">
        <v>4</v>
      </c>
      <c r="AL40" s="78">
        <f>AVERAGE(AE102,Y96,R106,J105,D114)</f>
        <v>60728.483722235382</v>
      </c>
      <c r="AM40" s="78">
        <f>AVERAGE(AF102,Z96,S106,K105,E114)</f>
        <v>17675.040999921093</v>
      </c>
      <c r="AN40" s="78"/>
      <c r="AO40" s="82"/>
    </row>
    <row r="41" spans="3:42" x14ac:dyDescent="0.25">
      <c r="C41">
        <v>39</v>
      </c>
      <c r="D41" s="3">
        <v>4297</v>
      </c>
      <c r="E41" s="3">
        <v>41541</v>
      </c>
      <c r="F41" s="3">
        <v>15676</v>
      </c>
      <c r="I41" s="6">
        <v>39</v>
      </c>
      <c r="J41" s="3">
        <v>8205</v>
      </c>
      <c r="K41" s="109">
        <v>60974</v>
      </c>
      <c r="L41" s="110">
        <v>17167</v>
      </c>
      <c r="M41" s="39">
        <f t="shared" si="0"/>
        <v>1.0391781392240336</v>
      </c>
      <c r="N41" s="39">
        <f t="shared" si="1"/>
        <v>1.0430150738067112</v>
      </c>
      <c r="O41" s="39"/>
      <c r="Q41" s="6">
        <v>39</v>
      </c>
      <c r="R41" s="3">
        <v>5067</v>
      </c>
      <c r="S41" s="3">
        <v>52394</v>
      </c>
      <c r="T41" s="3">
        <v>11865</v>
      </c>
      <c r="X41" s="6">
        <v>39</v>
      </c>
      <c r="Y41" s="3">
        <v>6969</v>
      </c>
      <c r="Z41" s="109">
        <v>90531</v>
      </c>
      <c r="AA41" s="110">
        <v>38051</v>
      </c>
      <c r="AB41" s="7"/>
      <c r="AC41" s="7"/>
      <c r="AD41" s="6">
        <v>39</v>
      </c>
      <c r="AE41" s="3">
        <v>5371</v>
      </c>
      <c r="AF41" s="105">
        <v>71500</v>
      </c>
      <c r="AG41" s="106">
        <v>26257</v>
      </c>
      <c r="AH41" s="7"/>
      <c r="AI41" s="7"/>
    </row>
    <row r="42" spans="3:42" x14ac:dyDescent="0.25">
      <c r="C42">
        <v>40</v>
      </c>
      <c r="D42" s="3">
        <v>3919</v>
      </c>
      <c r="E42" s="3">
        <v>48570</v>
      </c>
      <c r="F42" s="3">
        <v>20698</v>
      </c>
      <c r="I42" s="6">
        <v>40</v>
      </c>
      <c r="J42" s="3">
        <v>10879</v>
      </c>
      <c r="K42" s="3">
        <v>43945</v>
      </c>
      <c r="L42" s="3">
        <v>14382</v>
      </c>
      <c r="M42" s="39">
        <f t="shared" si="0"/>
        <v>0.7489533789516869</v>
      </c>
      <c r="N42" s="39">
        <f t="shared" si="1"/>
        <v>0.87380688480737001</v>
      </c>
      <c r="O42" s="39"/>
      <c r="Q42" s="6">
        <v>40</v>
      </c>
      <c r="R42" s="3">
        <v>5034</v>
      </c>
      <c r="S42" s="3">
        <v>52798</v>
      </c>
      <c r="T42" s="3">
        <v>16079</v>
      </c>
      <c r="X42" s="6">
        <v>40</v>
      </c>
      <c r="Y42" s="3">
        <v>7944</v>
      </c>
      <c r="Z42" s="3">
        <v>59889</v>
      </c>
      <c r="AA42" s="3">
        <v>15444</v>
      </c>
      <c r="AB42" s="7"/>
      <c r="AC42" s="7"/>
      <c r="AD42" s="6">
        <v>40</v>
      </c>
      <c r="AE42" s="3">
        <v>3945</v>
      </c>
      <c r="AF42" s="3">
        <v>50055</v>
      </c>
      <c r="AG42" s="3">
        <v>13555</v>
      </c>
      <c r="AH42" s="7"/>
      <c r="AI42" s="7"/>
      <c r="AK42" s="81" t="s">
        <v>47</v>
      </c>
      <c r="AL42" s="73" t="s">
        <v>39</v>
      </c>
      <c r="AM42" s="74" t="s">
        <v>40</v>
      </c>
      <c r="AN42" s="39"/>
      <c r="AO42" s="39"/>
    </row>
    <row r="43" spans="3:42" x14ac:dyDescent="0.25">
      <c r="C43">
        <v>41</v>
      </c>
      <c r="D43" s="3">
        <v>3556</v>
      </c>
      <c r="E43" s="3">
        <v>57500</v>
      </c>
      <c r="F43" s="3">
        <v>28744</v>
      </c>
      <c r="I43" s="6">
        <v>41</v>
      </c>
      <c r="J43" s="3">
        <v>9564</v>
      </c>
      <c r="K43" s="109">
        <v>72135</v>
      </c>
      <c r="L43" s="110">
        <v>16564</v>
      </c>
      <c r="M43" s="39">
        <f t="shared" si="0"/>
        <v>1.2293947432172019</v>
      </c>
      <c r="N43" s="39">
        <f t="shared" si="1"/>
        <v>1.006378614931809</v>
      </c>
      <c r="O43" s="39"/>
      <c r="Q43" s="6">
        <v>41</v>
      </c>
      <c r="R43" s="3">
        <v>4217</v>
      </c>
      <c r="S43" s="3">
        <v>51739</v>
      </c>
      <c r="T43" s="3">
        <v>14329</v>
      </c>
      <c r="X43" s="6">
        <v>41</v>
      </c>
      <c r="Y43" s="3">
        <v>6148</v>
      </c>
      <c r="Z43" s="3">
        <v>38852</v>
      </c>
      <c r="AA43" s="3">
        <v>16907</v>
      </c>
      <c r="AB43" s="7"/>
      <c r="AC43" s="7"/>
      <c r="AD43" s="6">
        <v>41</v>
      </c>
      <c r="AE43" s="3">
        <v>4157</v>
      </c>
      <c r="AF43" s="3">
        <v>59966</v>
      </c>
      <c r="AG43" s="3">
        <v>15191</v>
      </c>
      <c r="AH43" s="7"/>
      <c r="AI43" s="7"/>
      <c r="AK43" s="75" t="s">
        <v>37</v>
      </c>
      <c r="AL43" s="71">
        <v>0.34682148454597511</v>
      </c>
      <c r="AM43" s="76">
        <v>0.326777131452198</v>
      </c>
      <c r="AN43" s="39"/>
      <c r="AO43" s="39"/>
    </row>
    <row r="44" spans="3:42" x14ac:dyDescent="0.25">
      <c r="C44">
        <v>42</v>
      </c>
      <c r="D44" s="3">
        <v>5198</v>
      </c>
      <c r="E44" s="103">
        <v>97881</v>
      </c>
      <c r="F44" s="104">
        <v>18248</v>
      </c>
      <c r="I44" s="6">
        <v>42</v>
      </c>
      <c r="J44" s="3">
        <v>10352</v>
      </c>
      <c r="K44" s="3">
        <v>53330</v>
      </c>
      <c r="L44" s="3">
        <v>17841</v>
      </c>
      <c r="M44" s="39">
        <f t="shared" si="0"/>
        <v>0.90890166570698516</v>
      </c>
      <c r="N44" s="39">
        <f t="shared" si="1"/>
        <v>1.0839652782539486</v>
      </c>
      <c r="O44" s="39"/>
      <c r="Q44" s="6">
        <v>42</v>
      </c>
      <c r="R44" s="3">
        <v>4522</v>
      </c>
      <c r="S44" s="3">
        <v>50846</v>
      </c>
      <c r="T44" s="3">
        <v>9103</v>
      </c>
      <c r="X44" s="6">
        <v>42</v>
      </c>
      <c r="Y44" s="3">
        <v>6974</v>
      </c>
      <c r="Z44" s="3">
        <v>56886</v>
      </c>
      <c r="AA44" s="3">
        <v>18544</v>
      </c>
      <c r="AB44" s="7"/>
      <c r="AC44" s="7"/>
      <c r="AD44" s="6">
        <v>42</v>
      </c>
      <c r="AE44" s="3">
        <v>3537</v>
      </c>
      <c r="AF44" s="3">
        <v>41074</v>
      </c>
      <c r="AG44" s="3">
        <v>15380</v>
      </c>
      <c r="AH44" s="7"/>
      <c r="AI44" s="7"/>
      <c r="AK44" s="75" t="s">
        <v>38</v>
      </c>
      <c r="AL44" s="39">
        <v>2.200225773207368</v>
      </c>
      <c r="AM44" s="76">
        <v>2.6654975076904708</v>
      </c>
      <c r="AN44" s="39"/>
      <c r="AO44" s="39"/>
    </row>
    <row r="45" spans="3:42" x14ac:dyDescent="0.25">
      <c r="C45">
        <v>43</v>
      </c>
      <c r="D45" s="3">
        <v>5740</v>
      </c>
      <c r="E45" s="107">
        <v>115675</v>
      </c>
      <c r="F45" s="108">
        <v>24236</v>
      </c>
      <c r="I45" s="6">
        <v>43</v>
      </c>
      <c r="J45" s="3">
        <v>5908</v>
      </c>
      <c r="K45" s="3">
        <v>34717</v>
      </c>
      <c r="L45" s="3">
        <v>12417</v>
      </c>
      <c r="M45" s="39">
        <f t="shared" si="0"/>
        <v>0.59168083870897059</v>
      </c>
      <c r="N45" s="39">
        <f t="shared" si="1"/>
        <v>0.75441941931950451</v>
      </c>
      <c r="O45" s="39"/>
      <c r="Q45" s="6">
        <v>43</v>
      </c>
      <c r="R45" s="3">
        <v>6940</v>
      </c>
      <c r="S45" s="3">
        <v>42940</v>
      </c>
      <c r="T45" s="3">
        <v>8460</v>
      </c>
      <c r="X45" s="6">
        <v>43</v>
      </c>
      <c r="Y45" s="3">
        <v>7539</v>
      </c>
      <c r="Z45" s="109">
        <v>70790</v>
      </c>
      <c r="AA45" s="110">
        <v>21359</v>
      </c>
      <c r="AB45" s="7"/>
      <c r="AC45" s="7"/>
      <c r="AD45" s="6">
        <v>43</v>
      </c>
      <c r="AE45" s="3">
        <v>5262</v>
      </c>
      <c r="AF45" s="3">
        <v>44336</v>
      </c>
      <c r="AG45" s="3">
        <v>19458</v>
      </c>
      <c r="AH45" s="7"/>
      <c r="AI45" s="7"/>
      <c r="AK45" s="77" t="s">
        <v>4</v>
      </c>
      <c r="AL45" s="78"/>
      <c r="AM45" s="82"/>
      <c r="AN45" s="39"/>
      <c r="AO45" s="39"/>
      <c r="AP45" s="50"/>
    </row>
    <row r="46" spans="3:42" x14ac:dyDescent="0.25">
      <c r="C46">
        <v>44</v>
      </c>
      <c r="D46" s="3">
        <v>5312</v>
      </c>
      <c r="E46" s="107">
        <v>86927</v>
      </c>
      <c r="F46" s="108">
        <v>19523</v>
      </c>
      <c r="I46" s="6">
        <v>44</v>
      </c>
      <c r="J46" s="3">
        <v>5977</v>
      </c>
      <c r="K46" s="3">
        <v>33244</v>
      </c>
      <c r="L46" s="3">
        <v>13565</v>
      </c>
      <c r="M46" s="39">
        <f t="shared" si="0"/>
        <v>0.56657654181066963</v>
      </c>
      <c r="N46" s="39">
        <f t="shared" si="1"/>
        <v>0.82416843223557046</v>
      </c>
      <c r="O46" s="39"/>
      <c r="Q46" s="6">
        <v>44</v>
      </c>
      <c r="R46" s="3">
        <v>5544</v>
      </c>
      <c r="S46" s="3">
        <v>57006</v>
      </c>
      <c r="T46" s="3">
        <v>15494</v>
      </c>
      <c r="X46" s="6">
        <v>44</v>
      </c>
      <c r="Y46" s="3">
        <v>12443</v>
      </c>
      <c r="Z46" s="3">
        <v>58830</v>
      </c>
      <c r="AA46" s="3">
        <v>13717</v>
      </c>
      <c r="AB46" s="7"/>
      <c r="AC46" s="7"/>
      <c r="AD46" s="6">
        <v>44</v>
      </c>
      <c r="AE46" s="3">
        <v>5173</v>
      </c>
      <c r="AF46" s="3">
        <v>40816</v>
      </c>
      <c r="AG46" s="3">
        <v>10020</v>
      </c>
      <c r="AH46" s="7"/>
      <c r="AI46" s="7"/>
      <c r="AN46" s="50"/>
      <c r="AO46" s="50"/>
      <c r="AP46" s="50"/>
    </row>
    <row r="47" spans="3:42" x14ac:dyDescent="0.25">
      <c r="C47">
        <v>45</v>
      </c>
      <c r="D47" s="3">
        <v>5148</v>
      </c>
      <c r="E47" s="107">
        <v>79254</v>
      </c>
      <c r="F47" s="108">
        <v>16669</v>
      </c>
      <c r="I47" s="6">
        <v>45</v>
      </c>
      <c r="J47" s="3">
        <v>6976</v>
      </c>
      <c r="K47" s="3">
        <v>30079</v>
      </c>
      <c r="L47" s="3">
        <v>10206</v>
      </c>
      <c r="M47" s="39">
        <f t="shared" si="0"/>
        <v>0.51263553727358724</v>
      </c>
      <c r="N47" s="39">
        <f t="shared" si="1"/>
        <v>0.62008573677819623</v>
      </c>
      <c r="O47" s="39"/>
      <c r="Q47" s="6">
        <v>45</v>
      </c>
      <c r="R47" s="3">
        <v>4301</v>
      </c>
      <c r="S47" s="3">
        <v>50384</v>
      </c>
      <c r="T47" s="3">
        <v>17301</v>
      </c>
      <c r="X47" s="6">
        <v>45</v>
      </c>
      <c r="Y47" s="3">
        <v>7119</v>
      </c>
      <c r="Z47" s="109">
        <v>70825</v>
      </c>
      <c r="AA47" s="110">
        <v>21610</v>
      </c>
      <c r="AB47" s="7"/>
      <c r="AC47" s="7"/>
      <c r="AD47" s="6">
        <v>45</v>
      </c>
      <c r="AE47" s="3">
        <v>5363</v>
      </c>
      <c r="AF47" s="3">
        <v>34098</v>
      </c>
      <c r="AG47" s="3">
        <v>9696</v>
      </c>
      <c r="AH47" s="7"/>
    </row>
    <row r="48" spans="3:42" x14ac:dyDescent="0.25">
      <c r="C48">
        <v>46</v>
      </c>
      <c r="D48" s="3">
        <v>4230</v>
      </c>
      <c r="E48" s="107">
        <v>63914</v>
      </c>
      <c r="F48" s="108">
        <v>17475</v>
      </c>
      <c r="I48" s="6">
        <v>46</v>
      </c>
      <c r="J48" s="3">
        <v>8271</v>
      </c>
      <c r="K48" s="109">
        <v>93186</v>
      </c>
      <c r="L48" s="110">
        <v>24932</v>
      </c>
      <c r="M48" s="39">
        <f t="shared" si="0"/>
        <v>1.5881663345316166</v>
      </c>
      <c r="N48" s="39">
        <f t="shared" si="1"/>
        <v>1.5147930226684292</v>
      </c>
      <c r="O48" s="39"/>
      <c r="Q48" s="6">
        <v>46</v>
      </c>
      <c r="R48" s="3">
        <v>4748</v>
      </c>
      <c r="S48" s="3">
        <v>62802</v>
      </c>
      <c r="T48" s="3">
        <v>20542</v>
      </c>
      <c r="X48" s="6">
        <v>46</v>
      </c>
      <c r="Y48" s="3">
        <v>6403</v>
      </c>
      <c r="Z48" s="3">
        <v>39050</v>
      </c>
      <c r="AA48" s="3">
        <v>17261</v>
      </c>
      <c r="AB48" s="7"/>
      <c r="AC48" s="7"/>
      <c r="AD48" s="6">
        <v>46</v>
      </c>
      <c r="AE48" s="3">
        <v>5435</v>
      </c>
      <c r="AF48" s="3">
        <v>49761</v>
      </c>
      <c r="AG48" s="3">
        <v>22022</v>
      </c>
      <c r="AH48" s="7"/>
    </row>
    <row r="49" spans="3:34" x14ac:dyDescent="0.25">
      <c r="C49">
        <v>47</v>
      </c>
      <c r="D49" s="3">
        <v>4405</v>
      </c>
      <c r="E49" s="107">
        <v>62865</v>
      </c>
      <c r="F49" s="108">
        <v>18264</v>
      </c>
      <c r="I49" s="6">
        <v>47</v>
      </c>
      <c r="J49" s="3">
        <v>8983</v>
      </c>
      <c r="K49" s="3">
        <v>44792</v>
      </c>
      <c r="L49" s="3">
        <v>10315</v>
      </c>
      <c r="M49" s="39">
        <f t="shared" si="0"/>
        <v>0.76338877574249531</v>
      </c>
      <c r="N49" s="39">
        <f t="shared" si="1"/>
        <v>0.62670824758642896</v>
      </c>
      <c r="O49" s="39"/>
      <c r="Q49" s="6">
        <v>47</v>
      </c>
      <c r="R49" s="3">
        <v>3913</v>
      </c>
      <c r="S49" s="109">
        <v>82899</v>
      </c>
      <c r="T49" s="110">
        <v>28768</v>
      </c>
      <c r="X49" s="6">
        <v>47</v>
      </c>
      <c r="Y49" s="3">
        <v>5827</v>
      </c>
      <c r="Z49" s="3">
        <v>47873</v>
      </c>
      <c r="AA49" s="3">
        <v>22191</v>
      </c>
      <c r="AB49" s="7"/>
      <c r="AC49" s="7"/>
      <c r="AD49" s="6">
        <v>47</v>
      </c>
      <c r="AE49" s="3">
        <v>5227</v>
      </c>
      <c r="AF49" s="3">
        <v>64411</v>
      </c>
      <c r="AG49" s="3">
        <v>12972</v>
      </c>
      <c r="AH49" s="7"/>
    </row>
    <row r="50" spans="3:34" x14ac:dyDescent="0.25">
      <c r="C50">
        <v>48</v>
      </c>
      <c r="D50" s="3">
        <v>4858</v>
      </c>
      <c r="E50" s="107">
        <v>66881</v>
      </c>
      <c r="F50" s="108">
        <v>17590</v>
      </c>
      <c r="I50" s="6">
        <v>48</v>
      </c>
      <c r="J50" s="3">
        <v>8376</v>
      </c>
      <c r="K50" s="3">
        <v>31511</v>
      </c>
      <c r="L50" s="3">
        <v>12092</v>
      </c>
      <c r="M50" s="39">
        <f t="shared" si="0"/>
        <v>0.53704107234376164</v>
      </c>
      <c r="N50" s="39">
        <f t="shared" si="1"/>
        <v>0.73467340085459032</v>
      </c>
      <c r="O50" s="39"/>
      <c r="Q50" s="6">
        <v>48</v>
      </c>
      <c r="R50" s="3">
        <v>6055</v>
      </c>
      <c r="S50" s="3">
        <v>57011</v>
      </c>
      <c r="T50" s="3">
        <v>16319</v>
      </c>
      <c r="X50" s="6">
        <v>48</v>
      </c>
      <c r="Y50" s="3">
        <v>7497</v>
      </c>
      <c r="Z50" s="3">
        <v>30542</v>
      </c>
      <c r="AA50" s="3">
        <v>12242</v>
      </c>
      <c r="AB50" s="7"/>
      <c r="AC50" s="7"/>
      <c r="AD50" s="6">
        <v>48</v>
      </c>
      <c r="AE50" s="3">
        <v>5817</v>
      </c>
      <c r="AF50" s="3">
        <v>30172</v>
      </c>
      <c r="AG50" s="3">
        <v>11521</v>
      </c>
      <c r="AH50" s="7"/>
    </row>
    <row r="51" spans="3:34" x14ac:dyDescent="0.25">
      <c r="C51">
        <v>49</v>
      </c>
      <c r="D51" s="3">
        <v>3830</v>
      </c>
      <c r="E51" s="105">
        <v>64400</v>
      </c>
      <c r="F51" s="106">
        <v>21130</v>
      </c>
      <c r="I51" s="6">
        <v>49</v>
      </c>
      <c r="J51" s="3">
        <v>8272</v>
      </c>
      <c r="K51" s="3">
        <v>39853</v>
      </c>
      <c r="L51" s="3">
        <v>18969</v>
      </c>
      <c r="M51" s="39">
        <f t="shared" si="0"/>
        <v>0.67921353991037836</v>
      </c>
      <c r="N51" s="39">
        <f t="shared" si="1"/>
        <v>1.1524991515721736</v>
      </c>
      <c r="O51" s="39"/>
      <c r="Q51" s="6">
        <v>49</v>
      </c>
      <c r="R51" s="3">
        <v>5296</v>
      </c>
      <c r="S51" s="3">
        <v>50469</v>
      </c>
      <c r="T51" s="3">
        <v>25679</v>
      </c>
      <c r="X51" s="6">
        <v>49</v>
      </c>
      <c r="Y51" s="3">
        <v>10</v>
      </c>
      <c r="Z51" s="3">
        <v>45575</v>
      </c>
      <c r="AA51" s="3">
        <v>19932</v>
      </c>
      <c r="AB51" s="7"/>
      <c r="AC51" s="7"/>
      <c r="AD51" s="6">
        <v>49</v>
      </c>
      <c r="AE51" s="3">
        <v>9127</v>
      </c>
      <c r="AF51" s="3">
        <v>34382</v>
      </c>
      <c r="AG51" s="3">
        <v>14600</v>
      </c>
      <c r="AH51" s="7"/>
    </row>
    <row r="52" spans="3:34" x14ac:dyDescent="0.25">
      <c r="C52">
        <v>50</v>
      </c>
      <c r="D52" s="3">
        <v>3529</v>
      </c>
      <c r="E52" s="3">
        <v>60445</v>
      </c>
      <c r="F52" s="3">
        <v>15479</v>
      </c>
      <c r="I52" s="6">
        <v>50</v>
      </c>
      <c r="J52" s="3">
        <v>8197</v>
      </c>
      <c r="K52" s="3">
        <v>32803</v>
      </c>
      <c r="L52" s="3">
        <v>14051</v>
      </c>
      <c r="M52" s="39">
        <f t="shared" si="0"/>
        <v>0.55906059141545528</v>
      </c>
      <c r="N52" s="39">
        <f t="shared" si="1"/>
        <v>0.85369632446310362</v>
      </c>
      <c r="O52" s="39"/>
      <c r="Q52" s="6">
        <v>50</v>
      </c>
      <c r="R52" s="3">
        <v>6</v>
      </c>
      <c r="S52" s="109">
        <v>111551</v>
      </c>
      <c r="T52" s="110">
        <v>33938</v>
      </c>
      <c r="X52" s="6">
        <v>50</v>
      </c>
      <c r="Y52" s="3">
        <v>8670</v>
      </c>
      <c r="Z52" s="3">
        <v>50659</v>
      </c>
      <c r="AA52" s="3">
        <v>16835</v>
      </c>
      <c r="AB52" s="7"/>
      <c r="AC52" s="7"/>
      <c r="AD52" s="6">
        <v>50</v>
      </c>
      <c r="AE52" s="3">
        <v>5359</v>
      </c>
      <c r="AF52" s="3">
        <v>43664</v>
      </c>
      <c r="AG52" s="3">
        <v>15832</v>
      </c>
      <c r="AH52" s="7"/>
    </row>
    <row r="53" spans="3:34" x14ac:dyDescent="0.25">
      <c r="C53">
        <v>51</v>
      </c>
      <c r="D53" s="3">
        <v>4664</v>
      </c>
      <c r="E53" s="3">
        <v>39906</v>
      </c>
      <c r="F53" s="3">
        <v>12562</v>
      </c>
      <c r="I53" s="6">
        <v>51</v>
      </c>
      <c r="J53" s="3">
        <v>7720</v>
      </c>
      <c r="K53" s="109">
        <v>68147</v>
      </c>
      <c r="L53" s="110">
        <v>23433</v>
      </c>
      <c r="M53" s="39">
        <f t="shared" si="0"/>
        <v>1.161427373203336</v>
      </c>
      <c r="N53" s="39">
        <f t="shared" si="1"/>
        <v>1.4237183098102559</v>
      </c>
      <c r="O53" s="39"/>
      <c r="Q53" s="6">
        <v>51</v>
      </c>
      <c r="R53" s="3">
        <v>4277</v>
      </c>
      <c r="S53" s="3">
        <v>44672</v>
      </c>
      <c r="T53" s="3">
        <v>17008</v>
      </c>
      <c r="X53" s="6">
        <v>51</v>
      </c>
      <c r="Y53" s="3">
        <v>5814</v>
      </c>
      <c r="Z53" s="3">
        <v>38678</v>
      </c>
      <c r="AA53" s="3">
        <v>16992</v>
      </c>
      <c r="AB53" s="7"/>
      <c r="AC53" s="7"/>
      <c r="AD53" s="6">
        <v>51</v>
      </c>
      <c r="AE53" s="3">
        <v>4338</v>
      </c>
      <c r="AF53" s="3">
        <v>26779</v>
      </c>
      <c r="AG53" s="3">
        <v>23403</v>
      </c>
      <c r="AH53" s="7"/>
    </row>
    <row r="54" spans="3:34" x14ac:dyDescent="0.25">
      <c r="C54">
        <v>52</v>
      </c>
      <c r="D54" s="3">
        <v>5500</v>
      </c>
      <c r="E54" s="3">
        <v>39158</v>
      </c>
      <c r="F54" s="3">
        <v>11539</v>
      </c>
      <c r="I54" s="6">
        <v>52</v>
      </c>
      <c r="J54" s="3">
        <v>6678</v>
      </c>
      <c r="K54" s="3">
        <v>38243</v>
      </c>
      <c r="L54" s="3">
        <v>12826</v>
      </c>
      <c r="M54" s="39">
        <f t="shared" si="0"/>
        <v>0.65177435592784982</v>
      </c>
      <c r="N54" s="39">
        <f t="shared" si="1"/>
        <v>0.77926902409535026</v>
      </c>
      <c r="O54" s="39"/>
      <c r="Q54" s="6">
        <v>52</v>
      </c>
      <c r="R54" s="3">
        <v>4967</v>
      </c>
      <c r="S54" s="112">
        <v>97951</v>
      </c>
      <c r="T54" s="112">
        <v>23724</v>
      </c>
      <c r="X54" s="6">
        <v>52</v>
      </c>
      <c r="Y54" s="3">
        <v>12248</v>
      </c>
      <c r="Z54" s="109">
        <v>63119</v>
      </c>
      <c r="AA54" s="110">
        <v>25578</v>
      </c>
      <c r="AB54" s="7"/>
      <c r="AC54" s="7"/>
      <c r="AD54" s="6">
        <v>52</v>
      </c>
      <c r="AE54" s="3">
        <v>4689</v>
      </c>
      <c r="AF54" s="3">
        <v>32189</v>
      </c>
      <c r="AG54" s="3">
        <v>14757</v>
      </c>
      <c r="AH54" s="7"/>
    </row>
    <row r="55" spans="3:34" x14ac:dyDescent="0.25">
      <c r="C55">
        <v>53</v>
      </c>
      <c r="D55" s="3">
        <v>3196</v>
      </c>
      <c r="E55" s="3">
        <v>38253</v>
      </c>
      <c r="F55" s="3">
        <v>11114</v>
      </c>
      <c r="I55" s="6">
        <v>53</v>
      </c>
      <c r="J55" s="3">
        <v>8333</v>
      </c>
      <c r="K55" s="103">
        <v>64848</v>
      </c>
      <c r="L55" s="104">
        <v>25212</v>
      </c>
      <c r="M55" s="39">
        <f t="shared" si="0"/>
        <v>1.1052026104962791</v>
      </c>
      <c r="N55" s="39">
        <f t="shared" si="1"/>
        <v>1.5318049770382014</v>
      </c>
      <c r="O55" s="39"/>
      <c r="Q55" s="6">
        <v>53</v>
      </c>
      <c r="R55" s="3">
        <v>3009</v>
      </c>
      <c r="S55" s="3">
        <v>47037</v>
      </c>
      <c r="T55" s="3">
        <v>19009</v>
      </c>
      <c r="X55" s="6">
        <v>53</v>
      </c>
      <c r="Y55" s="3">
        <v>5851</v>
      </c>
      <c r="Z55" s="3">
        <v>45565</v>
      </c>
      <c r="AA55" s="3">
        <v>16596</v>
      </c>
      <c r="AB55" s="7"/>
      <c r="AC55" s="7"/>
      <c r="AD55" s="6">
        <v>53</v>
      </c>
      <c r="AE55" s="3">
        <v>4101</v>
      </c>
      <c r="AF55" s="3">
        <v>32353</v>
      </c>
      <c r="AG55" s="3">
        <v>17640</v>
      </c>
      <c r="AH55" s="7"/>
    </row>
    <row r="56" spans="3:34" x14ac:dyDescent="0.25">
      <c r="C56">
        <v>54</v>
      </c>
      <c r="D56" s="3">
        <v>3169</v>
      </c>
      <c r="E56" s="3">
        <v>56513</v>
      </c>
      <c r="F56" s="3">
        <v>14044</v>
      </c>
      <c r="I56" s="6">
        <v>54</v>
      </c>
      <c r="J56" s="3">
        <v>7663</v>
      </c>
      <c r="K56" s="105">
        <v>78651</v>
      </c>
      <c r="L56" s="106">
        <v>26120</v>
      </c>
      <c r="M56" s="39">
        <f t="shared" si="0"/>
        <v>1.3404467449750626</v>
      </c>
      <c r="N56" s="39">
        <f t="shared" si="1"/>
        <v>1.5869723147801769</v>
      </c>
      <c r="O56" s="39"/>
      <c r="Q56" s="6">
        <v>54</v>
      </c>
      <c r="R56" s="3">
        <v>4577</v>
      </c>
      <c r="S56" s="3">
        <v>50423</v>
      </c>
      <c r="T56" s="3">
        <v>21559</v>
      </c>
      <c r="X56" s="6">
        <v>54</v>
      </c>
      <c r="Y56" s="3">
        <v>14765</v>
      </c>
      <c r="Z56" s="3">
        <v>47191</v>
      </c>
      <c r="AA56" s="3">
        <v>18691</v>
      </c>
      <c r="AB56" s="7"/>
      <c r="AC56" s="7"/>
      <c r="AD56" s="6">
        <v>54</v>
      </c>
      <c r="AE56" s="3">
        <v>10139</v>
      </c>
      <c r="AF56" s="103">
        <v>56148</v>
      </c>
      <c r="AG56" s="104">
        <v>25984</v>
      </c>
      <c r="AH56" s="7"/>
    </row>
    <row r="57" spans="3:34" x14ac:dyDescent="0.25">
      <c r="C57">
        <v>55</v>
      </c>
      <c r="D57" s="3">
        <v>4465</v>
      </c>
      <c r="E57" s="3">
        <v>58570</v>
      </c>
      <c r="F57" s="3">
        <v>15279</v>
      </c>
      <c r="I57" s="6">
        <v>55</v>
      </c>
      <c r="J57" s="3">
        <v>9089</v>
      </c>
      <c r="K57" s="3">
        <v>54701</v>
      </c>
      <c r="L57" s="3">
        <v>16586</v>
      </c>
      <c r="M57" s="39">
        <f t="shared" si="0"/>
        <v>0.93226757952067862</v>
      </c>
      <c r="N57" s="39">
        <f t="shared" si="1"/>
        <v>1.0077152684894339</v>
      </c>
      <c r="O57" s="39"/>
      <c r="Q57" s="6">
        <v>55</v>
      </c>
      <c r="R57" s="3">
        <v>5132</v>
      </c>
      <c r="S57" s="3">
        <v>78772</v>
      </c>
      <c r="T57" s="3">
        <v>18956</v>
      </c>
      <c r="X57" s="6">
        <v>55</v>
      </c>
      <c r="Y57" s="3">
        <v>7296</v>
      </c>
      <c r="Z57" s="3">
        <v>49197</v>
      </c>
      <c r="AA57" s="3">
        <v>17437</v>
      </c>
      <c r="AB57" s="7"/>
      <c r="AC57" s="7"/>
      <c r="AD57" s="6">
        <v>55</v>
      </c>
      <c r="AE57" s="3">
        <v>4640</v>
      </c>
      <c r="AF57" s="107">
        <v>62108</v>
      </c>
      <c r="AG57" s="108">
        <v>26856</v>
      </c>
      <c r="AH57" s="7"/>
    </row>
    <row r="58" spans="3:34" x14ac:dyDescent="0.25">
      <c r="C58">
        <v>56</v>
      </c>
      <c r="D58" s="3">
        <v>3754</v>
      </c>
      <c r="E58" s="3">
        <v>36119</v>
      </c>
      <c r="F58" s="3">
        <v>9333</v>
      </c>
      <c r="I58" s="6">
        <v>56</v>
      </c>
      <c r="J58" s="3">
        <v>9729</v>
      </c>
      <c r="K58" s="109">
        <v>65793</v>
      </c>
      <c r="L58" s="110">
        <v>16757</v>
      </c>
      <c r="M58" s="39">
        <f t="shared" si="0"/>
        <v>1.1213082184860241</v>
      </c>
      <c r="N58" s="39">
        <f t="shared" si="1"/>
        <v>1.0181047120509734</v>
      </c>
      <c r="O58" s="39"/>
      <c r="Q58" s="6">
        <v>56</v>
      </c>
      <c r="R58" s="3">
        <v>4340</v>
      </c>
      <c r="S58" s="103">
        <v>71660</v>
      </c>
      <c r="T58" s="104">
        <v>22509</v>
      </c>
      <c r="X58" s="6">
        <v>56</v>
      </c>
      <c r="Y58" s="3">
        <v>6570</v>
      </c>
      <c r="Z58" s="3">
        <v>56785</v>
      </c>
      <c r="AA58" s="3">
        <v>22104</v>
      </c>
      <c r="AB58" s="7"/>
      <c r="AC58" s="7"/>
      <c r="AD58" s="6">
        <v>56</v>
      </c>
      <c r="AE58" s="3">
        <v>4312</v>
      </c>
      <c r="AF58" s="107">
        <v>84068</v>
      </c>
      <c r="AG58" s="108">
        <v>46625</v>
      </c>
      <c r="AH58" s="7"/>
    </row>
    <row r="59" spans="3:34" x14ac:dyDescent="0.25">
      <c r="C59">
        <v>57</v>
      </c>
      <c r="D59" s="3">
        <v>3772</v>
      </c>
      <c r="E59" s="3">
        <v>31551</v>
      </c>
      <c r="F59" s="3">
        <v>11750</v>
      </c>
      <c r="I59" s="6">
        <v>57</v>
      </c>
      <c r="J59" s="3">
        <v>6257</v>
      </c>
      <c r="K59" s="3">
        <v>33099</v>
      </c>
      <c r="L59" s="3">
        <v>17270</v>
      </c>
      <c r="M59" s="39">
        <f t="shared" si="0"/>
        <v>0.5641053109551003</v>
      </c>
      <c r="N59" s="39">
        <f t="shared" si="1"/>
        <v>1.0492730427355916</v>
      </c>
      <c r="O59" s="39"/>
      <c r="Q59" s="6">
        <v>57</v>
      </c>
      <c r="R59" s="3">
        <v>12721</v>
      </c>
      <c r="S59" s="105">
        <v>90110</v>
      </c>
      <c r="T59" s="106">
        <v>26058</v>
      </c>
      <c r="X59" s="6">
        <v>57</v>
      </c>
      <c r="Y59" s="3">
        <v>8</v>
      </c>
      <c r="Z59" s="3">
        <v>37575</v>
      </c>
      <c r="AA59" s="3">
        <v>16230</v>
      </c>
      <c r="AB59" s="7"/>
      <c r="AC59" s="7"/>
      <c r="AD59" s="6">
        <v>57</v>
      </c>
      <c r="AE59" s="3">
        <v>4294</v>
      </c>
      <c r="AF59" s="105">
        <v>61902</v>
      </c>
      <c r="AG59" s="106">
        <v>20667</v>
      </c>
      <c r="AH59" s="7"/>
    </row>
    <row r="60" spans="3:34" x14ac:dyDescent="0.25">
      <c r="C60">
        <v>58</v>
      </c>
      <c r="D60" s="3">
        <v>4688</v>
      </c>
      <c r="E60" s="3">
        <v>35232</v>
      </c>
      <c r="F60" s="3">
        <v>14609</v>
      </c>
      <c r="I60" s="6">
        <v>58</v>
      </c>
      <c r="J60" s="3">
        <v>10257</v>
      </c>
      <c r="K60" s="109">
        <v>77595</v>
      </c>
      <c r="L60" s="110">
        <v>18372</v>
      </c>
      <c r="M60" s="39">
        <f t="shared" si="0"/>
        <v>1.3224493671579507</v>
      </c>
      <c r="N60" s="39">
        <f t="shared" si="1"/>
        <v>1.1162272345766238</v>
      </c>
      <c r="O60" s="39"/>
      <c r="Q60" s="6">
        <v>58</v>
      </c>
      <c r="R60" s="3">
        <v>5970</v>
      </c>
      <c r="S60" s="3">
        <v>42140</v>
      </c>
      <c r="T60" s="3">
        <v>14560</v>
      </c>
      <c r="X60" s="6">
        <v>58</v>
      </c>
      <c r="Y60" s="3">
        <v>5593</v>
      </c>
      <c r="Z60" s="3">
        <v>55204</v>
      </c>
      <c r="AA60" s="3">
        <v>20071</v>
      </c>
      <c r="AB60" s="7"/>
      <c r="AC60" s="7"/>
      <c r="AD60" s="6">
        <v>58</v>
      </c>
      <c r="AE60" s="3">
        <v>3736</v>
      </c>
      <c r="AF60" s="3">
        <v>31357</v>
      </c>
      <c r="AG60" s="3">
        <v>14116</v>
      </c>
      <c r="AH60" s="7"/>
    </row>
    <row r="61" spans="3:34" x14ac:dyDescent="0.25">
      <c r="C61">
        <v>59</v>
      </c>
      <c r="D61" s="3">
        <v>6014</v>
      </c>
      <c r="E61" s="3">
        <v>35297</v>
      </c>
      <c r="F61" s="3">
        <v>11865</v>
      </c>
      <c r="I61" s="6">
        <v>59</v>
      </c>
      <c r="J61" s="3">
        <v>9052</v>
      </c>
      <c r="K61" s="3">
        <v>54693</v>
      </c>
      <c r="L61" s="3">
        <v>13104</v>
      </c>
      <c r="M61" s="39">
        <f t="shared" si="0"/>
        <v>0.93213123574933687</v>
      </c>
      <c r="N61" s="39">
        <f t="shared" si="1"/>
        <v>0.79615946450533837</v>
      </c>
      <c r="O61" s="39"/>
      <c r="Q61" s="6">
        <v>59</v>
      </c>
      <c r="R61" s="3">
        <v>5021</v>
      </c>
      <c r="S61" s="109">
        <v>87865</v>
      </c>
      <c r="T61" s="110">
        <v>20426</v>
      </c>
      <c r="X61" s="6">
        <v>59</v>
      </c>
      <c r="Y61" s="3">
        <v>6757</v>
      </c>
      <c r="Z61" s="3">
        <v>39878</v>
      </c>
      <c r="AA61" s="3">
        <v>13919</v>
      </c>
      <c r="AB61" s="7"/>
      <c r="AC61" s="7"/>
      <c r="AD61" s="6">
        <v>59</v>
      </c>
      <c r="AE61" s="3">
        <v>3945</v>
      </c>
      <c r="AF61" s="3">
        <v>33569</v>
      </c>
      <c r="AG61" s="3">
        <v>15486</v>
      </c>
      <c r="AH61" s="7"/>
    </row>
    <row r="62" spans="3:34" x14ac:dyDescent="0.25">
      <c r="C62">
        <v>60</v>
      </c>
      <c r="D62" s="3">
        <v>3489</v>
      </c>
      <c r="E62" s="3">
        <v>29727</v>
      </c>
      <c r="F62" s="3">
        <v>8633</v>
      </c>
      <c r="I62" s="6">
        <v>60</v>
      </c>
      <c r="J62" s="3">
        <v>5448</v>
      </c>
      <c r="K62" s="3">
        <v>31538</v>
      </c>
      <c r="L62" s="3">
        <v>15217</v>
      </c>
      <c r="M62" s="39">
        <f t="shared" si="0"/>
        <v>0.53750123257204008</v>
      </c>
      <c r="N62" s="39">
        <f t="shared" si="1"/>
        <v>0.92453896301722638</v>
      </c>
      <c r="O62" s="39"/>
      <c r="Q62" s="6">
        <v>60</v>
      </c>
      <c r="R62" s="3">
        <v>3237</v>
      </c>
      <c r="S62" s="3">
        <v>30704</v>
      </c>
      <c r="T62" s="3">
        <v>13044</v>
      </c>
      <c r="X62" s="6">
        <v>60</v>
      </c>
      <c r="Y62" s="3">
        <v>7727</v>
      </c>
      <c r="Z62" s="3">
        <v>64773</v>
      </c>
      <c r="AA62" s="3">
        <v>14047</v>
      </c>
      <c r="AB62" s="7"/>
      <c r="AC62" s="7"/>
      <c r="AD62" s="6">
        <v>60</v>
      </c>
      <c r="AE62" s="3">
        <v>5019</v>
      </c>
      <c r="AF62" s="3">
        <v>46774</v>
      </c>
      <c r="AG62" s="3">
        <v>21472</v>
      </c>
      <c r="AH62" s="7"/>
    </row>
    <row r="63" spans="3:34" x14ac:dyDescent="0.25">
      <c r="C63">
        <v>61</v>
      </c>
      <c r="D63" s="3">
        <v>3611</v>
      </c>
      <c r="E63" s="3">
        <v>45286</v>
      </c>
      <c r="F63" s="3">
        <v>12976</v>
      </c>
      <c r="I63" s="6">
        <v>61</v>
      </c>
      <c r="J63" s="3">
        <v>6490</v>
      </c>
      <c r="K63" s="109">
        <v>86908</v>
      </c>
      <c r="L63" s="110">
        <v>20112</v>
      </c>
      <c r="M63" s="39">
        <f t="shared" si="0"/>
        <v>1.4811705599711731</v>
      </c>
      <c r="N63" s="39">
        <f t="shared" si="1"/>
        <v>1.2219443795887794</v>
      </c>
      <c r="O63" s="39"/>
      <c r="Q63" s="6">
        <v>61</v>
      </c>
      <c r="R63" s="3">
        <v>3500</v>
      </c>
      <c r="S63" s="3">
        <v>29987</v>
      </c>
      <c r="T63" s="3">
        <v>11885</v>
      </c>
      <c r="X63" t="s">
        <v>5</v>
      </c>
      <c r="Z63" s="3">
        <f>AVERAGE(Z3:Z62)</f>
        <v>58917.333333333336</v>
      </c>
      <c r="AA63" s="3">
        <f>AVERAGE(AA3:AA62)</f>
        <v>18713.316666666666</v>
      </c>
      <c r="AC63" s="7"/>
      <c r="AD63" s="6">
        <v>61</v>
      </c>
      <c r="AE63" s="3">
        <v>5021</v>
      </c>
      <c r="AF63" s="103">
        <v>55574</v>
      </c>
      <c r="AG63" s="104">
        <v>19979</v>
      </c>
      <c r="AH63" s="7"/>
    </row>
    <row r="64" spans="3:34" x14ac:dyDescent="0.25">
      <c r="C64">
        <v>62</v>
      </c>
      <c r="D64" s="3">
        <v>4131</v>
      </c>
      <c r="E64" s="103">
        <v>88109</v>
      </c>
      <c r="F64" s="104">
        <v>20708</v>
      </c>
      <c r="I64" s="6">
        <v>62</v>
      </c>
      <c r="J64" s="3">
        <v>6897</v>
      </c>
      <c r="K64" s="3">
        <v>31888</v>
      </c>
      <c r="L64" s="3">
        <v>11991</v>
      </c>
      <c r="M64" s="39">
        <f t="shared" si="0"/>
        <v>0.54346627256824187</v>
      </c>
      <c r="N64" s="39">
        <f t="shared" si="1"/>
        <v>0.72853694588549389</v>
      </c>
      <c r="O64" s="39"/>
      <c r="Q64" s="6">
        <v>62</v>
      </c>
      <c r="R64" s="3">
        <v>4424</v>
      </c>
      <c r="S64" s="103">
        <v>80958</v>
      </c>
      <c r="T64" s="104">
        <v>22170</v>
      </c>
      <c r="X64" t="s">
        <v>8</v>
      </c>
      <c r="Z64" s="3">
        <f>AVERAGE(Z15:Z62)</f>
        <v>52806.770833333336</v>
      </c>
      <c r="AA64" s="3">
        <f>AVERAGE(AA15:AA62)</f>
        <v>17526.708333333332</v>
      </c>
      <c r="AC64" s="7"/>
      <c r="AD64" s="6">
        <v>62</v>
      </c>
      <c r="AE64" s="3">
        <v>4299</v>
      </c>
      <c r="AF64" s="105">
        <v>61932</v>
      </c>
      <c r="AG64" s="106">
        <v>22946</v>
      </c>
      <c r="AH64" s="7"/>
    </row>
    <row r="65" spans="3:34" x14ac:dyDescent="0.25">
      <c r="C65">
        <v>63</v>
      </c>
      <c r="D65" s="3">
        <v>3688</v>
      </c>
      <c r="E65" s="105">
        <v>71812</v>
      </c>
      <c r="F65" s="106">
        <v>18917</v>
      </c>
      <c r="I65" s="6">
        <v>63</v>
      </c>
      <c r="J65" s="3">
        <v>6500</v>
      </c>
      <c r="K65" s="3">
        <v>44485</v>
      </c>
      <c r="L65" s="3">
        <v>16022</v>
      </c>
      <c r="M65" s="39">
        <f t="shared" si="0"/>
        <v>0.75815658351725546</v>
      </c>
      <c r="N65" s="39">
        <f t="shared" si="1"/>
        <v>0.97344833183032142</v>
      </c>
      <c r="O65" s="39"/>
      <c r="P65" s="39"/>
      <c r="Q65" s="6">
        <v>63</v>
      </c>
      <c r="R65" s="3">
        <v>3730</v>
      </c>
      <c r="S65" s="105">
        <v>75918</v>
      </c>
      <c r="T65" s="106">
        <v>28205</v>
      </c>
      <c r="X65" s="5" t="s">
        <v>7</v>
      </c>
      <c r="Z65" s="3">
        <f>AVERAGE(Z3:Z14)</f>
        <v>83359.583333333328</v>
      </c>
      <c r="AA65" s="3">
        <f>AVERAGE(AA3:AA14)</f>
        <v>23459.75</v>
      </c>
      <c r="AD65" s="6">
        <v>63</v>
      </c>
      <c r="AE65" s="3">
        <v>4400</v>
      </c>
      <c r="AF65" s="3">
        <v>29682</v>
      </c>
      <c r="AG65" s="3">
        <v>11282</v>
      </c>
      <c r="AH65" s="7"/>
    </row>
    <row r="66" spans="3:34" x14ac:dyDescent="0.25">
      <c r="C66">
        <v>64</v>
      </c>
      <c r="D66" s="3">
        <v>3487</v>
      </c>
      <c r="E66" s="3">
        <v>50481</v>
      </c>
      <c r="F66" s="3">
        <v>12481</v>
      </c>
      <c r="I66" s="6">
        <v>64</v>
      </c>
      <c r="J66" s="3">
        <v>8559</v>
      </c>
      <c r="K66" s="3">
        <v>39909</v>
      </c>
      <c r="L66" s="3">
        <v>10853</v>
      </c>
      <c r="M66" s="39">
        <f t="shared" si="0"/>
        <v>0.68016794630977062</v>
      </c>
      <c r="N66" s="39">
        <f t="shared" si="1"/>
        <v>0.65939550276834835</v>
      </c>
      <c r="O66" s="39"/>
      <c r="P66" s="39"/>
      <c r="Q66" s="6">
        <v>64</v>
      </c>
      <c r="R66" s="3">
        <v>5013</v>
      </c>
      <c r="S66" s="3">
        <v>77967</v>
      </c>
      <c r="T66" s="3">
        <v>18401</v>
      </c>
      <c r="X66" t="s">
        <v>14</v>
      </c>
      <c r="Y66">
        <f>COUNT(Y3:Y14)</f>
        <v>12</v>
      </c>
      <c r="AD66" s="6">
        <v>64</v>
      </c>
      <c r="AE66" s="3">
        <v>3448</v>
      </c>
      <c r="AF66" s="3">
        <v>25768</v>
      </c>
      <c r="AG66" s="3">
        <v>7931</v>
      </c>
      <c r="AH66" s="7"/>
    </row>
    <row r="67" spans="3:34" x14ac:dyDescent="0.25">
      <c r="C67">
        <v>65</v>
      </c>
      <c r="D67" s="3">
        <v>2863</v>
      </c>
      <c r="E67" s="3">
        <v>51295</v>
      </c>
      <c r="F67" s="3">
        <v>12137</v>
      </c>
      <c r="I67" s="6">
        <v>65</v>
      </c>
      <c r="J67" s="3">
        <v>6492</v>
      </c>
      <c r="K67" s="3">
        <v>25754</v>
      </c>
      <c r="L67" s="3">
        <v>9313</v>
      </c>
      <c r="M67" s="39">
        <f t="shared" si="0"/>
        <v>0.43892468589194999</v>
      </c>
      <c r="N67" s="39">
        <f t="shared" si="1"/>
        <v>0.56582975373460132</v>
      </c>
      <c r="O67" s="39"/>
      <c r="P67" s="39"/>
      <c r="Q67" s="6">
        <v>65</v>
      </c>
      <c r="R67" s="3">
        <v>9356</v>
      </c>
      <c r="S67" s="3">
        <v>38288</v>
      </c>
      <c r="T67" s="3">
        <v>11683</v>
      </c>
      <c r="X67" s="3" t="s">
        <v>9</v>
      </c>
      <c r="Y67" s="3">
        <f>(Y66/X62)*100</f>
        <v>20</v>
      </c>
      <c r="Z67" s="3"/>
      <c r="AA67" s="3"/>
      <c r="AB67" s="3"/>
      <c r="AD67" s="6">
        <v>65</v>
      </c>
      <c r="AE67" s="3">
        <v>6885</v>
      </c>
      <c r="AF67" s="3">
        <v>46692</v>
      </c>
      <c r="AG67" s="3">
        <v>17490</v>
      </c>
      <c r="AH67" s="7"/>
    </row>
    <row r="68" spans="3:34" x14ac:dyDescent="0.25">
      <c r="C68">
        <v>66</v>
      </c>
      <c r="D68" s="3">
        <v>2786</v>
      </c>
      <c r="E68" s="3">
        <v>30602</v>
      </c>
      <c r="F68" s="3">
        <v>11286</v>
      </c>
      <c r="I68" s="6">
        <v>66</v>
      </c>
      <c r="J68" s="3">
        <v>6892</v>
      </c>
      <c r="K68" s="3">
        <v>46585</v>
      </c>
      <c r="L68" s="3">
        <v>16297</v>
      </c>
      <c r="M68" s="39">
        <f t="shared" ref="M68:M72" si="8">K68/$K$73</f>
        <v>0.79394682349446655</v>
      </c>
      <c r="N68" s="39">
        <f t="shared" ref="N68:N72" si="9">L68/$L$73</f>
        <v>0.99015650130063337</v>
      </c>
      <c r="O68" s="39"/>
      <c r="P68" s="39"/>
      <c r="Q68" s="6">
        <v>66</v>
      </c>
      <c r="R68" s="3">
        <v>4022</v>
      </c>
      <c r="S68" s="3">
        <v>76620</v>
      </c>
      <c r="T68" s="3">
        <v>19117</v>
      </c>
      <c r="Y68" t="s">
        <v>11</v>
      </c>
      <c r="Z68" t="s">
        <v>6</v>
      </c>
      <c r="AD68" s="6">
        <v>66</v>
      </c>
      <c r="AE68" s="3">
        <v>5327</v>
      </c>
      <c r="AF68" s="3">
        <v>29693</v>
      </c>
      <c r="AG68" s="3">
        <v>12293</v>
      </c>
      <c r="AH68" s="7"/>
    </row>
    <row r="69" spans="3:34" x14ac:dyDescent="0.25">
      <c r="C69">
        <v>67</v>
      </c>
      <c r="D69" s="3">
        <v>3687</v>
      </c>
      <c r="E69" s="3">
        <v>51400</v>
      </c>
      <c r="F69" s="3">
        <v>12993</v>
      </c>
      <c r="I69" s="6">
        <v>67</v>
      </c>
      <c r="J69" s="3">
        <v>5809</v>
      </c>
      <c r="K69" s="3">
        <v>52827</v>
      </c>
      <c r="L69" s="3">
        <v>21064</v>
      </c>
      <c r="M69" s="39">
        <f t="shared" si="8"/>
        <v>0.90032905108387218</v>
      </c>
      <c r="N69" s="39">
        <f t="shared" si="9"/>
        <v>1.2797850244460049</v>
      </c>
      <c r="O69" s="39"/>
      <c r="P69" s="39"/>
      <c r="Q69" s="6">
        <v>67</v>
      </c>
      <c r="R69" s="3">
        <v>2894</v>
      </c>
      <c r="S69" s="3">
        <v>41523</v>
      </c>
      <c r="T69" s="3">
        <v>22045</v>
      </c>
      <c r="X69" s="29" t="s">
        <v>10</v>
      </c>
      <c r="Y69">
        <f>(COUNT(Z54,Z47,Z45,Z41,Z25,Z18,Z8:Z14,Z6)/X62)*100</f>
        <v>23.333333333333332</v>
      </c>
      <c r="Z69">
        <f>(COUNT(AA6,AA8:AA14)/Y66)*100</f>
        <v>66.666666666666657</v>
      </c>
      <c r="AD69" s="6">
        <v>67</v>
      </c>
      <c r="AE69" s="3">
        <v>4384</v>
      </c>
      <c r="AF69" s="3">
        <v>54656</v>
      </c>
      <c r="AG69" s="3">
        <v>14456</v>
      </c>
    </row>
    <row r="70" spans="3:34" x14ac:dyDescent="0.25">
      <c r="C70">
        <v>68</v>
      </c>
      <c r="D70" s="3">
        <v>3118</v>
      </c>
      <c r="E70" s="3">
        <v>50031</v>
      </c>
      <c r="F70" s="3">
        <v>15342</v>
      </c>
      <c r="I70" s="6">
        <v>68</v>
      </c>
      <c r="J70" s="3">
        <v>5781</v>
      </c>
      <c r="K70" s="3">
        <v>46067</v>
      </c>
      <c r="L70" s="3">
        <v>15438</v>
      </c>
      <c r="M70" s="39">
        <f t="shared" si="8"/>
        <v>0.78511856430008786</v>
      </c>
      <c r="N70" s="39">
        <f t="shared" si="9"/>
        <v>0.93796625557336799</v>
      </c>
      <c r="O70" s="39"/>
      <c r="P70" s="39"/>
      <c r="Q70" s="6">
        <v>68</v>
      </c>
      <c r="R70" s="3">
        <v>2875</v>
      </c>
      <c r="S70" s="3">
        <v>44925</v>
      </c>
      <c r="T70" s="3">
        <v>13475</v>
      </c>
      <c r="X70" s="20" t="s">
        <v>12</v>
      </c>
      <c r="Y70">
        <f>(COUNT(Z62,Z42,Z40,Z31,Z20,Z7,Z5)/X62)*100</f>
        <v>11.666666666666666</v>
      </c>
      <c r="Z70">
        <f>(COUNT(Z5,Z7)/Y66)*100</f>
        <v>16.666666666666664</v>
      </c>
      <c r="AA70" s="3"/>
      <c r="AB70" s="3"/>
      <c r="AD70" s="6">
        <v>68</v>
      </c>
      <c r="AE70" s="3">
        <v>3467</v>
      </c>
      <c r="AF70" s="3">
        <v>35833</v>
      </c>
      <c r="AG70" s="3">
        <v>11100</v>
      </c>
    </row>
    <row r="71" spans="3:34" x14ac:dyDescent="0.25">
      <c r="C71">
        <v>69</v>
      </c>
      <c r="D71" s="3">
        <v>3</v>
      </c>
      <c r="E71" s="3">
        <v>43821</v>
      </c>
      <c r="F71" s="3">
        <v>15274</v>
      </c>
      <c r="I71" s="6">
        <v>69</v>
      </c>
      <c r="J71" s="3">
        <v>5960</v>
      </c>
      <c r="K71" s="109">
        <v>65097</v>
      </c>
      <c r="L71" s="110">
        <v>21710</v>
      </c>
      <c r="M71" s="39">
        <f t="shared" si="8"/>
        <v>1.1094463103792913</v>
      </c>
      <c r="N71" s="39">
        <f t="shared" si="9"/>
        <v>1.3190340334562649</v>
      </c>
      <c r="O71" s="39"/>
      <c r="P71" s="39"/>
      <c r="Q71" s="6">
        <v>69</v>
      </c>
      <c r="R71" s="3">
        <v>3327</v>
      </c>
      <c r="S71" s="109">
        <v>73715</v>
      </c>
      <c r="T71" s="110">
        <v>20582</v>
      </c>
      <c r="X71" s="9" t="s">
        <v>13</v>
      </c>
      <c r="Y71">
        <f>(COUNT(AA60,AA58,AA51,AA49,AA37,AA34,AA28,AA26,AA23,AA3)/X62)*100</f>
        <v>16.666666666666664</v>
      </c>
      <c r="Z71">
        <f>(COUNT(AA3)/Y66)*100</f>
        <v>8.3333333333333321</v>
      </c>
      <c r="AD71" t="s">
        <v>5</v>
      </c>
      <c r="AF71" s="3">
        <f>AVERAGE(AF3:AF70)</f>
        <v>54496.867647058825</v>
      </c>
      <c r="AG71" s="3">
        <f>AVERAGE(AG3:AG70)</f>
        <v>17492.044117647059</v>
      </c>
    </row>
    <row r="72" spans="3:34" x14ac:dyDescent="0.25">
      <c r="C72">
        <v>70</v>
      </c>
      <c r="D72" s="3">
        <v>3067</v>
      </c>
      <c r="E72" s="3">
        <v>54581</v>
      </c>
      <c r="F72" s="3">
        <v>11210</v>
      </c>
      <c r="I72" s="6">
        <v>70</v>
      </c>
      <c r="J72" s="3">
        <v>9144</v>
      </c>
      <c r="K72" s="3">
        <v>53089</v>
      </c>
      <c r="L72" s="3">
        <v>9100</v>
      </c>
      <c r="M72" s="39">
        <f t="shared" si="8"/>
        <v>0.90479430959531471</v>
      </c>
      <c r="N72" s="39">
        <f t="shared" si="9"/>
        <v>0.55288851701759612</v>
      </c>
      <c r="O72" s="39"/>
      <c r="P72" s="39"/>
      <c r="Q72" s="6">
        <v>70</v>
      </c>
      <c r="R72" s="3">
        <v>4495</v>
      </c>
      <c r="S72" s="3">
        <v>41237</v>
      </c>
      <c r="T72" s="3">
        <v>17082</v>
      </c>
      <c r="U72" s="39"/>
      <c r="V72" s="39"/>
      <c r="W72" s="39"/>
      <c r="X72" t="s">
        <v>15</v>
      </c>
      <c r="Y72">
        <f>(COUNT(Z61,Z59,Z55:Z57,Z52,Z53,Z50,Z48,Z46,Z43:Z44,Z39,Z38,Z35:Z36,Z32:Z33,Z29:Z30,Z27,Z24,Z22,Z21,Z19,Z15:Z17,Z4)/X62)*100</f>
        <v>48.333333333333336</v>
      </c>
      <c r="Z72">
        <f>(COUNT(AA4)/Y66)*100</f>
        <v>8.3333333333333321</v>
      </c>
      <c r="AD72" t="s">
        <v>8</v>
      </c>
      <c r="AF72" s="3">
        <f>AVERAGE(AF19:AF70)</f>
        <v>47352.038461538461</v>
      </c>
      <c r="AG72" s="3">
        <f>AVERAGE(AG19:AG70)</f>
        <v>16663</v>
      </c>
    </row>
    <row r="73" spans="3:34" x14ac:dyDescent="0.25">
      <c r="C73">
        <v>71</v>
      </c>
      <c r="D73" s="3">
        <v>2971</v>
      </c>
      <c r="E73" s="3">
        <v>33962</v>
      </c>
      <c r="F73" s="3">
        <v>8448</v>
      </c>
      <c r="I73" t="s">
        <v>5</v>
      </c>
      <c r="K73" s="3">
        <f>AVERAGE(K3:K72)</f>
        <v>58675.214285714283</v>
      </c>
      <c r="L73" s="3">
        <f>AVERAGE(L3:L72)</f>
        <v>16459.014285714286</v>
      </c>
      <c r="M73" s="3"/>
      <c r="N73" s="3"/>
      <c r="P73" s="39"/>
      <c r="Q73" s="6">
        <v>71</v>
      </c>
      <c r="R73" s="3">
        <v>9532</v>
      </c>
      <c r="S73" s="109">
        <v>76404</v>
      </c>
      <c r="T73" s="110">
        <v>26384</v>
      </c>
      <c r="U73" s="39"/>
      <c r="V73" s="39"/>
      <c r="W73" s="39"/>
      <c r="X73" t="s">
        <v>11</v>
      </c>
      <c r="Y73">
        <f>SUM(Y69:Y72)</f>
        <v>100</v>
      </c>
      <c r="Z73">
        <f>SUM(Z69:Z72)</f>
        <v>99.999999999999972</v>
      </c>
      <c r="AD73" s="5" t="s">
        <v>7</v>
      </c>
      <c r="AF73" s="3">
        <f>AVERAGE(AF3:AF18)</f>
        <v>77717.5625</v>
      </c>
      <c r="AG73" s="3">
        <f>AVERAGE(AG3:AG18)</f>
        <v>20186.4375</v>
      </c>
    </row>
    <row r="74" spans="3:34" x14ac:dyDescent="0.25">
      <c r="C74">
        <v>72</v>
      </c>
      <c r="D74" s="3">
        <v>2983</v>
      </c>
      <c r="E74" s="3">
        <v>30405</v>
      </c>
      <c r="F74" s="3">
        <v>7083</v>
      </c>
      <c r="I74" t="s">
        <v>8</v>
      </c>
      <c r="K74" s="3">
        <f>AVERAGE(K19:K72)</f>
        <v>53088.481481481482</v>
      </c>
      <c r="L74" s="3">
        <f>AVERAGE(L19:L72)</f>
        <v>15451.925925925925</v>
      </c>
      <c r="Q74" t="s">
        <v>5</v>
      </c>
      <c r="S74" s="3">
        <f>AVERAGE(S3:S73)</f>
        <v>69495.140845070418</v>
      </c>
      <c r="T74" s="3">
        <f>AVERAGE(T3:T73)</f>
        <v>20208.154929577464</v>
      </c>
      <c r="W74" s="39"/>
      <c r="X74" s="3"/>
      <c r="Y74" s="3" t="s">
        <v>41</v>
      </c>
      <c r="Z74" s="67" t="s">
        <v>42</v>
      </c>
      <c r="AA74" s="3"/>
      <c r="AB74" s="3"/>
      <c r="AD74" t="s">
        <v>14</v>
      </c>
      <c r="AE74">
        <f>COUNT(AE3:AE18)</f>
        <v>16</v>
      </c>
    </row>
    <row r="75" spans="3:34" x14ac:dyDescent="0.25">
      <c r="C75">
        <v>73</v>
      </c>
      <c r="D75" s="3">
        <v>2408</v>
      </c>
      <c r="E75" s="3">
        <v>36815</v>
      </c>
      <c r="F75" s="3">
        <v>13246</v>
      </c>
      <c r="I75" s="5" t="s">
        <v>7</v>
      </c>
      <c r="K75" s="3">
        <f>AVERAGE(K3:K18)</f>
        <v>77530.4375</v>
      </c>
      <c r="L75" s="3">
        <f>AVERAGE(L3:L18)</f>
        <v>19857.9375</v>
      </c>
      <c r="Q75" t="s">
        <v>8</v>
      </c>
      <c r="S75" s="3">
        <f>AVERAGE(S19:S73)</f>
        <v>60847.745454545453</v>
      </c>
      <c r="T75" s="3">
        <f>AVERAGE(T19:T73)</f>
        <v>18504.072727272727</v>
      </c>
      <c r="W75" s="39"/>
      <c r="X75" t="s">
        <v>16</v>
      </c>
      <c r="Y75" s="3">
        <f>AVERAGE(Z60,Z58,Z54,Z51,Z49,Z47,Z45,Z41,Z37,Z34,Z28,Z26,Z25,Z23,Z18,Z8:Z14,Z6,Z3)</f>
        <v>71109.291666666672</v>
      </c>
      <c r="Z75">
        <f>Y75/$Z$63</f>
        <v>1.2069333020276998</v>
      </c>
      <c r="AD75" s="3" t="s">
        <v>9</v>
      </c>
      <c r="AE75" s="3">
        <f>(AE74/AD70)*100</f>
        <v>23.52941176470588</v>
      </c>
      <c r="AF75" s="3"/>
      <c r="AG75" s="3"/>
      <c r="AH75" s="3"/>
    </row>
    <row r="76" spans="3:34" x14ac:dyDescent="0.25">
      <c r="C76">
        <v>74</v>
      </c>
      <c r="D76" s="3">
        <v>5795</v>
      </c>
      <c r="E76" s="3">
        <v>42329</v>
      </c>
      <c r="F76" s="3">
        <v>16726</v>
      </c>
      <c r="I76" t="s">
        <v>14</v>
      </c>
      <c r="J76">
        <f>COUNT(K3:K18)</f>
        <v>16</v>
      </c>
      <c r="P76" s="3"/>
      <c r="Q76" s="5" t="s">
        <v>7</v>
      </c>
      <c r="S76" s="3">
        <f>AVERAGE(S3:S18)</f>
        <v>99220.5625</v>
      </c>
      <c r="T76" s="3">
        <f>AVERAGE(T3:T18)</f>
        <v>26065.9375</v>
      </c>
      <c r="W76" s="39"/>
      <c r="X76" t="s">
        <v>19</v>
      </c>
      <c r="Y76" s="3">
        <f>AVERAGE(Z61:Z62,Z59,Z55:Z57,Z52:Z53,Z50,Z48,Z46,Z43:Z44,Z42,Z40,Z38:Z39,Z35:Z36,Z29:Z33,Z27,Z24,Z19:Z22,Z15:Z17,Z3:Z4)</f>
        <v>49466.942857142858</v>
      </c>
      <c r="Z76">
        <f>Y76/$Z$63</f>
        <v>0.83959914779707479</v>
      </c>
      <c r="AE76" t="s">
        <v>11</v>
      </c>
      <c r="AF76" t="s">
        <v>6</v>
      </c>
    </row>
    <row r="77" spans="3:34" x14ac:dyDescent="0.25">
      <c r="C77">
        <v>75</v>
      </c>
      <c r="D77" s="3">
        <v>3414</v>
      </c>
      <c r="E77" s="3">
        <v>31331</v>
      </c>
      <c r="F77" s="3">
        <v>9038</v>
      </c>
      <c r="I77" s="3" t="s">
        <v>9</v>
      </c>
      <c r="J77" s="3">
        <f>(J76/I72)*100</f>
        <v>22.857142857142858</v>
      </c>
      <c r="K77" s="3"/>
      <c r="L77" s="3"/>
      <c r="M77" s="3"/>
      <c r="N77" s="3"/>
      <c r="O77" s="3"/>
      <c r="Q77" t="s">
        <v>14</v>
      </c>
      <c r="R77">
        <f>COUNT(R2:R18)</f>
        <v>16</v>
      </c>
      <c r="W77" s="39"/>
      <c r="Z77" s="3" t="s">
        <v>41</v>
      </c>
      <c r="AA77" s="67" t="s">
        <v>42</v>
      </c>
      <c r="AD77" s="29" t="s">
        <v>10</v>
      </c>
      <c r="AE77">
        <f>(COUNT(AF63:AF64,AF56:AF59,AF40:AF41,AF17,AF7:AF15,AF37,AF35,AF31,AF28)/AD70)*100</f>
        <v>32.352941176470587</v>
      </c>
      <c r="AF77">
        <f>(COUNT(AG7:AG15,AG17)/AE74)*100</f>
        <v>62.5</v>
      </c>
    </row>
    <row r="78" spans="3:34" x14ac:dyDescent="0.25">
      <c r="C78">
        <v>76</v>
      </c>
      <c r="D78" s="3">
        <v>2025</v>
      </c>
      <c r="E78" s="3">
        <v>28165</v>
      </c>
      <c r="F78" s="3">
        <v>13322</v>
      </c>
      <c r="J78" t="s">
        <v>11</v>
      </c>
      <c r="K78" t="s">
        <v>6</v>
      </c>
      <c r="Q78" s="3" t="s">
        <v>9</v>
      </c>
      <c r="R78" s="3">
        <f>(R77/Q73)*100</f>
        <v>22.535211267605636</v>
      </c>
      <c r="S78" s="3"/>
      <c r="T78" s="3"/>
      <c r="U78" s="3"/>
      <c r="V78" s="3"/>
      <c r="W78" s="39"/>
      <c r="X78" t="s">
        <v>17</v>
      </c>
      <c r="Z78" s="3">
        <f>AVERAGE(AA62,AA54,AA47,AA45,AA41,AA42,AA40,AA31,AA25,AA20,AA18,AA5:AA13,AA14)</f>
        <v>23080.666666666668</v>
      </c>
      <c r="AA78">
        <f>Z78/$AA$63</f>
        <v>1.2333819321178592</v>
      </c>
      <c r="AD78" s="20" t="s">
        <v>12</v>
      </c>
      <c r="AE78">
        <f>(COUNT(AF69,AF49,AF43,AF25,AF19,AF3:AF5,AF16)/AD70)*100</f>
        <v>13.23529411764706</v>
      </c>
      <c r="AF78">
        <f>(COUNT(AF3:AF5,AF16)/AE74)*100</f>
        <v>25</v>
      </c>
      <c r="AG78" s="3"/>
      <c r="AH78" s="3"/>
    </row>
    <row r="79" spans="3:34" x14ac:dyDescent="0.25">
      <c r="C79">
        <v>77</v>
      </c>
      <c r="D79" s="3">
        <v>3040</v>
      </c>
      <c r="E79" s="3">
        <v>21523</v>
      </c>
      <c r="F79" s="3">
        <v>6517</v>
      </c>
      <c r="I79" s="29" t="s">
        <v>10</v>
      </c>
      <c r="J79">
        <f>(COUNT(K71,K63,K60,K58,K55:K56,K53,K48,K43,K41,K36:K37,K29,K26,K24,K17,K11:K15,K9,K4:K7)/I72)*100</f>
        <v>37.142857142857146</v>
      </c>
      <c r="K79">
        <f>(COUNT(L4:L7,L9,L11:L15,L17)/J76)*100</f>
        <v>68.75</v>
      </c>
      <c r="P79" s="3"/>
      <c r="R79" t="s">
        <v>11</v>
      </c>
      <c r="S79" t="s">
        <v>6</v>
      </c>
      <c r="X79" t="s">
        <v>18</v>
      </c>
      <c r="Z79" s="3">
        <f>AVERAGE(AA55:AA61,AA48:AA53,AA46,AA43:AA44,AA32:AA39,AA26:AA30,AA21:AA24,AA19,AA15:AA17,AA3:AA4)</f>
        <v>16361.666666666666</v>
      </c>
      <c r="AA79">
        <f>Z79/$AA$63</f>
        <v>0.87433280578269135</v>
      </c>
      <c r="AC79" s="3"/>
      <c r="AD79" s="9" t="s">
        <v>13</v>
      </c>
      <c r="AE79">
        <f>(COUNT(AG62,AG55,AG53,AG48,AG45,AG23)/AD70)*100</f>
        <v>8.8235294117647065</v>
      </c>
      <c r="AF79">
        <f>(0/AE74)*100</f>
        <v>0</v>
      </c>
    </row>
    <row r="80" spans="3:34" x14ac:dyDescent="0.25">
      <c r="C80">
        <v>78</v>
      </c>
      <c r="D80" s="3">
        <v>3257</v>
      </c>
      <c r="E80" s="3">
        <v>27638</v>
      </c>
      <c r="F80" s="3">
        <v>11295</v>
      </c>
      <c r="I80" s="20" t="s">
        <v>12</v>
      </c>
      <c r="J80">
        <f>(COUNT(K38,K28,K21:K22,K10,K8,K3)/I72)*100</f>
        <v>10</v>
      </c>
      <c r="K80">
        <f>(COUNT(K3,K8,K10)/J76)*100</f>
        <v>18.75</v>
      </c>
      <c r="L80" s="3"/>
      <c r="M80" s="3"/>
      <c r="N80" s="3"/>
      <c r="O80" s="3"/>
      <c r="Q80" s="29" t="s">
        <v>10</v>
      </c>
      <c r="R80">
        <f>(COUNT(S73,S71,S64:S65,S61,S58:S59,S54,S52,S49,S29:S30,S27,S17,S11:S15,S8,S3:S5)/Q73)*100</f>
        <v>32.394366197183103</v>
      </c>
      <c r="S80">
        <f>(COUNT(S3:S5,S8,S11:S15,S17)/R77)*100</f>
        <v>62.5</v>
      </c>
      <c r="AD80" t="s">
        <v>15</v>
      </c>
      <c r="AE80">
        <f>(COUNT(AG70,AG66:AG68,AG65,AG60:AG61,AG54,AG50:AG52,AG46:AG47,AG44,AG42,AG38:AG39,AG36,AG32:AG34,AG29:AG30,AG26:AG27,AG24,AG20:AG22,AG18,AG6)/AD70)*100</f>
        <v>45.588235294117645</v>
      </c>
      <c r="AF80">
        <f>(COUNT(AG6,AG18)/AE74)*100</f>
        <v>12.5</v>
      </c>
    </row>
    <row r="81" spans="3:35" x14ac:dyDescent="0.25">
      <c r="C81">
        <v>79</v>
      </c>
      <c r="D81" s="3">
        <v>3809</v>
      </c>
      <c r="E81" s="3">
        <v>43669</v>
      </c>
      <c r="F81" s="3">
        <v>9363</v>
      </c>
      <c r="I81" s="9" t="s">
        <v>13</v>
      </c>
      <c r="J81">
        <f>(COUNT(L69,L59,L57,L51,L44,L19)/I72)*100</f>
        <v>8.5714285714285712</v>
      </c>
      <c r="K81">
        <f>(0/J76)*100</f>
        <v>0</v>
      </c>
      <c r="Q81" s="20" t="s">
        <v>12</v>
      </c>
      <c r="R81">
        <f>(COUNT(S68,S66,S57,S37,S33,S18,S9:S10,S6)/Q73)*100</f>
        <v>12.676056338028168</v>
      </c>
      <c r="S81">
        <f>(COUNT(S18,S9:S10,S6)/R77)*100</f>
        <v>25</v>
      </c>
      <c r="T81" s="3"/>
      <c r="U81" s="3"/>
      <c r="V81" s="3"/>
      <c r="AD81" t="s">
        <v>11</v>
      </c>
      <c r="AE81">
        <f>SUM(AE77:AE80)</f>
        <v>100</v>
      </c>
      <c r="AF81">
        <f>SUM(AF77:AF80)</f>
        <v>100</v>
      </c>
    </row>
    <row r="82" spans="3:35" x14ac:dyDescent="0.25">
      <c r="C82">
        <v>80</v>
      </c>
      <c r="D82" s="3">
        <v>3333</v>
      </c>
      <c r="E82" s="3">
        <v>30068</v>
      </c>
      <c r="F82" s="3">
        <v>10530</v>
      </c>
      <c r="I82" t="s">
        <v>15</v>
      </c>
      <c r="J82">
        <f>(COUNT(L72,L70,L64:L68,L61:L62,L54,L52,L49:L50,L45:L47,L42,L39:L40,L30:L35,L27,L25,L23,L20,L18,L16)/I72)*100</f>
        <v>44.285714285714285</v>
      </c>
      <c r="K82">
        <f>(COUNT(L16,L18)/J76)*100</f>
        <v>12.5</v>
      </c>
      <c r="Q82" s="9" t="s">
        <v>13</v>
      </c>
      <c r="R82">
        <f>(COUNT(T69,T56,T51,T48,T28,T25:T26,T21,T16)/Q73)*100</f>
        <v>12.676056338028168</v>
      </c>
      <c r="S82">
        <f>(COUNT(T16)/R77)*100</f>
        <v>6.25</v>
      </c>
      <c r="X82" s="3"/>
      <c r="Y82" s="3"/>
      <c r="Z82" s="3" t="s">
        <v>27</v>
      </c>
      <c r="AA82" s="3" t="s">
        <v>28</v>
      </c>
      <c r="AB82" s="3" t="s">
        <v>29</v>
      </c>
      <c r="AD82" s="3"/>
      <c r="AE82" s="3" t="s">
        <v>41</v>
      </c>
      <c r="AF82" s="67" t="s">
        <v>42</v>
      </c>
      <c r="AG82" s="3"/>
      <c r="AH82" s="3"/>
    </row>
    <row r="83" spans="3:35" x14ac:dyDescent="0.25">
      <c r="C83" t="s">
        <v>5</v>
      </c>
      <c r="E83" s="3">
        <f>AVERAGE(E3:E82)</f>
        <v>62057.862500000003</v>
      </c>
      <c r="F83" s="3">
        <f>AVERAGE(F3:F82)</f>
        <v>15502.674999999999</v>
      </c>
      <c r="H83" s="7"/>
      <c r="I83" t="s">
        <v>11</v>
      </c>
      <c r="J83">
        <f>SUM(J79:J82)</f>
        <v>100</v>
      </c>
      <c r="K83">
        <f>SUM(K79:K82)</f>
        <v>100</v>
      </c>
      <c r="P83" s="3"/>
      <c r="Q83" t="s">
        <v>15</v>
      </c>
      <c r="R83">
        <f>(COUNT(S72,S70,S67,S62:S63,S60,S55,S53,S50,S38:S47,S34:S36,S31:S32,S22:S24,S19:S20,S7)/Q73)*100</f>
        <v>42.25352112676056</v>
      </c>
      <c r="S83">
        <f>(COUNT(T7)/R77)*100</f>
        <v>6.25</v>
      </c>
      <c r="X83" s="10" t="s">
        <v>20</v>
      </c>
      <c r="Y83" s="10">
        <f>COUNT(Z62,Z54,Z47,Z45,Z40:Z42,Z31,Z25,Z20,Z18,Z5:Z14)</f>
        <v>21</v>
      </c>
      <c r="Z83" s="10">
        <f>(Y83/$X$62)*100</f>
        <v>35</v>
      </c>
      <c r="AA83" s="10">
        <f>(Y83/$Y$83)*100</f>
        <v>100</v>
      </c>
      <c r="AB83" s="10"/>
      <c r="AD83" t="s">
        <v>16</v>
      </c>
      <c r="AE83" s="3">
        <f>AVERAGE(AF62:AF64,AF55:AF59,AF53,AF48,AF45,AF40:AF41,AF37,AF35,AF31,AF28,AF23,AF17,AF7:AF15)</f>
        <v>67935</v>
      </c>
      <c r="AF83">
        <f>AE83/$AF$71</f>
        <v>1.2465854081737564</v>
      </c>
    </row>
    <row r="84" spans="3:35" x14ac:dyDescent="0.25">
      <c r="C84" t="s">
        <v>8</v>
      </c>
      <c r="E84" s="3">
        <f>AVERAGE(E18:E82)</f>
        <v>54042.400000000001</v>
      </c>
      <c r="F84" s="3">
        <f>AVERAGE(F18:F82)</f>
        <v>14195.83076923077</v>
      </c>
      <c r="H84" s="39"/>
      <c r="I84" s="3"/>
      <c r="J84" s="3" t="s">
        <v>41</v>
      </c>
      <c r="K84" s="67" t="s">
        <v>42</v>
      </c>
      <c r="L84" s="3"/>
      <c r="M84" s="3"/>
      <c r="N84" s="3"/>
      <c r="O84" s="3"/>
      <c r="Q84" t="s">
        <v>11</v>
      </c>
      <c r="R84">
        <f>SUM(R80:R83)</f>
        <v>100</v>
      </c>
      <c r="S84">
        <f>SUM(S80:S83)</f>
        <v>100</v>
      </c>
      <c r="X84" s="9" t="s">
        <v>21</v>
      </c>
      <c r="Y84" s="9">
        <f>COUNT(AA60,AA58,AA54,AA51,AA49,AA47,AA45,AA41,AA37,AA34,AA28,AA25:AA26,AA23,AA18,AA8:AA14,AA6,AA3)</f>
        <v>24</v>
      </c>
      <c r="Z84" s="8">
        <f t="shared" ref="Z84:Z89" si="10">(Y84/$X$62)*100</f>
        <v>40</v>
      </c>
      <c r="AA84" s="8"/>
      <c r="AB84" s="9">
        <f>(Y84/$Y$84)*100</f>
        <v>100</v>
      </c>
      <c r="AC84" s="3"/>
      <c r="AD84" t="s">
        <v>19</v>
      </c>
      <c r="AE84" s="3">
        <f>AVERAGE(AF65:AF70,AF60:AF61,AF54,AF49:AF52,AF46:AF47,AF42:AF44,AF38:AF39,AF36,AF32:AF34,AF29:AF30,AF24:AF27,AF18:AF22,AF16,AF3:AF6)</f>
        <v>45090.175000000003</v>
      </c>
      <c r="AF84">
        <f>AE84/$AF$71</f>
        <v>0.82739021427837056</v>
      </c>
    </row>
    <row r="85" spans="3:35" x14ac:dyDescent="0.25">
      <c r="C85" s="5" t="s">
        <v>7</v>
      </c>
      <c r="E85" s="3">
        <f>AVERAGE(E3:E17)</f>
        <v>96791.53333333334</v>
      </c>
      <c r="F85" s="3">
        <f>AVERAGE(F3:F17)</f>
        <v>21165.666666666668</v>
      </c>
      <c r="H85" s="39"/>
      <c r="I85" t="s">
        <v>16</v>
      </c>
      <c r="J85" s="3">
        <f>AVERAGE(K71,K69,K63,K55:K60,K53,K51,K48,K43:K44,K41,K36:K37,K29,K26,K24,K19,K17,K11:K15,K9,K4:K7)</f>
        <v>73170.09375</v>
      </c>
      <c r="K85">
        <f>J85/$K$73</f>
        <v>1.2470358164131119</v>
      </c>
      <c r="Q85" s="3"/>
      <c r="R85" s="3" t="s">
        <v>41</v>
      </c>
      <c r="S85" s="67" t="s">
        <v>42</v>
      </c>
      <c r="T85" s="3"/>
      <c r="U85" s="3"/>
      <c r="V85" s="3"/>
      <c r="X85" s="20" t="s">
        <v>22</v>
      </c>
      <c r="Y85" s="20">
        <f>COUNT(Z62,Z42,Z40,Z31,Z20,Z7,Z5)</f>
        <v>7</v>
      </c>
      <c r="Z85" s="10">
        <f t="shared" si="10"/>
        <v>11.666666666666666</v>
      </c>
      <c r="AA85" s="10">
        <f>(Y85/$Y$83)*100</f>
        <v>33.333333333333329</v>
      </c>
      <c r="AB85" s="20"/>
      <c r="AF85" s="3" t="s">
        <v>41</v>
      </c>
      <c r="AG85" s="67" t="s">
        <v>42</v>
      </c>
    </row>
    <row r="86" spans="3:35" x14ac:dyDescent="0.25">
      <c r="C86" t="s">
        <v>14</v>
      </c>
      <c r="D86">
        <f>COUNT(D3:D17)</f>
        <v>15</v>
      </c>
      <c r="H86" s="39"/>
      <c r="I86" t="s">
        <v>19</v>
      </c>
      <c r="J86" s="3">
        <f>AVERAGE(K72,K70,K64:K68,K61:K62,K54,K52,K49:K50,K45:K47,K42,K39:K40,K38,K30:K35,K28,K27,K25,K20:K23,K18,K16,K10,K8,K3)</f>
        <v>46469</v>
      </c>
      <c r="K86">
        <f>J86/$K$73</f>
        <v>0.79196983881001104</v>
      </c>
      <c r="L86" s="39"/>
      <c r="Q86" t="s">
        <v>16</v>
      </c>
      <c r="R86" s="3">
        <f>AVERAGE(S73,S71,S69,S64:S65,S61,S58:S59,S56,S54,S51:S52,S48:S49,S25:S30,S21,S11:S17,S8,S3:S5)</f>
        <v>86750.21875</v>
      </c>
      <c r="S86">
        <f>R86/$S$74</f>
        <v>1.2482918617777512</v>
      </c>
      <c r="X86" s="9" t="s">
        <v>23</v>
      </c>
      <c r="Y86" s="9">
        <f>COUNT(AA60,AA58,AA51,AA49,AA37,AA34,AA28,AA26,AA23,AA3)</f>
        <v>10</v>
      </c>
      <c r="Z86" s="8">
        <f t="shared" si="10"/>
        <v>16.666666666666664</v>
      </c>
      <c r="AA86" s="8"/>
      <c r="AB86" s="9">
        <f>(Y86/$Y$84)*100</f>
        <v>41.666666666666671</v>
      </c>
      <c r="AC86" s="3"/>
      <c r="AD86" t="s">
        <v>17</v>
      </c>
      <c r="AF86" s="3">
        <f>AVERAGE(AG69,AG63:AG64,AG56:AG59,AG49,AG43,AG40:AG41,AG37,AG35,AG31,AG28,AG25,AG19,AG7:AG17,AG4,AG3,AG5)</f>
        <v>21800.709677419356</v>
      </c>
      <c r="AG86">
        <f>AF86/$AG$71</f>
        <v>1.2463214436685217</v>
      </c>
    </row>
    <row r="87" spans="3:35" x14ac:dyDescent="0.25">
      <c r="C87" s="3" t="s">
        <v>9</v>
      </c>
      <c r="D87" s="3">
        <f>(D86/C82)*100</f>
        <v>18.75</v>
      </c>
      <c r="E87" s="3"/>
      <c r="F87" s="3"/>
      <c r="G87" s="3"/>
      <c r="H87" s="39"/>
      <c r="K87" s="3" t="s">
        <v>41</v>
      </c>
      <c r="L87" s="67" t="s">
        <v>42</v>
      </c>
      <c r="Q87" t="s">
        <v>19</v>
      </c>
      <c r="R87" s="3">
        <f>AVERAGE(S72,S70,S66:S68,S62:S63,S60,S57,S55,S53,S50,S31:S47,S22:S24,S18:S20,S9:S10,S7,S6)</f>
        <v>55337.128205128203</v>
      </c>
      <c r="S87">
        <f>R87/$S$74</f>
        <v>0.79627334418235796</v>
      </c>
      <c r="X87" s="7" t="s">
        <v>24</v>
      </c>
      <c r="Y87" s="6">
        <f>X62-Y83</f>
        <v>39</v>
      </c>
      <c r="Z87" s="6">
        <f t="shared" si="10"/>
        <v>65</v>
      </c>
      <c r="AA87" s="6"/>
      <c r="AB87" s="7"/>
      <c r="AC87" s="3"/>
      <c r="AD87" t="s">
        <v>18</v>
      </c>
      <c r="AF87" s="3">
        <f>AVERAGE(AG70,AG65:AG68,AG60:AG62,AG50:AG55,AG45:AG48,AG44,AG42,AG38:AG39,AG36,AG32:AG34,AG29:AG30,AG26:AG27,AG20:AG24,AG18,AG6)</f>
        <v>13882.081081081082</v>
      </c>
      <c r="AG87">
        <f>AF87/$AG$71</f>
        <v>0.793622574223671</v>
      </c>
    </row>
    <row r="88" spans="3:35" x14ac:dyDescent="0.25">
      <c r="D88" t="s">
        <v>11</v>
      </c>
      <c r="E88" t="s">
        <v>6</v>
      </c>
      <c r="H88" s="39"/>
      <c r="I88" t="s">
        <v>17</v>
      </c>
      <c r="K88" s="3">
        <f>AVERAGE(L71,L63,L60,L58,L55:L56,L53,L48,L43,L41,L36:L38,L28:L29,L26,L24,L21:L22,L17,L3:L15)</f>
        <v>19857.81818181818</v>
      </c>
      <c r="L88">
        <f>K88/$L$73</f>
        <v>1.2065010599725836</v>
      </c>
      <c r="S88" s="3" t="s">
        <v>41</v>
      </c>
      <c r="T88" s="67" t="s">
        <v>42</v>
      </c>
      <c r="X88" s="7" t="s">
        <v>25</v>
      </c>
      <c r="Y88" s="6">
        <f>X62-Y84</f>
        <v>36</v>
      </c>
      <c r="Z88" s="6">
        <f t="shared" si="10"/>
        <v>60</v>
      </c>
      <c r="AA88" s="6"/>
      <c r="AB88" s="7"/>
    </row>
    <row r="89" spans="3:35" x14ac:dyDescent="0.25">
      <c r="C89" s="29" t="s">
        <v>10</v>
      </c>
      <c r="D89">
        <f>(COUNT(E64:E65,E48:E51,E44:E47,E35:E36,E31,E22,E15:E17,E6:E14,E5,E3:E4,E39)/C82)*100</f>
        <v>37.5</v>
      </c>
      <c r="E89">
        <f>(COUNT(F3:F17)/D86)*100</f>
        <v>100</v>
      </c>
      <c r="H89" s="39"/>
      <c r="I89" t="s">
        <v>18</v>
      </c>
      <c r="K89" s="3">
        <f>AVERAGE(L72,L64:L70,L61:L62,L59,L57,L54,L49:L52,L44:L47,L42,L39:L40,L30:L35,L27,L25,L23,L18:L20,L16)</f>
        <v>13427.648648648648</v>
      </c>
      <c r="L89">
        <f t="shared" ref="L89" si="11">K89/$L$73</f>
        <v>0.81582337894337131</v>
      </c>
      <c r="Q89" t="s">
        <v>17</v>
      </c>
      <c r="S89" s="3">
        <f>AVERAGE(T73,T71,T68,T64:T66,T61,T57:T59,T54,T52,T49,T37,T33,T29:T30,T27,T17:T18,T8:T15,T3:T6)</f>
        <v>25012.3125</v>
      </c>
      <c r="T89">
        <f>S89/$T$74</f>
        <v>1.2377336074057399</v>
      </c>
      <c r="X89" s="99" t="s">
        <v>26</v>
      </c>
      <c r="Y89" s="111">
        <f>Y83-Y85</f>
        <v>14</v>
      </c>
      <c r="Z89" s="111">
        <f t="shared" si="10"/>
        <v>23.333333333333332</v>
      </c>
      <c r="AA89" s="111">
        <f>(Y89/$Y$83)*100</f>
        <v>66.666666666666657</v>
      </c>
      <c r="AB89" s="101">
        <f>(Y89/$Y$84)*100</f>
        <v>58.333333333333336</v>
      </c>
      <c r="AC89" s="3"/>
    </row>
    <row r="90" spans="3:35" x14ac:dyDescent="0.25">
      <c r="C90" s="20" t="s">
        <v>12</v>
      </c>
      <c r="D90">
        <f>(COUNT(E30,E24)/C82)*100</f>
        <v>2.5</v>
      </c>
      <c r="E90">
        <f>(0/D86)*100</f>
        <v>0</v>
      </c>
      <c r="F90" s="3"/>
      <c r="G90" s="3"/>
      <c r="P90" s="7"/>
      <c r="Q90" t="s">
        <v>18</v>
      </c>
      <c r="S90" s="3">
        <f>AVERAGE(T72,T69:T70,T67,T62:T63,T60,T55:T56,T53,T50:T51,T38:T48,T34:T36,T31:T32,T28,T19:T26,T16,T7)</f>
        <v>16266.282051282051</v>
      </c>
      <c r="T90">
        <f>S90/$T$74</f>
        <v>0.80493652725682885</v>
      </c>
      <c r="X90" s="7"/>
      <c r="Y90" s="7"/>
      <c r="Z90" s="7"/>
      <c r="AA90" s="6"/>
      <c r="AB90" s="7"/>
      <c r="AC90" s="3"/>
      <c r="AD90" s="3"/>
      <c r="AE90" s="3"/>
      <c r="AF90" s="3" t="s">
        <v>27</v>
      </c>
      <c r="AG90" s="3" t="s">
        <v>28</v>
      </c>
      <c r="AH90" s="3" t="s">
        <v>29</v>
      </c>
      <c r="AI90" s="3"/>
    </row>
    <row r="91" spans="3:35" x14ac:dyDescent="0.25">
      <c r="C91" s="9" t="s">
        <v>13</v>
      </c>
      <c r="D91">
        <f>(COUNT(F76,F41:F43,F37:F38)/C82)*100</f>
        <v>7.5</v>
      </c>
      <c r="E91">
        <f>(0/D86)*100</f>
        <v>0</v>
      </c>
      <c r="P91" s="6"/>
      <c r="X91" s="39"/>
      <c r="Y91" s="39"/>
      <c r="Z91" s="39"/>
      <c r="AA91" s="39"/>
      <c r="AB91" s="39"/>
      <c r="AC91" s="39"/>
      <c r="AD91" s="10" t="s">
        <v>20</v>
      </c>
      <c r="AE91" s="10">
        <f>COUNT(AF69,AF63:AF64,AF56:AF59,AF49,AF43,AF40:AF41,AF37,AF35,AF31,AF28,AF25,AF19,AF7:AF17,AF3:AF5)</f>
        <v>31</v>
      </c>
      <c r="AF91" s="10">
        <f>(AE91/$AD$70)*100</f>
        <v>45.588235294117645</v>
      </c>
      <c r="AG91" s="10">
        <f>(AE91/$AE$91)*100</f>
        <v>100</v>
      </c>
      <c r="AH91" s="10"/>
    </row>
    <row r="92" spans="3:35" x14ac:dyDescent="0.25">
      <c r="C92" t="s">
        <v>15</v>
      </c>
      <c r="D92">
        <f>(COUNT(E77:E82,E66:E75,E52:E63,E40,E32:E34,E25:E29,E23,E18:E21)/C82)*100</f>
        <v>52.5</v>
      </c>
      <c r="E92">
        <f>(0/D86)*100</f>
        <v>0</v>
      </c>
      <c r="I92" s="3"/>
      <c r="J92" s="3"/>
      <c r="K92" s="3" t="s">
        <v>27</v>
      </c>
      <c r="L92" s="3" t="s">
        <v>28</v>
      </c>
      <c r="M92" s="3" t="s">
        <v>29</v>
      </c>
      <c r="N92" s="3"/>
      <c r="O92" s="3"/>
      <c r="P92" s="6"/>
      <c r="X92" s="39"/>
      <c r="Y92" s="39"/>
      <c r="Z92" s="39"/>
      <c r="AA92" s="39"/>
      <c r="AB92" s="39"/>
      <c r="AC92" s="39"/>
      <c r="AD92" s="9" t="s">
        <v>21</v>
      </c>
      <c r="AE92" s="9">
        <f>COUNT(AG62:AG64,AG55:AG59,AG53,AG48,AG45,AG40:AG41,AG37,AG35,AG31,AG28,AG23,AG17,AG7:AG15)</f>
        <v>28</v>
      </c>
      <c r="AF92" s="8">
        <f t="shared" ref="AF92:AF97" si="12">(AE92/$AD$70)*100</f>
        <v>41.17647058823529</v>
      </c>
      <c r="AG92" s="8"/>
      <c r="AH92" s="9">
        <f>(AE92/$AE$92)*100</f>
        <v>100</v>
      </c>
    </row>
    <row r="93" spans="3:35" x14ac:dyDescent="0.25">
      <c r="C93" t="s">
        <v>11</v>
      </c>
      <c r="D93">
        <f>SUM(D89:D92)</f>
        <v>100</v>
      </c>
      <c r="E93">
        <f>SUM(E89:E92)</f>
        <v>100</v>
      </c>
      <c r="I93" s="10" t="s">
        <v>20</v>
      </c>
      <c r="J93" s="10">
        <f>COUNT(K71,K63,K60,K58,K55:K56,K53,K48,K43,K41,K36:K38,K28:K29,K26,K24,K21:K22,K17,K3:K15)</f>
        <v>33</v>
      </c>
      <c r="K93" s="10">
        <f>(J93/$I$72)*100</f>
        <v>47.142857142857139</v>
      </c>
      <c r="L93" s="10">
        <f>(J93/$J$93)*100</f>
        <v>100</v>
      </c>
      <c r="M93" s="10"/>
      <c r="N93" s="10"/>
      <c r="O93" s="10"/>
      <c r="P93" s="7"/>
      <c r="Q93" s="3"/>
      <c r="R93" s="3"/>
      <c r="S93" s="3" t="s">
        <v>27</v>
      </c>
      <c r="T93" s="3" t="s">
        <v>28</v>
      </c>
      <c r="U93" s="3" t="s">
        <v>29</v>
      </c>
      <c r="V93" s="3"/>
      <c r="X93" s="58"/>
      <c r="Y93" s="59" t="s">
        <v>1</v>
      </c>
      <c r="Z93" s="59" t="s">
        <v>2</v>
      </c>
      <c r="AA93" s="59" t="s">
        <v>39</v>
      </c>
      <c r="AB93" s="60" t="s">
        <v>40</v>
      </c>
      <c r="AC93" s="39"/>
      <c r="AD93" s="20" t="s">
        <v>22</v>
      </c>
      <c r="AE93" s="20">
        <f>COUNT(AF69,AF49,AF43,AF25,AF19,AF16,AF3:AF5)</f>
        <v>9</v>
      </c>
      <c r="AF93" s="10">
        <f t="shared" si="12"/>
        <v>13.23529411764706</v>
      </c>
      <c r="AG93" s="10">
        <f>(AE93/$AE$91)*100</f>
        <v>29.032258064516132</v>
      </c>
      <c r="AH93" s="20"/>
    </row>
    <row r="94" spans="3:35" x14ac:dyDescent="0.25">
      <c r="C94" s="3"/>
      <c r="D94" s="3" t="s">
        <v>41</v>
      </c>
      <c r="E94" s="67" t="s">
        <v>42</v>
      </c>
      <c r="F94" s="3"/>
      <c r="G94" s="3"/>
      <c r="I94" s="9" t="s">
        <v>21</v>
      </c>
      <c r="J94" s="9">
        <f>COUNT(L71,L69,L63,L60,L58,L55:L56,L53,L48,L43:L44,L41,L36:L38,L29,L51,L26,L24,L19,L17,L11:L15,L9,L4:L7)</f>
        <v>31</v>
      </c>
      <c r="K94" s="8">
        <f t="shared" ref="K94:K99" si="13">(J94/$I$72)*100</f>
        <v>44.285714285714285</v>
      </c>
      <c r="L94" s="8"/>
      <c r="M94" s="9">
        <f ca="1">(J94/$M$94)*100</f>
        <v>0</v>
      </c>
      <c r="N94" s="9"/>
      <c r="O94" s="9"/>
      <c r="P94" s="3"/>
      <c r="Q94" s="10" t="s">
        <v>20</v>
      </c>
      <c r="R94" s="10">
        <f>COUNT(S3:S6,S8:S15,S17:S18,S27,S29:S30,S33,S37,S49,S52,S54,S57:S59,S61,S64:S66,S68,S71,S73)</f>
        <v>32</v>
      </c>
      <c r="S94" s="10">
        <f>(R94/$Q$73)*100</f>
        <v>45.070422535211272</v>
      </c>
      <c r="T94" s="10">
        <f>(R94/$R$94)*100</f>
        <v>100</v>
      </c>
      <c r="U94" s="10"/>
      <c r="V94" s="10"/>
      <c r="X94" s="61" t="s">
        <v>37</v>
      </c>
      <c r="Y94">
        <v>30542</v>
      </c>
      <c r="Z94" s="39">
        <v>8355</v>
      </c>
      <c r="AA94" s="39">
        <f>Y94/$Y$96</f>
        <v>0.51838734498053773</v>
      </c>
      <c r="AB94" s="62">
        <f>Z94/$Z$96</f>
        <v>0.44647350059984026</v>
      </c>
      <c r="AC94" s="39"/>
      <c r="AD94" s="9" t="s">
        <v>23</v>
      </c>
      <c r="AE94" s="9">
        <f>COUNT(AG62,AG55,AG53,AG48,AG45,AG23)</f>
        <v>6</v>
      </c>
      <c r="AF94" s="8">
        <f t="shared" si="12"/>
        <v>8.8235294117647065</v>
      </c>
      <c r="AG94" s="8"/>
      <c r="AH94" s="9">
        <f>(AE94/$AE$92)*100</f>
        <v>21.428571428571427</v>
      </c>
    </row>
    <row r="95" spans="3:35" x14ac:dyDescent="0.25">
      <c r="C95" t="s">
        <v>16</v>
      </c>
      <c r="D95" s="3">
        <f>AVERAGE(E76,E64:E65,E41:E51,E35:E39,E31,E22,E3:E17)</f>
        <v>83485.388888888891</v>
      </c>
      <c r="E95">
        <f>D95/$E$83</f>
        <v>1.3452830233862614</v>
      </c>
      <c r="I95" s="20" t="s">
        <v>22</v>
      </c>
      <c r="J95" s="20">
        <f>COUNT(K28,K22,K21,K38,K10,K8,K3)</f>
        <v>7</v>
      </c>
      <c r="K95" s="10">
        <f t="shared" si="13"/>
        <v>10</v>
      </c>
      <c r="L95" s="10">
        <f>(J95/$J$93)*100</f>
        <v>21.212121212121211</v>
      </c>
      <c r="M95" s="20"/>
      <c r="N95" s="20"/>
      <c r="O95" s="20"/>
      <c r="Q95" s="9" t="s">
        <v>21</v>
      </c>
      <c r="R95" s="9">
        <f>COUNT(T73,T71,T69,T64:T65,T61,T58:T59,T56,T54,T52,T51,T48:T49,T25:T30,T21,T11:T17,T8,T5,T3:T4)</f>
        <v>32</v>
      </c>
      <c r="S95" s="8">
        <f t="shared" ref="S95:S100" si="14">(R95/$Q$73)*100</f>
        <v>45.070422535211272</v>
      </c>
      <c r="T95" s="8"/>
      <c r="U95" s="9">
        <f>(R95/$R$95)*100</f>
        <v>100</v>
      </c>
      <c r="V95" s="9"/>
      <c r="X95" s="61" t="s">
        <v>38</v>
      </c>
      <c r="Y95">
        <v>118474</v>
      </c>
      <c r="Z95" s="39">
        <v>38051</v>
      </c>
      <c r="AA95" s="39">
        <f>Y95/$Y$96</f>
        <v>2.010851362360822</v>
      </c>
      <c r="AB95" s="62">
        <f>Z95/$Z$96</f>
        <v>2.0333648319957538</v>
      </c>
      <c r="AD95" s="7" t="s">
        <v>24</v>
      </c>
      <c r="AE95" s="6">
        <f>AD70-AE91</f>
        <v>37</v>
      </c>
      <c r="AF95" s="6">
        <f t="shared" si="12"/>
        <v>54.411764705882348</v>
      </c>
      <c r="AG95" s="6"/>
      <c r="AH95" s="7"/>
      <c r="AI95" s="3"/>
    </row>
    <row r="96" spans="3:35" x14ac:dyDescent="0.25">
      <c r="C96" t="s">
        <v>19</v>
      </c>
      <c r="D96" s="3">
        <f>AVERAGE(E77:E82,E66:E75,E52:E63,E40,E32:E34,E23:E29,E30,E18:E21)</f>
        <v>44526.25</v>
      </c>
      <c r="E96">
        <f>D96/$E$83</f>
        <v>0.71749570813851349</v>
      </c>
      <c r="I96" s="9" t="s">
        <v>23</v>
      </c>
      <c r="J96" s="9">
        <f>COUNT(L69,L59,L57,L51,L19)</f>
        <v>5</v>
      </c>
      <c r="K96" s="8">
        <f t="shared" si="13"/>
        <v>7.1428571428571423</v>
      </c>
      <c r="L96" s="8"/>
      <c r="M96" s="9">
        <f ca="1">(J96/$M$94)*100</f>
        <v>12.121212121212121</v>
      </c>
      <c r="N96" s="9"/>
      <c r="O96" s="9"/>
      <c r="P96" s="3"/>
      <c r="Q96" s="20" t="s">
        <v>22</v>
      </c>
      <c r="R96" s="20">
        <f>COUNT(S68,S66,S57,S37,S33,S18,S10,S9,S6)</f>
        <v>9</v>
      </c>
      <c r="S96" s="10">
        <f t="shared" si="14"/>
        <v>12.676056338028168</v>
      </c>
      <c r="T96" s="10">
        <f>(R96/$R$94)*100</f>
        <v>28.125</v>
      </c>
      <c r="U96" s="20"/>
      <c r="V96" s="20"/>
      <c r="X96" s="63" t="s">
        <v>4</v>
      </c>
      <c r="Y96" s="64">
        <v>58917.333333333336</v>
      </c>
      <c r="Z96" s="65">
        <v>18713.316666666666</v>
      </c>
      <c r="AA96" s="65"/>
      <c r="AB96" s="66"/>
      <c r="AD96" s="7" t="s">
        <v>25</v>
      </c>
      <c r="AE96" s="6">
        <f>AD70-AE92</f>
        <v>40</v>
      </c>
      <c r="AF96" s="6">
        <f t="shared" si="12"/>
        <v>58.82352941176471</v>
      </c>
      <c r="AG96" s="6"/>
      <c r="AH96" s="7"/>
    </row>
    <row r="97" spans="1:35" x14ac:dyDescent="0.25">
      <c r="E97" s="3" t="s">
        <v>41</v>
      </c>
      <c r="F97" s="67" t="s">
        <v>42</v>
      </c>
      <c r="I97" s="7" t="s">
        <v>24</v>
      </c>
      <c r="J97" s="38">
        <f>I72-J93</f>
        <v>37</v>
      </c>
      <c r="K97" s="6">
        <f t="shared" si="13"/>
        <v>52.857142857142861</v>
      </c>
      <c r="L97" s="38"/>
      <c r="M97" s="39"/>
      <c r="N97" s="39"/>
      <c r="O97" s="39"/>
      <c r="P97" s="3"/>
      <c r="Q97" s="9" t="s">
        <v>23</v>
      </c>
      <c r="R97" s="9">
        <f>COUNT(T69,T56,T51,T48,T28,T25:T26,T21,T16)</f>
        <v>9</v>
      </c>
      <c r="S97" s="8">
        <f t="shared" si="14"/>
        <v>12.676056338028168</v>
      </c>
      <c r="T97" s="8"/>
      <c r="U97" s="9">
        <f>(R97/$R$95)*100</f>
        <v>28.125</v>
      </c>
      <c r="V97" s="9"/>
      <c r="AD97" s="99" t="s">
        <v>26</v>
      </c>
      <c r="AE97" s="111">
        <f>AE91-AE93</f>
        <v>22</v>
      </c>
      <c r="AF97" s="111">
        <f t="shared" si="12"/>
        <v>32.352941176470587</v>
      </c>
      <c r="AG97" s="111">
        <f>(AE97/$AE$91)*100</f>
        <v>70.967741935483872</v>
      </c>
      <c r="AH97" s="101">
        <f>(AE97/$AE$92)*100</f>
        <v>78.571428571428569</v>
      </c>
      <c r="AI97" s="3"/>
    </row>
    <row r="98" spans="1:35" x14ac:dyDescent="0.25">
      <c r="C98" t="s">
        <v>17</v>
      </c>
      <c r="E98" s="3">
        <f>AVERAGE(F64:F65,F44:F51,F39,F35:F36,F31,F22,F3:F17)</f>
        <v>20372.266666666666</v>
      </c>
      <c r="F98">
        <f>E98/$F$83</f>
        <v>1.3141129944778347</v>
      </c>
      <c r="I98" s="7" t="s">
        <v>25</v>
      </c>
      <c r="J98" s="38">
        <f>I72-J94</f>
        <v>39</v>
      </c>
      <c r="K98" s="6">
        <f t="shared" si="13"/>
        <v>55.714285714285715</v>
      </c>
      <c r="L98" s="38"/>
      <c r="M98" s="7"/>
      <c r="N98" s="7"/>
      <c r="O98" s="7"/>
      <c r="Q98" s="7" t="s">
        <v>24</v>
      </c>
      <c r="R98" s="6">
        <f>Q73-R94</f>
        <v>39</v>
      </c>
      <c r="S98" s="6">
        <f t="shared" si="14"/>
        <v>54.929577464788736</v>
      </c>
      <c r="T98" s="6"/>
      <c r="U98" s="7"/>
      <c r="V98" s="7"/>
      <c r="AI98" s="3"/>
    </row>
    <row r="99" spans="1:35" x14ac:dyDescent="0.25">
      <c r="C99" t="s">
        <v>18</v>
      </c>
      <c r="E99" s="3">
        <f>AVERAGE(F66:F82,F52:F63,F40:F43,F37:F38,F32:F34,F25:F29,F23,F18:F21)</f>
        <v>12573.916666666666</v>
      </c>
      <c r="F99">
        <f>E99/$F$83</f>
        <v>0.81108045331961531</v>
      </c>
      <c r="I99" s="99" t="s">
        <v>26</v>
      </c>
      <c r="J99" s="111">
        <f>J93-J95</f>
        <v>26</v>
      </c>
      <c r="K99" s="111">
        <f t="shared" si="13"/>
        <v>37.142857142857146</v>
      </c>
      <c r="L99" s="111">
        <f>(J99/$J$93)*100</f>
        <v>78.787878787878782</v>
      </c>
      <c r="M99" s="101">
        <f ca="1">(J99/$M$94)*100</f>
        <v>75.757575757575751</v>
      </c>
      <c r="N99" s="39"/>
      <c r="O99" s="39"/>
      <c r="P99" s="3"/>
      <c r="Q99" s="7" t="s">
        <v>25</v>
      </c>
      <c r="R99" s="6">
        <f>Q73-R95</f>
        <v>39</v>
      </c>
      <c r="S99" s="6">
        <f t="shared" si="14"/>
        <v>54.929577464788736</v>
      </c>
      <c r="T99" s="6"/>
      <c r="U99" s="7"/>
      <c r="V99" s="7"/>
      <c r="AD99" s="58"/>
      <c r="AE99" s="59" t="s">
        <v>1</v>
      </c>
      <c r="AF99" s="59" t="s">
        <v>2</v>
      </c>
      <c r="AG99" s="59" t="s">
        <v>39</v>
      </c>
      <c r="AH99" s="60" t="s">
        <v>40</v>
      </c>
      <c r="AI99" s="39"/>
    </row>
    <row r="100" spans="1:35" x14ac:dyDescent="0.25">
      <c r="I100" s="39"/>
      <c r="J100" s="39"/>
      <c r="K100" s="39"/>
      <c r="L100" s="39"/>
      <c r="M100" s="39"/>
      <c r="N100" s="39"/>
      <c r="O100" s="39"/>
      <c r="P100" s="3"/>
      <c r="Q100" s="99" t="s">
        <v>26</v>
      </c>
      <c r="R100" s="111">
        <f>R94-R96</f>
        <v>23</v>
      </c>
      <c r="S100" s="111">
        <f t="shared" si="14"/>
        <v>32.394366197183103</v>
      </c>
      <c r="T100" s="111">
        <f>(R100/$R$94)*100</f>
        <v>71.875</v>
      </c>
      <c r="U100" s="101">
        <f>(R100/$R$95)*100</f>
        <v>71.875</v>
      </c>
      <c r="V100" s="39"/>
      <c r="AD100" s="61" t="s">
        <v>37</v>
      </c>
      <c r="AE100">
        <v>25768</v>
      </c>
      <c r="AF100" s="39">
        <v>5716</v>
      </c>
      <c r="AG100" s="39">
        <f>AE100/$AE$102</f>
        <v>0.47283451531348131</v>
      </c>
      <c r="AH100" s="62">
        <f>AF100/$AF$102</f>
        <v>0.326777131452198</v>
      </c>
      <c r="AI100" s="39"/>
    </row>
    <row r="101" spans="1:35" x14ac:dyDescent="0.25">
      <c r="I101" s="39"/>
      <c r="J101" s="39"/>
      <c r="K101" s="39"/>
      <c r="L101" s="39"/>
      <c r="M101" s="39"/>
      <c r="N101" s="39"/>
      <c r="O101" s="39"/>
      <c r="Q101" s="39"/>
      <c r="R101" s="39"/>
      <c r="S101" s="39"/>
      <c r="T101" s="39"/>
      <c r="U101" s="39"/>
      <c r="V101" s="39"/>
      <c r="AD101" s="61" t="s">
        <v>38</v>
      </c>
      <c r="AE101">
        <v>99410</v>
      </c>
      <c r="AF101" s="39">
        <v>46625</v>
      </c>
      <c r="AG101" s="39">
        <f>AE101/$AE$102</f>
        <v>1.8241415386259383</v>
      </c>
      <c r="AH101" s="62">
        <f>AF101/$AF$102</f>
        <v>2.6654975076904708</v>
      </c>
      <c r="AI101" s="39"/>
    </row>
    <row r="102" spans="1:35" x14ac:dyDescent="0.25">
      <c r="C102" s="3"/>
      <c r="D102" s="3"/>
      <c r="E102" s="3" t="s">
        <v>27</v>
      </c>
      <c r="F102" s="3" t="s">
        <v>28</v>
      </c>
      <c r="G102" s="3" t="s">
        <v>29</v>
      </c>
      <c r="I102" s="58"/>
      <c r="J102" s="59" t="s">
        <v>1</v>
      </c>
      <c r="K102" s="59" t="s">
        <v>2</v>
      </c>
      <c r="L102" s="59" t="s">
        <v>39</v>
      </c>
      <c r="M102" s="60" t="s">
        <v>40</v>
      </c>
      <c r="N102" s="39"/>
      <c r="O102" s="39"/>
      <c r="P102" s="39"/>
      <c r="Q102" s="39"/>
      <c r="R102" s="39"/>
      <c r="S102" s="39"/>
      <c r="T102" s="39"/>
      <c r="U102" s="39"/>
      <c r="V102" s="39"/>
      <c r="W102" s="3"/>
      <c r="AD102" s="63" t="s">
        <v>4</v>
      </c>
      <c r="AE102" s="64">
        <v>54496.867647058825</v>
      </c>
      <c r="AF102" s="65">
        <v>17492.044117647059</v>
      </c>
      <c r="AG102" s="65"/>
      <c r="AH102" s="66"/>
      <c r="AI102" s="39"/>
    </row>
    <row r="103" spans="1:35" x14ac:dyDescent="0.25">
      <c r="C103" s="10" t="s">
        <v>20</v>
      </c>
      <c r="D103" s="10">
        <f>COUNT(E64:E65,E44:E51,E39,E36,E35,E30:E31,E24,E22,E3:E17)</f>
        <v>32</v>
      </c>
      <c r="E103" s="10">
        <f>(D103/$C$82)*100</f>
        <v>40</v>
      </c>
      <c r="F103" s="10">
        <f>(D103/$D$103)*100</f>
        <v>100</v>
      </c>
      <c r="G103" s="10"/>
      <c r="I103" s="61" t="s">
        <v>37</v>
      </c>
      <c r="J103">
        <v>25754</v>
      </c>
      <c r="K103" s="39">
        <v>6288</v>
      </c>
      <c r="L103" s="39">
        <f>J103/$J$105</f>
        <v>0.43892468589194999</v>
      </c>
      <c r="M103" s="62">
        <f>K103/$K$105</f>
        <v>0.38203988956116969</v>
      </c>
      <c r="N103" s="39"/>
      <c r="O103" s="39"/>
      <c r="P103" s="39"/>
      <c r="Q103" s="58"/>
      <c r="R103" s="59" t="s">
        <v>1</v>
      </c>
      <c r="S103" s="59" t="s">
        <v>2</v>
      </c>
      <c r="T103" s="59" t="s">
        <v>39</v>
      </c>
      <c r="U103" s="60" t="s">
        <v>40</v>
      </c>
      <c r="V103" s="39"/>
    </row>
    <row r="104" spans="1:35" x14ac:dyDescent="0.25">
      <c r="C104" s="9" t="s">
        <v>21</v>
      </c>
      <c r="D104" s="9">
        <f>COUNT(F76,F64:F65,F41:F51,F35:F39,F31,F22,F3:F15,F16:F17)</f>
        <v>36</v>
      </c>
      <c r="E104" s="8">
        <f t="shared" ref="E104:E109" si="15">(D104/$C$82)*100</f>
        <v>45</v>
      </c>
      <c r="F104" s="8"/>
      <c r="G104" s="9">
        <f>(D104/$D$104)*100</f>
        <v>100</v>
      </c>
      <c r="I104" s="61" t="s">
        <v>38</v>
      </c>
      <c r="J104">
        <v>118860</v>
      </c>
      <c r="K104" s="39">
        <v>29549</v>
      </c>
      <c r="L104" s="39">
        <f>J104/$J$105</f>
        <v>2.0257275827101489</v>
      </c>
      <c r="M104" s="62">
        <f>K104/$K$105</f>
        <v>1.7953079988299943</v>
      </c>
      <c r="N104" s="39"/>
      <c r="O104" s="39"/>
      <c r="P104" s="39"/>
      <c r="Q104" s="61" t="s">
        <v>37</v>
      </c>
      <c r="R104">
        <v>29987</v>
      </c>
      <c r="S104">
        <v>7563</v>
      </c>
      <c r="T104" s="39">
        <f>R104/$R$106</f>
        <v>0.43149779445518027</v>
      </c>
      <c r="U104" s="62">
        <f>S104/$S$106</f>
        <v>0.37425485039856315</v>
      </c>
      <c r="V104" s="39"/>
    </row>
    <row r="105" spans="1:35" x14ac:dyDescent="0.25">
      <c r="C105" s="20" t="s">
        <v>22</v>
      </c>
      <c r="D105" s="20">
        <f>COUNT(E30,E24)</f>
        <v>2</v>
      </c>
      <c r="E105" s="10">
        <f t="shared" si="15"/>
        <v>2.5</v>
      </c>
      <c r="F105" s="10">
        <f>(D105/$D$103)*100</f>
        <v>6.25</v>
      </c>
      <c r="G105" s="20"/>
      <c r="I105" s="63" t="s">
        <v>4</v>
      </c>
      <c r="J105" s="64">
        <v>58675.214285714283</v>
      </c>
      <c r="K105" s="65">
        <v>16459.014285714286</v>
      </c>
      <c r="L105" s="65"/>
      <c r="M105" s="66"/>
      <c r="N105" s="39"/>
      <c r="O105" s="39"/>
      <c r="P105" s="39"/>
      <c r="Q105" s="61" t="s">
        <v>38</v>
      </c>
      <c r="R105">
        <v>152905</v>
      </c>
      <c r="S105">
        <v>47279</v>
      </c>
      <c r="T105" s="39">
        <f>R105/$R$106</f>
        <v>2.200225773207368</v>
      </c>
      <c r="U105" s="62">
        <f>S105/$S$106</f>
        <v>2.339600035963727</v>
      </c>
      <c r="V105" s="39"/>
    </row>
    <row r="106" spans="1:35" x14ac:dyDescent="0.25">
      <c r="C106" s="9" t="s">
        <v>23</v>
      </c>
      <c r="D106" s="9">
        <f>COUNT(F76,F41:F43,F37:F38)</f>
        <v>6</v>
      </c>
      <c r="E106" s="8">
        <f t="shared" si="15"/>
        <v>7.5</v>
      </c>
      <c r="F106" s="8"/>
      <c r="G106" s="9">
        <f>(D106/$D$104)*100</f>
        <v>16.666666666666664</v>
      </c>
      <c r="P106" s="39"/>
      <c r="Q106" s="63" t="s">
        <v>4</v>
      </c>
      <c r="R106" s="64">
        <v>69495.140845070418</v>
      </c>
      <c r="S106" s="65">
        <v>20208.154929577464</v>
      </c>
      <c r="T106" s="65"/>
      <c r="U106" s="66"/>
      <c r="V106" s="39"/>
      <c r="W106" s="39"/>
    </row>
    <row r="107" spans="1:35" x14ac:dyDescent="0.25">
      <c r="C107" s="7" t="s">
        <v>24</v>
      </c>
      <c r="D107" s="38">
        <f>C82-D102</f>
        <v>80</v>
      </c>
      <c r="E107" s="6">
        <f t="shared" si="15"/>
        <v>100</v>
      </c>
      <c r="F107" s="38"/>
      <c r="G107" s="39"/>
      <c r="P107" s="39"/>
    </row>
    <row r="108" spans="1:35" x14ac:dyDescent="0.25">
      <c r="C108" s="7" t="s">
        <v>25</v>
      </c>
      <c r="D108" s="39">
        <f>C82-D104</f>
        <v>44</v>
      </c>
      <c r="E108" s="6">
        <f t="shared" si="15"/>
        <v>55.000000000000007</v>
      </c>
      <c r="F108" s="38"/>
      <c r="G108" s="39"/>
    </row>
    <row r="109" spans="1:35" x14ac:dyDescent="0.25">
      <c r="C109" s="99" t="s">
        <v>26</v>
      </c>
      <c r="D109" s="111">
        <f>D104-D106</f>
        <v>30</v>
      </c>
      <c r="E109" s="111">
        <f t="shared" si="15"/>
        <v>37.5</v>
      </c>
      <c r="F109" s="111">
        <f>(D109/$D$103)*100</f>
        <v>93.75</v>
      </c>
      <c r="G109" s="101">
        <f>(D109/$D$104)*100</f>
        <v>83.333333333333343</v>
      </c>
      <c r="I109" s="7"/>
    </row>
    <row r="110" spans="1:35" x14ac:dyDescent="0.25">
      <c r="I110" s="7"/>
    </row>
    <row r="111" spans="1:35" x14ac:dyDescent="0.25">
      <c r="A111" s="39"/>
      <c r="B111" s="39"/>
      <c r="C111" s="58"/>
      <c r="D111" s="59" t="s">
        <v>1</v>
      </c>
      <c r="E111" s="59" t="s">
        <v>2</v>
      </c>
      <c r="F111" s="59" t="s">
        <v>39</v>
      </c>
      <c r="G111" s="60" t="s">
        <v>40</v>
      </c>
      <c r="I111" s="39"/>
      <c r="J111" s="39"/>
      <c r="K111" s="39"/>
      <c r="L111" s="39"/>
      <c r="M111" s="39"/>
      <c r="N111" s="39"/>
      <c r="O111" s="39"/>
      <c r="P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</row>
    <row r="112" spans="1:35" x14ac:dyDescent="0.25">
      <c r="A112" s="39"/>
      <c r="B112" s="39"/>
      <c r="C112" s="61" t="s">
        <v>37</v>
      </c>
      <c r="D112" s="38">
        <v>21523</v>
      </c>
      <c r="E112" s="38">
        <v>6517</v>
      </c>
      <c r="F112" s="39">
        <f>D112/$D$114</f>
        <v>0.34682148454597511</v>
      </c>
      <c r="G112" s="62">
        <f>E112/$E$114</f>
        <v>0.42037906361321514</v>
      </c>
      <c r="I112" s="39"/>
      <c r="J112" s="39"/>
      <c r="K112" s="39"/>
      <c r="L112" s="39"/>
      <c r="M112" s="39"/>
      <c r="N112" s="39"/>
      <c r="O112" s="39"/>
      <c r="P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</row>
    <row r="113" spans="1:80" x14ac:dyDescent="0.25">
      <c r="A113" s="39"/>
      <c r="B113" s="39"/>
      <c r="C113" s="61" t="s">
        <v>38</v>
      </c>
      <c r="D113" s="38">
        <v>130306</v>
      </c>
      <c r="E113" s="38">
        <v>31235</v>
      </c>
      <c r="F113" s="39">
        <f>D113/$D$114</f>
        <v>2.0997500518165606</v>
      </c>
      <c r="G113" s="62">
        <f>E113/$E$114</f>
        <v>2.0148135724963594</v>
      </c>
      <c r="I113" s="39"/>
      <c r="J113" s="39"/>
      <c r="K113" s="39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</row>
    <row r="114" spans="1:80" x14ac:dyDescent="0.25">
      <c r="A114" s="39"/>
      <c r="B114" s="39"/>
      <c r="C114" s="63" t="s">
        <v>4</v>
      </c>
      <c r="D114" s="64">
        <v>62057.862500000003</v>
      </c>
      <c r="E114" s="65">
        <v>15502.674999999999</v>
      </c>
      <c r="F114" s="65"/>
      <c r="G114" s="66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</row>
    <row r="115" spans="1:80" x14ac:dyDescent="0.25">
      <c r="A115" s="39"/>
      <c r="B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</row>
    <row r="116" spans="1:80" x14ac:dyDescent="0.25">
      <c r="A116" s="39"/>
      <c r="B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</row>
    <row r="122" spans="1:80" x14ac:dyDescent="0.25"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 spans="1:80" x14ac:dyDescent="0.25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</row>
    <row r="128" spans="1:80" x14ac:dyDescent="0.25"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37" spans="3:7" x14ac:dyDescent="0.25">
      <c r="C137" s="39"/>
      <c r="D137" s="39"/>
      <c r="E137" s="39"/>
      <c r="F137" s="39"/>
      <c r="G137" s="39"/>
    </row>
    <row r="138" spans="3:7" x14ac:dyDescent="0.25">
      <c r="C138" s="39"/>
      <c r="D138" s="39"/>
      <c r="E138" s="39"/>
      <c r="F138" s="39"/>
      <c r="G138" s="39"/>
    </row>
  </sheetData>
  <mergeCells count="6">
    <mergeCell ref="AK7:AP7"/>
    <mergeCell ref="I1:N1"/>
    <mergeCell ref="C1:F1"/>
    <mergeCell ref="Q1:T1"/>
    <mergeCell ref="X1:AA1"/>
    <mergeCell ref="AD1:AG1"/>
  </mergeCells>
  <conditionalFormatting sqref="E3:E82">
    <cfRule type="top10" dxfId="29" priority="28" bottom="1" rank="1"/>
    <cfRule type="top10" dxfId="28" priority="29" rank="1"/>
    <cfRule type="cellIs" dxfId="27" priority="30" operator="greaterThan">
      <formula>$E$83</formula>
    </cfRule>
  </conditionalFormatting>
  <conditionalFormatting sqref="F3:F82">
    <cfRule type="top10" dxfId="26" priority="25" bottom="1" rank="1"/>
    <cfRule type="top10" dxfId="25" priority="26" rank="1"/>
    <cfRule type="cellIs" dxfId="24" priority="27" operator="greaterThan">
      <formula>$F$83</formula>
    </cfRule>
  </conditionalFormatting>
  <conditionalFormatting sqref="K3:K72">
    <cfRule type="top10" dxfId="23" priority="22" bottom="1" rank="1"/>
    <cfRule type="top10" dxfId="22" priority="23" rank="1"/>
    <cfRule type="cellIs" dxfId="21" priority="24" operator="greaterThan">
      <formula>$K$73</formula>
    </cfRule>
  </conditionalFormatting>
  <conditionalFormatting sqref="L3:L72">
    <cfRule type="cellIs" dxfId="20" priority="19" operator="greaterThan">
      <formula>$L$73</formula>
    </cfRule>
    <cfRule type="top10" dxfId="19" priority="20" bottom="1" rank="1"/>
    <cfRule type="top10" dxfId="18" priority="21" rank="1"/>
  </conditionalFormatting>
  <conditionalFormatting sqref="S3:S73">
    <cfRule type="top10" dxfId="17" priority="16" bottom="1" rank="1"/>
    <cfRule type="top10" dxfId="16" priority="17" rank="1"/>
    <cfRule type="cellIs" dxfId="15" priority="18" operator="greaterThan">
      <formula>$S$74</formula>
    </cfRule>
  </conditionalFormatting>
  <conditionalFormatting sqref="T3:T73">
    <cfRule type="cellIs" dxfId="14" priority="13" operator="greaterThan">
      <formula>$T$74</formula>
    </cfRule>
    <cfRule type="top10" dxfId="13" priority="14" bottom="1" rank="1"/>
    <cfRule type="top10" dxfId="12" priority="15" rank="1"/>
  </conditionalFormatting>
  <conditionalFormatting sqref="Z3:Z62">
    <cfRule type="top10" dxfId="11" priority="10" bottom="1" rank="1"/>
    <cfRule type="top10" dxfId="10" priority="11" rank="1"/>
    <cfRule type="cellIs" dxfId="9" priority="12" operator="greaterThan">
      <formula>$Z$63</formula>
    </cfRule>
  </conditionalFormatting>
  <conditionalFormatting sqref="AA3:AA62">
    <cfRule type="cellIs" dxfId="8" priority="7" operator="greaterThan">
      <formula>$AA$63</formula>
    </cfRule>
    <cfRule type="top10" dxfId="7" priority="8" bottom="1" rank="1"/>
    <cfRule type="top10" dxfId="6" priority="9" rank="1"/>
  </conditionalFormatting>
  <conditionalFormatting sqref="AF3:AF70">
    <cfRule type="top10" dxfId="5" priority="4" bottom="1" rank="1"/>
    <cfRule type="top10" dxfId="4" priority="5" rank="1"/>
    <cfRule type="cellIs" dxfId="3" priority="6" operator="greaterThan">
      <formula>$AF$71</formula>
    </cfRule>
  </conditionalFormatting>
  <conditionalFormatting sqref="AG3:AG70">
    <cfRule type="cellIs" dxfId="2" priority="1" operator="greaterThan">
      <formula>$AG$71</formula>
    </cfRule>
    <cfRule type="top10" dxfId="1" priority="2" bottom="1" rank="1"/>
    <cfRule type="top10" dxfId="0" priority="3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46"/>
  <sheetViews>
    <sheetView topLeftCell="A9" zoomScale="85" zoomScaleNormal="85" workbookViewId="0">
      <selection activeCell="R44" sqref="R44:S46"/>
    </sheetView>
  </sheetViews>
  <sheetFormatPr defaultColWidth="8.85546875" defaultRowHeight="15" x14ac:dyDescent="0.25"/>
  <cols>
    <col min="2" max="2" width="20.28515625" bestFit="1" customWidth="1"/>
    <col min="4" max="6" width="12" bestFit="1" customWidth="1"/>
    <col min="7" max="7" width="12" customWidth="1"/>
    <col min="10" max="10" width="20.28515625" bestFit="1" customWidth="1"/>
    <col min="12" max="14" width="12" bestFit="1" customWidth="1"/>
    <col min="15" max="15" width="12" customWidth="1"/>
    <col min="18" max="18" width="20.28515625" bestFit="1" customWidth="1"/>
    <col min="25" max="25" width="23" bestFit="1" customWidth="1"/>
  </cols>
  <sheetData>
    <row r="4" spans="2:30" x14ac:dyDescent="0.25">
      <c r="B4" s="123" t="s">
        <v>35</v>
      </c>
      <c r="C4" s="123"/>
      <c r="D4" s="123"/>
      <c r="E4" s="123"/>
      <c r="F4" s="123"/>
      <c r="G4" s="123"/>
      <c r="J4" s="123" t="s">
        <v>34</v>
      </c>
      <c r="K4" s="123"/>
      <c r="L4" s="123"/>
      <c r="M4" s="123"/>
      <c r="N4" s="123"/>
      <c r="O4" s="54"/>
      <c r="R4" s="123" t="s">
        <v>45</v>
      </c>
      <c r="S4" s="123"/>
      <c r="T4" s="123"/>
      <c r="U4" s="123"/>
      <c r="V4" s="123"/>
      <c r="W4" s="123"/>
      <c r="Y4" s="123" t="s">
        <v>11</v>
      </c>
      <c r="Z4" s="123"/>
      <c r="AA4" s="123"/>
      <c r="AB4" s="123"/>
      <c r="AC4" s="123"/>
      <c r="AD4" s="123"/>
    </row>
    <row r="5" spans="2:30" x14ac:dyDescent="0.25">
      <c r="D5" t="s">
        <v>43</v>
      </c>
      <c r="E5" t="s">
        <v>44</v>
      </c>
      <c r="F5" t="s">
        <v>39</v>
      </c>
      <c r="G5" t="s">
        <v>40</v>
      </c>
      <c r="K5" t="s">
        <v>43</v>
      </c>
      <c r="L5" t="s">
        <v>44</v>
      </c>
      <c r="M5" t="s">
        <v>39</v>
      </c>
      <c r="N5" t="s">
        <v>40</v>
      </c>
      <c r="T5" t="s">
        <v>43</v>
      </c>
      <c r="U5" t="s">
        <v>44</v>
      </c>
      <c r="V5" t="s">
        <v>39</v>
      </c>
      <c r="W5" t="s">
        <v>40</v>
      </c>
      <c r="Z5" t="s">
        <v>43</v>
      </c>
      <c r="AA5" t="s">
        <v>44</v>
      </c>
      <c r="AB5" t="s">
        <v>39</v>
      </c>
      <c r="AC5" t="s">
        <v>40</v>
      </c>
    </row>
    <row r="6" spans="2:30" x14ac:dyDescent="0.25">
      <c r="B6" t="s">
        <v>5</v>
      </c>
      <c r="D6">
        <v>37880.88199349105</v>
      </c>
      <c r="E6">
        <v>14061.230718778268</v>
      </c>
      <c r="F6">
        <f>D6/$D$6</f>
        <v>1</v>
      </c>
      <c r="G6">
        <f>E6/$E$6</f>
        <v>1</v>
      </c>
      <c r="J6" t="s">
        <v>5</v>
      </c>
      <c r="K6">
        <v>80323.071888764593</v>
      </c>
      <c r="L6">
        <v>24829.511060568617</v>
      </c>
      <c r="M6">
        <f>K6/$K$6</f>
        <v>1</v>
      </c>
      <c r="N6">
        <f>L6/$L$6</f>
        <v>1</v>
      </c>
      <c r="R6" t="s">
        <v>5</v>
      </c>
      <c r="T6">
        <v>57213.344688858349</v>
      </c>
      <c r="U6">
        <v>12747.019982724198</v>
      </c>
      <c r="V6">
        <v>1</v>
      </c>
      <c r="W6">
        <v>1</v>
      </c>
      <c r="Y6" t="s">
        <v>5</v>
      </c>
      <c r="Z6">
        <f>AVERAGE(T6,K6,D6)</f>
        <v>58472.432857037995</v>
      </c>
      <c r="AA6">
        <f t="shared" ref="AA6:AC8" si="0">AVERAGE(U6,L6,E6)</f>
        <v>17212.587254023692</v>
      </c>
      <c r="AB6">
        <f t="shared" si="0"/>
        <v>1</v>
      </c>
      <c r="AC6">
        <f t="shared" si="0"/>
        <v>1</v>
      </c>
    </row>
    <row r="7" spans="2:30" x14ac:dyDescent="0.25">
      <c r="B7" t="s">
        <v>8</v>
      </c>
      <c r="D7">
        <v>47049.866791756205</v>
      </c>
      <c r="E7">
        <v>16952.255586983236</v>
      </c>
      <c r="F7">
        <f t="shared" ref="F7:F8" si="1">D7/$D$6</f>
        <v>1.2420478171506311</v>
      </c>
      <c r="G7">
        <f t="shared" ref="G7:G8" si="2">E7/$E$6</f>
        <v>1.2056025483135062</v>
      </c>
      <c r="J7" t="s">
        <v>8</v>
      </c>
      <c r="K7">
        <v>94842.802389788587</v>
      </c>
      <c r="L7">
        <v>30505.451941820364</v>
      </c>
      <c r="M7">
        <f t="shared" ref="M7:M8" si="3">K7/$K$6</f>
        <v>1.1807666235814742</v>
      </c>
      <c r="N7">
        <f t="shared" ref="N7:N8" si="4">L7/$L$6</f>
        <v>1.2285965626711686</v>
      </c>
      <c r="R7" t="s">
        <v>8</v>
      </c>
      <c r="T7">
        <v>72224.919190924018</v>
      </c>
      <c r="U7">
        <v>14772.856232522265</v>
      </c>
      <c r="V7">
        <v>1.262378901001203</v>
      </c>
      <c r="W7">
        <v>1.158926262965277</v>
      </c>
      <c r="Y7" t="s">
        <v>8</v>
      </c>
      <c r="Z7">
        <f t="shared" ref="Z7:Z10" si="5">AVERAGE(T7,K7,D7)</f>
        <v>71372.529457489596</v>
      </c>
      <c r="AA7">
        <f t="shared" si="0"/>
        <v>20743.521253775289</v>
      </c>
      <c r="AB7">
        <f t="shared" si="0"/>
        <v>1.2283977805777695</v>
      </c>
      <c r="AC7">
        <f t="shared" si="0"/>
        <v>1.1977084579833173</v>
      </c>
    </row>
    <row r="8" spans="2:30" x14ac:dyDescent="0.25">
      <c r="B8" t="s">
        <v>30</v>
      </c>
      <c r="D8">
        <v>29183.382863232247</v>
      </c>
      <c r="E8">
        <v>11157.93063167296</v>
      </c>
      <c r="F8">
        <f t="shared" si="1"/>
        <v>0.77039871638275836</v>
      </c>
      <c r="G8">
        <f t="shared" si="2"/>
        <v>0.79352446843589197</v>
      </c>
      <c r="J8" t="s">
        <v>30</v>
      </c>
      <c r="K8">
        <v>64196.730583214798</v>
      </c>
      <c r="L8">
        <v>18351.296029262347</v>
      </c>
      <c r="M8">
        <f t="shared" si="3"/>
        <v>0.7992315168438483</v>
      </c>
      <c r="N8">
        <f t="shared" si="4"/>
        <v>0.73909212245446798</v>
      </c>
      <c r="R8" t="s">
        <v>30</v>
      </c>
      <c r="T8">
        <v>42185.908684493515</v>
      </c>
      <c r="U8">
        <v>10702.142386840282</v>
      </c>
      <c r="V8">
        <v>0.73734386468597324</v>
      </c>
      <c r="W8">
        <v>0.83957994898766131</v>
      </c>
      <c r="Y8" t="s">
        <v>7</v>
      </c>
      <c r="Z8">
        <f t="shared" si="5"/>
        <v>45188.674043646861</v>
      </c>
      <c r="AA8">
        <f t="shared" si="0"/>
        <v>13403.789682591863</v>
      </c>
      <c r="AB8">
        <f t="shared" si="0"/>
        <v>0.76899136597085993</v>
      </c>
      <c r="AC8">
        <f t="shared" si="0"/>
        <v>0.79073217995934042</v>
      </c>
    </row>
    <row r="9" spans="2:30" x14ac:dyDescent="0.25">
      <c r="B9" t="s">
        <v>31</v>
      </c>
      <c r="C9">
        <v>37.200000000000003</v>
      </c>
      <c r="J9" t="s">
        <v>31</v>
      </c>
      <c r="K9">
        <v>37</v>
      </c>
      <c r="R9" t="s">
        <v>31</v>
      </c>
      <c r="S9">
        <v>34.6</v>
      </c>
      <c r="Y9" t="s">
        <v>31</v>
      </c>
      <c r="Z9">
        <f t="shared" si="5"/>
        <v>37</v>
      </c>
    </row>
    <row r="10" spans="2:30" x14ac:dyDescent="0.25">
      <c r="B10" t="s">
        <v>32</v>
      </c>
      <c r="C10">
        <v>51.799212582110599</v>
      </c>
      <c r="J10" t="s">
        <v>32</v>
      </c>
      <c r="K10">
        <v>52.013847928537643</v>
      </c>
      <c r="R10" t="s">
        <v>32</v>
      </c>
      <c r="S10">
        <v>50.754048650184401</v>
      </c>
      <c r="Y10" t="s">
        <v>32</v>
      </c>
      <c r="Z10">
        <f t="shared" si="5"/>
        <v>52.013847928537643</v>
      </c>
    </row>
    <row r="11" spans="2:30" x14ac:dyDescent="0.25">
      <c r="C11" t="s">
        <v>11</v>
      </c>
      <c r="D11" t="s">
        <v>0</v>
      </c>
      <c r="K11" t="s">
        <v>11</v>
      </c>
      <c r="L11" t="s">
        <v>0</v>
      </c>
      <c r="S11" t="s">
        <v>11</v>
      </c>
      <c r="T11" t="s">
        <v>0</v>
      </c>
      <c r="Z11" t="s">
        <v>11</v>
      </c>
      <c r="AA11" t="s">
        <v>0</v>
      </c>
    </row>
    <row r="12" spans="2:30" x14ac:dyDescent="0.25">
      <c r="B12" s="29" t="s">
        <v>10</v>
      </c>
      <c r="C12">
        <v>36.682140665445992</v>
      </c>
      <c r="D12">
        <v>10.594690049933016</v>
      </c>
      <c r="J12" s="31" t="s">
        <v>10</v>
      </c>
      <c r="K12" s="49">
        <v>30.564917397910328</v>
      </c>
      <c r="L12" s="34">
        <v>3.8171103434261324</v>
      </c>
      <c r="R12" s="91" t="s">
        <v>10</v>
      </c>
      <c r="S12" s="92">
        <v>33.064919387545743</v>
      </c>
      <c r="T12" s="93">
        <v>4.5244392794302044</v>
      </c>
      <c r="Y12" s="99" t="s">
        <v>10</v>
      </c>
      <c r="Z12" s="100">
        <f>AVERAGE(S12,K12,C12)</f>
        <v>33.437325816967352</v>
      </c>
      <c r="AA12" s="100">
        <f>AVERAGE(T12,L12,D12)</f>
        <v>6.3120798909297848</v>
      </c>
    </row>
    <row r="13" spans="2:30" x14ac:dyDescent="0.25">
      <c r="B13" s="20" t="s">
        <v>12</v>
      </c>
      <c r="C13">
        <v>8.2195071192610847</v>
      </c>
      <c r="D13">
        <v>6.4490723825762188</v>
      </c>
      <c r="J13" s="20" t="s">
        <v>12</v>
      </c>
      <c r="K13" s="20">
        <v>9.4145637933540538</v>
      </c>
      <c r="L13" s="20">
        <v>9.1822800243852871</v>
      </c>
      <c r="R13" s="20" t="s">
        <v>12</v>
      </c>
      <c r="S13" s="20">
        <v>6.4451741246734162</v>
      </c>
      <c r="T13" s="20">
        <v>2.9582577132486385</v>
      </c>
      <c r="Y13" s="102" t="s">
        <v>12</v>
      </c>
      <c r="Z13" s="119">
        <f t="shared" ref="Z13:Z16" si="6">AVERAGE(S13,K13,C13)</f>
        <v>8.0264150124295188</v>
      </c>
      <c r="AA13" s="119">
        <f t="shared" ref="AA13:AA16" si="7">AVERAGE(T13,L13,D13)</f>
        <v>6.1965367067367154</v>
      </c>
    </row>
    <row r="14" spans="2:30" x14ac:dyDescent="0.25">
      <c r="B14" s="9" t="s">
        <v>13</v>
      </c>
      <c r="C14">
        <v>6.4345774583344832</v>
      </c>
      <c r="D14">
        <v>7.6591564161896644</v>
      </c>
      <c r="J14" s="9" t="s">
        <v>13</v>
      </c>
      <c r="K14" s="9">
        <v>6.82017573800763</v>
      </c>
      <c r="L14" s="9">
        <v>3.7411095305832149</v>
      </c>
      <c r="R14" s="9" t="s">
        <v>13</v>
      </c>
      <c r="S14" s="9">
        <v>8.1937159570603129</v>
      </c>
      <c r="T14" s="9">
        <v>9.4429406371330149</v>
      </c>
      <c r="Y14" s="47" t="s">
        <v>13</v>
      </c>
      <c r="Z14" s="47">
        <f t="shared" si="6"/>
        <v>7.149489717800809</v>
      </c>
      <c r="AA14" s="47">
        <f>AVERAGE(T14,L14,D14)</f>
        <v>6.9477355279686313</v>
      </c>
    </row>
    <row r="15" spans="2:30" x14ac:dyDescent="0.25">
      <c r="B15" t="s">
        <v>15</v>
      </c>
      <c r="C15">
        <v>48.663774756958439</v>
      </c>
      <c r="D15">
        <v>75.2970811513011</v>
      </c>
      <c r="J15" t="s">
        <v>15</v>
      </c>
      <c r="K15">
        <v>53.200343070727989</v>
      </c>
      <c r="L15">
        <v>83.259500101605369</v>
      </c>
      <c r="R15" t="s">
        <v>15</v>
      </c>
      <c r="S15">
        <v>52.296190530720523</v>
      </c>
      <c r="T15">
        <v>83.07436237018814</v>
      </c>
      <c r="Y15" s="50" t="s">
        <v>15</v>
      </c>
      <c r="Z15" s="39">
        <f t="shared" si="6"/>
        <v>51.386769452802319</v>
      </c>
      <c r="AA15" s="39">
        <f>AVERAGE(T15,L15,D15)</f>
        <v>80.543647874364865</v>
      </c>
    </row>
    <row r="16" spans="2:30" x14ac:dyDescent="0.25">
      <c r="B16" t="s">
        <v>11</v>
      </c>
      <c r="C16">
        <v>100</v>
      </c>
      <c r="D16">
        <v>100</v>
      </c>
      <c r="J16" t="s">
        <v>11</v>
      </c>
      <c r="K16">
        <v>100</v>
      </c>
      <c r="L16">
        <v>100</v>
      </c>
      <c r="R16" t="s">
        <v>11</v>
      </c>
      <c r="S16">
        <v>100</v>
      </c>
      <c r="T16">
        <v>100</v>
      </c>
      <c r="Y16" s="50" t="s">
        <v>11</v>
      </c>
      <c r="Z16" s="39">
        <f t="shared" si="6"/>
        <v>100</v>
      </c>
      <c r="AA16" s="39">
        <f t="shared" si="7"/>
        <v>100</v>
      </c>
    </row>
    <row r="17" spans="2:30" x14ac:dyDescent="0.25">
      <c r="C17" t="s">
        <v>41</v>
      </c>
      <c r="D17" t="s">
        <v>42</v>
      </c>
      <c r="K17" t="s">
        <v>41</v>
      </c>
      <c r="L17" t="s">
        <v>42</v>
      </c>
      <c r="S17" t="s">
        <v>41</v>
      </c>
      <c r="T17" t="s">
        <v>42</v>
      </c>
      <c r="Z17" t="s">
        <v>41</v>
      </c>
      <c r="AA17" t="s">
        <v>42</v>
      </c>
    </row>
    <row r="18" spans="2:30" x14ac:dyDescent="0.25">
      <c r="B18" t="s">
        <v>16</v>
      </c>
      <c r="C18">
        <v>48935.30780215752</v>
      </c>
      <c r="D18">
        <f>C18/$D$6</f>
        <v>1.2918207081494544</v>
      </c>
      <c r="J18" t="s">
        <v>16</v>
      </c>
      <c r="K18">
        <v>100685.64499675666</v>
      </c>
      <c r="L18">
        <f>K18/$K$6</f>
        <v>1.2535083958964017</v>
      </c>
      <c r="R18" t="s">
        <v>16</v>
      </c>
      <c r="S18">
        <v>80653.737746706844</v>
      </c>
      <c r="T18">
        <v>1.4097014985808589</v>
      </c>
      <c r="Y18" t="s">
        <v>16</v>
      </c>
      <c r="Z18">
        <f>AVERAGE(C18,K18,S18)</f>
        <v>76758.230181873674</v>
      </c>
      <c r="AA18">
        <f>AVERAGE(D18,L18,T18)</f>
        <v>1.3183435342089049</v>
      </c>
    </row>
    <row r="19" spans="2:30" x14ac:dyDescent="0.25">
      <c r="B19" t="s">
        <v>19</v>
      </c>
      <c r="C19">
        <v>28873.698619449191</v>
      </c>
      <c r="D19">
        <f>C19/$D$6</f>
        <v>0.76222350431044517</v>
      </c>
      <c r="J19" t="s">
        <v>19</v>
      </c>
      <c r="K19">
        <v>65360.059628204632</v>
      </c>
      <c r="L19">
        <f>K19/$K$6</f>
        <v>0.81371464127664972</v>
      </c>
      <c r="R19" t="s">
        <v>19</v>
      </c>
      <c r="S19">
        <v>40095.618369453048</v>
      </c>
      <c r="T19">
        <v>0.70080885128292836</v>
      </c>
      <c r="Y19" t="s">
        <v>19</v>
      </c>
      <c r="Z19">
        <f>AVERAGE(C19,K19,S19)</f>
        <v>44776.458872368959</v>
      </c>
      <c r="AA19">
        <f>AVERAGE(D19,L19,T19)</f>
        <v>0.75891566562334101</v>
      </c>
    </row>
    <row r="20" spans="2:30" x14ac:dyDescent="0.25">
      <c r="D20" t="s">
        <v>41</v>
      </c>
      <c r="E20" t="s">
        <v>42</v>
      </c>
      <c r="L20" t="s">
        <v>41</v>
      </c>
      <c r="M20" t="s">
        <v>42</v>
      </c>
      <c r="T20" t="s">
        <v>41</v>
      </c>
      <c r="U20" t="s">
        <v>42</v>
      </c>
      <c r="AA20" t="s">
        <v>41</v>
      </c>
      <c r="AB20" t="s">
        <v>42</v>
      </c>
    </row>
    <row r="21" spans="2:30" x14ac:dyDescent="0.25">
      <c r="B21" t="s">
        <v>17</v>
      </c>
      <c r="D21">
        <v>17844.162442830158</v>
      </c>
      <c r="E21">
        <f>D21/$E$6</f>
        <v>1.2690327610512728</v>
      </c>
      <c r="J21" t="s">
        <v>17</v>
      </c>
      <c r="L21">
        <v>32274.668608977641</v>
      </c>
      <c r="M21">
        <f>L21/$L$6</f>
        <v>1.2998511541466706</v>
      </c>
      <c r="R21" t="s">
        <v>17</v>
      </c>
      <c r="T21">
        <v>16977.546252433349</v>
      </c>
      <c r="U21">
        <v>1.3318835520335504</v>
      </c>
      <c r="Y21" t="s">
        <v>17</v>
      </c>
      <c r="AA21">
        <f>AVERAGE(D21,L21,T21)</f>
        <v>22365.459101413715</v>
      </c>
      <c r="AB21">
        <f>AVERAGE(E21,M21,U21)</f>
        <v>1.3002558224104981</v>
      </c>
    </row>
    <row r="22" spans="2:30" x14ac:dyDescent="0.25">
      <c r="B22" t="s">
        <v>18</v>
      </c>
      <c r="D22">
        <v>10698.240154934832</v>
      </c>
      <c r="E22">
        <f>D22/$E$6</f>
        <v>0.76083241708335791</v>
      </c>
      <c r="J22" t="s">
        <v>18</v>
      </c>
      <c r="L22">
        <v>18490.332138398699</v>
      </c>
      <c r="M22">
        <f>L22/$L$6</f>
        <v>0.74469175382848862</v>
      </c>
      <c r="R22" t="s">
        <v>18</v>
      </c>
      <c r="T22">
        <v>9973.9946894409932</v>
      </c>
      <c r="U22">
        <v>0.78245697448961127</v>
      </c>
      <c r="Y22" t="s">
        <v>18</v>
      </c>
      <c r="AA22">
        <f>AVERAGE(D22,L22,T22)</f>
        <v>13054.188994258175</v>
      </c>
      <c r="AB22">
        <f>AVERAGE(E22,M22,U22)</f>
        <v>0.7626603818004859</v>
      </c>
    </row>
    <row r="25" spans="2:30" x14ac:dyDescent="0.25">
      <c r="D25" t="s">
        <v>27</v>
      </c>
      <c r="E25" t="s">
        <v>28</v>
      </c>
      <c r="F25" t="s">
        <v>29</v>
      </c>
      <c r="L25" t="s">
        <v>27</v>
      </c>
      <c r="M25" t="s">
        <v>28</v>
      </c>
      <c r="N25" t="s">
        <v>29</v>
      </c>
      <c r="T25" t="s">
        <v>27</v>
      </c>
      <c r="U25" t="s">
        <v>28</v>
      </c>
      <c r="V25" t="s">
        <v>29</v>
      </c>
      <c r="AA25" t="s">
        <v>27</v>
      </c>
      <c r="AB25" t="s">
        <v>28</v>
      </c>
      <c r="AC25" t="s">
        <v>29</v>
      </c>
    </row>
    <row r="26" spans="2:30" x14ac:dyDescent="0.25">
      <c r="B26" s="20" t="s">
        <v>20</v>
      </c>
      <c r="C26" s="20">
        <v>32.6</v>
      </c>
      <c r="D26" s="20">
        <v>45.520158202572851</v>
      </c>
      <c r="E26" s="20">
        <v>100</v>
      </c>
      <c r="F26" s="20"/>
      <c r="G26" s="7"/>
      <c r="J26" s="20" t="s">
        <v>20</v>
      </c>
      <c r="K26" s="20">
        <v>28.4</v>
      </c>
      <c r="L26" s="20">
        <v>39.979481191264384</v>
      </c>
      <c r="M26" s="20">
        <v>100</v>
      </c>
      <c r="N26" s="20"/>
      <c r="O26" s="7"/>
      <c r="R26" s="20" t="s">
        <v>20</v>
      </c>
      <c r="S26" s="20">
        <v>27.4</v>
      </c>
      <c r="T26" s="20">
        <v>39.510093512219157</v>
      </c>
      <c r="U26" s="20">
        <v>100</v>
      </c>
      <c r="V26" s="20"/>
      <c r="Y26" s="20" t="s">
        <v>20</v>
      </c>
      <c r="Z26" s="20">
        <f>AVERAGE(S26,K26,C26)</f>
        <v>29.466666666666669</v>
      </c>
      <c r="AA26" s="20">
        <f t="shared" ref="AA26:AB26" si="8">AVERAGE(T26,L26,D26)</f>
        <v>41.669910968685464</v>
      </c>
      <c r="AB26" s="20">
        <f t="shared" si="8"/>
        <v>100</v>
      </c>
      <c r="AC26" s="20"/>
    </row>
    <row r="27" spans="2:30" x14ac:dyDescent="0.25">
      <c r="B27" s="9" t="s">
        <v>21</v>
      </c>
      <c r="C27" s="9">
        <v>31.4</v>
      </c>
      <c r="D27" s="9">
        <v>44.133891232529052</v>
      </c>
      <c r="E27" s="9"/>
      <c r="F27" s="9">
        <v>100</v>
      </c>
      <c r="G27" s="7"/>
      <c r="J27" s="9" t="s">
        <v>21</v>
      </c>
      <c r="K27" s="9">
        <v>26.8</v>
      </c>
      <c r="L27" s="9">
        <v>37.385093135917955</v>
      </c>
      <c r="M27" s="9"/>
      <c r="N27" s="9">
        <v>100</v>
      </c>
      <c r="O27" s="7"/>
      <c r="R27" s="9" t="s">
        <v>21</v>
      </c>
      <c r="S27" s="9">
        <v>29.4</v>
      </c>
      <c r="T27" s="9">
        <v>42.354525755564957</v>
      </c>
      <c r="U27" s="9"/>
      <c r="V27" s="9">
        <v>100</v>
      </c>
      <c r="Y27" s="9" t="s">
        <v>21</v>
      </c>
      <c r="Z27" s="9">
        <f t="shared" ref="Z27:Z32" si="9">AVERAGE(S27,K27,C27)</f>
        <v>29.2</v>
      </c>
      <c r="AA27" s="9">
        <f t="shared" ref="AA27:AA32" si="10">AVERAGE(T27,L27,D27)</f>
        <v>41.291170041337317</v>
      </c>
      <c r="AB27" s="9"/>
      <c r="AC27" s="9">
        <f t="shared" ref="AC27:AC32" si="11">AVERAGE(V27,N27,F27)</f>
        <v>100</v>
      </c>
    </row>
    <row r="28" spans="2:30" x14ac:dyDescent="0.25">
      <c r="B28" s="20" t="s">
        <v>22</v>
      </c>
      <c r="C28" s="20">
        <v>6.2</v>
      </c>
      <c r="D28" s="20">
        <v>8.4828124413899353</v>
      </c>
      <c r="E28" s="20">
        <v>18.648189454223939</v>
      </c>
      <c r="F28" s="20"/>
      <c r="G28" s="7"/>
      <c r="J28" s="20" t="s">
        <v>22</v>
      </c>
      <c r="K28" s="20">
        <v>6.6</v>
      </c>
      <c r="L28" s="20">
        <v>9.4145637933540538</v>
      </c>
      <c r="M28" s="20">
        <v>23.11199863457928</v>
      </c>
      <c r="N28" s="20"/>
      <c r="O28" s="7"/>
      <c r="R28" s="20" t="s">
        <v>22</v>
      </c>
      <c r="S28" s="20">
        <v>4.4000000000000004</v>
      </c>
      <c r="T28" s="20">
        <v>6.4451741246734162</v>
      </c>
      <c r="U28" s="20">
        <v>16.363302169753783</v>
      </c>
      <c r="V28" s="20"/>
      <c r="Y28" s="20" t="s">
        <v>22</v>
      </c>
      <c r="Z28" s="20">
        <f t="shared" si="9"/>
        <v>5.7333333333333334</v>
      </c>
      <c r="AA28" s="20">
        <f t="shared" si="10"/>
        <v>8.1141834531391357</v>
      </c>
      <c r="AB28" s="20">
        <f t="shared" ref="AB28:AB32" si="12">AVERAGE(U28,M28,E28)</f>
        <v>19.374496752852334</v>
      </c>
      <c r="AC28" s="20"/>
    </row>
    <row r="29" spans="2:30" x14ac:dyDescent="0.25">
      <c r="B29" s="9" t="s">
        <v>23</v>
      </c>
      <c r="C29" s="9">
        <v>5</v>
      </c>
      <c r="D29" s="9">
        <v>7.0965454713461398</v>
      </c>
      <c r="E29" s="9"/>
      <c r="F29" s="9">
        <v>15.785714285714283</v>
      </c>
      <c r="G29" s="7"/>
      <c r="J29" s="9" t="s">
        <v>23</v>
      </c>
      <c r="K29" s="9">
        <v>5</v>
      </c>
      <c r="L29" s="9">
        <v>6.82017573800763</v>
      </c>
      <c r="M29" s="9"/>
      <c r="N29" s="9">
        <v>17.988360617670963</v>
      </c>
      <c r="O29" s="7"/>
      <c r="R29" s="9" t="s">
        <v>23</v>
      </c>
      <c r="S29" s="9">
        <v>5.6</v>
      </c>
      <c r="T29" s="9">
        <v>8.1937159570603129</v>
      </c>
      <c r="U29" s="9"/>
      <c r="V29" s="9">
        <v>19.354596691553212</v>
      </c>
      <c r="Y29" s="9" t="s">
        <v>23</v>
      </c>
      <c r="Z29" s="9">
        <f t="shared" si="9"/>
        <v>5.2</v>
      </c>
      <c r="AA29" s="9">
        <f t="shared" si="10"/>
        <v>7.3701457221380275</v>
      </c>
      <c r="AB29" s="9"/>
      <c r="AC29" s="9">
        <f t="shared" si="11"/>
        <v>17.709557198312819</v>
      </c>
    </row>
    <row r="30" spans="2:30" x14ac:dyDescent="0.25">
      <c r="B30" t="s">
        <v>24</v>
      </c>
      <c r="C30">
        <v>39.200000000000003</v>
      </c>
      <c r="D30">
        <v>54.717937035522382</v>
      </c>
      <c r="G30" s="7"/>
      <c r="J30" t="s">
        <v>24</v>
      </c>
      <c r="K30">
        <v>43</v>
      </c>
      <c r="L30">
        <v>60.020518808735616</v>
      </c>
      <c r="O30" s="7"/>
      <c r="R30" t="s">
        <v>24</v>
      </c>
      <c r="S30">
        <v>46.2</v>
      </c>
      <c r="T30">
        <v>68.076113384332572</v>
      </c>
      <c r="Y30" s="7" t="s">
        <v>24</v>
      </c>
      <c r="Z30" s="7">
        <f t="shared" si="9"/>
        <v>42.800000000000004</v>
      </c>
      <c r="AA30" s="7">
        <f t="shared" si="10"/>
        <v>60.938189742863528</v>
      </c>
      <c r="AB30" s="7"/>
      <c r="AC30" s="7"/>
      <c r="AD30" s="7"/>
    </row>
    <row r="31" spans="2:30" x14ac:dyDescent="0.25">
      <c r="B31" t="s">
        <v>25</v>
      </c>
      <c r="C31">
        <v>40.4</v>
      </c>
      <c r="D31">
        <v>56.104204005566181</v>
      </c>
      <c r="J31" t="s">
        <v>25</v>
      </c>
      <c r="K31">
        <v>44.6</v>
      </c>
      <c r="L31">
        <v>62.614906864082045</v>
      </c>
      <c r="R31" t="s">
        <v>25</v>
      </c>
      <c r="S31">
        <v>39.799999999999997</v>
      </c>
      <c r="T31">
        <v>57.645474244435036</v>
      </c>
      <c r="Y31" s="7" t="s">
        <v>25</v>
      </c>
      <c r="Z31" s="7">
        <f t="shared" si="9"/>
        <v>41.6</v>
      </c>
      <c r="AA31" s="7">
        <f t="shared" si="10"/>
        <v>58.788195038027759</v>
      </c>
      <c r="AB31" s="7"/>
      <c r="AC31" s="7"/>
      <c r="AD31" s="7"/>
    </row>
    <row r="32" spans="2:30" x14ac:dyDescent="0.25">
      <c r="B32" s="31" t="s">
        <v>26</v>
      </c>
      <c r="C32" s="49">
        <v>26.4</v>
      </c>
      <c r="D32" s="49">
        <v>37.03734576118292</v>
      </c>
      <c r="E32" s="49">
        <v>81.351810545776061</v>
      </c>
      <c r="F32" s="34">
        <v>84.214285714285708</v>
      </c>
      <c r="G32" s="50"/>
      <c r="J32" s="31" t="s">
        <v>26</v>
      </c>
      <c r="K32" s="49">
        <v>21.8</v>
      </c>
      <c r="L32" s="49">
        <v>30.564917397910328</v>
      </c>
      <c r="M32" s="49">
        <v>76.88800136542072</v>
      </c>
      <c r="N32" s="34">
        <v>82.011639382329037</v>
      </c>
      <c r="O32" s="50"/>
      <c r="R32" s="91" t="s">
        <v>26</v>
      </c>
      <c r="S32" s="92">
        <v>23</v>
      </c>
      <c r="T32" s="92">
        <v>33.064919387545743</v>
      </c>
      <c r="U32" s="94">
        <v>83.63669783024622</v>
      </c>
      <c r="V32" s="94">
        <v>78.221160884204366</v>
      </c>
      <c r="Y32" s="99" t="s">
        <v>26</v>
      </c>
      <c r="Z32" s="100">
        <f t="shared" si="9"/>
        <v>23.733333333333331</v>
      </c>
      <c r="AA32" s="100">
        <f t="shared" si="10"/>
        <v>33.55572751554633</v>
      </c>
      <c r="AB32" s="100">
        <f t="shared" si="12"/>
        <v>80.625503247147662</v>
      </c>
      <c r="AC32" s="101">
        <f t="shared" si="11"/>
        <v>81.482361993606375</v>
      </c>
    </row>
    <row r="34" spans="2:29" x14ac:dyDescent="0.25">
      <c r="R34" s="96" t="s">
        <v>46</v>
      </c>
      <c r="S34" s="84" t="s">
        <v>1</v>
      </c>
      <c r="T34" s="84" t="s">
        <v>2</v>
      </c>
      <c r="U34" s="84" t="s">
        <v>39</v>
      </c>
      <c r="V34" s="85" t="s">
        <v>40</v>
      </c>
      <c r="Y34" s="83" t="s">
        <v>46</v>
      </c>
      <c r="Z34" s="84" t="s">
        <v>1</v>
      </c>
      <c r="AA34" s="84" t="s">
        <v>2</v>
      </c>
      <c r="AB34" s="84" t="s">
        <v>39</v>
      </c>
      <c r="AC34" s="85" t="s">
        <v>40</v>
      </c>
    </row>
    <row r="35" spans="2:29" x14ac:dyDescent="0.25">
      <c r="R35" s="86" t="s">
        <v>37</v>
      </c>
      <c r="S35" s="50">
        <v>18508</v>
      </c>
      <c r="T35" s="50">
        <v>5445.6</v>
      </c>
      <c r="U35" s="50">
        <v>0.32625070149699431</v>
      </c>
      <c r="V35" s="87">
        <v>0.42739781934207127</v>
      </c>
      <c r="Y35" s="86" t="s">
        <v>37</v>
      </c>
      <c r="Z35" s="50">
        <f>AVERAGE(C37,K37,S35)</f>
        <v>21922.866666666669</v>
      </c>
      <c r="AA35" s="50">
        <f t="shared" ref="AA35:AC35" si="13">AVERAGE(D37,L37,T35)</f>
        <v>6841.1333333333341</v>
      </c>
      <c r="AB35" s="50">
        <f t="shared" si="13"/>
        <v>0.36857816236986213</v>
      </c>
      <c r="AC35" s="50">
        <f t="shared" si="13"/>
        <v>0.39821361796666882</v>
      </c>
    </row>
    <row r="36" spans="2:29" x14ac:dyDescent="0.25">
      <c r="B36" s="96" t="s">
        <v>46</v>
      </c>
      <c r="C36" s="84" t="s">
        <v>1</v>
      </c>
      <c r="D36" s="84" t="s">
        <v>2</v>
      </c>
      <c r="E36" s="84" t="s">
        <v>39</v>
      </c>
      <c r="F36" s="85" t="s">
        <v>40</v>
      </c>
      <c r="J36" s="83" t="s">
        <v>46</v>
      </c>
      <c r="K36" s="84" t="s">
        <v>1</v>
      </c>
      <c r="L36" s="84" t="s">
        <v>2</v>
      </c>
      <c r="M36" s="84" t="s">
        <v>39</v>
      </c>
      <c r="N36" s="85" t="s">
        <v>40</v>
      </c>
      <c r="R36" s="86" t="s">
        <v>38</v>
      </c>
      <c r="S36" s="50">
        <v>129431.8</v>
      </c>
      <c r="T36" s="50">
        <v>29404.400000000001</v>
      </c>
      <c r="U36" s="50">
        <v>2.3815626696719354</v>
      </c>
      <c r="V36" s="87">
        <v>2.2967845760656891</v>
      </c>
      <c r="Y36" s="86" t="s">
        <v>38</v>
      </c>
      <c r="Z36" s="50">
        <f t="shared" ref="Z36:Z37" si="14">AVERAGE(C38,K38,S36)</f>
        <v>114451.13333333332</v>
      </c>
      <c r="AA36" s="50">
        <f t="shared" ref="AA36:AA37" si="15">AVERAGE(D38,L38,T36)</f>
        <v>36337.533333333333</v>
      </c>
      <c r="AB36" s="50">
        <f t="shared" ref="AB36:AC36" si="16">AVERAGE(E38,M38,U36)</f>
        <v>2.013119652639066</v>
      </c>
      <c r="AC36" s="50">
        <f t="shared" si="16"/>
        <v>2.1326888252893066</v>
      </c>
    </row>
    <row r="37" spans="2:29" x14ac:dyDescent="0.25">
      <c r="B37" s="86" t="s">
        <v>37</v>
      </c>
      <c r="C37" s="50">
        <v>13539</v>
      </c>
      <c r="D37" s="50">
        <v>5233.8</v>
      </c>
      <c r="E37" s="50">
        <v>0.3582186484005373</v>
      </c>
      <c r="F37" s="87">
        <v>0.37477700895171628</v>
      </c>
      <c r="J37" s="86" t="s">
        <v>37</v>
      </c>
      <c r="K37" s="50">
        <v>33721.599999999999</v>
      </c>
      <c r="L37" s="50">
        <v>9844</v>
      </c>
      <c r="M37" s="50">
        <v>0.42126513721205494</v>
      </c>
      <c r="N37" s="87">
        <v>0.39246602560621879</v>
      </c>
      <c r="R37" s="88" t="s">
        <v>4</v>
      </c>
      <c r="S37" s="89">
        <v>57213.344688858349</v>
      </c>
      <c r="T37" s="89">
        <v>12747.0199827242</v>
      </c>
      <c r="U37" s="89"/>
      <c r="V37" s="90"/>
      <c r="Y37" s="88" t="s">
        <v>4</v>
      </c>
      <c r="Z37" s="50">
        <f t="shared" si="14"/>
        <v>58414.084241373152</v>
      </c>
      <c r="AA37" s="50">
        <f t="shared" si="15"/>
        <v>17237.2447950073</v>
      </c>
      <c r="AB37" s="89"/>
      <c r="AC37" s="90"/>
    </row>
    <row r="38" spans="2:29" x14ac:dyDescent="0.25">
      <c r="B38" s="86" t="s">
        <v>38</v>
      </c>
      <c r="C38" s="50">
        <v>70710.2</v>
      </c>
      <c r="D38" s="50">
        <v>29159.8</v>
      </c>
      <c r="E38" s="50">
        <v>1.8664473643636832</v>
      </c>
      <c r="F38" s="87">
        <v>2.0712588197829356</v>
      </c>
      <c r="J38" s="86" t="s">
        <v>38</v>
      </c>
      <c r="K38" s="50">
        <v>143211.4</v>
      </c>
      <c r="L38" s="50">
        <v>50448.4</v>
      </c>
      <c r="M38" s="50">
        <v>1.7913489238815796</v>
      </c>
      <c r="N38" s="87">
        <v>2.0300230800192951</v>
      </c>
    </row>
    <row r="39" spans="2:29" x14ac:dyDescent="0.25">
      <c r="B39" s="88" t="s">
        <v>4</v>
      </c>
      <c r="C39" s="89">
        <v>37880.88199349105</v>
      </c>
      <c r="D39" s="89">
        <v>14061.230718778268</v>
      </c>
      <c r="E39" s="89"/>
      <c r="F39" s="90"/>
      <c r="J39" s="88" t="s">
        <v>4</v>
      </c>
      <c r="K39" s="89">
        <v>80148.026041770063</v>
      </c>
      <c r="L39" s="89">
        <v>24903.483683519436</v>
      </c>
      <c r="M39" s="89"/>
      <c r="N39" s="90"/>
      <c r="R39" s="96" t="s">
        <v>47</v>
      </c>
      <c r="S39" s="84" t="s">
        <v>39</v>
      </c>
      <c r="T39" s="85" t="s">
        <v>40</v>
      </c>
      <c r="Y39" s="83" t="s">
        <v>47</v>
      </c>
      <c r="Z39" s="84" t="s">
        <v>39</v>
      </c>
      <c r="AA39" s="85" t="s">
        <v>40</v>
      </c>
    </row>
    <row r="40" spans="2:29" x14ac:dyDescent="0.25">
      <c r="R40" s="86" t="s">
        <v>37</v>
      </c>
      <c r="S40" s="50">
        <v>0.28294603557686016</v>
      </c>
      <c r="T40" s="87">
        <v>0.31514773726811302</v>
      </c>
      <c r="Y40" s="86" t="s">
        <v>37</v>
      </c>
      <c r="Z40" s="50">
        <v>0.30590015802558357</v>
      </c>
      <c r="AA40" s="97">
        <v>0.23626938761581381</v>
      </c>
    </row>
    <row r="41" spans="2:29" x14ac:dyDescent="0.25">
      <c r="B41" s="96" t="s">
        <v>47</v>
      </c>
      <c r="C41" s="84" t="s">
        <v>39</v>
      </c>
      <c r="D41" s="85" t="s">
        <v>40</v>
      </c>
      <c r="R41" s="88" t="s">
        <v>38</v>
      </c>
      <c r="S41" s="89">
        <v>2.6340436063058381</v>
      </c>
      <c r="T41" s="90">
        <v>2.5488075517650368</v>
      </c>
      <c r="Y41" s="86" t="s">
        <v>38</v>
      </c>
      <c r="Z41" s="39">
        <v>3.3268255498789827</v>
      </c>
      <c r="AA41" s="97">
        <v>3.2843014820441456</v>
      </c>
    </row>
    <row r="42" spans="2:29" x14ac:dyDescent="0.25">
      <c r="B42" s="86" t="s">
        <v>37</v>
      </c>
      <c r="C42" s="50">
        <v>0.19529853338171774</v>
      </c>
      <c r="D42" s="87">
        <v>0.31177939229002904</v>
      </c>
      <c r="R42" s="50"/>
      <c r="S42" s="50"/>
      <c r="T42" s="50"/>
      <c r="Y42" s="88" t="s">
        <v>4</v>
      </c>
      <c r="Z42" s="89"/>
      <c r="AA42" s="90"/>
    </row>
    <row r="43" spans="2:29" x14ac:dyDescent="0.25">
      <c r="B43" s="88" t="s">
        <v>38</v>
      </c>
      <c r="C43" s="89">
        <v>2.1169532355340701</v>
      </c>
      <c r="D43" s="90">
        <v>2.212937630375472</v>
      </c>
      <c r="R43" s="50"/>
      <c r="S43" s="50"/>
      <c r="T43" s="50"/>
    </row>
    <row r="44" spans="2:29" x14ac:dyDescent="0.25">
      <c r="R44" s="9">
        <v>19.354596691553212</v>
      </c>
      <c r="S44" s="94">
        <v>78.221160884204366</v>
      </c>
    </row>
    <row r="45" spans="2:29" x14ac:dyDescent="0.25">
      <c r="R45" s="9">
        <v>17.988360617670963</v>
      </c>
      <c r="S45" s="34">
        <v>82.011639382329037</v>
      </c>
    </row>
    <row r="46" spans="2:29" x14ac:dyDescent="0.25">
      <c r="R46">
        <v>15.785714285714283</v>
      </c>
      <c r="S46">
        <v>84.214285714285708</v>
      </c>
    </row>
  </sheetData>
  <mergeCells count="4">
    <mergeCell ref="J4:N4"/>
    <mergeCell ref="R4:W4"/>
    <mergeCell ref="B4:G4"/>
    <mergeCell ref="Y4:AD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42"/>
  <sheetViews>
    <sheetView topLeftCell="C1" zoomScale="55" zoomScaleNormal="55" workbookViewId="0">
      <selection activeCell="W11" sqref="W11"/>
    </sheetView>
  </sheetViews>
  <sheetFormatPr defaultColWidth="8.85546875" defaultRowHeight="15" x14ac:dyDescent="0.25"/>
  <cols>
    <col min="2" max="2" width="20.28515625" bestFit="1" customWidth="1"/>
    <col min="3" max="6" width="12" bestFit="1" customWidth="1"/>
    <col min="9" max="9" width="20.28515625" bestFit="1" customWidth="1"/>
    <col min="10" max="13" width="12" bestFit="1" customWidth="1"/>
    <col min="17" max="17" width="20.28515625" bestFit="1" customWidth="1"/>
    <col min="20" max="21" width="12" bestFit="1" customWidth="1"/>
    <col min="25" max="25" width="22.28515625" bestFit="1" customWidth="1"/>
  </cols>
  <sheetData>
    <row r="3" spans="2:30" x14ac:dyDescent="0.25">
      <c r="B3" s="125" t="s">
        <v>36</v>
      </c>
      <c r="C3" s="125"/>
      <c r="D3" s="125"/>
      <c r="E3" s="125"/>
      <c r="F3" s="125"/>
      <c r="G3" s="39"/>
      <c r="I3" s="123" t="s">
        <v>34</v>
      </c>
      <c r="J3" s="123"/>
      <c r="K3" s="123"/>
      <c r="L3" s="123"/>
      <c r="M3" s="123"/>
      <c r="Q3" s="123" t="s">
        <v>45</v>
      </c>
      <c r="R3" s="123"/>
      <c r="S3" s="123"/>
      <c r="T3" s="123"/>
      <c r="U3" s="123"/>
      <c r="V3" s="123"/>
      <c r="Y3" s="123" t="s">
        <v>11</v>
      </c>
      <c r="Z3" s="123"/>
      <c r="AA3" s="123"/>
      <c r="AB3" s="123"/>
      <c r="AC3" s="123"/>
      <c r="AD3" s="123"/>
    </row>
    <row r="4" spans="2:30" x14ac:dyDescent="0.25">
      <c r="B4" s="39"/>
      <c r="C4" t="s">
        <v>43</v>
      </c>
      <c r="D4" t="s">
        <v>44</v>
      </c>
      <c r="E4" t="s">
        <v>39</v>
      </c>
      <c r="F4" t="s">
        <v>40</v>
      </c>
      <c r="G4" s="39"/>
      <c r="J4" t="s">
        <v>43</v>
      </c>
      <c r="K4" t="s">
        <v>44</v>
      </c>
      <c r="L4" t="s">
        <v>39</v>
      </c>
      <c r="M4" t="s">
        <v>40</v>
      </c>
      <c r="R4" t="s">
        <v>43</v>
      </c>
      <c r="S4" t="s">
        <v>44</v>
      </c>
      <c r="T4" t="s">
        <v>39</v>
      </c>
      <c r="U4" t="s">
        <v>40</v>
      </c>
      <c r="Z4" t="s">
        <v>43</v>
      </c>
      <c r="AA4" t="s">
        <v>44</v>
      </c>
      <c r="AB4" t="s">
        <v>39</v>
      </c>
      <c r="AC4" t="s">
        <v>40</v>
      </c>
    </row>
    <row r="5" spans="2:30" x14ac:dyDescent="0.25">
      <c r="B5" s="39" t="s">
        <v>5</v>
      </c>
      <c r="C5" s="39">
        <v>34345.499549549553</v>
      </c>
      <c r="D5" s="39">
        <v>11845.7756006006</v>
      </c>
      <c r="E5" s="39">
        <f>C5/$C$5</f>
        <v>1</v>
      </c>
      <c r="F5" s="39">
        <f>D5/$D$5</f>
        <v>1</v>
      </c>
      <c r="G5" s="39"/>
      <c r="I5" s="39" t="s">
        <v>5</v>
      </c>
      <c r="J5" s="39">
        <v>52138.443005120324</v>
      </c>
      <c r="K5" s="39">
        <v>19858.367791090634</v>
      </c>
      <c r="L5" s="39">
        <f>J5/$J$5</f>
        <v>1</v>
      </c>
      <c r="M5" s="39">
        <f>K5/$K$5</f>
        <v>1</v>
      </c>
      <c r="N5" s="39"/>
      <c r="Q5" t="s">
        <v>5</v>
      </c>
      <c r="R5">
        <v>60728.483722235382</v>
      </c>
      <c r="S5">
        <v>17675.040999921093</v>
      </c>
      <c r="T5">
        <v>1</v>
      </c>
      <c r="U5">
        <v>1</v>
      </c>
      <c r="Y5" t="s">
        <v>5</v>
      </c>
      <c r="Z5">
        <f>AVERAGE(R5,J5,C5)</f>
        <v>49070.808758968422</v>
      </c>
      <c r="AA5">
        <f t="shared" ref="AA5:AC5" si="0">AVERAGE(S5,K5,D5)</f>
        <v>16459.728130537442</v>
      </c>
      <c r="AB5">
        <f t="shared" si="0"/>
        <v>1</v>
      </c>
      <c r="AC5">
        <f t="shared" si="0"/>
        <v>1</v>
      </c>
    </row>
    <row r="6" spans="2:30" x14ac:dyDescent="0.25">
      <c r="B6" s="39" t="s">
        <v>8</v>
      </c>
      <c r="C6" s="39">
        <v>32537.774700226881</v>
      </c>
      <c r="D6" s="39">
        <v>11295.424509513217</v>
      </c>
      <c r="E6" s="39">
        <f t="shared" ref="E6:E7" si="1">C6/$C$5</f>
        <v>0.94736647091958281</v>
      </c>
      <c r="F6" s="39">
        <f t="shared" ref="F6:F7" si="2">D6/$D$5</f>
        <v>0.95354030756251373</v>
      </c>
      <c r="G6" s="39"/>
      <c r="I6" s="39" t="s">
        <v>8</v>
      </c>
      <c r="J6" s="39">
        <v>45713.050546585582</v>
      </c>
      <c r="K6" s="39">
        <v>18505.767074878735</v>
      </c>
      <c r="L6" s="39">
        <f t="shared" ref="L6:L7" si="3">J6/$J$5</f>
        <v>0.87676286271333947</v>
      </c>
      <c r="M6" s="39">
        <f t="shared" ref="M6:M7" si="4">K6/$K$5</f>
        <v>0.93188761883951321</v>
      </c>
      <c r="N6" s="39"/>
      <c r="Q6" t="s">
        <v>8</v>
      </c>
      <c r="R6">
        <v>53627.487246179742</v>
      </c>
      <c r="S6">
        <v>16468.307551152549</v>
      </c>
      <c r="T6">
        <v>0.88306975506691843</v>
      </c>
      <c r="U6">
        <v>0.93172669592257629</v>
      </c>
      <c r="Y6" t="s">
        <v>8</v>
      </c>
      <c r="Z6">
        <f t="shared" ref="Z6:Z9" si="5">AVERAGE(R6,J6,C6)</f>
        <v>43959.437497664068</v>
      </c>
      <c r="AA6">
        <f t="shared" ref="AA6:AA7" si="6">AVERAGE(S6,K6,D6)</f>
        <v>15423.166378514836</v>
      </c>
      <c r="AB6">
        <f t="shared" ref="AB6:AB7" si="7">AVERAGE(T6,L6,E6)</f>
        <v>0.9023996962332802</v>
      </c>
      <c r="AC6">
        <f t="shared" ref="AC6:AC7" si="8">AVERAGE(U6,M6,F6)</f>
        <v>0.93905154077486763</v>
      </c>
    </row>
    <row r="7" spans="2:30" x14ac:dyDescent="0.25">
      <c r="B7" s="39" t="s">
        <v>7</v>
      </c>
      <c r="C7" s="39">
        <v>49965.203965201465</v>
      </c>
      <c r="D7" s="39">
        <v>15878.899862637361</v>
      </c>
      <c r="E7" s="39">
        <f t="shared" si="1"/>
        <v>1.4547816925218304</v>
      </c>
      <c r="F7" s="39">
        <f t="shared" si="2"/>
        <v>1.3404694127273755</v>
      </c>
      <c r="G7" s="39"/>
      <c r="I7" s="39" t="s">
        <v>7</v>
      </c>
      <c r="J7" s="39">
        <v>79773.797777777785</v>
      </c>
      <c r="K7" s="39">
        <v>25692.886666666669</v>
      </c>
      <c r="L7" s="39">
        <f t="shared" si="3"/>
        <v>1.530037975432897</v>
      </c>
      <c r="M7" s="39">
        <f t="shared" si="4"/>
        <v>1.2938065674357015</v>
      </c>
      <c r="N7" s="39"/>
      <c r="Q7" t="s">
        <v>7</v>
      </c>
      <c r="R7">
        <v>86923.935833333322</v>
      </c>
      <c r="S7">
        <v>22147.145833333336</v>
      </c>
      <c r="T7">
        <v>1.431353633509322</v>
      </c>
      <c r="U7">
        <v>1.2530180740985102</v>
      </c>
      <c r="Y7" t="s">
        <v>7</v>
      </c>
      <c r="Z7">
        <f t="shared" si="5"/>
        <v>72220.979192104191</v>
      </c>
      <c r="AA7">
        <f t="shared" si="6"/>
        <v>21239.644120879122</v>
      </c>
      <c r="AB7">
        <f t="shared" si="7"/>
        <v>1.4720577671546833</v>
      </c>
      <c r="AC7">
        <f t="shared" si="8"/>
        <v>1.2957646847538624</v>
      </c>
    </row>
    <row r="8" spans="2:30" x14ac:dyDescent="0.25">
      <c r="B8" s="39" t="s">
        <v>14</v>
      </c>
      <c r="C8" s="39">
        <v>14.6</v>
      </c>
      <c r="D8" s="39"/>
      <c r="E8" s="39"/>
      <c r="F8" s="39"/>
      <c r="G8" s="39"/>
      <c r="I8" s="39" t="s">
        <v>14</v>
      </c>
      <c r="J8" s="39">
        <v>15.8</v>
      </c>
      <c r="K8" s="39"/>
      <c r="L8" s="39"/>
      <c r="M8" s="39"/>
      <c r="N8" s="39"/>
      <c r="Q8" t="s">
        <v>14</v>
      </c>
      <c r="R8">
        <v>15</v>
      </c>
      <c r="Y8" t="s">
        <v>14</v>
      </c>
      <c r="Z8">
        <f t="shared" si="5"/>
        <v>15.133333333333333</v>
      </c>
    </row>
    <row r="9" spans="2:30" x14ac:dyDescent="0.25">
      <c r="B9" s="39" t="s">
        <v>9</v>
      </c>
      <c r="C9" s="39">
        <v>18.438728170293111</v>
      </c>
      <c r="D9" s="39"/>
      <c r="E9" s="39"/>
      <c r="F9" s="39"/>
      <c r="G9" s="39"/>
      <c r="I9" s="39" t="s">
        <v>9</v>
      </c>
      <c r="J9" s="39">
        <v>23.055436948536073</v>
      </c>
      <c r="K9" s="39"/>
      <c r="L9" s="39"/>
      <c r="M9" s="39"/>
      <c r="N9" s="39"/>
      <c r="Q9" t="s">
        <v>9</v>
      </c>
      <c r="R9">
        <v>21.534353177890875</v>
      </c>
      <c r="Y9" t="s">
        <v>9</v>
      </c>
      <c r="Z9">
        <f t="shared" si="5"/>
        <v>21.009506098906687</v>
      </c>
    </row>
    <row r="10" spans="2:30" x14ac:dyDescent="0.25">
      <c r="G10" s="39"/>
      <c r="R10" t="s">
        <v>11</v>
      </c>
      <c r="S10" t="s">
        <v>6</v>
      </c>
      <c r="Z10" t="s">
        <v>11</v>
      </c>
      <c r="AA10" t="s">
        <v>6</v>
      </c>
    </row>
    <row r="11" spans="2:30" x14ac:dyDescent="0.25">
      <c r="B11" s="39"/>
      <c r="C11" s="39" t="s">
        <v>11</v>
      </c>
      <c r="D11" s="39" t="s">
        <v>6</v>
      </c>
      <c r="E11" s="39"/>
      <c r="F11" s="39"/>
      <c r="G11" s="39"/>
      <c r="I11" s="39"/>
      <c r="J11" s="39" t="s">
        <v>11</v>
      </c>
      <c r="K11" s="39" t="s">
        <v>6</v>
      </c>
      <c r="L11" s="39"/>
      <c r="M11" s="39"/>
      <c r="N11" s="39"/>
      <c r="Q11" s="91" t="s">
        <v>10</v>
      </c>
      <c r="R11" s="92">
        <v>32.544699569968834</v>
      </c>
      <c r="S11" s="93">
        <v>72.083333333333329</v>
      </c>
      <c r="Y11" s="99" t="s">
        <v>10</v>
      </c>
      <c r="Z11" s="100">
        <f>AVERAGE(R11,J12,C12)</f>
        <v>35.358726194487012</v>
      </c>
      <c r="AA11" s="101">
        <f>AVERAGE(S11,K12,D12)</f>
        <v>77.767872106107404</v>
      </c>
    </row>
    <row r="12" spans="2:30" x14ac:dyDescent="0.25">
      <c r="B12" s="99" t="s">
        <v>10</v>
      </c>
      <c r="C12" s="100">
        <v>36.186007639669356</v>
      </c>
      <c r="D12" s="101">
        <v>78.331394096099984</v>
      </c>
      <c r="E12" s="39"/>
      <c r="F12" s="39"/>
      <c r="G12" s="39"/>
      <c r="I12" s="99" t="s">
        <v>10</v>
      </c>
      <c r="J12" s="100">
        <v>37.345471373822839</v>
      </c>
      <c r="K12" s="101">
        <v>82.888888888888886</v>
      </c>
      <c r="L12" s="39"/>
      <c r="M12" s="39"/>
      <c r="N12" s="39"/>
      <c r="Q12" s="20" t="s">
        <v>12</v>
      </c>
      <c r="R12" s="20">
        <v>10.015603424468377</v>
      </c>
      <c r="S12" s="20">
        <v>17.083333333333332</v>
      </c>
      <c r="Y12" s="102" t="s">
        <v>12</v>
      </c>
      <c r="Z12" s="102">
        <f t="shared" ref="Z12:Z15" si="9">AVERAGE(R12,J13,C13)</f>
        <v>9.1299596710388347</v>
      </c>
      <c r="AA12" s="102">
        <f t="shared" ref="AA12:AA15" si="10">AVERAGE(S12,K13,D13)</f>
        <v>14.530854222030692</v>
      </c>
    </row>
    <row r="13" spans="2:30" x14ac:dyDescent="0.25">
      <c r="B13" s="102" t="s">
        <v>12</v>
      </c>
      <c r="C13" s="102">
        <v>9.9720632172002972</v>
      </c>
      <c r="D13" s="102">
        <v>13.620340443869855</v>
      </c>
      <c r="E13" s="39"/>
      <c r="F13" s="39"/>
      <c r="G13" s="39"/>
      <c r="I13" s="102" t="s">
        <v>12</v>
      </c>
      <c r="J13" s="102">
        <v>7.4022123714478312</v>
      </c>
      <c r="K13" s="102">
        <v>12.888888888888889</v>
      </c>
      <c r="L13" s="39"/>
      <c r="M13" s="39"/>
      <c r="N13" s="39"/>
      <c r="Q13" s="9" t="s">
        <v>13</v>
      </c>
      <c r="R13" s="9">
        <v>10.847536197577622</v>
      </c>
      <c r="S13" s="9">
        <v>2.9166666666666665</v>
      </c>
      <c r="Y13" s="47" t="s">
        <v>13</v>
      </c>
      <c r="Z13" s="47">
        <f t="shared" si="9"/>
        <v>9.0027725336231335</v>
      </c>
      <c r="AA13" s="47">
        <f t="shared" si="10"/>
        <v>1.3425925925925926</v>
      </c>
    </row>
    <row r="14" spans="2:30" x14ac:dyDescent="0.25">
      <c r="B14" s="47" t="s">
        <v>13</v>
      </c>
      <c r="C14" s="47">
        <v>8.0540373403780627</v>
      </c>
      <c r="D14" s="47">
        <v>0</v>
      </c>
      <c r="E14" s="39"/>
      <c r="F14" s="39"/>
      <c r="G14" s="39"/>
      <c r="I14" s="47" t="s">
        <v>13</v>
      </c>
      <c r="J14" s="47">
        <v>8.106744062913716</v>
      </c>
      <c r="K14" s="47">
        <v>1.1111111111111112</v>
      </c>
      <c r="L14" s="39"/>
      <c r="M14" s="39"/>
      <c r="N14" s="39"/>
      <c r="Q14" t="s">
        <v>15</v>
      </c>
      <c r="R14">
        <v>46.592160807985167</v>
      </c>
      <c r="S14">
        <v>7.9166666666666661</v>
      </c>
      <c r="Y14" s="50" t="s">
        <v>15</v>
      </c>
      <c r="Z14" s="50">
        <f t="shared" si="9"/>
        <v>46.508541600851025</v>
      </c>
      <c r="AA14" s="50">
        <f t="shared" si="10"/>
        <v>6.3586810792693145</v>
      </c>
    </row>
    <row r="15" spans="2:30" x14ac:dyDescent="0.25">
      <c r="B15" s="39" t="s">
        <v>15</v>
      </c>
      <c r="C15" s="39">
        <v>45.787891802752284</v>
      </c>
      <c r="D15" s="39">
        <v>8.0482654600301657</v>
      </c>
      <c r="E15" s="39"/>
      <c r="F15" s="39"/>
      <c r="G15" s="39"/>
      <c r="I15" s="39" t="s">
        <v>15</v>
      </c>
      <c r="J15" s="39">
        <v>47.145572191815617</v>
      </c>
      <c r="K15" s="39">
        <v>3.1111111111111112</v>
      </c>
      <c r="L15" s="39"/>
      <c r="M15" s="39"/>
      <c r="N15" s="39"/>
      <c r="Q15" t="s">
        <v>11</v>
      </c>
      <c r="R15">
        <v>100</v>
      </c>
      <c r="S15">
        <v>100</v>
      </c>
      <c r="Y15" s="50" t="s">
        <v>11</v>
      </c>
      <c r="Z15" s="50">
        <f t="shared" si="9"/>
        <v>100</v>
      </c>
      <c r="AA15" s="50">
        <f t="shared" si="10"/>
        <v>100</v>
      </c>
    </row>
    <row r="16" spans="2:30" x14ac:dyDescent="0.25">
      <c r="B16" s="39" t="s">
        <v>11</v>
      </c>
      <c r="C16" s="39">
        <v>100</v>
      </c>
      <c r="D16" s="39">
        <v>100</v>
      </c>
      <c r="E16" s="39"/>
      <c r="F16" s="39"/>
      <c r="G16" s="39"/>
      <c r="I16" s="39" t="s">
        <v>11</v>
      </c>
      <c r="J16" s="39">
        <v>100</v>
      </c>
      <c r="K16" s="39">
        <v>100</v>
      </c>
      <c r="L16" s="39"/>
      <c r="M16" s="39"/>
      <c r="N16" s="39"/>
      <c r="R16" t="s">
        <v>41</v>
      </c>
      <c r="S16" t="s">
        <v>42</v>
      </c>
      <c r="Z16" t="s">
        <v>41</v>
      </c>
      <c r="AA16" t="s">
        <v>42</v>
      </c>
    </row>
    <row r="17" spans="2:30" x14ac:dyDescent="0.25">
      <c r="B17" s="39"/>
      <c r="C17" s="39"/>
      <c r="D17" s="39"/>
      <c r="E17" s="39"/>
      <c r="F17" s="39"/>
      <c r="G17" s="39"/>
      <c r="I17" s="39"/>
      <c r="J17" s="39"/>
      <c r="K17" s="39"/>
      <c r="L17" s="39"/>
      <c r="M17" s="39"/>
      <c r="N17" s="39"/>
      <c r="Q17" t="s">
        <v>16</v>
      </c>
      <c r="R17">
        <v>76489.998611111107</v>
      </c>
      <c r="S17">
        <v>1.2588258823557161</v>
      </c>
      <c r="Y17" t="s">
        <v>16</v>
      </c>
      <c r="Z17">
        <f>AVERAGE(C19,J19,R17)</f>
        <v>64696.000668453657</v>
      </c>
      <c r="AA17">
        <f>AVERAGE(D19,K19,S17)</f>
        <v>1.3265070502548255</v>
      </c>
    </row>
    <row r="18" spans="2:30" x14ac:dyDescent="0.25">
      <c r="C18" t="s">
        <v>41</v>
      </c>
      <c r="D18" t="s">
        <v>42</v>
      </c>
      <c r="G18" s="39"/>
      <c r="J18" t="s">
        <v>41</v>
      </c>
      <c r="K18" t="s">
        <v>42</v>
      </c>
      <c r="L18" s="39"/>
      <c r="M18" s="39"/>
      <c r="N18" s="39"/>
      <c r="Q18" t="s">
        <v>19</v>
      </c>
      <c r="R18">
        <v>48177.899212454213</v>
      </c>
      <c r="S18">
        <v>0.79454565064126559</v>
      </c>
      <c r="Y18" t="s">
        <v>19</v>
      </c>
      <c r="Z18">
        <f>AVERAGE(C20,J20,R18)</f>
        <v>38301.300518502634</v>
      </c>
      <c r="AA18">
        <f>AVERAGE(D20,K20,S18)</f>
        <v>0.78027469931828863</v>
      </c>
    </row>
    <row r="19" spans="2:30" x14ac:dyDescent="0.25">
      <c r="B19" s="39" t="s">
        <v>16</v>
      </c>
      <c r="C19" s="39">
        <v>46818.764391400866</v>
      </c>
      <c r="D19" s="39">
        <f>C19/$C$5</f>
        <v>1.3631702844751576</v>
      </c>
      <c r="E19" s="39"/>
      <c r="F19" s="39"/>
      <c r="G19" s="39"/>
      <c r="I19" s="39" t="s">
        <v>16</v>
      </c>
      <c r="J19" s="39">
        <v>70779.239002849004</v>
      </c>
      <c r="K19" s="39">
        <f>J19/$J$5</f>
        <v>1.3575249839336023</v>
      </c>
      <c r="L19" s="39"/>
      <c r="M19" s="39"/>
      <c r="N19" s="39"/>
      <c r="S19" t="s">
        <v>41</v>
      </c>
      <c r="T19" t="s">
        <v>42</v>
      </c>
      <c r="AA19" t="s">
        <v>41</v>
      </c>
      <c r="AB19" t="s">
        <v>42</v>
      </c>
    </row>
    <row r="20" spans="2:30" x14ac:dyDescent="0.25">
      <c r="B20" s="39" t="s">
        <v>19</v>
      </c>
      <c r="C20" s="39">
        <v>26820.475508456082</v>
      </c>
      <c r="D20" s="39">
        <f>C20/$C$5</f>
        <v>0.78090218107798159</v>
      </c>
      <c r="E20" s="39"/>
      <c r="F20" s="39"/>
      <c r="G20" s="39"/>
      <c r="I20" s="39" t="s">
        <v>19</v>
      </c>
      <c r="J20" s="39">
        <v>39905.5268345976</v>
      </c>
      <c r="K20" s="39">
        <f>J20/$J$5</f>
        <v>0.76537626623561861</v>
      </c>
      <c r="L20" s="39"/>
      <c r="M20" s="39"/>
      <c r="N20" s="39"/>
      <c r="Q20" t="s">
        <v>17</v>
      </c>
      <c r="S20">
        <v>22024.754738514173</v>
      </c>
      <c r="T20">
        <v>1.2476102075285078</v>
      </c>
      <c r="Y20" t="s">
        <v>17</v>
      </c>
      <c r="AA20">
        <f>AVERAGE(D22,K22,S20)</f>
        <v>21275.698959500412</v>
      </c>
      <c r="AB20">
        <f>AVERAGE(E22,L22,T20)</f>
        <v>1.2966738224884209</v>
      </c>
    </row>
    <row r="21" spans="2:30" x14ac:dyDescent="0.25">
      <c r="B21" s="39"/>
      <c r="C21" s="39"/>
      <c r="D21" t="s">
        <v>41</v>
      </c>
      <c r="E21" t="s">
        <v>42</v>
      </c>
      <c r="F21" s="39"/>
      <c r="G21" s="39"/>
      <c r="K21" t="s">
        <v>41</v>
      </c>
      <c r="L21" t="s">
        <v>42</v>
      </c>
      <c r="M21" s="39"/>
      <c r="N21" s="39"/>
      <c r="Q21" t="s">
        <v>18</v>
      </c>
      <c r="S21">
        <v>14502.319022869022</v>
      </c>
      <c r="T21">
        <v>0.81995914790523572</v>
      </c>
      <c r="Y21" t="s">
        <v>18</v>
      </c>
      <c r="AA21">
        <f>AVERAGE(D23,K23,S21)</f>
        <v>12851.425184688496</v>
      </c>
      <c r="AB21">
        <f>AVERAGE(E23,L23,T21)</f>
        <v>0.7784013964715758</v>
      </c>
    </row>
    <row r="22" spans="2:30" x14ac:dyDescent="0.25">
      <c r="B22" s="39" t="s">
        <v>17</v>
      </c>
      <c r="C22" s="39"/>
      <c r="D22" s="39">
        <v>15776.887312030076</v>
      </c>
      <c r="E22" s="39">
        <f>D22/$D$5</f>
        <v>1.3318576886793434</v>
      </c>
      <c r="F22" s="39"/>
      <c r="G22" s="39"/>
      <c r="I22" s="39" t="s">
        <v>17</v>
      </c>
      <c r="J22" s="39"/>
      <c r="K22" s="39">
        <v>26025.454827956986</v>
      </c>
      <c r="L22" s="39">
        <f>K22/$K$5</f>
        <v>1.3105535712574117</v>
      </c>
      <c r="M22" s="39"/>
      <c r="N22" s="39"/>
    </row>
    <row r="23" spans="2:30" x14ac:dyDescent="0.25">
      <c r="B23" s="39" t="s">
        <v>18</v>
      </c>
      <c r="C23" s="39"/>
      <c r="D23" s="39">
        <v>8927.0464531758644</v>
      </c>
      <c r="E23" s="39">
        <f>D23/$D$5</f>
        <v>0.75360590595040888</v>
      </c>
      <c r="F23" s="39"/>
      <c r="G23" s="39"/>
      <c r="I23" s="39" t="s">
        <v>18</v>
      </c>
      <c r="J23" s="39"/>
      <c r="K23" s="39">
        <v>15124.910078020606</v>
      </c>
      <c r="L23" s="39">
        <f>K23/$K$5</f>
        <v>0.76163913555908302</v>
      </c>
    </row>
    <row r="24" spans="2:30" x14ac:dyDescent="0.25">
      <c r="G24" s="39"/>
      <c r="S24" t="s">
        <v>27</v>
      </c>
      <c r="T24" t="s">
        <v>28</v>
      </c>
      <c r="U24" t="s">
        <v>29</v>
      </c>
      <c r="AA24" t="s">
        <v>27</v>
      </c>
      <c r="AB24" t="s">
        <v>28</v>
      </c>
      <c r="AC24" t="s">
        <v>29</v>
      </c>
    </row>
    <row r="25" spans="2:30" x14ac:dyDescent="0.25">
      <c r="B25" s="39"/>
      <c r="C25" s="39"/>
      <c r="D25" s="39" t="s">
        <v>27</v>
      </c>
      <c r="E25" s="39" t="s">
        <v>28</v>
      </c>
      <c r="F25" s="39" t="s">
        <v>29</v>
      </c>
      <c r="G25" s="39"/>
      <c r="I25" s="39"/>
      <c r="J25" s="39"/>
      <c r="K25" s="39" t="s">
        <v>27</v>
      </c>
      <c r="L25" s="39" t="s">
        <v>28</v>
      </c>
      <c r="M25" s="39" t="s">
        <v>29</v>
      </c>
      <c r="N25" s="39"/>
      <c r="Q25" s="20" t="s">
        <v>20</v>
      </c>
      <c r="R25" s="20">
        <v>29.8</v>
      </c>
      <c r="S25" s="20">
        <v>42.560302994437208</v>
      </c>
      <c r="T25" s="20">
        <v>100</v>
      </c>
      <c r="U25" s="20"/>
      <c r="Y25" s="20" t="s">
        <v>20</v>
      </c>
      <c r="Z25" s="20">
        <f>AVERAGE(R25,J26,C26)</f>
        <v>32.266666666666673</v>
      </c>
      <c r="AA25" s="20">
        <f t="shared" ref="AA25:AC31" si="11">AVERAGE(S25,K26,D26)</f>
        <v>44.369638246478225</v>
      </c>
      <c r="AB25" s="20">
        <f t="shared" si="11"/>
        <v>100</v>
      </c>
      <c r="AC25" s="20"/>
    </row>
    <row r="26" spans="2:30" x14ac:dyDescent="0.25">
      <c r="B26" s="102" t="s">
        <v>20</v>
      </c>
      <c r="C26" s="102">
        <v>36.6</v>
      </c>
      <c r="D26" s="102">
        <v>46.158070856869656</v>
      </c>
      <c r="E26" s="102">
        <v>100</v>
      </c>
      <c r="F26" s="102"/>
      <c r="G26" s="39"/>
      <c r="I26" s="102" t="s">
        <v>20</v>
      </c>
      <c r="J26" s="102">
        <v>30.4</v>
      </c>
      <c r="K26" s="102">
        <v>44.390540888127809</v>
      </c>
      <c r="L26" s="102">
        <v>100</v>
      </c>
      <c r="M26" s="102"/>
      <c r="N26" s="39"/>
      <c r="Q26" s="9" t="s">
        <v>21</v>
      </c>
      <c r="R26" s="9">
        <v>30.2</v>
      </c>
      <c r="S26" s="9">
        <v>43.106521481832168</v>
      </c>
      <c r="T26" s="9"/>
      <c r="U26" s="9">
        <v>30.2</v>
      </c>
      <c r="Y26" s="9" t="s">
        <v>21</v>
      </c>
      <c r="Z26" s="9">
        <f t="shared" ref="Z26:Z31" si="12">AVERAGE(R26,J27,C27)</f>
        <v>32.199999999999996</v>
      </c>
      <c r="AA26" s="9">
        <f t="shared" si="11"/>
        <v>44.282938470120293</v>
      </c>
      <c r="AB26" s="9"/>
      <c r="AC26" s="9">
        <f t="shared" si="11"/>
        <v>76.733333333333334</v>
      </c>
    </row>
    <row r="27" spans="2:30" x14ac:dyDescent="0.25">
      <c r="B27" s="47" t="s">
        <v>21</v>
      </c>
      <c r="C27" s="47">
        <v>35.799999999999997</v>
      </c>
      <c r="D27" s="47">
        <v>45.061962788266598</v>
      </c>
      <c r="E27" s="47"/>
      <c r="F27" s="47">
        <v>100</v>
      </c>
      <c r="G27" s="39"/>
      <c r="I27" s="47" t="s">
        <v>21</v>
      </c>
      <c r="J27" s="47">
        <v>30.6</v>
      </c>
      <c r="K27" s="47">
        <v>44.680331140262098</v>
      </c>
      <c r="L27" s="47"/>
      <c r="M27" s="47">
        <v>100</v>
      </c>
      <c r="N27" s="39"/>
      <c r="Q27" s="20" t="s">
        <v>22</v>
      </c>
      <c r="R27" s="20">
        <v>6.8</v>
      </c>
      <c r="S27" s="20">
        <v>10.015603424468377</v>
      </c>
      <c r="T27" s="20">
        <v>23.590542521994131</v>
      </c>
      <c r="U27" s="20"/>
      <c r="Y27" s="20" t="s">
        <v>22</v>
      </c>
      <c r="Z27" s="20">
        <f t="shared" si="12"/>
        <v>6.333333333333333</v>
      </c>
      <c r="AA27" s="20">
        <f t="shared" si="11"/>
        <v>8.8559870682991093</v>
      </c>
      <c r="AB27" s="20">
        <f t="shared" si="11"/>
        <v>19.930323082755354</v>
      </c>
      <c r="AC27" s="20"/>
    </row>
    <row r="28" spans="2:30" x14ac:dyDescent="0.25">
      <c r="B28" s="102" t="s">
        <v>22</v>
      </c>
      <c r="C28" s="102">
        <v>7.2</v>
      </c>
      <c r="D28" s="102">
        <v>9.1501454089811212</v>
      </c>
      <c r="E28" s="102">
        <v>19.599262579525739</v>
      </c>
      <c r="F28" s="102"/>
      <c r="G28" s="39"/>
      <c r="I28" s="102" t="s">
        <v>22</v>
      </c>
      <c r="J28" s="102">
        <v>5</v>
      </c>
      <c r="K28" s="102">
        <v>7.4022123714478312</v>
      </c>
      <c r="L28" s="102">
        <v>16.601164146746193</v>
      </c>
      <c r="M28" s="102"/>
      <c r="N28" s="39"/>
      <c r="Q28" s="9" t="s">
        <v>23</v>
      </c>
      <c r="R28" s="9">
        <v>7.2</v>
      </c>
      <c r="S28" s="9">
        <v>10.561821911863337</v>
      </c>
      <c r="T28" s="9"/>
      <c r="U28" s="9">
        <v>7.2</v>
      </c>
      <c r="Y28" s="9" t="s">
        <v>23</v>
      </c>
      <c r="Z28" s="9">
        <f t="shared" si="12"/>
        <v>6.333333333333333</v>
      </c>
      <c r="AA28" s="9">
        <f t="shared" si="11"/>
        <v>8.9075344383850386</v>
      </c>
      <c r="AB28" s="9"/>
      <c r="AC28" s="9">
        <f t="shared" si="11"/>
        <v>14.364954856131327</v>
      </c>
    </row>
    <row r="29" spans="2:30" x14ac:dyDescent="0.25">
      <c r="B29" s="47" t="s">
        <v>23</v>
      </c>
      <c r="C29" s="47">
        <v>6.4</v>
      </c>
      <c r="D29" s="47">
        <v>8.0540373403780627</v>
      </c>
      <c r="E29" s="47"/>
      <c r="F29" s="47">
        <v>17.638646462175874</v>
      </c>
      <c r="G29" s="39"/>
      <c r="I29" s="47" t="s">
        <v>23</v>
      </c>
      <c r="J29" s="47">
        <v>5.4</v>
      </c>
      <c r="K29" s="47">
        <v>8.106744062913716</v>
      </c>
      <c r="L29" s="47"/>
      <c r="M29" s="47">
        <v>18.256218106218107</v>
      </c>
      <c r="N29" s="39"/>
      <c r="Q29" t="s">
        <v>24</v>
      </c>
      <c r="R29">
        <v>46.4</v>
      </c>
      <c r="S29">
        <v>65.439697005562792</v>
      </c>
      <c r="Y29" s="7" t="s">
        <v>24</v>
      </c>
      <c r="Z29" s="7">
        <f t="shared" si="12"/>
        <v>42.533333333333331</v>
      </c>
      <c r="AA29" s="7">
        <f t="shared" si="11"/>
        <v>58.29702842018844</v>
      </c>
      <c r="AB29" s="7"/>
      <c r="AC29" s="7"/>
      <c r="AD29" s="7"/>
    </row>
    <row r="30" spans="2:30" x14ac:dyDescent="0.25">
      <c r="B30" s="39" t="s">
        <v>24</v>
      </c>
      <c r="C30" s="39">
        <v>43</v>
      </c>
      <c r="D30" s="39">
        <v>53.841929143130344</v>
      </c>
      <c r="E30" s="39"/>
      <c r="F30" s="39"/>
      <c r="G30" s="39"/>
      <c r="I30" s="39" t="s">
        <v>24</v>
      </c>
      <c r="J30" s="39">
        <v>38.200000000000003</v>
      </c>
      <c r="K30" s="39">
        <v>55.609459111872184</v>
      </c>
      <c r="L30" s="39"/>
      <c r="M30" s="39"/>
      <c r="N30" s="39"/>
      <c r="Q30" t="s">
        <v>25</v>
      </c>
      <c r="R30">
        <v>39.6</v>
      </c>
      <c r="S30">
        <v>56.893478518167832</v>
      </c>
      <c r="Y30" s="7" t="s">
        <v>25</v>
      </c>
      <c r="Z30" s="7">
        <f t="shared" si="12"/>
        <v>40.4</v>
      </c>
      <c r="AA30" s="7">
        <f t="shared" si="11"/>
        <v>55.626971439789621</v>
      </c>
      <c r="AB30" s="7"/>
      <c r="AC30" s="7"/>
      <c r="AD30" s="7"/>
    </row>
    <row r="31" spans="2:30" x14ac:dyDescent="0.25">
      <c r="B31" s="39" t="s">
        <v>25</v>
      </c>
      <c r="C31" s="39">
        <v>43.8</v>
      </c>
      <c r="D31" s="39">
        <v>54.938037211733402</v>
      </c>
      <c r="E31" s="39"/>
      <c r="F31" s="39"/>
      <c r="G31" s="39"/>
      <c r="I31" s="39" t="s">
        <v>25</v>
      </c>
      <c r="J31" s="39">
        <v>37.799999999999997</v>
      </c>
      <c r="K31" s="39">
        <v>55.049398589467636</v>
      </c>
      <c r="L31" s="39"/>
      <c r="M31" s="39"/>
      <c r="N31" s="39"/>
      <c r="Q31" s="91" t="s">
        <v>26</v>
      </c>
      <c r="R31" s="92">
        <v>23</v>
      </c>
      <c r="S31" s="92">
        <v>32.544699569968834</v>
      </c>
      <c r="T31" s="92">
        <v>76.409457478005862</v>
      </c>
      <c r="U31" s="93">
        <v>23</v>
      </c>
      <c r="Y31" s="99" t="s">
        <v>26</v>
      </c>
      <c r="Z31" s="100">
        <f t="shared" si="12"/>
        <v>25.933333333333334</v>
      </c>
      <c r="AA31" s="100">
        <f t="shared" si="11"/>
        <v>35.513651178179117</v>
      </c>
      <c r="AB31" s="100">
        <f t="shared" si="11"/>
        <v>80.069676917244649</v>
      </c>
      <c r="AC31" s="101">
        <f t="shared" si="11"/>
        <v>62.711275220098749</v>
      </c>
    </row>
    <row r="32" spans="2:30" x14ac:dyDescent="0.25">
      <c r="B32" s="99" t="s">
        <v>26</v>
      </c>
      <c r="C32" s="100">
        <v>29.4</v>
      </c>
      <c r="D32" s="100">
        <v>37.007925447888532</v>
      </c>
      <c r="E32" s="100">
        <v>80.400737420474272</v>
      </c>
      <c r="F32" s="101">
        <v>82.361353537824129</v>
      </c>
      <c r="G32" s="39"/>
      <c r="I32" s="99" t="s">
        <v>26</v>
      </c>
      <c r="J32" s="100">
        <v>25.4</v>
      </c>
      <c r="K32" s="100">
        <v>36.988328516679985</v>
      </c>
      <c r="L32" s="100">
        <v>83.3988358532538</v>
      </c>
      <c r="M32" s="101">
        <v>82.772472122472124</v>
      </c>
      <c r="N32" s="39"/>
    </row>
    <row r="33" spans="2:29" x14ac:dyDescent="0.25">
      <c r="B33" s="39"/>
      <c r="C33" s="39"/>
      <c r="D33" s="39"/>
      <c r="E33" s="39"/>
      <c r="F33" s="39"/>
      <c r="G33" s="39"/>
      <c r="I33" s="39"/>
      <c r="J33" s="39"/>
      <c r="K33" s="39"/>
      <c r="L33" s="39"/>
      <c r="M33" s="39"/>
      <c r="N33" s="39"/>
      <c r="Q33" s="83" t="s">
        <v>46</v>
      </c>
      <c r="R33" s="84" t="s">
        <v>1</v>
      </c>
      <c r="S33" s="84" t="s">
        <v>2</v>
      </c>
      <c r="T33" s="84" t="s">
        <v>39</v>
      </c>
      <c r="U33" s="85" t="s">
        <v>40</v>
      </c>
      <c r="Y33" s="83" t="s">
        <v>46</v>
      </c>
      <c r="Z33" s="84" t="s">
        <v>1</v>
      </c>
      <c r="AA33" s="84" t="s">
        <v>2</v>
      </c>
      <c r="AB33" s="84" t="s">
        <v>39</v>
      </c>
      <c r="AC33" s="85" t="s">
        <v>40</v>
      </c>
    </row>
    <row r="34" spans="2:29" x14ac:dyDescent="0.25">
      <c r="B34" s="72" t="s">
        <v>46</v>
      </c>
      <c r="C34" s="73" t="s">
        <v>1</v>
      </c>
      <c r="D34" s="73" t="s">
        <v>2</v>
      </c>
      <c r="E34" s="73" t="s">
        <v>39</v>
      </c>
      <c r="F34" s="74" t="s">
        <v>40</v>
      </c>
      <c r="G34" s="39"/>
      <c r="I34" s="72" t="s">
        <v>46</v>
      </c>
      <c r="J34" s="73" t="s">
        <v>1</v>
      </c>
      <c r="K34" s="73" t="s">
        <v>2</v>
      </c>
      <c r="L34" s="73" t="s">
        <v>39</v>
      </c>
      <c r="M34" s="74" t="s">
        <v>40</v>
      </c>
      <c r="N34" s="39"/>
      <c r="Q34" s="86" t="s">
        <v>37</v>
      </c>
      <c r="R34" s="50">
        <v>26714.799999999999</v>
      </c>
      <c r="S34" s="50">
        <v>6887.8</v>
      </c>
      <c r="T34" s="50">
        <v>0.44169316503742484</v>
      </c>
      <c r="U34" s="87">
        <v>0.38998488712499724</v>
      </c>
      <c r="Y34" s="86" t="s">
        <v>37</v>
      </c>
      <c r="Z34" s="50">
        <f>AVERAGE(C35,J35,R34)</f>
        <v>20436.600000000002</v>
      </c>
      <c r="AA34" s="50">
        <f t="shared" ref="AA34:AC34" si="13">AVERAGE(D35,K35,S34)</f>
        <v>8822.4666666666653</v>
      </c>
      <c r="AB34" s="50">
        <f t="shared" si="13"/>
        <v>0.43592321653342764</v>
      </c>
      <c r="AC34" s="87">
        <f t="shared" si="13"/>
        <v>0.38561805742938765</v>
      </c>
    </row>
    <row r="35" spans="2:29" x14ac:dyDescent="0.25">
      <c r="B35" s="75" t="s">
        <v>37</v>
      </c>
      <c r="C35" s="39">
        <v>13906.6</v>
      </c>
      <c r="D35" s="39">
        <v>4532.6000000000004</v>
      </c>
      <c r="E35" s="39">
        <v>0.38919702536692247</v>
      </c>
      <c r="F35" s="97">
        <v>0.38065745592942929</v>
      </c>
      <c r="G35" s="39"/>
      <c r="I35" s="75" t="s">
        <v>37</v>
      </c>
      <c r="J35" s="39">
        <v>20688.400000000001</v>
      </c>
      <c r="K35" s="39">
        <v>15047</v>
      </c>
      <c r="L35" s="39">
        <v>0.47687945919593561</v>
      </c>
      <c r="M35" s="97">
        <v>0.38621182923373631</v>
      </c>
      <c r="N35" s="39"/>
      <c r="Q35" s="86" t="s">
        <v>38</v>
      </c>
      <c r="R35" s="50">
        <v>123991</v>
      </c>
      <c r="S35" s="50">
        <v>38547.800000000003</v>
      </c>
      <c r="T35" s="50">
        <v>2.0321392617441676</v>
      </c>
      <c r="U35" s="87">
        <v>2.1697167893952609</v>
      </c>
      <c r="Y35" s="86" t="s">
        <v>38</v>
      </c>
      <c r="Z35" s="50">
        <f>AVERAGE(C36,J36,R35)</f>
        <v>102355.46666666667</v>
      </c>
      <c r="AA35" s="50">
        <f t="shared" ref="AA35" si="14">AVERAGE(D36,K36,S35)</f>
        <v>34565.599999999999</v>
      </c>
      <c r="AB35" s="50">
        <f t="shared" ref="AB35" si="15">AVERAGE(E36,L36,T35)</f>
        <v>2.2278989096516528</v>
      </c>
      <c r="AC35" s="87">
        <f t="shared" ref="AC35" si="16">AVERAGE(F36,M36,U35)</f>
        <v>2.4032004776287157</v>
      </c>
    </row>
    <row r="36" spans="2:29" x14ac:dyDescent="0.25">
      <c r="B36" s="75" t="s">
        <v>38</v>
      </c>
      <c r="C36" s="39">
        <v>76392.2</v>
      </c>
      <c r="D36" s="39">
        <v>28802.2</v>
      </c>
      <c r="E36" s="39">
        <v>2.2653634246700349</v>
      </c>
      <c r="F36" s="97">
        <v>2.4346188767854988</v>
      </c>
      <c r="I36" s="75" t="s">
        <v>38</v>
      </c>
      <c r="J36" s="39">
        <v>106683.2</v>
      </c>
      <c r="K36" s="39">
        <v>36346.800000000003</v>
      </c>
      <c r="L36" s="39">
        <v>2.3861940425407555</v>
      </c>
      <c r="M36" s="97">
        <v>2.6052657667053882</v>
      </c>
      <c r="N36" s="39"/>
      <c r="Q36" s="88" t="s">
        <v>4</v>
      </c>
      <c r="R36" s="89">
        <v>60728.483722235382</v>
      </c>
      <c r="S36" s="89">
        <v>17675.040999921093</v>
      </c>
      <c r="T36" s="89"/>
      <c r="U36" s="90"/>
      <c r="Y36" s="88" t="s">
        <v>4</v>
      </c>
      <c r="Z36" s="89">
        <f>AVERAGE(C37,J37,R36)</f>
        <v>47063.107237914381</v>
      </c>
      <c r="AA36" s="89">
        <f t="shared" ref="AA36" si="17">AVERAGE(D37,K37,S36)</f>
        <v>15692.552221256716</v>
      </c>
      <c r="AB36" s="89"/>
      <c r="AC36" s="90"/>
    </row>
    <row r="37" spans="2:29" x14ac:dyDescent="0.25">
      <c r="B37" s="77" t="s">
        <v>4</v>
      </c>
      <c r="C37" s="79">
        <v>34345.499549549553</v>
      </c>
      <c r="D37" s="79">
        <v>11845.7756006006</v>
      </c>
      <c r="E37" s="79"/>
      <c r="F37" s="80"/>
      <c r="I37" s="77" t="s">
        <v>4</v>
      </c>
      <c r="J37" s="79">
        <v>46115.338441958229</v>
      </c>
      <c r="K37" s="79">
        <v>17556.840063248455</v>
      </c>
      <c r="L37" s="79"/>
      <c r="M37" s="80"/>
      <c r="N37" s="39"/>
    </row>
    <row r="38" spans="2:29" x14ac:dyDescent="0.25">
      <c r="B38" s="39"/>
      <c r="C38" s="39"/>
      <c r="D38" s="39"/>
      <c r="E38" s="39"/>
      <c r="F38" s="39"/>
      <c r="I38" s="39"/>
      <c r="J38" s="39"/>
      <c r="K38" s="39"/>
      <c r="L38" s="39"/>
      <c r="M38" s="39"/>
      <c r="N38" s="39"/>
      <c r="Q38" s="83" t="s">
        <v>47</v>
      </c>
      <c r="R38" s="84" t="s">
        <v>39</v>
      </c>
      <c r="S38" s="85" t="s">
        <v>40</v>
      </c>
      <c r="Y38" s="83" t="s">
        <v>47</v>
      </c>
      <c r="Z38" s="84" t="s">
        <v>39</v>
      </c>
      <c r="AA38" s="85" t="s">
        <v>40</v>
      </c>
    </row>
    <row r="39" spans="2:29" x14ac:dyDescent="0.25">
      <c r="B39" s="83" t="s">
        <v>47</v>
      </c>
      <c r="C39" s="84" t="s">
        <v>39</v>
      </c>
      <c r="D39" s="85" t="s">
        <v>40</v>
      </c>
      <c r="I39" s="72" t="s">
        <v>47</v>
      </c>
      <c r="J39" s="73" t="s">
        <v>39</v>
      </c>
      <c r="K39" s="74" t="s">
        <v>40</v>
      </c>
      <c r="L39" s="39"/>
      <c r="M39" s="39"/>
      <c r="N39" s="39"/>
      <c r="Q39" s="86" t="s">
        <v>37</v>
      </c>
      <c r="R39" s="50">
        <v>0.34682148454597511</v>
      </c>
      <c r="S39" s="87">
        <v>0.326777131452198</v>
      </c>
      <c r="Y39" s="86" t="s">
        <v>37</v>
      </c>
      <c r="Z39" s="50">
        <v>0.30590015802558357</v>
      </c>
      <c r="AA39" s="97">
        <v>0.23626938761581381</v>
      </c>
    </row>
    <row r="40" spans="2:29" x14ac:dyDescent="0.25">
      <c r="B40" s="86" t="s">
        <v>37</v>
      </c>
      <c r="C40" s="50">
        <v>0.30590015802558357</v>
      </c>
      <c r="D40" s="87">
        <v>0.29816367830440532</v>
      </c>
      <c r="I40" s="75" t="s">
        <v>37</v>
      </c>
      <c r="J40" s="39">
        <v>0.34038491756339151</v>
      </c>
      <c r="K40" s="97">
        <v>0.23626938761581381</v>
      </c>
      <c r="L40" s="39"/>
      <c r="M40" s="39"/>
      <c r="N40" s="39"/>
      <c r="Q40" s="86" t="s">
        <v>38</v>
      </c>
      <c r="R40" s="50">
        <v>2.200225773207368</v>
      </c>
      <c r="S40" s="87">
        <v>2.6654975076904708</v>
      </c>
      <c r="Y40" s="86" t="s">
        <v>38</v>
      </c>
      <c r="Z40" s="39">
        <v>3.3268255498789827</v>
      </c>
      <c r="AA40" s="97">
        <v>3.2843014820441456</v>
      </c>
    </row>
    <row r="41" spans="2:29" x14ac:dyDescent="0.25">
      <c r="B41" s="88" t="s">
        <v>38</v>
      </c>
      <c r="C41" s="89">
        <v>2.6936221773018527</v>
      </c>
      <c r="D41" s="90">
        <v>2.8507742461287693</v>
      </c>
      <c r="I41" s="75" t="s">
        <v>38</v>
      </c>
      <c r="J41" s="39">
        <v>3.3268255498789827</v>
      </c>
      <c r="K41" s="97">
        <v>3.2843014820441456</v>
      </c>
      <c r="L41" s="39"/>
      <c r="M41" s="39"/>
      <c r="N41" s="39"/>
      <c r="Q41" s="88" t="s">
        <v>4</v>
      </c>
      <c r="R41" s="89"/>
      <c r="S41" s="90"/>
      <c r="Y41" s="88" t="s">
        <v>4</v>
      </c>
      <c r="Z41" s="89"/>
      <c r="AA41" s="90"/>
    </row>
    <row r="42" spans="2:29" x14ac:dyDescent="0.25">
      <c r="I42" s="77" t="s">
        <v>4</v>
      </c>
      <c r="J42" s="79"/>
      <c r="K42" s="80"/>
      <c r="L42" s="39"/>
      <c r="M42" s="39"/>
      <c r="N42" s="39"/>
    </row>
  </sheetData>
  <mergeCells count="4">
    <mergeCell ref="B3:F3"/>
    <mergeCell ref="I3:M3"/>
    <mergeCell ref="Q3:V3"/>
    <mergeCell ref="Y3:AD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4"/>
  <sheetViews>
    <sheetView topLeftCell="A3" workbookViewId="0">
      <selection activeCell="B2" sqref="B2:M4"/>
    </sheetView>
  </sheetViews>
  <sheetFormatPr defaultColWidth="8.85546875" defaultRowHeight="15" x14ac:dyDescent="0.25"/>
  <sheetData>
    <row r="2" spans="2:13" x14ac:dyDescent="0.25">
      <c r="B2" s="122">
        <v>1</v>
      </c>
      <c r="C2" s="122"/>
      <c r="D2" s="122"/>
      <c r="E2" s="122"/>
      <c r="F2" s="122">
        <v>2</v>
      </c>
      <c r="G2" s="122"/>
      <c r="H2" s="122"/>
      <c r="I2" s="122"/>
      <c r="J2" s="122">
        <v>3</v>
      </c>
      <c r="K2" s="122"/>
      <c r="L2" s="122"/>
      <c r="M2" s="122"/>
    </row>
    <row r="3" spans="2:13" x14ac:dyDescent="0.25">
      <c r="B3" s="122" t="s">
        <v>48</v>
      </c>
      <c r="C3" s="122"/>
      <c r="D3" s="122" t="s">
        <v>49</v>
      </c>
      <c r="E3" s="122"/>
      <c r="F3" s="122" t="s">
        <v>48</v>
      </c>
      <c r="G3" s="122"/>
      <c r="H3" s="122" t="s">
        <v>49</v>
      </c>
      <c r="I3" s="122"/>
      <c r="J3" s="122" t="s">
        <v>48</v>
      </c>
      <c r="K3" s="122"/>
      <c r="L3" s="122" t="s">
        <v>49</v>
      </c>
      <c r="M3" s="122"/>
    </row>
    <row r="4" spans="2:13" x14ac:dyDescent="0.25">
      <c r="B4" t="s">
        <v>1</v>
      </c>
      <c r="C4" t="s">
        <v>2</v>
      </c>
      <c r="D4" t="s">
        <v>1</v>
      </c>
      <c r="E4" t="s">
        <v>2</v>
      </c>
      <c r="F4" t="s">
        <v>1</v>
      </c>
      <c r="G4" t="s">
        <v>2</v>
      </c>
      <c r="H4" t="s">
        <v>1</v>
      </c>
      <c r="I4" t="s">
        <v>2</v>
      </c>
      <c r="J4" t="s">
        <v>1</v>
      </c>
      <c r="K4" t="s">
        <v>2</v>
      </c>
      <c r="L4" t="s">
        <v>1</v>
      </c>
      <c r="M4" t="s">
        <v>2</v>
      </c>
    </row>
    <row r="5" spans="2:13" x14ac:dyDescent="0.25">
      <c r="B5">
        <v>0.53579339450450525</v>
      </c>
      <c r="C5">
        <v>0.79920764445961368</v>
      </c>
      <c r="D5">
        <v>1.3498401896251271</v>
      </c>
      <c r="E5">
        <v>1.0335962637455216</v>
      </c>
      <c r="F5">
        <v>1.178031505603228</v>
      </c>
      <c r="G5">
        <v>1.199449726893649</v>
      </c>
      <c r="H5">
        <v>1.744939789939465</v>
      </c>
      <c r="I5">
        <v>1.199449726893649</v>
      </c>
      <c r="J5">
        <v>0.98109569263244523</v>
      </c>
      <c r="K5">
        <v>1.0687152763010457</v>
      </c>
      <c r="L5">
        <v>1.0748661213727384</v>
      </c>
      <c r="M5">
        <v>0.38203988956116969</v>
      </c>
    </row>
    <row r="6" spans="2:13" x14ac:dyDescent="0.25">
      <c r="B6">
        <v>0.60483147644964941</v>
      </c>
      <c r="C6">
        <v>0.62073323130063607</v>
      </c>
      <c r="D6">
        <v>1.4919004633262032</v>
      </c>
      <c r="E6">
        <v>1.3317535186699314</v>
      </c>
      <c r="F6">
        <v>0.48356717227087531</v>
      </c>
      <c r="G6">
        <v>0.62983761911991609</v>
      </c>
      <c r="H6">
        <v>0.77246393053222306</v>
      </c>
      <c r="I6">
        <v>0.78320969695257792</v>
      </c>
      <c r="J6">
        <v>0.7097545446909318</v>
      </c>
      <c r="K6">
        <v>0.64141143672030354</v>
      </c>
      <c r="L6">
        <v>1.8549570091045988</v>
      </c>
      <c r="M6">
        <v>1.5361187226105364</v>
      </c>
    </row>
    <row r="7" spans="2:13" x14ac:dyDescent="0.25">
      <c r="B7">
        <v>1.0512499896763323</v>
      </c>
      <c r="C7">
        <v>1.4969298382994167</v>
      </c>
      <c r="D7">
        <v>1.2501581585880528</v>
      </c>
      <c r="E7">
        <v>1.5636536058333612</v>
      </c>
      <c r="F7">
        <v>0.70637742800081416</v>
      </c>
      <c r="G7">
        <v>1.1471764298803415</v>
      </c>
      <c r="H7">
        <v>1.6659460306668374</v>
      </c>
      <c r="I7">
        <v>1.4538649756552255</v>
      </c>
      <c r="J7">
        <v>1.0072225678158093</v>
      </c>
      <c r="K7">
        <v>0.69232578586983595</v>
      </c>
      <c r="L7">
        <v>2.0257275827101489</v>
      </c>
      <c r="M7">
        <v>1.7917840939962557</v>
      </c>
    </row>
    <row r="8" spans="2:13" x14ac:dyDescent="0.25">
      <c r="B8">
        <v>0.51868749019251581</v>
      </c>
      <c r="C8">
        <v>0.72050781608624315</v>
      </c>
      <c r="D8">
        <v>1.3099990915172488</v>
      </c>
      <c r="E8">
        <v>1.6876136121843026</v>
      </c>
      <c r="F8">
        <v>0.74624501213883387</v>
      </c>
      <c r="G8">
        <v>0.99018970916909987</v>
      </c>
      <c r="H8">
        <v>2.0287477864046664</v>
      </c>
      <c r="I8">
        <v>1.9296631982572034</v>
      </c>
      <c r="J8">
        <v>1.1761865864510812</v>
      </c>
      <c r="K8">
        <v>0.79263555967159982</v>
      </c>
      <c r="L8">
        <v>1.5002075590447659</v>
      </c>
      <c r="M8">
        <v>1.130626638811038</v>
      </c>
    </row>
    <row r="9" spans="2:13" x14ac:dyDescent="0.25">
      <c r="B9">
        <v>1.4438334668527681</v>
      </c>
      <c r="C9">
        <v>1.6443753665562453</v>
      </c>
      <c r="D9">
        <v>1.4097405868798574</v>
      </c>
      <c r="E9">
        <v>1.5514442451074528</v>
      </c>
      <c r="F9">
        <v>0.9477903096345458</v>
      </c>
      <c r="G9">
        <v>1.1103070725188278</v>
      </c>
      <c r="H9">
        <v>1.9544889346311023</v>
      </c>
      <c r="I9">
        <v>1.6037892402806269</v>
      </c>
      <c r="J9">
        <v>0.47773153181009748</v>
      </c>
      <c r="K9">
        <v>0.45063451985928682</v>
      </c>
      <c r="L9">
        <v>1.3427986750307079</v>
      </c>
      <c r="M9">
        <v>1.1526814225118498</v>
      </c>
    </row>
    <row r="10" spans="2:13" x14ac:dyDescent="0.25">
      <c r="B10">
        <v>0.41424831311270971</v>
      </c>
      <c r="C10">
        <v>0.57321782108706942</v>
      </c>
      <c r="D10">
        <v>1.3828627117384231</v>
      </c>
      <c r="E10">
        <v>1.2840048085698825</v>
      </c>
      <c r="F10">
        <v>0.79357723692484294</v>
      </c>
      <c r="G10">
        <v>0.94297691218580404</v>
      </c>
      <c r="H10">
        <v>1.6568300699657941</v>
      </c>
      <c r="I10">
        <v>1.2181346500813846</v>
      </c>
      <c r="J10">
        <v>1.0563744973845126</v>
      </c>
      <c r="K10">
        <v>1.1071744445727092</v>
      </c>
      <c r="L10">
        <v>1.0635155024085372</v>
      </c>
      <c r="M10">
        <v>0.90716246676810186</v>
      </c>
    </row>
    <row r="11" spans="2:13" x14ac:dyDescent="0.25">
      <c r="B11">
        <v>1.5627422964792164</v>
      </c>
      <c r="C11">
        <v>1.4734443163935294</v>
      </c>
      <c r="D11">
        <v>1.7897374484848987</v>
      </c>
      <c r="E11">
        <v>1.5847283622455979</v>
      </c>
      <c r="F11">
        <v>0.56291478584058585</v>
      </c>
      <c r="G11">
        <v>0.58596141556300152</v>
      </c>
      <c r="H11">
        <v>2.2987386150790075</v>
      </c>
      <c r="I11">
        <v>1.8206122031049736</v>
      </c>
      <c r="J11">
        <v>0.67352118745685996</v>
      </c>
      <c r="K11">
        <v>0.75399412046026015</v>
      </c>
      <c r="L11">
        <v>1.3319252592662028</v>
      </c>
      <c r="M11">
        <v>1.1854901916535534</v>
      </c>
    </row>
    <row r="12" spans="2:13" x14ac:dyDescent="0.25">
      <c r="B12">
        <v>0.77733748482420861</v>
      </c>
      <c r="C12">
        <v>0.71677501790252596</v>
      </c>
      <c r="D12">
        <v>1.740659558477383</v>
      </c>
      <c r="E12">
        <v>1.6142796812000255</v>
      </c>
      <c r="F12">
        <v>0.55204640385875037</v>
      </c>
      <c r="G12">
        <v>0.63373031145069425</v>
      </c>
      <c r="H12">
        <v>1.8925138820277054</v>
      </c>
      <c r="I12">
        <v>0.68394604251773328</v>
      </c>
      <c r="J12">
        <v>1.277643395300766</v>
      </c>
      <c r="K12">
        <v>1.1707870025196787</v>
      </c>
      <c r="L12">
        <v>1.1618364045173615</v>
      </c>
      <c r="M12">
        <v>0.62239450201409385</v>
      </c>
    </row>
    <row r="13" spans="2:13" x14ac:dyDescent="0.25">
      <c r="B13">
        <v>0.57099627522072005</v>
      </c>
      <c r="C13">
        <v>0.86764227782776204</v>
      </c>
      <c r="D13">
        <v>1.4312468512813736</v>
      </c>
      <c r="E13">
        <v>0.98258135523472023</v>
      </c>
      <c r="F13">
        <v>0.49516011305149982</v>
      </c>
      <c r="G13">
        <v>0.7058563393509707</v>
      </c>
      <c r="H13">
        <v>1.5851661497041718</v>
      </c>
      <c r="I13">
        <v>1.4914572615924553</v>
      </c>
      <c r="J13">
        <v>0.85291550459977628</v>
      </c>
      <c r="K13">
        <v>0.66462060303906412</v>
      </c>
      <c r="L13">
        <v>1.4125555570434341</v>
      </c>
      <c r="M13">
        <v>1.3478935989049856</v>
      </c>
    </row>
    <row r="14" spans="2:13" x14ac:dyDescent="0.25">
      <c r="B14">
        <v>1.0718642891948367</v>
      </c>
      <c r="C14">
        <v>1.6805368489610053</v>
      </c>
      <c r="D14">
        <v>1.3592355530595222</v>
      </c>
      <c r="E14">
        <v>1.0836002060815664</v>
      </c>
      <c r="F14">
        <v>1.2319353101922073</v>
      </c>
      <c r="G14">
        <v>1.5500700861158874</v>
      </c>
      <c r="H14">
        <v>1.8643403398980483</v>
      </c>
      <c r="I14">
        <v>1.8018160601363589</v>
      </c>
      <c r="J14">
        <v>1.285414990267246</v>
      </c>
      <c r="K14">
        <v>0.86390349708496694</v>
      </c>
      <c r="L14">
        <v>1.1082192164372155</v>
      </c>
      <c r="M14">
        <v>1.2526266544342615</v>
      </c>
    </row>
    <row r="15" spans="2:13" x14ac:dyDescent="0.25">
      <c r="B15">
        <v>0.57745806526209731</v>
      </c>
      <c r="C15">
        <v>0.65067338339920089</v>
      </c>
      <c r="D15">
        <v>0.91961579438557661</v>
      </c>
      <c r="E15">
        <v>0.89493836454619391</v>
      </c>
      <c r="F15">
        <v>0.44772678703775276</v>
      </c>
      <c r="G15">
        <v>0.56043647585118439</v>
      </c>
      <c r="H15">
        <v>1.2653324157549948</v>
      </c>
      <c r="I15">
        <v>1.0926787372494464</v>
      </c>
      <c r="J15">
        <v>1.3251932855562036</v>
      </c>
      <c r="K15">
        <v>1.1207232510886349</v>
      </c>
      <c r="L15">
        <v>1.1104859316357722</v>
      </c>
      <c r="M15">
        <v>1.3558527632708433</v>
      </c>
    </row>
    <row r="16" spans="2:13" x14ac:dyDescent="0.25">
      <c r="B16">
        <v>1.7369727702942659</v>
      </c>
      <c r="C16">
        <v>2.020765850081061</v>
      </c>
      <c r="D16">
        <v>1.2629033456942047</v>
      </c>
      <c r="E16">
        <v>0.9535744026820846</v>
      </c>
      <c r="F16">
        <v>1.3777738312042787</v>
      </c>
      <c r="G16">
        <v>1.3003260681512447</v>
      </c>
      <c r="H16">
        <v>1.4925911255054058</v>
      </c>
      <c r="I16">
        <v>1.1150339132062015</v>
      </c>
      <c r="J16">
        <v>0.76819489368229232</v>
      </c>
      <c r="K16">
        <v>0.8640857680246431</v>
      </c>
      <c r="L16">
        <v>1.2020407740917618</v>
      </c>
      <c r="M16">
        <v>1.4330141277337387</v>
      </c>
    </row>
    <row r="17" spans="2:13" x14ac:dyDescent="0.25">
      <c r="B17">
        <v>0.45668602010224563</v>
      </c>
      <c r="C17">
        <v>0.47639836819690512</v>
      </c>
      <c r="D17">
        <v>1.0566216004162503</v>
      </c>
      <c r="E17">
        <v>0.85597728350364588</v>
      </c>
      <c r="F17">
        <v>1.2525262602415141</v>
      </c>
      <c r="G17">
        <v>1.4479703272686186</v>
      </c>
      <c r="H17">
        <v>1.748040227590097</v>
      </c>
      <c r="I17">
        <v>1.4061516896579727</v>
      </c>
      <c r="J17">
        <v>0.91825825701531316</v>
      </c>
      <c r="K17">
        <v>0.83771723875149617</v>
      </c>
      <c r="L17">
        <v>1.7452854880315734</v>
      </c>
      <c r="M17">
        <v>1.7953079988299943</v>
      </c>
    </row>
    <row r="18" spans="2:13" x14ac:dyDescent="0.25">
      <c r="B18">
        <v>1.3812571749490012</v>
      </c>
      <c r="C18">
        <v>1.6772706505502528</v>
      </c>
      <c r="F18">
        <v>0.72659767354841509</v>
      </c>
      <c r="G18">
        <v>0.74317057583600199</v>
      </c>
      <c r="H18">
        <v>1.4819923467975384</v>
      </c>
      <c r="I18">
        <v>1.3765116180536183</v>
      </c>
      <c r="J18">
        <v>0.94211841700012056</v>
      </c>
      <c r="K18">
        <v>0.84075508774609831</v>
      </c>
      <c r="L18">
        <v>0.92490501586822382</v>
      </c>
      <c r="M18">
        <v>0.90685868186864171</v>
      </c>
    </row>
    <row r="19" spans="2:13" x14ac:dyDescent="0.25">
      <c r="B19">
        <v>1.1731518570213328</v>
      </c>
      <c r="C19">
        <v>1.2180587073242124</v>
      </c>
      <c r="F19">
        <v>0.60628721254018969</v>
      </c>
      <c r="G19">
        <v>0.59697217387005996</v>
      </c>
      <c r="H19">
        <v>1.8291065620313536</v>
      </c>
      <c r="I19">
        <v>1.2709084361086493</v>
      </c>
      <c r="J19">
        <v>0.81438134622431235</v>
      </c>
      <c r="K19">
        <v>0.79470129698792935</v>
      </c>
      <c r="L19">
        <v>1.3945240932834868</v>
      </c>
      <c r="M19">
        <v>1.5830838680670862</v>
      </c>
    </row>
    <row r="20" spans="2:13" x14ac:dyDescent="0.25">
      <c r="B20">
        <v>0.68467224420016359</v>
      </c>
      <c r="C20">
        <v>0.71529745195480465</v>
      </c>
      <c r="F20">
        <v>0.88332142674694492</v>
      </c>
      <c r="G20">
        <v>0.86528989524155875</v>
      </c>
      <c r="H20">
        <v>1.0855238822229538</v>
      </c>
      <c r="I20">
        <v>0.4305317717840712</v>
      </c>
      <c r="J20">
        <v>0.64591157376015429</v>
      </c>
      <c r="K20">
        <v>0.76207479878590201</v>
      </c>
      <c r="L20">
        <v>0.88773429520617742</v>
      </c>
      <c r="M20">
        <v>0.92119732912316399</v>
      </c>
    </row>
    <row r="21" spans="2:13" x14ac:dyDescent="0.25">
      <c r="B21">
        <v>0.60701183505256817</v>
      </c>
      <c r="C21">
        <v>0.43090489033285195</v>
      </c>
      <c r="F21">
        <v>1.5831272749447889</v>
      </c>
      <c r="G21">
        <v>1.8773899012438959</v>
      </c>
      <c r="H21">
        <v>1.043971277622634</v>
      </c>
      <c r="I21">
        <v>0.96783453321234503</v>
      </c>
      <c r="J21">
        <v>0.64478673764658478</v>
      </c>
      <c r="K21">
        <v>0.53690943130598867</v>
      </c>
    </row>
    <row r="22" spans="2:13" x14ac:dyDescent="0.25">
      <c r="B22">
        <v>0.55048108291143949</v>
      </c>
      <c r="C22">
        <v>0.62151089758891043</v>
      </c>
      <c r="F22">
        <v>0.82370540279076832</v>
      </c>
      <c r="G22">
        <v>1.0612035392605825</v>
      </c>
      <c r="H22">
        <v>0.98371494589078334</v>
      </c>
      <c r="I22">
        <v>1.0453547204852713</v>
      </c>
      <c r="J22">
        <v>1.2805918293560314</v>
      </c>
      <c r="K22">
        <v>1.3432760684331904</v>
      </c>
    </row>
    <row r="23" spans="2:13" x14ac:dyDescent="0.25">
      <c r="B23">
        <v>1.4965188592760219</v>
      </c>
      <c r="C23">
        <v>1.7376953211491748</v>
      </c>
      <c r="F23">
        <v>0.89659938798986949</v>
      </c>
      <c r="G23">
        <v>0.9666667255131115</v>
      </c>
      <c r="J23">
        <v>1.4725127304909715</v>
      </c>
      <c r="K23">
        <v>1.6557492160179701</v>
      </c>
    </row>
    <row r="24" spans="2:13" x14ac:dyDescent="0.25">
      <c r="B24">
        <v>1.0495849885613764</v>
      </c>
      <c r="C24">
        <v>0.78419868509591761</v>
      </c>
      <c r="F24">
        <v>0.77585082166144625</v>
      </c>
      <c r="G24">
        <v>0.80484194433361689</v>
      </c>
      <c r="J24">
        <v>1.0724971483456753</v>
      </c>
      <c r="K24">
        <v>0.80989054196094024</v>
      </c>
    </row>
    <row r="25" spans="2:13" x14ac:dyDescent="0.25">
      <c r="B25">
        <v>0.63850810614382114</v>
      </c>
      <c r="C25">
        <v>0.64017488850749638</v>
      </c>
      <c r="F25">
        <v>0.76205050407520858</v>
      </c>
      <c r="G25">
        <v>0.76852868587650014</v>
      </c>
      <c r="J25">
        <v>0.79474784315109936</v>
      </c>
      <c r="K25">
        <v>0.64724410678993971</v>
      </c>
    </row>
    <row r="26" spans="2:13" x14ac:dyDescent="0.25">
      <c r="B26">
        <v>0.67642652439276185</v>
      </c>
      <c r="C26">
        <v>0.95730720086580179</v>
      </c>
      <c r="F26">
        <v>1.6645980142969974</v>
      </c>
      <c r="G26">
        <v>2.0938792047256047</v>
      </c>
      <c r="J26">
        <v>0.89303465931708814</v>
      </c>
      <c r="K26">
        <v>0.72555985387078381</v>
      </c>
    </row>
    <row r="27" spans="2:13" x14ac:dyDescent="0.25">
      <c r="B27">
        <v>0.74229317564275155</v>
      </c>
      <c r="C27">
        <v>0.83498029372023674</v>
      </c>
      <c r="F27">
        <v>1.2621140266720017</v>
      </c>
      <c r="G27">
        <v>1.3642218322664472</v>
      </c>
      <c r="J27">
        <v>1.0391781392240336</v>
      </c>
      <c r="K27">
        <v>1.0430150738067112</v>
      </c>
    </row>
    <row r="28" spans="2:13" x14ac:dyDescent="0.25">
      <c r="B28">
        <v>0.94813884920012226</v>
      </c>
      <c r="C28">
        <v>1.1871075890508906</v>
      </c>
      <c r="F28">
        <v>1.0142980672815298</v>
      </c>
      <c r="G28">
        <v>1.1829891993235011</v>
      </c>
      <c r="J28">
        <v>0.7489533789516869</v>
      </c>
      <c r="K28">
        <v>0.87380688480737001</v>
      </c>
    </row>
    <row r="29" spans="2:13" x14ac:dyDescent="0.25">
      <c r="B29">
        <v>0.889348452688696</v>
      </c>
      <c r="C29">
        <v>1.5427343826787796</v>
      </c>
      <c r="F29">
        <v>0.88492219618612999</v>
      </c>
      <c r="G29">
        <v>0.79516582339711106</v>
      </c>
      <c r="J29">
        <v>1.2293947432172019</v>
      </c>
      <c r="K29">
        <v>1.006378614931809</v>
      </c>
    </row>
    <row r="30" spans="2:13" x14ac:dyDescent="0.25">
      <c r="B30">
        <v>0.97612672508486065</v>
      </c>
      <c r="C30">
        <v>1.2805053102726476</v>
      </c>
      <c r="F30">
        <v>1.1721339339851777</v>
      </c>
      <c r="G30">
        <v>1.0687664843603804</v>
      </c>
      <c r="J30">
        <v>0.90890166570698516</v>
      </c>
      <c r="K30">
        <v>1.0839652782539486</v>
      </c>
    </row>
    <row r="31" spans="2:13" x14ac:dyDescent="0.25">
      <c r="B31">
        <v>1.3232596361113635</v>
      </c>
      <c r="C31">
        <v>1.5043954346668509</v>
      </c>
      <c r="F31">
        <v>0.68057976472299997</v>
      </c>
      <c r="G31">
        <v>0.7676945375199048</v>
      </c>
      <c r="J31">
        <v>0.59168083870897059</v>
      </c>
      <c r="K31">
        <v>0.75441941931950451</v>
      </c>
    </row>
    <row r="32" spans="2:13" x14ac:dyDescent="0.25">
      <c r="B32">
        <v>1.2330918971597526</v>
      </c>
      <c r="C32">
        <v>1.19807268371556</v>
      </c>
      <c r="F32">
        <v>0.87021196755025043</v>
      </c>
      <c r="G32">
        <v>0.99046775862129832</v>
      </c>
      <c r="J32">
        <v>0.56657654181066963</v>
      </c>
      <c r="K32">
        <v>0.82416843223557046</v>
      </c>
    </row>
    <row r="33" spans="2:11" x14ac:dyDescent="0.25">
      <c r="B33">
        <v>0.80546411080185998</v>
      </c>
      <c r="C33">
        <v>0.75355863333790574</v>
      </c>
      <c r="F33">
        <v>0.82847401069907756</v>
      </c>
      <c r="G33">
        <v>0.8519991314264731</v>
      </c>
      <c r="J33">
        <v>0.51263553727358724</v>
      </c>
      <c r="K33">
        <v>0.62008573677819623</v>
      </c>
    </row>
    <row r="34" spans="2:11" x14ac:dyDescent="0.25">
      <c r="B34">
        <v>1.0166813950991485</v>
      </c>
      <c r="C34">
        <v>0.80939507283600853</v>
      </c>
      <c r="F34">
        <v>0.93137821033174306</v>
      </c>
      <c r="G34">
        <v>0.89960119764284674</v>
      </c>
      <c r="J34">
        <v>1.5881663345316166</v>
      </c>
      <c r="K34">
        <v>1.5147930226684292</v>
      </c>
    </row>
    <row r="35" spans="2:11" x14ac:dyDescent="0.25">
      <c r="B35">
        <v>1.0719237535203707</v>
      </c>
      <c r="C35">
        <v>0.8929941988255079</v>
      </c>
      <c r="F35">
        <v>1.0199260356256119</v>
      </c>
      <c r="G35">
        <v>1.0551976710930961</v>
      </c>
      <c r="J35">
        <v>0.76338877574249531</v>
      </c>
      <c r="K35">
        <v>0.62670824758642896</v>
      </c>
    </row>
    <row r="36" spans="2:11" x14ac:dyDescent="0.25">
      <c r="B36">
        <v>1.0405662325220308</v>
      </c>
      <c r="C36">
        <v>1.0620588498963652</v>
      </c>
      <c r="F36">
        <v>0.75861306233211645</v>
      </c>
      <c r="G36">
        <v>0.63178396528530523</v>
      </c>
      <c r="J36">
        <v>0.53704107234376164</v>
      </c>
      <c r="K36">
        <v>0.73467340085459032</v>
      </c>
    </row>
    <row r="37" spans="2:11" x14ac:dyDescent="0.25">
      <c r="B37">
        <v>1.1107539580941683</v>
      </c>
      <c r="C37">
        <v>0.8447011223236669</v>
      </c>
      <c r="F37">
        <v>1.3150405193928469</v>
      </c>
      <c r="G37">
        <v>0.94887156057241107</v>
      </c>
      <c r="J37">
        <v>0.67921353991037836</v>
      </c>
      <c r="K37">
        <v>1.1524991515721736</v>
      </c>
    </row>
    <row r="38" spans="2:11" x14ac:dyDescent="0.25">
      <c r="B38">
        <v>0.59389004055136652</v>
      </c>
      <c r="C38">
        <v>0.67268133935736685</v>
      </c>
      <c r="F38">
        <v>0.93343393529574914</v>
      </c>
      <c r="G38">
        <v>0.67465919081430525</v>
      </c>
      <c r="J38">
        <v>0.55906059141545528</v>
      </c>
      <c r="K38">
        <v>0.85369632446310362</v>
      </c>
    </row>
    <row r="39" spans="2:11" x14ac:dyDescent="0.25">
      <c r="B39">
        <v>0.91279721839099448</v>
      </c>
      <c r="C39">
        <v>0.77167825785469957</v>
      </c>
      <c r="F39">
        <v>0.85580504259758472</v>
      </c>
      <c r="G39">
        <v>0.93157688464566779</v>
      </c>
      <c r="J39">
        <v>1.161427373203336</v>
      </c>
      <c r="K39">
        <v>1.4237183098102559</v>
      </c>
    </row>
    <row r="40" spans="2:11" x14ac:dyDescent="0.25">
      <c r="B40">
        <v>1.0217755056532405</v>
      </c>
      <c r="C40">
        <v>0.99930118043262006</v>
      </c>
      <c r="F40">
        <v>1.3857608281955811</v>
      </c>
      <c r="G40">
        <v>1.7345280927043354</v>
      </c>
      <c r="J40">
        <v>0.65177435592784982</v>
      </c>
      <c r="K40">
        <v>0.77926902409535026</v>
      </c>
    </row>
    <row r="41" spans="2:11" x14ac:dyDescent="0.25">
      <c r="B41">
        <v>0.83281770054756732</v>
      </c>
      <c r="C41">
        <v>0.95155247033257118</v>
      </c>
      <c r="F41">
        <v>0.75539467324912335</v>
      </c>
      <c r="G41">
        <v>0.76430233420308369</v>
      </c>
      <c r="J41">
        <v>1.1052026104962791</v>
      </c>
      <c r="K41">
        <v>1.5318049770382014</v>
      </c>
    </row>
    <row r="42" spans="2:11" x14ac:dyDescent="0.25">
      <c r="B42">
        <v>0.6169423774167706</v>
      </c>
      <c r="C42">
        <v>0.56303039271067468</v>
      </c>
      <c r="F42">
        <v>1.0962574625678054</v>
      </c>
      <c r="G42">
        <v>1.1943892268636374</v>
      </c>
      <c r="J42">
        <v>1.3404467449750626</v>
      </c>
      <c r="K42">
        <v>1.5869723147801769</v>
      </c>
    </row>
    <row r="43" spans="2:11" x14ac:dyDescent="0.25">
      <c r="B43">
        <v>1.0269290805328666</v>
      </c>
      <c r="C43">
        <v>0.88902810075530836</v>
      </c>
      <c r="F43">
        <v>1.293421706861537</v>
      </c>
      <c r="G43">
        <v>1.5381139596713542</v>
      </c>
      <c r="J43">
        <v>0.93226757952067862</v>
      </c>
      <c r="K43">
        <v>1.0077152684894339</v>
      </c>
    </row>
    <row r="44" spans="2:11" x14ac:dyDescent="0.25">
      <c r="B44">
        <v>0.54772590249502406</v>
      </c>
      <c r="C44">
        <v>0.55284296433427982</v>
      </c>
      <c r="F44">
        <v>0.92510993421198684</v>
      </c>
      <c r="G44">
        <v>0.7978907080286558</v>
      </c>
      <c r="J44">
        <v>1.1213082184860241</v>
      </c>
      <c r="K44">
        <v>1.0181047120509734</v>
      </c>
    </row>
    <row r="45" spans="2:11" x14ac:dyDescent="0.25">
      <c r="B45">
        <v>1.2446081548715324</v>
      </c>
      <c r="C45">
        <v>0.99028025148863685</v>
      </c>
      <c r="F45">
        <v>0.8327202622640737</v>
      </c>
      <c r="G45">
        <v>0.88119432390730967</v>
      </c>
      <c r="J45">
        <v>0.5641053109551003</v>
      </c>
      <c r="K45">
        <v>1.0492730427355916</v>
      </c>
    </row>
    <row r="46" spans="2:11" x14ac:dyDescent="0.25">
      <c r="B46">
        <v>1.0912298378771237</v>
      </c>
      <c r="C46">
        <v>0.86538704559176627</v>
      </c>
      <c r="F46">
        <v>1.1262845272059927</v>
      </c>
      <c r="G46">
        <v>0.96700038485574968</v>
      </c>
      <c r="J46">
        <v>1.3224493671579507</v>
      </c>
      <c r="K46">
        <v>1.1162272345766238</v>
      </c>
    </row>
    <row r="47" spans="2:11" x14ac:dyDescent="0.25">
      <c r="B47">
        <v>0.67811134694956277</v>
      </c>
      <c r="C47">
        <v>0.70503225694958238</v>
      </c>
      <c r="F47">
        <v>0.57445717600734136</v>
      </c>
      <c r="G47">
        <v>0.71836856469990074</v>
      </c>
      <c r="J47">
        <v>0.93213123574933687</v>
      </c>
      <c r="K47">
        <v>0.79615946450533837</v>
      </c>
    </row>
    <row r="48" spans="2:11" x14ac:dyDescent="0.25">
      <c r="B48">
        <v>1.1911695476581794</v>
      </c>
      <c r="C48">
        <v>1.0461944576155671</v>
      </c>
      <c r="F48">
        <v>0.54945147234680825</v>
      </c>
      <c r="G48">
        <v>0.60659268491612617</v>
      </c>
      <c r="J48">
        <v>0.53750123257204008</v>
      </c>
      <c r="K48">
        <v>0.92453896301722638</v>
      </c>
    </row>
    <row r="49" spans="2:11" x14ac:dyDescent="0.25">
      <c r="B49">
        <v>1.2707129937810226</v>
      </c>
      <c r="C49">
        <v>1.0936321012003063</v>
      </c>
      <c r="F49">
        <v>0.67412613635239071</v>
      </c>
      <c r="G49">
        <v>0.9773994343679715</v>
      </c>
      <c r="J49">
        <v>1.4811705599711731</v>
      </c>
      <c r="K49">
        <v>1.2219443795887794</v>
      </c>
    </row>
    <row r="50" spans="2:11" x14ac:dyDescent="0.25">
      <c r="B50">
        <v>1.4718609856211957</v>
      </c>
      <c r="C50">
        <v>1.2133927095945658</v>
      </c>
      <c r="F50">
        <v>0.61681859042956522</v>
      </c>
      <c r="G50">
        <v>0.84198935114732909</v>
      </c>
      <c r="J50">
        <v>0.54346627256824187</v>
      </c>
      <c r="K50">
        <v>0.72853694588549389</v>
      </c>
    </row>
    <row r="51" spans="2:11" x14ac:dyDescent="0.25">
      <c r="B51">
        <v>0.78334338170315743</v>
      </c>
      <c r="C51">
        <v>0.98312572163651224</v>
      </c>
      <c r="F51">
        <v>0.7143307245828705</v>
      </c>
      <c r="G51">
        <v>0.52929493720495857</v>
      </c>
      <c r="J51">
        <v>0.75815658351725546</v>
      </c>
      <c r="K51">
        <v>0.97344833183032142</v>
      </c>
    </row>
    <row r="52" spans="2:11" x14ac:dyDescent="0.25">
      <c r="B52">
        <v>1.1678595320487939</v>
      </c>
      <c r="C52">
        <v>1.0573928521667186</v>
      </c>
      <c r="F52">
        <v>0.37409139283523951</v>
      </c>
      <c r="G52">
        <v>0.4134595354190867</v>
      </c>
      <c r="J52">
        <v>0.68016794630977062</v>
      </c>
      <c r="K52">
        <v>0.65939550276834835</v>
      </c>
    </row>
    <row r="53" spans="2:11" x14ac:dyDescent="0.25">
      <c r="B53">
        <v>0.76213443892931187</v>
      </c>
      <c r="C53">
        <v>0.74834826920646713</v>
      </c>
      <c r="F53">
        <v>0.80629914141520853</v>
      </c>
      <c r="G53">
        <v>0.85933963696451199</v>
      </c>
      <c r="J53">
        <v>0.43892468589194999</v>
      </c>
      <c r="K53">
        <v>0.56582975373460132</v>
      </c>
    </row>
    <row r="54" spans="2:11" x14ac:dyDescent="0.25">
      <c r="B54">
        <v>1.4876983176551235</v>
      </c>
      <c r="C54">
        <v>1.2089600117514017</v>
      </c>
      <c r="F54">
        <v>0.34261521059947408</v>
      </c>
      <c r="G54">
        <v>0.46745673903602458</v>
      </c>
      <c r="J54">
        <v>0.79394682349446655</v>
      </c>
      <c r="K54">
        <v>0.99015650130063337</v>
      </c>
    </row>
    <row r="55" spans="2:11" x14ac:dyDescent="0.25">
      <c r="B55">
        <v>1.045838736052725</v>
      </c>
      <c r="C55">
        <v>1.0193649706701</v>
      </c>
      <c r="F55">
        <v>0.33708834348312988</v>
      </c>
      <c r="G55">
        <v>0.46061672251194286</v>
      </c>
      <c r="J55">
        <v>0.90032905108387218</v>
      </c>
      <c r="K55">
        <v>1.2797850244460049</v>
      </c>
    </row>
    <row r="56" spans="2:11" x14ac:dyDescent="0.25">
      <c r="B56">
        <v>1.0469090939123398</v>
      </c>
      <c r="C56">
        <v>0.70658758952613121</v>
      </c>
      <c r="J56">
        <v>0.78511856430008786</v>
      </c>
      <c r="K56">
        <v>0.93796625557336799</v>
      </c>
    </row>
    <row r="57" spans="2:11" x14ac:dyDescent="0.25">
      <c r="B57">
        <v>0.70972654669188395</v>
      </c>
      <c r="C57">
        <v>0.48518599725440598</v>
      </c>
      <c r="J57">
        <v>1.1094463103792913</v>
      </c>
      <c r="K57">
        <v>1.3190340334562649</v>
      </c>
    </row>
    <row r="58" spans="2:11" x14ac:dyDescent="0.25">
      <c r="B58">
        <v>0.73926049504051006</v>
      </c>
      <c r="C58">
        <v>0.46278920815210289</v>
      </c>
      <c r="J58">
        <v>0.90479430959531471</v>
      </c>
      <c r="K58">
        <v>0.55288851701759612</v>
      </c>
    </row>
    <row r="59" spans="2:11" x14ac:dyDescent="0.25">
      <c r="B59">
        <v>0.71787315929006201</v>
      </c>
      <c r="C59">
        <v>0.7699673920204958</v>
      </c>
    </row>
    <row r="60" spans="2:11" x14ac:dyDescent="0.25">
      <c r="B60">
        <v>0.66294794393835532</v>
      </c>
      <c r="C60">
        <v>0.4999616567316198</v>
      </c>
    </row>
    <row r="61" spans="2:11" x14ac:dyDescent="0.25">
      <c r="B61">
        <v>0.84453217267779424</v>
      </c>
      <c r="C61">
        <v>0.66832640814303013</v>
      </c>
    </row>
    <row r="62" spans="2:11" x14ac:dyDescent="0.25">
      <c r="B62">
        <v>0.46849959944169606</v>
      </c>
      <c r="C62">
        <v>0.42445026014017434</v>
      </c>
    </row>
    <row r="63" spans="2:11" x14ac:dyDescent="0.25">
      <c r="B63">
        <v>0.70435493595196608</v>
      </c>
      <c r="C63">
        <v>0.60378010621625389</v>
      </c>
    </row>
    <row r="64" spans="2:11" x14ac:dyDescent="0.25">
      <c r="B64">
        <v>1.2158075998711606</v>
      </c>
      <c r="C64">
        <v>1.2254465370628191</v>
      </c>
    </row>
  </sheetData>
  <mergeCells count="9">
    <mergeCell ref="J2:M2"/>
    <mergeCell ref="J3:K3"/>
    <mergeCell ref="L3:M3"/>
    <mergeCell ref="B2:E2"/>
    <mergeCell ref="B3:C3"/>
    <mergeCell ref="D3:E3"/>
    <mergeCell ref="F2:I2"/>
    <mergeCell ref="F3:G3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 4C Exp1_P63</vt:lpstr>
      <vt:lpstr>Fig 4C Exp1_Foxj1</vt:lpstr>
      <vt:lpstr>Fig 4C Exp2_P63</vt:lpstr>
      <vt:lpstr>Fig 4C Exp2_Foxj1</vt:lpstr>
      <vt:lpstr>Fig 4C Exp3_P63</vt:lpstr>
      <vt:lpstr>Fig 4C Exp3_Foxj1</vt:lpstr>
      <vt:lpstr>Fig 4C Total Trp63</vt:lpstr>
      <vt:lpstr>Fig 4C Total Foxj1</vt:lpstr>
      <vt:lpstr>Fig 4C Foxj1 Scatter</vt:lpstr>
      <vt:lpstr>Fig 4C Trp63 Scatter</vt:lpstr>
      <vt:lpstr>Sup Fig 4B Scatter total</vt:lpstr>
      <vt:lpstr>Fig 4D MTEC FOXJ1 SCGB3A1</vt:lpstr>
      <vt:lpstr>Fig 4E Adult CC10rTta</vt:lpstr>
      <vt:lpstr>Sup Fig 4C P63 P73 MTEC culture</vt:lpstr>
      <vt:lpstr>Sup Fig 4C Calculations</vt:lpstr>
    </vt:vector>
  </TitlesOfParts>
  <Company>Erasmus 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Eenjes</dc:creator>
  <cp:lastModifiedBy>R.J. Rottier</cp:lastModifiedBy>
  <cp:lastPrinted>2018-10-15T10:03:41Z</cp:lastPrinted>
  <dcterms:created xsi:type="dcterms:W3CDTF">2018-09-27T09:12:06Z</dcterms:created>
  <dcterms:modified xsi:type="dcterms:W3CDTF">2021-05-17T08:39:22Z</dcterms:modified>
</cp:coreProperties>
</file>