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hl\Desktop\"/>
    </mc:Choice>
  </mc:AlternateContent>
  <xr:revisionPtr revIDLastSave="0" documentId="13_ncr:1_{DDC0C9DD-8C09-4402-A8A1-E4041FCA1730}" xr6:coauthVersionLast="45" xr6:coauthVersionMax="45" xr10:uidLastSave="{00000000-0000-0000-0000-000000000000}"/>
  <bookViews>
    <workbookView xWindow="-110" yWindow="-110" windowWidth="19420" windowHeight="11020" firstSheet="1" activeTab="5" xr2:uid="{860F4126-B3F3-4B5B-878F-82C81A6FA4AB}"/>
  </bookViews>
  <sheets>
    <sheet name="Year ONE" sheetId="1" state="hidden" r:id="rId1"/>
    <sheet name="CS_Germany" sheetId="6" r:id="rId2"/>
    <sheet name="CS_Italy" sheetId="9" r:id="rId3"/>
    <sheet name="CS_France" sheetId="11" r:id="rId4"/>
    <sheet name="CS_Norway " sheetId="8" r:id="rId5"/>
    <sheet name="CS_Spain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" i="11" l="1"/>
  <c r="N6" i="11" s="1"/>
  <c r="N7" i="11" s="1"/>
  <c r="N8" i="11" s="1"/>
  <c r="N9" i="11" s="1"/>
  <c r="N10" i="11" s="1"/>
  <c r="N11" i="11" s="1"/>
  <c r="N12" i="11" s="1"/>
  <c r="N13" i="11" s="1"/>
  <c r="M5" i="11"/>
  <c r="M6" i="11" s="1"/>
  <c r="M7" i="11" s="1"/>
  <c r="M8" i="11" s="1"/>
  <c r="M9" i="11" s="1"/>
  <c r="M10" i="11" s="1"/>
  <c r="M11" i="11" s="1"/>
  <c r="M12" i="11" s="1"/>
  <c r="M13" i="11" s="1"/>
  <c r="L5" i="11"/>
  <c r="L6" i="11" s="1"/>
  <c r="L7" i="11" s="1"/>
  <c r="L8" i="11" s="1"/>
  <c r="L9" i="11" s="1"/>
  <c r="L10" i="11" s="1"/>
  <c r="L11" i="11" s="1"/>
  <c r="L12" i="11" s="1"/>
  <c r="L13" i="11" s="1"/>
  <c r="K5" i="11"/>
  <c r="K6" i="11" s="1"/>
  <c r="K7" i="11" s="1"/>
  <c r="K8" i="11" s="1"/>
  <c r="K9" i="11" s="1"/>
  <c r="K10" i="11" s="1"/>
  <c r="K11" i="11" s="1"/>
  <c r="K12" i="11" s="1"/>
  <c r="K13" i="11" s="1"/>
  <c r="J5" i="11"/>
  <c r="J6" i="11" s="1"/>
  <c r="B5" i="11"/>
  <c r="B6" i="11" s="1"/>
  <c r="P4" i="11"/>
  <c r="F4" i="11"/>
  <c r="H4" i="11" s="1"/>
  <c r="K6" i="10"/>
  <c r="K7" i="10" s="1"/>
  <c r="K8" i="10" s="1"/>
  <c r="K9" i="10" s="1"/>
  <c r="K10" i="10" s="1"/>
  <c r="K11" i="10" s="1"/>
  <c r="K12" i="10" s="1"/>
  <c r="K13" i="10" s="1"/>
  <c r="N5" i="10"/>
  <c r="N6" i="10" s="1"/>
  <c r="N7" i="10" s="1"/>
  <c r="N8" i="10" s="1"/>
  <c r="N9" i="10" s="1"/>
  <c r="N10" i="10" s="1"/>
  <c r="N11" i="10" s="1"/>
  <c r="N12" i="10" s="1"/>
  <c r="N13" i="10" s="1"/>
  <c r="M5" i="10"/>
  <c r="M6" i="10" s="1"/>
  <c r="M7" i="10" s="1"/>
  <c r="M8" i="10" s="1"/>
  <c r="M9" i="10" s="1"/>
  <c r="M10" i="10" s="1"/>
  <c r="M11" i="10" s="1"/>
  <c r="M12" i="10" s="1"/>
  <c r="M13" i="10" s="1"/>
  <c r="L5" i="10"/>
  <c r="L6" i="10" s="1"/>
  <c r="L7" i="10" s="1"/>
  <c r="L8" i="10" s="1"/>
  <c r="L9" i="10" s="1"/>
  <c r="L10" i="10" s="1"/>
  <c r="L11" i="10" s="1"/>
  <c r="L12" i="10" s="1"/>
  <c r="L13" i="10" s="1"/>
  <c r="K5" i="10"/>
  <c r="J5" i="10"/>
  <c r="J6" i="10" s="1"/>
  <c r="B5" i="10"/>
  <c r="B6" i="10" s="1"/>
  <c r="P4" i="10"/>
  <c r="H4" i="10"/>
  <c r="I4" i="10" s="1"/>
  <c r="F4" i="10"/>
  <c r="M6" i="9"/>
  <c r="M7" i="9" s="1"/>
  <c r="M8" i="9" s="1"/>
  <c r="M9" i="9" s="1"/>
  <c r="M10" i="9" s="1"/>
  <c r="M11" i="9" s="1"/>
  <c r="M12" i="9" s="1"/>
  <c r="M13" i="9" s="1"/>
  <c r="K6" i="9"/>
  <c r="K7" i="9" s="1"/>
  <c r="K8" i="9" s="1"/>
  <c r="K9" i="9" s="1"/>
  <c r="K10" i="9" s="1"/>
  <c r="K11" i="9" s="1"/>
  <c r="K12" i="9" s="1"/>
  <c r="K13" i="9" s="1"/>
  <c r="B6" i="9"/>
  <c r="N5" i="9"/>
  <c r="M5" i="9"/>
  <c r="L5" i="9"/>
  <c r="L6" i="9" s="1"/>
  <c r="L7" i="9" s="1"/>
  <c r="L8" i="9" s="1"/>
  <c r="L9" i="9" s="1"/>
  <c r="L10" i="9" s="1"/>
  <c r="L11" i="9" s="1"/>
  <c r="L12" i="9" s="1"/>
  <c r="L13" i="9" s="1"/>
  <c r="K5" i="9"/>
  <c r="J5" i="9"/>
  <c r="J6" i="9" s="1"/>
  <c r="F5" i="9"/>
  <c r="D5" i="9"/>
  <c r="D6" i="9" s="1"/>
  <c r="B5" i="9"/>
  <c r="P4" i="9"/>
  <c r="F4" i="9"/>
  <c r="H4" i="9" s="1"/>
  <c r="I4" i="9" s="1"/>
  <c r="N5" i="8"/>
  <c r="N6" i="8" s="1"/>
  <c r="N7" i="8" s="1"/>
  <c r="N8" i="8" s="1"/>
  <c r="N9" i="8" s="1"/>
  <c r="N10" i="8" s="1"/>
  <c r="N11" i="8" s="1"/>
  <c r="N12" i="8" s="1"/>
  <c r="N13" i="8" s="1"/>
  <c r="M5" i="8"/>
  <c r="M6" i="8" s="1"/>
  <c r="M7" i="8" s="1"/>
  <c r="M8" i="8" s="1"/>
  <c r="M9" i="8" s="1"/>
  <c r="M10" i="8" s="1"/>
  <c r="M11" i="8" s="1"/>
  <c r="M12" i="8" s="1"/>
  <c r="M13" i="8" s="1"/>
  <c r="L5" i="8"/>
  <c r="L6" i="8" s="1"/>
  <c r="L7" i="8" s="1"/>
  <c r="L8" i="8" s="1"/>
  <c r="L9" i="8" s="1"/>
  <c r="L10" i="8" s="1"/>
  <c r="L11" i="8" s="1"/>
  <c r="L12" i="8" s="1"/>
  <c r="L13" i="8" s="1"/>
  <c r="K5" i="8"/>
  <c r="K6" i="8" s="1"/>
  <c r="K7" i="8" s="1"/>
  <c r="K8" i="8" s="1"/>
  <c r="K9" i="8" s="1"/>
  <c r="K10" i="8" s="1"/>
  <c r="K11" i="8" s="1"/>
  <c r="K12" i="8" s="1"/>
  <c r="K13" i="8" s="1"/>
  <c r="J5" i="8"/>
  <c r="J6" i="8" s="1"/>
  <c r="B5" i="8"/>
  <c r="B6" i="8" s="1"/>
  <c r="P4" i="8"/>
  <c r="F4" i="8"/>
  <c r="H4" i="8" s="1"/>
  <c r="P5" i="10" l="1"/>
  <c r="R4" i="9"/>
  <c r="U4" i="9" s="1"/>
  <c r="X4" i="9" s="1"/>
  <c r="P5" i="9"/>
  <c r="F6" i="11"/>
  <c r="B7" i="11"/>
  <c r="J7" i="11"/>
  <c r="P6" i="11"/>
  <c r="I4" i="11"/>
  <c r="H5" i="11"/>
  <c r="F5" i="11"/>
  <c r="D5" i="11"/>
  <c r="D6" i="11" s="1"/>
  <c r="P5" i="11"/>
  <c r="F6" i="10"/>
  <c r="B7" i="10"/>
  <c r="R4" i="10"/>
  <c r="P6" i="10"/>
  <c r="J7" i="10"/>
  <c r="D5" i="10"/>
  <c r="D6" i="10" s="1"/>
  <c r="F5" i="10"/>
  <c r="H5" i="10"/>
  <c r="P5" i="8"/>
  <c r="D7" i="9"/>
  <c r="N6" i="9"/>
  <c r="N7" i="9" s="1"/>
  <c r="N8" i="9" s="1"/>
  <c r="N9" i="9" s="1"/>
  <c r="N10" i="9" s="1"/>
  <c r="N11" i="9" s="1"/>
  <c r="N12" i="9" s="1"/>
  <c r="N13" i="9" s="1"/>
  <c r="H5" i="9"/>
  <c r="B7" i="9"/>
  <c r="F6" i="9"/>
  <c r="J7" i="9"/>
  <c r="B7" i="8"/>
  <c r="F6" i="8"/>
  <c r="I4" i="8"/>
  <c r="P6" i="8"/>
  <c r="D5" i="8"/>
  <c r="D6" i="8" s="1"/>
  <c r="J7" i="8"/>
  <c r="F5" i="8"/>
  <c r="H5" i="8" s="1"/>
  <c r="I32" i="6"/>
  <c r="I29" i="6"/>
  <c r="I28" i="6"/>
  <c r="I30" i="6" s="1"/>
  <c r="AB13" i="6"/>
  <c r="AB12" i="6"/>
  <c r="AB11" i="6"/>
  <c r="AB10" i="6"/>
  <c r="AB9" i="6"/>
  <c r="AB8" i="6"/>
  <c r="AB7" i="6"/>
  <c r="AB6" i="6"/>
  <c r="R4" i="6"/>
  <c r="S4" i="6" s="1"/>
  <c r="P4" i="6"/>
  <c r="N5" i="6"/>
  <c r="N6" i="6" s="1"/>
  <c r="N7" i="6" s="1"/>
  <c r="N8" i="6" s="1"/>
  <c r="N9" i="6" s="1"/>
  <c r="N10" i="6" s="1"/>
  <c r="N11" i="6" s="1"/>
  <c r="N12" i="6" s="1"/>
  <c r="N13" i="6" s="1"/>
  <c r="M5" i="6"/>
  <c r="M6" i="6" s="1"/>
  <c r="M7" i="6" s="1"/>
  <c r="M8" i="6" s="1"/>
  <c r="M9" i="6" s="1"/>
  <c r="M10" i="6" s="1"/>
  <c r="M11" i="6" s="1"/>
  <c r="M12" i="6" s="1"/>
  <c r="M13" i="6" s="1"/>
  <c r="L5" i="6"/>
  <c r="K5" i="6"/>
  <c r="K6" i="6" s="1"/>
  <c r="K7" i="6" s="1"/>
  <c r="K8" i="6" s="1"/>
  <c r="K9" i="6" s="1"/>
  <c r="K10" i="6" s="1"/>
  <c r="K11" i="6" s="1"/>
  <c r="K12" i="6" s="1"/>
  <c r="K13" i="6" s="1"/>
  <c r="J5" i="6"/>
  <c r="B5" i="6"/>
  <c r="B6" i="6" s="1"/>
  <c r="F4" i="6"/>
  <c r="H4" i="6" s="1"/>
  <c r="S4" i="9" l="1"/>
  <c r="P6" i="9"/>
  <c r="R4" i="11"/>
  <c r="I5" i="11"/>
  <c r="R5" i="11" s="1"/>
  <c r="H6" i="11"/>
  <c r="P7" i="11"/>
  <c r="J8" i="11"/>
  <c r="B8" i="11"/>
  <c r="F7" i="11"/>
  <c r="D7" i="11"/>
  <c r="I5" i="10"/>
  <c r="H6" i="10"/>
  <c r="D7" i="10"/>
  <c r="P7" i="10"/>
  <c r="J8" i="10"/>
  <c r="B8" i="10"/>
  <c r="F7" i="10"/>
  <c r="U4" i="10"/>
  <c r="X4" i="10" s="1"/>
  <c r="S4" i="10"/>
  <c r="AB4" i="9"/>
  <c r="AA4" i="9"/>
  <c r="Y4" i="9"/>
  <c r="H6" i="9"/>
  <c r="I5" i="9"/>
  <c r="D8" i="9"/>
  <c r="P7" i="9"/>
  <c r="J8" i="9"/>
  <c r="B8" i="9"/>
  <c r="F7" i="9"/>
  <c r="H6" i="8"/>
  <c r="I5" i="8"/>
  <c r="R5" i="8" s="1"/>
  <c r="P7" i="8"/>
  <c r="J8" i="8"/>
  <c r="B8" i="8"/>
  <c r="F7" i="8"/>
  <c r="D7" i="8"/>
  <c r="R4" i="8"/>
  <c r="P5" i="6"/>
  <c r="R5" i="6" s="1"/>
  <c r="U4" i="6"/>
  <c r="X4" i="6" s="1"/>
  <c r="J6" i="6"/>
  <c r="B7" i="6"/>
  <c r="F6" i="6"/>
  <c r="I4" i="6"/>
  <c r="D5" i="6"/>
  <c r="D6" i="6" s="1"/>
  <c r="F5" i="6"/>
  <c r="H5" i="6" s="1"/>
  <c r="L6" i="6"/>
  <c r="L7" i="6" s="1"/>
  <c r="L8" i="6" s="1"/>
  <c r="L9" i="6" s="1"/>
  <c r="L10" i="6" s="1"/>
  <c r="L11" i="6" s="1"/>
  <c r="L12" i="6" s="1"/>
  <c r="L13" i="6" s="1"/>
  <c r="B9" i="11" l="1"/>
  <c r="F8" i="11"/>
  <c r="P8" i="11"/>
  <c r="J9" i="11"/>
  <c r="H7" i="11"/>
  <c r="I6" i="11"/>
  <c r="U5" i="11"/>
  <c r="X5" i="11" s="1"/>
  <c r="Y5" i="11" s="1"/>
  <c r="S5" i="11"/>
  <c r="U4" i="11"/>
  <c r="X4" i="11" s="1"/>
  <c r="S4" i="11"/>
  <c r="D8" i="11"/>
  <c r="D9" i="11" s="1"/>
  <c r="AB4" i="10"/>
  <c r="AA4" i="10"/>
  <c r="Y4" i="10"/>
  <c r="B9" i="10"/>
  <c r="F8" i="10"/>
  <c r="J9" i="10"/>
  <c r="P8" i="10"/>
  <c r="H7" i="10"/>
  <c r="I6" i="10"/>
  <c r="R6" i="10" s="1"/>
  <c r="R5" i="10"/>
  <c r="D8" i="10"/>
  <c r="D8" i="8"/>
  <c r="R5" i="9"/>
  <c r="H7" i="9"/>
  <c r="I6" i="9"/>
  <c r="R6" i="9" s="1"/>
  <c r="B9" i="9"/>
  <c r="F8" i="9"/>
  <c r="J9" i="9"/>
  <c r="P8" i="9"/>
  <c r="I6" i="8"/>
  <c r="H7" i="8"/>
  <c r="B9" i="8"/>
  <c r="F8" i="8"/>
  <c r="J9" i="8"/>
  <c r="P8" i="8"/>
  <c r="U4" i="8"/>
  <c r="X4" i="8" s="1"/>
  <c r="S4" i="8"/>
  <c r="U5" i="8"/>
  <c r="X5" i="8" s="1"/>
  <c r="Y5" i="8" s="1"/>
  <c r="S5" i="8"/>
  <c r="S5" i="6"/>
  <c r="U5" i="6"/>
  <c r="X5" i="6" s="1"/>
  <c r="Y5" i="6" s="1"/>
  <c r="AA4" i="6"/>
  <c r="Y4" i="6"/>
  <c r="AB4" i="6"/>
  <c r="P6" i="6"/>
  <c r="R6" i="6" s="1"/>
  <c r="J7" i="6"/>
  <c r="P7" i="6" s="1"/>
  <c r="R7" i="6" s="1"/>
  <c r="H6" i="6"/>
  <c r="I5" i="6"/>
  <c r="B8" i="6"/>
  <c r="F7" i="6"/>
  <c r="D7" i="6"/>
  <c r="D9" i="10" l="1"/>
  <c r="R6" i="11"/>
  <c r="J10" i="11"/>
  <c r="P9" i="11"/>
  <c r="H8" i="11"/>
  <c r="I7" i="11"/>
  <c r="R7" i="11" s="1"/>
  <c r="AB4" i="11"/>
  <c r="AA4" i="11"/>
  <c r="AA5" i="11" s="1"/>
  <c r="Y4" i="11"/>
  <c r="F9" i="11"/>
  <c r="B10" i="11"/>
  <c r="H8" i="10"/>
  <c r="I7" i="10"/>
  <c r="R7" i="10" s="1"/>
  <c r="J10" i="10"/>
  <c r="P9" i="10"/>
  <c r="U6" i="10"/>
  <c r="X6" i="10" s="1"/>
  <c r="Y6" i="10" s="1"/>
  <c r="S6" i="10"/>
  <c r="B10" i="10"/>
  <c r="F9" i="10"/>
  <c r="U5" i="10"/>
  <c r="X5" i="10" s="1"/>
  <c r="S5" i="10"/>
  <c r="B10" i="9"/>
  <c r="F9" i="9"/>
  <c r="D9" i="9"/>
  <c r="I7" i="9"/>
  <c r="R7" i="9" s="1"/>
  <c r="H8" i="9"/>
  <c r="U6" i="9"/>
  <c r="X6" i="9" s="1"/>
  <c r="Y6" i="9" s="1"/>
  <c r="S6" i="9"/>
  <c r="J10" i="9"/>
  <c r="P9" i="9"/>
  <c r="U5" i="9"/>
  <c r="X5" i="9" s="1"/>
  <c r="S5" i="9"/>
  <c r="AA4" i="8"/>
  <c r="AA5" i="8" s="1"/>
  <c r="Y4" i="8"/>
  <c r="AB4" i="8"/>
  <c r="J10" i="8"/>
  <c r="P9" i="8"/>
  <c r="B10" i="8"/>
  <c r="F9" i="8"/>
  <c r="H8" i="8"/>
  <c r="I7" i="8"/>
  <c r="R7" i="8" s="1"/>
  <c r="R6" i="8"/>
  <c r="D9" i="8"/>
  <c r="AA5" i="6"/>
  <c r="AB5" i="6" s="1"/>
  <c r="U7" i="6"/>
  <c r="X7" i="6" s="1"/>
  <c r="Y7" i="6" s="1"/>
  <c r="S7" i="6"/>
  <c r="U6" i="6"/>
  <c r="X6" i="6" s="1"/>
  <c r="Y6" i="6" s="1"/>
  <c r="S6" i="6"/>
  <c r="J8" i="6"/>
  <c r="P8" i="6" s="1"/>
  <c r="R8" i="6" s="1"/>
  <c r="B9" i="6"/>
  <c r="F8" i="6"/>
  <c r="H7" i="6"/>
  <c r="I6" i="6"/>
  <c r="D8" i="6"/>
  <c r="D10" i="10" l="1"/>
  <c r="Y5" i="10"/>
  <c r="AA5" i="10"/>
  <c r="AB5" i="10" s="1"/>
  <c r="H9" i="11"/>
  <c r="I8" i="11"/>
  <c r="R8" i="11" s="1"/>
  <c r="S7" i="11"/>
  <c r="U7" i="11"/>
  <c r="X7" i="11" s="1"/>
  <c r="Y7" i="11" s="1"/>
  <c r="J11" i="11"/>
  <c r="P10" i="11"/>
  <c r="B11" i="11"/>
  <c r="F10" i="11"/>
  <c r="D10" i="11"/>
  <c r="D11" i="11" s="1"/>
  <c r="U6" i="11"/>
  <c r="X6" i="11" s="1"/>
  <c r="Y6" i="11" s="1"/>
  <c r="S6" i="11"/>
  <c r="AB5" i="11"/>
  <c r="P10" i="10"/>
  <c r="J11" i="10"/>
  <c r="U7" i="10"/>
  <c r="X7" i="10" s="1"/>
  <c r="Y7" i="10" s="1"/>
  <c r="S7" i="10"/>
  <c r="B11" i="10"/>
  <c r="F10" i="10"/>
  <c r="H9" i="10"/>
  <c r="I8" i="10"/>
  <c r="Y5" i="9"/>
  <c r="AA5" i="9"/>
  <c r="I8" i="9"/>
  <c r="H9" i="9"/>
  <c r="S7" i="9"/>
  <c r="U7" i="9"/>
  <c r="X7" i="9" s="1"/>
  <c r="Y7" i="9" s="1"/>
  <c r="D10" i="9"/>
  <c r="P10" i="9"/>
  <c r="J11" i="9"/>
  <c r="B11" i="9"/>
  <c r="F10" i="9"/>
  <c r="D10" i="8"/>
  <c r="S6" i="8"/>
  <c r="U6" i="8"/>
  <c r="X6" i="8" s="1"/>
  <c r="AB5" i="8"/>
  <c r="H9" i="8"/>
  <c r="I8" i="8"/>
  <c r="P10" i="8"/>
  <c r="J11" i="8"/>
  <c r="B11" i="8"/>
  <c r="F10" i="8"/>
  <c r="U7" i="8"/>
  <c r="X7" i="8" s="1"/>
  <c r="Y7" i="8" s="1"/>
  <c r="S7" i="8"/>
  <c r="S8" i="6"/>
  <c r="U8" i="6"/>
  <c r="X8" i="6" s="1"/>
  <c r="Y8" i="6" s="1"/>
  <c r="AA6" i="6"/>
  <c r="AA7" i="6" s="1"/>
  <c r="J9" i="6"/>
  <c r="P9" i="6" s="1"/>
  <c r="R9" i="6" s="1"/>
  <c r="H8" i="6"/>
  <c r="I7" i="6"/>
  <c r="D9" i="6"/>
  <c r="D10" i="6" s="1"/>
  <c r="F9" i="6"/>
  <c r="B10" i="6"/>
  <c r="D11" i="10" l="1"/>
  <c r="AA6" i="10"/>
  <c r="AA7" i="10" s="1"/>
  <c r="S8" i="11"/>
  <c r="U8" i="11"/>
  <c r="X8" i="11" s="1"/>
  <c r="Y8" i="11" s="1"/>
  <c r="J12" i="11"/>
  <c r="P11" i="11"/>
  <c r="H10" i="11"/>
  <c r="I9" i="11"/>
  <c r="AA6" i="11"/>
  <c r="B12" i="11"/>
  <c r="D12" i="11" s="1"/>
  <c r="F11" i="11"/>
  <c r="R8" i="10"/>
  <c r="H10" i="10"/>
  <c r="I9" i="10"/>
  <c r="R9" i="10" s="1"/>
  <c r="P11" i="10"/>
  <c r="J12" i="10"/>
  <c r="B12" i="10"/>
  <c r="F11" i="10"/>
  <c r="D11" i="8"/>
  <c r="H10" i="9"/>
  <c r="I9" i="9"/>
  <c r="R9" i="9" s="1"/>
  <c r="B12" i="9"/>
  <c r="F11" i="9"/>
  <c r="R8" i="9"/>
  <c r="P11" i="9"/>
  <c r="J12" i="9"/>
  <c r="AA6" i="9"/>
  <c r="AB5" i="9"/>
  <c r="D11" i="9"/>
  <c r="D12" i="9" s="1"/>
  <c r="Y6" i="8"/>
  <c r="AA6" i="8"/>
  <c r="R8" i="8"/>
  <c r="H10" i="8"/>
  <c r="I9" i="8"/>
  <c r="R9" i="8" s="1"/>
  <c r="B12" i="8"/>
  <c r="F11" i="8"/>
  <c r="P11" i="8"/>
  <c r="J12" i="8"/>
  <c r="U9" i="6"/>
  <c r="X9" i="6" s="1"/>
  <c r="Y9" i="6" s="1"/>
  <c r="S9" i="6"/>
  <c r="AA8" i="6"/>
  <c r="J10" i="6"/>
  <c r="P10" i="6" s="1"/>
  <c r="R10" i="6" s="1"/>
  <c r="I8" i="6"/>
  <c r="H9" i="6"/>
  <c r="B11" i="6"/>
  <c r="D11" i="6" s="1"/>
  <c r="F10" i="6"/>
  <c r="AB6" i="10" l="1"/>
  <c r="P12" i="11"/>
  <c r="J13" i="11"/>
  <c r="P13" i="11" s="1"/>
  <c r="AB6" i="11"/>
  <c r="AA7" i="11"/>
  <c r="H11" i="11"/>
  <c r="I10" i="11"/>
  <c r="R10" i="11" s="1"/>
  <c r="B13" i="11"/>
  <c r="F13" i="11" s="1"/>
  <c r="F12" i="11"/>
  <c r="R9" i="11"/>
  <c r="B13" i="10"/>
  <c r="F13" i="10" s="1"/>
  <c r="F12" i="10"/>
  <c r="AB7" i="10"/>
  <c r="J13" i="10"/>
  <c r="P13" i="10" s="1"/>
  <c r="P12" i="10"/>
  <c r="D12" i="10"/>
  <c r="U9" i="10"/>
  <c r="X9" i="10" s="1"/>
  <c r="Y9" i="10" s="1"/>
  <c r="S9" i="10"/>
  <c r="H11" i="10"/>
  <c r="I10" i="10"/>
  <c r="R10" i="10" s="1"/>
  <c r="U8" i="10"/>
  <c r="X8" i="10" s="1"/>
  <c r="Y8" i="10" s="1"/>
  <c r="S8" i="10"/>
  <c r="J13" i="9"/>
  <c r="P13" i="9" s="1"/>
  <c r="P12" i="9"/>
  <c r="P15" i="9" s="1"/>
  <c r="I30" i="9" s="1"/>
  <c r="S8" i="9"/>
  <c r="U8" i="9"/>
  <c r="X8" i="9" s="1"/>
  <c r="Y8" i="9" s="1"/>
  <c r="B13" i="9"/>
  <c r="F13" i="9" s="1"/>
  <c r="F12" i="9"/>
  <c r="U9" i="9"/>
  <c r="X9" i="9" s="1"/>
  <c r="Y9" i="9" s="1"/>
  <c r="S9" i="9"/>
  <c r="AA7" i="9"/>
  <c r="AB6" i="9"/>
  <c r="H11" i="9"/>
  <c r="I10" i="9"/>
  <c r="AA7" i="8"/>
  <c r="AB6" i="8"/>
  <c r="S9" i="8"/>
  <c r="U9" i="8"/>
  <c r="X9" i="8" s="1"/>
  <c r="Y9" i="8" s="1"/>
  <c r="I10" i="8"/>
  <c r="R10" i="8" s="1"/>
  <c r="H11" i="8"/>
  <c r="U8" i="8"/>
  <c r="X8" i="8" s="1"/>
  <c r="Y8" i="8" s="1"/>
  <c r="S8" i="8"/>
  <c r="B13" i="8"/>
  <c r="F13" i="8" s="1"/>
  <c r="F12" i="8"/>
  <c r="J13" i="8"/>
  <c r="P13" i="8" s="1"/>
  <c r="P12" i="8"/>
  <c r="D12" i="8"/>
  <c r="S10" i="6"/>
  <c r="U10" i="6"/>
  <c r="X10" i="6" s="1"/>
  <c r="Y10" i="6" s="1"/>
  <c r="AA9" i="6"/>
  <c r="J11" i="6"/>
  <c r="P11" i="6" s="1"/>
  <c r="R11" i="6" s="1"/>
  <c r="F11" i="6"/>
  <c r="B12" i="6"/>
  <c r="D12" i="6"/>
  <c r="H10" i="6"/>
  <c r="I9" i="6"/>
  <c r="P15" i="11" l="1"/>
  <c r="I30" i="11" s="1"/>
  <c r="H12" i="11"/>
  <c r="I11" i="11"/>
  <c r="R11" i="11" s="1"/>
  <c r="U10" i="11"/>
  <c r="X10" i="11" s="1"/>
  <c r="Y10" i="11" s="1"/>
  <c r="S10" i="11"/>
  <c r="AA8" i="11"/>
  <c r="AB7" i="11"/>
  <c r="S9" i="11"/>
  <c r="U9" i="11"/>
  <c r="X9" i="11" s="1"/>
  <c r="Y9" i="11" s="1"/>
  <c r="D13" i="11"/>
  <c r="P15" i="8"/>
  <c r="I29" i="8" s="1"/>
  <c r="D13" i="10"/>
  <c r="P15" i="10"/>
  <c r="I30" i="10" s="1"/>
  <c r="U10" i="10"/>
  <c r="X10" i="10" s="1"/>
  <c r="Y10" i="10" s="1"/>
  <c r="S10" i="10"/>
  <c r="H12" i="10"/>
  <c r="I11" i="10"/>
  <c r="AA8" i="10"/>
  <c r="D13" i="8"/>
  <c r="R10" i="9"/>
  <c r="I11" i="9"/>
  <c r="R11" i="9" s="1"/>
  <c r="H12" i="9"/>
  <c r="D13" i="9"/>
  <c r="AA8" i="9"/>
  <c r="AB7" i="9"/>
  <c r="AA8" i="8"/>
  <c r="AB7" i="8"/>
  <c r="H12" i="8"/>
  <c r="I11" i="8"/>
  <c r="S10" i="8"/>
  <c r="U10" i="8"/>
  <c r="X10" i="8" s="1"/>
  <c r="Y10" i="8" s="1"/>
  <c r="S11" i="6"/>
  <c r="U11" i="6"/>
  <c r="X11" i="6" s="1"/>
  <c r="Y11" i="6" s="1"/>
  <c r="AA10" i="6"/>
  <c r="J12" i="6"/>
  <c r="P12" i="6" s="1"/>
  <c r="R12" i="6" s="1"/>
  <c r="I10" i="6"/>
  <c r="H11" i="6"/>
  <c r="B13" i="6"/>
  <c r="F13" i="6" s="1"/>
  <c r="F12" i="6"/>
  <c r="AB8" i="11" l="1"/>
  <c r="AA9" i="11"/>
  <c r="U11" i="11"/>
  <c r="X11" i="11" s="1"/>
  <c r="Y11" i="11" s="1"/>
  <c r="S11" i="11"/>
  <c r="H13" i="11"/>
  <c r="I13" i="11" s="1"/>
  <c r="R13" i="11" s="1"/>
  <c r="I12" i="11"/>
  <c r="AB8" i="10"/>
  <c r="AA9" i="10"/>
  <c r="R11" i="10"/>
  <c r="H13" i="10"/>
  <c r="I13" i="10" s="1"/>
  <c r="R13" i="10" s="1"/>
  <c r="I12" i="10"/>
  <c r="R12" i="10" s="1"/>
  <c r="AB8" i="9"/>
  <c r="AA9" i="9"/>
  <c r="U10" i="9"/>
  <c r="X10" i="9" s="1"/>
  <c r="Y10" i="9" s="1"/>
  <c r="S10" i="9"/>
  <c r="H13" i="9"/>
  <c r="I13" i="9" s="1"/>
  <c r="R13" i="9" s="1"/>
  <c r="I12" i="9"/>
  <c r="R12" i="9" s="1"/>
  <c r="S11" i="9"/>
  <c r="U11" i="9"/>
  <c r="X11" i="9" s="1"/>
  <c r="Y11" i="9" s="1"/>
  <c r="AB8" i="8"/>
  <c r="AA9" i="8"/>
  <c r="H13" i="8"/>
  <c r="I13" i="8" s="1"/>
  <c r="R13" i="8" s="1"/>
  <c r="I12" i="8"/>
  <c r="R12" i="8" s="1"/>
  <c r="R11" i="8"/>
  <c r="S12" i="6"/>
  <c r="U12" i="6"/>
  <c r="X12" i="6" s="1"/>
  <c r="Y12" i="6" s="1"/>
  <c r="AA11" i="6"/>
  <c r="D13" i="6"/>
  <c r="J13" i="6"/>
  <c r="P13" i="6" s="1"/>
  <c r="I11" i="6"/>
  <c r="H12" i="6"/>
  <c r="S13" i="11" l="1"/>
  <c r="U13" i="11"/>
  <c r="X13" i="11" s="1"/>
  <c r="Y13" i="11" s="1"/>
  <c r="R12" i="11"/>
  <c r="I15" i="11"/>
  <c r="I29" i="11" s="1"/>
  <c r="I31" i="11" s="1"/>
  <c r="AA10" i="11"/>
  <c r="AB9" i="11"/>
  <c r="U11" i="10"/>
  <c r="X11" i="10" s="1"/>
  <c r="Y11" i="10" s="1"/>
  <c r="S11" i="10"/>
  <c r="AA10" i="10"/>
  <c r="AB9" i="10"/>
  <c r="U12" i="10"/>
  <c r="X12" i="10" s="1"/>
  <c r="Y12" i="10" s="1"/>
  <c r="S12" i="10"/>
  <c r="U13" i="10"/>
  <c r="X13" i="10" s="1"/>
  <c r="Y13" i="10" s="1"/>
  <c r="S13" i="10"/>
  <c r="I15" i="10"/>
  <c r="I29" i="10" s="1"/>
  <c r="I31" i="10" s="1"/>
  <c r="U12" i="9"/>
  <c r="X12" i="9" s="1"/>
  <c r="Y12" i="9" s="1"/>
  <c r="S12" i="9"/>
  <c r="U13" i="9"/>
  <c r="X13" i="9" s="1"/>
  <c r="Y13" i="9" s="1"/>
  <c r="S13" i="9"/>
  <c r="I15" i="9"/>
  <c r="I29" i="9" s="1"/>
  <c r="I31" i="9" s="1"/>
  <c r="AA10" i="9"/>
  <c r="AB9" i="9"/>
  <c r="I15" i="8"/>
  <c r="I28" i="8" s="1"/>
  <c r="I30" i="8" s="1"/>
  <c r="U11" i="8"/>
  <c r="X11" i="8" s="1"/>
  <c r="Y11" i="8" s="1"/>
  <c r="S11" i="8"/>
  <c r="U12" i="8"/>
  <c r="X12" i="8" s="1"/>
  <c r="Y12" i="8" s="1"/>
  <c r="S12" i="8"/>
  <c r="S13" i="8"/>
  <c r="U13" i="8"/>
  <c r="X13" i="8" s="1"/>
  <c r="Y13" i="8" s="1"/>
  <c r="AA10" i="8"/>
  <c r="AB9" i="8"/>
  <c r="P15" i="6"/>
  <c r="R13" i="6"/>
  <c r="AA12" i="6"/>
  <c r="H13" i="6"/>
  <c r="I13" i="6" s="1"/>
  <c r="I12" i="6"/>
  <c r="U12" i="11" l="1"/>
  <c r="X12" i="11" s="1"/>
  <c r="Y12" i="11" s="1"/>
  <c r="S12" i="11"/>
  <c r="AA11" i="11"/>
  <c r="AB10" i="11"/>
  <c r="AA11" i="10"/>
  <c r="AB10" i="10"/>
  <c r="AA11" i="9"/>
  <c r="AB10" i="9"/>
  <c r="AB10" i="8"/>
  <c r="AA11" i="8"/>
  <c r="U13" i="6"/>
  <c r="X13" i="6" s="1"/>
  <c r="S13" i="6"/>
  <c r="I15" i="6"/>
  <c r="AA12" i="11" l="1"/>
  <c r="AB11" i="11"/>
  <c r="AA12" i="10"/>
  <c r="AB11" i="10"/>
  <c r="AA12" i="9"/>
  <c r="AB11" i="9"/>
  <c r="AA12" i="8"/>
  <c r="AB11" i="8"/>
  <c r="Y13" i="6"/>
  <c r="AA13" i="6"/>
  <c r="AB12" i="11" l="1"/>
  <c r="AA13" i="11"/>
  <c r="AB12" i="10"/>
  <c r="AA13" i="10"/>
  <c r="AB12" i="9"/>
  <c r="AA13" i="9"/>
  <c r="AB12" i="8"/>
  <c r="AA13" i="8"/>
  <c r="I33" i="11" l="1"/>
  <c r="AB13" i="11"/>
  <c r="I33" i="10"/>
  <c r="AB13" i="10"/>
  <c r="I33" i="9"/>
  <c r="AB13" i="9"/>
  <c r="AB13" i="8"/>
  <c r="I32" i="8"/>
</calcChain>
</file>

<file path=xl/sharedStrings.xml><?xml version="1.0" encoding="utf-8"?>
<sst xmlns="http://schemas.openxmlformats.org/spreadsheetml/2006/main" count="350" uniqueCount="84">
  <si>
    <t>1st year</t>
  </si>
  <si>
    <t>2nd year</t>
  </si>
  <si>
    <t>3rd year</t>
  </si>
  <si>
    <t>4th year</t>
  </si>
  <si>
    <t>5th year</t>
  </si>
  <si>
    <t>Cost</t>
  </si>
  <si>
    <t>Period</t>
  </si>
  <si>
    <t>Staff</t>
  </si>
  <si>
    <t>Office</t>
  </si>
  <si>
    <t>Marketing</t>
  </si>
  <si>
    <t>Equipment</t>
  </si>
  <si>
    <t>Misc</t>
  </si>
  <si>
    <t>Projected Premium users</t>
  </si>
  <si>
    <t>Number of students</t>
  </si>
  <si>
    <t>Costs</t>
  </si>
  <si>
    <t>Premium charges</t>
  </si>
  <si>
    <t xml:space="preserve">Fresh enrolments </t>
  </si>
  <si>
    <t>Total number of users at the end of the year</t>
  </si>
  <si>
    <t>Revenue</t>
  </si>
  <si>
    <t>Total number of premium users</t>
  </si>
  <si>
    <t>Fresh Premium users (per year)</t>
  </si>
  <si>
    <t>Total revenue from users (EBITDA)</t>
  </si>
  <si>
    <t>Total Cost</t>
  </si>
  <si>
    <t>6th year</t>
  </si>
  <si>
    <t>7th year</t>
  </si>
  <si>
    <t>8th year</t>
  </si>
  <si>
    <t>9th year</t>
  </si>
  <si>
    <t>10th year</t>
  </si>
  <si>
    <t>Total Cost at the end of 10 years</t>
  </si>
  <si>
    <t>Total number of users at the eand of ech year</t>
  </si>
  <si>
    <t>Premium charges includes access to cartoons, games, digital course and data</t>
  </si>
  <si>
    <t>Total number of premium users at the end of each year</t>
  </si>
  <si>
    <t>Total revenue of each year will be the total number of premium users multiplied by premium charges</t>
  </si>
  <si>
    <t>10% increase in costs are expected for each year</t>
  </si>
  <si>
    <t>Notes for each segments of the above table are added below the respective coulmns in the table below</t>
  </si>
  <si>
    <t>Total EBITDA</t>
  </si>
  <si>
    <t>Market Potential</t>
  </si>
  <si>
    <t>% of Premium users</t>
  </si>
  <si>
    <t>% Increase</t>
  </si>
  <si>
    <t>Development Cost</t>
  </si>
  <si>
    <t>EBITDA</t>
  </si>
  <si>
    <t>EBIDA</t>
  </si>
  <si>
    <t>Corporate Tax</t>
  </si>
  <si>
    <t>Cumulative EBIDA</t>
  </si>
  <si>
    <t>CIT ( In Euros)</t>
  </si>
  <si>
    <t>(In Euros)</t>
  </si>
  <si>
    <t>CIT %</t>
  </si>
  <si>
    <t>EBITDA as % of R</t>
  </si>
  <si>
    <t>EBIDA as % of R</t>
  </si>
  <si>
    <t>Cumulative EBIDA as % of Cumulative R</t>
  </si>
  <si>
    <t>Total revenue from users</t>
  </si>
  <si>
    <t>Total Ten Year's Revenue (TTYR)</t>
  </si>
  <si>
    <t>Total Costs</t>
  </si>
  <si>
    <t>Earnings Before Interest, Tax, Depreciation and Amortizaton (EBITDA)</t>
  </si>
  <si>
    <t>Corporate Income-Tax (CIT)</t>
  </si>
  <si>
    <t>Earnings Before Interest, Depreciation and Amortizaton (EBIDA)</t>
  </si>
  <si>
    <t>CUMULATIVE FIGURES AFTER 10 YEARS</t>
  </si>
  <si>
    <t>Selected Market</t>
  </si>
  <si>
    <t>1.5 million</t>
  </si>
  <si>
    <t xml:space="preserve">Elementary school from age 6 to 11: </t>
  </si>
  <si>
    <t>2.7 million</t>
  </si>
  <si>
    <t xml:space="preserve">Middle School from age 11 to 14: </t>
  </si>
  <si>
    <t>1.7 million</t>
  </si>
  <si>
    <t xml:space="preserve">Kindergartens from age 3 to 5 : </t>
  </si>
  <si>
    <r>
      <t>Statista. 2020. </t>
    </r>
    <r>
      <rPr>
        <i/>
        <sz val="7"/>
        <color rgb="FF000000"/>
        <rFont val="Arial"/>
        <family val="2"/>
      </rPr>
      <t>Italy: Number Of Children In Kindergartens | Statista</t>
    </r>
    <r>
      <rPr>
        <sz val="7"/>
        <color rgb="FF000000"/>
        <rFont val="Arial"/>
        <family val="2"/>
      </rPr>
      <t>. [online] Available at: &lt;https://www.statista.com/statistics/955162/enrollment-in-pre-primary-schools-in-italy/&gt; [Accessed 23 September 2020].</t>
    </r>
  </si>
  <si>
    <t>Data Reference</t>
  </si>
  <si>
    <r>
      <t>Statista. 2020. </t>
    </r>
    <r>
      <rPr>
        <i/>
        <sz val="7"/>
        <color rgb="FF000000"/>
        <rFont val="Arial"/>
        <family val="2"/>
      </rPr>
      <t>Italy: Enrollment In Elementary Schools | Statista</t>
    </r>
    <r>
      <rPr>
        <sz val="7"/>
        <color rgb="FF000000"/>
        <rFont val="Arial"/>
        <family val="2"/>
      </rPr>
      <t>. [online] Available at: &lt;https://www.statista.com/statistics/955174/enrollment-in-primary-schools-in-italy/&gt; [Accessed 23 September 2020].</t>
    </r>
  </si>
  <si>
    <r>
      <t>Statista. 2020. </t>
    </r>
    <r>
      <rPr>
        <i/>
        <sz val="7"/>
        <color rgb="FF000000"/>
        <rFont val="Arial"/>
        <family val="2"/>
      </rPr>
      <t>Italy: Enrollment In Lower Secondary Schools | Statista</t>
    </r>
    <r>
      <rPr>
        <sz val="7"/>
        <color rgb="FF000000"/>
        <rFont val="Arial"/>
        <family val="2"/>
      </rPr>
      <t>. [online] Available at: &lt;https://www.statista.com/statistics/955179/enrollment-in-lower-secondary-schools-in-italy/&gt; [Accessed 23 September 2020].</t>
    </r>
  </si>
  <si>
    <t>Statista. 2020. Number Of Pupils In Primary Education France 2017 | Statista. [online] Available at: &lt;https://www.statista.com/statistics/780836/workforce-students-education-first-degree-la-france/&gt; [Accessed 23 September 2020].</t>
  </si>
  <si>
    <r>
      <t>Statista. 2020. </t>
    </r>
    <r>
      <rPr>
        <i/>
        <sz val="7"/>
        <color rgb="FF000000"/>
        <rFont val="Arial"/>
        <family val="2"/>
      </rPr>
      <t>France: Number Of Students In Secondary Schools 1980-2018 | Statista</t>
    </r>
    <r>
      <rPr>
        <sz val="7"/>
        <color rgb="FF000000"/>
        <rFont val="Arial"/>
        <family val="2"/>
      </rPr>
      <t>. [online] Available at: &lt;https://www.statista.com/statistics/715985/number-pupils-secondary-school-france/#:~:text=Number%20of%20pupils%20registered%20in%20secondary%20schools%20in%20France%201980%2D2018&amp;text=This%20graph%20shows%20the%20number,has%20kept%20rising%20since%202010&gt; [Accessed 23 September 2020].</t>
    </r>
  </si>
  <si>
    <t>6.8 million</t>
  </si>
  <si>
    <t xml:space="preserve">Middle School from age 11 to 15: </t>
  </si>
  <si>
    <t>5.6 million</t>
  </si>
  <si>
    <t xml:space="preserve">Elementary school from age 6 to 13: </t>
  </si>
  <si>
    <t>Statista. 2020. Norway: Number Of Primary School Pupils 2009-2019 | Statista. [online] Available at: &lt;https://www.statista.com/statistics/1111497/number-of-pupils-in-primary-school-in-norway/&gt; [Accessed 23 September 2020].</t>
  </si>
  <si>
    <t xml:space="preserve">Elementary school from age 6 to 12: </t>
  </si>
  <si>
    <t>3 million</t>
  </si>
  <si>
    <r>
      <t>Statista. 2020. </t>
    </r>
    <r>
      <rPr>
        <i/>
        <sz val="7"/>
        <color rgb="FF000000"/>
        <rFont val="Arial"/>
        <family val="2"/>
      </rPr>
      <t>Spain: Children Enrolled In Preschool 2005-2018 | Statista</t>
    </r>
    <r>
      <rPr>
        <sz val="7"/>
        <color rgb="FF000000"/>
        <rFont val="Arial"/>
        <family val="2"/>
      </rPr>
      <t>. [online] Available at: &lt;https://www.statista.com/statistics/457109/enrollment-numbers-in-preschools-in-spain/&gt; [Accessed 23 September 2020].</t>
    </r>
  </si>
  <si>
    <r>
      <t>Data.worldbank.org. 2020. </t>
    </r>
    <r>
      <rPr>
        <i/>
        <sz val="7"/>
        <color rgb="FF000000"/>
        <rFont val="Arial"/>
        <family val="2"/>
      </rPr>
      <t>Primary Education, Pupils - Spain | Data</t>
    </r>
    <r>
      <rPr>
        <sz val="7"/>
        <color rgb="FF000000"/>
        <rFont val="Arial"/>
        <family val="2"/>
      </rPr>
      <t>. [online] Available at: &lt;https://data.worldbank.org/indicator/SE.PRM.ENRL?locations=ES&gt; [Accessed 23 September 2020].</t>
    </r>
  </si>
  <si>
    <t>2.8 million</t>
  </si>
  <si>
    <r>
      <t>Statista. 2020. </t>
    </r>
    <r>
      <rPr>
        <i/>
        <sz val="7"/>
        <color rgb="FF000000"/>
        <rFont val="Arial"/>
        <family val="2"/>
      </rPr>
      <t>Pupils In Germany, By School 2019 | Statista</t>
    </r>
    <r>
      <rPr>
        <sz val="7"/>
        <color rgb="FF000000"/>
        <rFont val="Arial"/>
        <family val="2"/>
      </rPr>
      <t>. [online] Available at: &lt;https://www.statista.com/statistics/715920/number-of-pupils-in-germany-by-school-type/&gt; [Accessed 23 September 2020].</t>
    </r>
  </si>
  <si>
    <r>
      <t>Data.worldbank.org. 2020. </t>
    </r>
    <r>
      <rPr>
        <i/>
        <sz val="7"/>
        <color rgb="FF000000"/>
        <rFont val="Arial"/>
        <family val="2"/>
      </rPr>
      <t>Secondary Education, Pupils - Germany | Data</t>
    </r>
    <r>
      <rPr>
        <sz val="7"/>
        <color rgb="FF000000"/>
        <rFont val="Arial"/>
        <family val="2"/>
      </rPr>
      <t>. [online] Available at: &lt;https://data.worldbank.org/indicator/SE.SEC.ENRL?locations=DE&gt; [Accessed 23 September 2020].</t>
    </r>
  </si>
  <si>
    <r>
      <t>Federal Statistical Office. 2020. </t>
    </r>
    <r>
      <rPr>
        <i/>
        <sz val="7"/>
        <color rgb="FF000000"/>
        <rFont val="Arial"/>
        <family val="2"/>
      </rPr>
      <t>Pupils By School Type</t>
    </r>
    <r>
      <rPr>
        <sz val="7"/>
        <color rgb="FF000000"/>
        <rFont val="Arial"/>
        <family val="2"/>
      </rPr>
      <t>. [online] Available at: &lt;https://www.destatis.de/EN/Themes/Society-Environment/Education-Research-Culture/Schools/Tables/pupils-school-type.html;jsessionid=5C9EEDE4F9F775FCF22AD57326146D30.internet8712&gt; [Accessed 23 September 2020].</t>
    </r>
  </si>
  <si>
    <t>Pojected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</si>
</sst>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_-&quot;€&quot;* #,##0_-;\-&quot;€&quot;* #,##0_-;_-&quot;€&quot;* &quot;-&quot;?_-;_-@_-"/>
    <numFmt numFmtId="166" formatCode="_-[$€-1809]* #,##0.00_-;\-[$€-1809]* #,##0.00_-;_-[$€-1809]* &quot;-&quot;??_-;_-@_-"/>
    <numFmt numFmtId="167" formatCode="0.000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i/>
      <sz val="11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i/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6">
    <xf numFmtId="0" fontId="0" fillId="0" borderId="0" xfId="0"/>
    <xf numFmtId="0" fontId="2" fillId="0" borderId="1" xfId="0" applyFont="1" applyBorder="1"/>
    <xf numFmtId="164" fontId="0" fillId="0" borderId="1" xfId="1" applyNumberFormat="1" applyFont="1" applyBorder="1"/>
    <xf numFmtId="165" fontId="0" fillId="0" borderId="1" xfId="1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3" fontId="0" fillId="0" borderId="1" xfId="1" applyFont="1" applyBorder="1"/>
    <xf numFmtId="166" fontId="0" fillId="0" borderId="1" xfId="1" applyNumberFormat="1" applyFont="1" applyBorder="1"/>
    <xf numFmtId="166" fontId="0" fillId="0" borderId="1" xfId="0" applyNumberFormat="1" applyBorder="1"/>
    <xf numFmtId="43" fontId="0" fillId="0" borderId="1" xfId="0" applyNumberFormat="1" applyBorder="1"/>
    <xf numFmtId="0" fontId="0" fillId="0" borderId="5" xfId="0" applyFill="1" applyBorder="1"/>
    <xf numFmtId="0" fontId="4" fillId="0" borderId="0" xfId="0" applyFont="1"/>
    <xf numFmtId="0" fontId="5" fillId="0" borderId="0" xfId="0" applyFont="1"/>
    <xf numFmtId="166" fontId="6" fillId="0" borderId="10" xfId="0" applyNumberFormat="1" applyFont="1" applyBorder="1"/>
    <xf numFmtId="0" fontId="0" fillId="0" borderId="2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43" fontId="0" fillId="0" borderId="0" xfId="1" applyFont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9" fontId="0" fillId="0" borderId="1" xfId="2" applyFont="1" applyBorder="1"/>
    <xf numFmtId="164" fontId="0" fillId="0" borderId="1" xfId="0" applyNumberFormat="1" applyBorder="1"/>
    <xf numFmtId="0" fontId="3" fillId="2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9" fontId="0" fillId="0" borderId="0" xfId="2" applyFont="1" applyBorder="1"/>
    <xf numFmtId="9" fontId="0" fillId="0" borderId="0" xfId="2" applyFont="1"/>
    <xf numFmtId="166" fontId="0" fillId="0" borderId="0" xfId="0" applyNumberFormat="1" applyBorder="1"/>
    <xf numFmtId="0" fontId="7" fillId="4" borderId="12" xfId="0" applyFont="1" applyFill="1" applyBorder="1"/>
    <xf numFmtId="0" fontId="7" fillId="4" borderId="11" xfId="0" applyFont="1" applyFill="1" applyBorder="1"/>
    <xf numFmtId="43" fontId="7" fillId="4" borderId="13" xfId="1" applyFont="1" applyFill="1" applyBorder="1"/>
    <xf numFmtId="166" fontId="0" fillId="0" borderId="1" xfId="0" applyNumberFormat="1" applyBorder="1" applyAlignment="1">
      <alignment horizontal="center"/>
    </xf>
    <xf numFmtId="1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/>
    </xf>
    <xf numFmtId="167" fontId="0" fillId="0" borderId="1" xfId="2" applyNumberFormat="1" applyFont="1" applyBorder="1" applyAlignment="1">
      <alignment horizontal="center"/>
    </xf>
    <xf numFmtId="167" fontId="0" fillId="0" borderId="1" xfId="2" applyNumberFormat="1" applyFont="1" applyBorder="1"/>
    <xf numFmtId="0" fontId="0" fillId="6" borderId="0" xfId="0" applyFill="1" applyBorder="1" applyAlignment="1">
      <alignment horizontal="center"/>
    </xf>
    <xf numFmtId="0" fontId="0" fillId="6" borderId="0" xfId="0" applyFill="1" applyBorder="1" applyAlignment="1">
      <alignment horizontal="center" vertical="top"/>
    </xf>
    <xf numFmtId="0" fontId="2" fillId="6" borderId="0" xfId="0" applyFont="1" applyFill="1" applyBorder="1" applyAlignment="1">
      <alignment horizontal="center"/>
    </xf>
    <xf numFmtId="167" fontId="0" fillId="6" borderId="0" xfId="2" applyNumberFormat="1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0" fillId="6" borderId="0" xfId="0" applyFill="1" applyBorder="1"/>
    <xf numFmtId="0" fontId="0" fillId="6" borderId="0" xfId="0" applyFill="1" applyBorder="1" applyAlignment="1">
      <alignment horizontal="left" vertical="top"/>
    </xf>
    <xf numFmtId="10" fontId="0" fillId="6" borderId="0" xfId="0" applyNumberFormat="1" applyFill="1" applyBorder="1"/>
    <xf numFmtId="167" fontId="0" fillId="6" borderId="0" xfId="2" applyNumberFormat="1" applyFont="1" applyFill="1" applyBorder="1"/>
    <xf numFmtId="0" fontId="5" fillId="6" borderId="0" xfId="0" applyFont="1" applyFill="1" applyBorder="1"/>
    <xf numFmtId="166" fontId="6" fillId="0" borderId="1" xfId="0" applyNumberFormat="1" applyFont="1" applyBorder="1"/>
    <xf numFmtId="10" fontId="6" fillId="0" borderId="1" xfId="0" applyNumberFormat="1" applyFont="1" applyBorder="1"/>
    <xf numFmtId="0" fontId="7" fillId="0" borderId="0" xfId="0" applyFont="1"/>
    <xf numFmtId="0" fontId="8" fillId="0" borderId="1" xfId="0" applyFont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9" fillId="0" borderId="0" xfId="0" applyFont="1"/>
    <xf numFmtId="0" fontId="9" fillId="8" borderId="0" xfId="0" applyFont="1" applyFill="1"/>
    <xf numFmtId="0" fontId="9" fillId="8" borderId="1" xfId="0" applyFont="1" applyFill="1" applyBorder="1"/>
    <xf numFmtId="0" fontId="0" fillId="8" borderId="1" xfId="0" applyFill="1" applyBorder="1"/>
    <xf numFmtId="0" fontId="9" fillId="8" borderId="15" xfId="0" applyFont="1" applyFill="1" applyBorder="1" applyAlignment="1">
      <alignment horizontal="center"/>
    </xf>
    <xf numFmtId="0" fontId="8" fillId="8" borderId="7" xfId="0" applyFont="1" applyFill="1" applyBorder="1" applyAlignment="1">
      <alignment vertical="center"/>
    </xf>
    <xf numFmtId="0" fontId="8" fillId="8" borderId="9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43" fontId="8" fillId="8" borderId="1" xfId="1" applyFont="1" applyFill="1" applyBorder="1" applyAlignment="1">
      <alignment vertical="center" wrapText="1"/>
    </xf>
    <xf numFmtId="0" fontId="9" fillId="8" borderId="1" xfId="0" applyFont="1" applyFill="1" applyBorder="1" applyAlignment="1">
      <alignment horizontal="left"/>
    </xf>
    <xf numFmtId="0" fontId="8" fillId="8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7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0" fontId="9" fillId="0" borderId="0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right"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9" fillId="8" borderId="16" xfId="0" applyFont="1" applyFill="1" applyBorder="1" applyAlignment="1">
      <alignment horizontal="center"/>
    </xf>
    <xf numFmtId="164" fontId="0" fillId="0" borderId="4" xfId="1" applyNumberFormat="1" applyFont="1" applyBorder="1" applyAlignment="1">
      <alignment horizontal="center" vertical="center"/>
    </xf>
    <xf numFmtId="164" fontId="0" fillId="0" borderId="5" xfId="1" applyNumberFormat="1" applyFon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5" borderId="7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166" fontId="6" fillId="7" borderId="14" xfId="0" applyNumberFormat="1" applyFont="1" applyFill="1" applyBorder="1" applyAlignment="1">
      <alignment horizontal="center" vertical="center" wrapText="1"/>
    </xf>
    <xf numFmtId="166" fontId="6" fillId="7" borderId="15" xfId="0" applyNumberFormat="1" applyFont="1" applyFill="1" applyBorder="1" applyAlignment="1">
      <alignment horizontal="center" vertical="center" wrapText="1"/>
    </xf>
    <xf numFmtId="166" fontId="6" fillId="7" borderId="16" xfId="0" applyNumberFormat="1" applyFont="1" applyFill="1" applyBorder="1" applyAlignment="1">
      <alignment horizontal="center" vertical="center" wrapText="1"/>
    </xf>
    <xf numFmtId="166" fontId="6" fillId="7" borderId="17" xfId="0" applyNumberFormat="1" applyFont="1" applyFill="1" applyBorder="1" applyAlignment="1">
      <alignment horizontal="center" vertical="center" wrapText="1"/>
    </xf>
    <xf numFmtId="166" fontId="6" fillId="7" borderId="18" xfId="0" applyNumberFormat="1" applyFont="1" applyFill="1" applyBorder="1" applyAlignment="1">
      <alignment horizontal="center" vertical="center" wrapText="1"/>
    </xf>
    <xf numFmtId="166" fontId="6" fillId="7" borderId="19" xfId="0" applyNumberFormat="1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9" fillId="8" borderId="1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8" fillId="8" borderId="4" xfId="0" applyFont="1" applyFill="1" applyBorder="1" applyAlignment="1">
      <alignment horizontal="left" vertical="center" wrapText="1"/>
    </xf>
    <xf numFmtId="0" fontId="8" fillId="8" borderId="6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horizontal="center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1" xfId="0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87CF-C1BC-4674-823E-1A5D581014BA}">
  <dimension ref="A3:E17"/>
  <sheetViews>
    <sheetView workbookViewId="0">
      <selection activeCell="D8" sqref="D8"/>
    </sheetView>
  </sheetViews>
  <sheetFormatPr defaultRowHeight="14.5" x14ac:dyDescent="0.35"/>
  <cols>
    <col min="2" max="2" width="21.81640625" bestFit="1" customWidth="1"/>
    <col min="3" max="3" width="17.26953125" bestFit="1" customWidth="1"/>
    <col min="4" max="4" width="29.6328125" customWidth="1"/>
    <col min="5" max="5" width="21.08984375" customWidth="1"/>
  </cols>
  <sheetData>
    <row r="3" spans="1:5" x14ac:dyDescent="0.35">
      <c r="A3" s="1" t="s">
        <v>6</v>
      </c>
      <c r="B3" s="1"/>
      <c r="C3" s="1"/>
      <c r="D3" s="1"/>
      <c r="E3" s="1"/>
    </row>
    <row r="4" spans="1:5" x14ac:dyDescent="0.35">
      <c r="A4" s="87" t="s">
        <v>0</v>
      </c>
      <c r="B4" s="84" t="s">
        <v>5</v>
      </c>
      <c r="C4" s="2" t="s">
        <v>7</v>
      </c>
      <c r="D4" s="3"/>
      <c r="E4" s="3"/>
    </row>
    <row r="5" spans="1:5" x14ac:dyDescent="0.35">
      <c r="A5" s="88"/>
      <c r="B5" s="85"/>
      <c r="C5" s="2" t="s">
        <v>8</v>
      </c>
      <c r="D5" s="3"/>
      <c r="E5" s="3"/>
    </row>
    <row r="6" spans="1:5" x14ac:dyDescent="0.35">
      <c r="A6" s="88"/>
      <c r="B6" s="85"/>
      <c r="C6" s="2" t="s">
        <v>9</v>
      </c>
      <c r="D6" s="3"/>
      <c r="E6" s="3"/>
    </row>
    <row r="7" spans="1:5" x14ac:dyDescent="0.35">
      <c r="A7" s="88"/>
      <c r="B7" s="85"/>
      <c r="C7" s="2" t="s">
        <v>10</v>
      </c>
      <c r="D7" s="3"/>
      <c r="E7" s="3"/>
    </row>
    <row r="8" spans="1:5" x14ac:dyDescent="0.35">
      <c r="A8" s="89"/>
      <c r="B8" s="86"/>
      <c r="C8" s="2" t="s">
        <v>11</v>
      </c>
      <c r="D8" s="3"/>
      <c r="E8" s="3"/>
    </row>
    <row r="9" spans="1:5" x14ac:dyDescent="0.35">
      <c r="A9" s="4"/>
      <c r="B9" s="6" t="s">
        <v>13</v>
      </c>
      <c r="C9" s="2"/>
      <c r="D9" s="3"/>
      <c r="E9" s="3"/>
    </row>
    <row r="10" spans="1:5" x14ac:dyDescent="0.35">
      <c r="A10" s="5"/>
      <c r="B10" s="7" t="s">
        <v>12</v>
      </c>
      <c r="C10" s="5"/>
      <c r="D10" s="5"/>
      <c r="E10" s="5"/>
    </row>
    <row r="11" spans="1:5" x14ac:dyDescent="0.35">
      <c r="A11" s="5"/>
      <c r="B11" s="5"/>
      <c r="C11" s="5"/>
      <c r="D11" s="5"/>
      <c r="E11" s="5"/>
    </row>
    <row r="12" spans="1:5" x14ac:dyDescent="0.35">
      <c r="A12" s="5"/>
      <c r="B12" s="5"/>
      <c r="C12" s="5"/>
      <c r="D12" s="5"/>
      <c r="E12" s="5"/>
    </row>
    <row r="13" spans="1:5" x14ac:dyDescent="0.35">
      <c r="A13" s="5"/>
      <c r="B13" s="5"/>
      <c r="C13" s="5"/>
      <c r="D13" s="5"/>
      <c r="E13" s="5"/>
    </row>
    <row r="14" spans="1:5" x14ac:dyDescent="0.35">
      <c r="A14" s="5"/>
      <c r="B14" s="5"/>
      <c r="C14" s="5"/>
      <c r="D14" s="5"/>
      <c r="E14" s="5"/>
    </row>
    <row r="15" spans="1:5" x14ac:dyDescent="0.35">
      <c r="A15" s="5"/>
      <c r="B15" s="5"/>
      <c r="C15" s="5"/>
      <c r="D15" s="5"/>
      <c r="E15" s="5"/>
    </row>
    <row r="16" spans="1:5" x14ac:dyDescent="0.35">
      <c r="A16" s="5"/>
      <c r="B16" s="5"/>
      <c r="C16" s="5"/>
      <c r="D16" s="5"/>
      <c r="E16" s="5"/>
    </row>
    <row r="17" spans="1:5" x14ac:dyDescent="0.35">
      <c r="A17" s="5"/>
      <c r="B17" s="5"/>
      <c r="C17" s="5"/>
      <c r="D17" s="5"/>
      <c r="E17" s="5"/>
    </row>
  </sheetData>
  <mergeCells count="2">
    <mergeCell ref="B4:B8"/>
    <mergeCell ref="A4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AAA9-8976-47BF-A41E-4BDC813C1652}">
  <dimension ref="A2:AB41"/>
  <sheetViews>
    <sheetView zoomScale="55" zoomScaleNormal="55" workbookViewId="0">
      <selection activeCell="E29" sqref="E29"/>
    </sheetView>
  </sheetViews>
  <sheetFormatPr defaultRowHeight="14.5" x14ac:dyDescent="0.35"/>
  <cols>
    <col min="1" max="1" width="8.6328125" bestFit="1" customWidth="1"/>
    <col min="2" max="2" width="16.81640625" bestFit="1" customWidth="1"/>
    <col min="3" max="3" width="10.7265625" bestFit="1" customWidth="1"/>
    <col min="4" max="4" width="20.453125" customWidth="1"/>
    <col min="5" max="5" width="19.36328125" customWidth="1"/>
    <col min="6" max="6" width="31.81640625" bestFit="1" customWidth="1"/>
    <col min="7" max="7" width="18.7265625" bestFit="1" customWidth="1"/>
    <col min="8" max="8" width="28.81640625" bestFit="1" customWidth="1"/>
    <col min="9" max="9" width="32.453125" bestFit="1" customWidth="1"/>
    <col min="10" max="10" width="13.6328125" bestFit="1" customWidth="1"/>
    <col min="11" max="11" width="11.81640625" bestFit="1" customWidth="1"/>
    <col min="12" max="12" width="14.90625" customWidth="1"/>
    <col min="13" max="13" width="11.81640625" bestFit="1" customWidth="1"/>
    <col min="14" max="14" width="12.36328125" bestFit="1" customWidth="1"/>
    <col min="15" max="15" width="17.26953125" bestFit="1" customWidth="1"/>
    <col min="16" max="16" width="18" bestFit="1" customWidth="1"/>
    <col min="18" max="18" width="15.6328125" style="40" bestFit="1" customWidth="1"/>
    <col min="19" max="19" width="15.6328125" style="40" customWidth="1"/>
    <col min="20" max="20" width="3.453125" style="46" customWidth="1"/>
    <col min="21" max="21" width="15.6328125" style="40" bestFit="1" customWidth="1"/>
    <col min="22" max="22" width="12.6328125" customWidth="1"/>
    <col min="23" max="23" width="3.1796875" style="51" customWidth="1"/>
    <col min="24" max="24" width="15.6328125" bestFit="1" customWidth="1"/>
    <col min="25" max="25" width="15.6328125" customWidth="1"/>
    <col min="26" max="26" width="3.1796875" style="51" customWidth="1"/>
    <col min="27" max="27" width="15.6328125" customWidth="1"/>
    <col min="28" max="28" width="34" style="40" bestFit="1" customWidth="1"/>
  </cols>
  <sheetData>
    <row r="2" spans="1:28" x14ac:dyDescent="0.35">
      <c r="A2" s="8" t="s">
        <v>6</v>
      </c>
      <c r="B2" s="8" t="s">
        <v>16</v>
      </c>
      <c r="C2" s="29" t="s">
        <v>38</v>
      </c>
      <c r="D2" s="106" t="s">
        <v>17</v>
      </c>
      <c r="E2" s="108" t="s">
        <v>18</v>
      </c>
      <c r="F2" s="109"/>
      <c r="G2" s="109"/>
      <c r="H2" s="109"/>
      <c r="I2" s="110"/>
      <c r="J2" s="108" t="s">
        <v>14</v>
      </c>
      <c r="K2" s="109"/>
      <c r="L2" s="109"/>
      <c r="M2" s="109"/>
      <c r="N2" s="109"/>
      <c r="O2" s="109"/>
      <c r="P2" s="110"/>
      <c r="R2" s="90" t="s">
        <v>40</v>
      </c>
      <c r="S2" s="91"/>
      <c r="T2" s="48"/>
      <c r="U2" s="90" t="s">
        <v>42</v>
      </c>
      <c r="V2" s="91"/>
      <c r="W2" s="48"/>
      <c r="X2" s="90" t="s">
        <v>41</v>
      </c>
      <c r="Y2" s="91"/>
      <c r="Z2" s="48"/>
      <c r="AA2" s="90" t="s">
        <v>43</v>
      </c>
      <c r="AB2" s="91"/>
    </row>
    <row r="3" spans="1:28" x14ac:dyDescent="0.35">
      <c r="A3" s="9"/>
      <c r="B3" s="9"/>
      <c r="C3" s="30"/>
      <c r="D3" s="107"/>
      <c r="E3" s="10" t="s">
        <v>15</v>
      </c>
      <c r="F3" s="10" t="s">
        <v>20</v>
      </c>
      <c r="G3" s="10" t="s">
        <v>37</v>
      </c>
      <c r="H3" s="10" t="s">
        <v>19</v>
      </c>
      <c r="I3" s="10" t="s">
        <v>21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39</v>
      </c>
      <c r="P3" s="10" t="s">
        <v>22</v>
      </c>
      <c r="R3" s="39" t="s">
        <v>45</v>
      </c>
      <c r="S3" s="39" t="s">
        <v>47</v>
      </c>
      <c r="U3" s="39" t="s">
        <v>44</v>
      </c>
      <c r="V3" s="5" t="s">
        <v>46</v>
      </c>
      <c r="X3" s="39" t="s">
        <v>45</v>
      </c>
      <c r="Y3" s="39" t="s">
        <v>48</v>
      </c>
      <c r="Z3" s="46"/>
      <c r="AA3" s="39" t="s">
        <v>45</v>
      </c>
      <c r="AB3" s="39" t="s">
        <v>49</v>
      </c>
    </row>
    <row r="4" spans="1:28" x14ac:dyDescent="0.35">
      <c r="A4" s="5" t="s">
        <v>0</v>
      </c>
      <c r="B4" s="2">
        <v>85000</v>
      </c>
      <c r="C4" s="27"/>
      <c r="D4" s="2">
        <v>85000</v>
      </c>
      <c r="E4" s="12">
        <v>25</v>
      </c>
      <c r="F4" s="14">
        <f>B4*G4</f>
        <v>17000</v>
      </c>
      <c r="G4" s="27">
        <v>0.2</v>
      </c>
      <c r="H4" s="11">
        <f>F4</f>
        <v>17000</v>
      </c>
      <c r="I4" s="13">
        <f>H4*E4</f>
        <v>425000</v>
      </c>
      <c r="J4" s="13">
        <v>800000</v>
      </c>
      <c r="K4" s="13">
        <v>36000</v>
      </c>
      <c r="L4" s="13">
        <v>150000</v>
      </c>
      <c r="M4" s="13">
        <v>36000</v>
      </c>
      <c r="N4" s="13">
        <v>45000</v>
      </c>
      <c r="O4" s="13">
        <v>40000</v>
      </c>
      <c r="P4" s="13">
        <f>J4+K4+L4+M4+N4+O4</f>
        <v>1107000</v>
      </c>
      <c r="R4" s="37">
        <f>I4-P4</f>
        <v>-682000</v>
      </c>
      <c r="S4" s="44">
        <f>R4/I4</f>
        <v>-1.6047058823529412</v>
      </c>
      <c r="T4" s="49"/>
      <c r="U4" s="37">
        <f>R4*V4</f>
        <v>-204600</v>
      </c>
      <c r="V4" s="38">
        <v>0.3</v>
      </c>
      <c r="W4" s="53"/>
      <c r="X4" s="13">
        <f>R4-U4</f>
        <v>-477400</v>
      </c>
      <c r="Y4" s="45">
        <f>X4/I4</f>
        <v>-1.1232941176470588</v>
      </c>
      <c r="Z4" s="54"/>
      <c r="AA4" s="13">
        <f>X4</f>
        <v>-477400</v>
      </c>
      <c r="AB4" s="44">
        <f>X4/I4</f>
        <v>-1.1232941176470588</v>
      </c>
    </row>
    <row r="5" spans="1:28" x14ac:dyDescent="0.35">
      <c r="A5" s="5" t="s">
        <v>1</v>
      </c>
      <c r="B5" s="2">
        <f>B4+(B4*C5)</f>
        <v>93500</v>
      </c>
      <c r="C5" s="27">
        <v>0.1</v>
      </c>
      <c r="D5" s="28">
        <f>D4+B5</f>
        <v>178500</v>
      </c>
      <c r="E5" s="12">
        <v>25</v>
      </c>
      <c r="F5" s="14">
        <f>B5*G5</f>
        <v>28050</v>
      </c>
      <c r="G5" s="27">
        <v>0.3</v>
      </c>
      <c r="H5" s="11">
        <f>H4+F5</f>
        <v>45050</v>
      </c>
      <c r="I5" s="13">
        <f t="shared" ref="I5:I12" si="0">H5*E5</f>
        <v>1126250</v>
      </c>
      <c r="J5" s="13">
        <f t="shared" ref="J5:N13" si="1">J4+(J4*0.1)</f>
        <v>880000</v>
      </c>
      <c r="K5" s="13">
        <f t="shared" si="1"/>
        <v>39600</v>
      </c>
      <c r="L5" s="13">
        <f t="shared" si="1"/>
        <v>165000</v>
      </c>
      <c r="M5" s="13">
        <f t="shared" si="1"/>
        <v>39600</v>
      </c>
      <c r="N5" s="13">
        <f t="shared" si="1"/>
        <v>49500</v>
      </c>
      <c r="O5" s="37">
        <v>10000</v>
      </c>
      <c r="P5" s="13">
        <f t="shared" ref="P5:P13" si="2">J5+K5+L5+M5+N5+O5</f>
        <v>1183700</v>
      </c>
      <c r="R5" s="37">
        <f t="shared" ref="R5:R13" si="3">I5-P5</f>
        <v>-57450</v>
      </c>
      <c r="S5" s="44">
        <f t="shared" ref="S5:S13" si="4">R5/I5</f>
        <v>-5.1009988901220868E-2</v>
      </c>
      <c r="T5" s="49"/>
      <c r="U5" s="37">
        <f t="shared" ref="U5:U13" si="5">R5*V5</f>
        <v>-17235</v>
      </c>
      <c r="V5" s="38">
        <v>0.3</v>
      </c>
      <c r="W5" s="53"/>
      <c r="X5" s="13">
        <f t="shared" ref="X5:X13" si="6">R5-U5</f>
        <v>-40215</v>
      </c>
      <c r="Y5" s="45">
        <f t="shared" ref="Y5:Y13" si="7">X5/I5</f>
        <v>-3.5706992230854606E-2</v>
      </c>
      <c r="Z5" s="54"/>
      <c r="AA5" s="13">
        <f t="shared" ref="AA5:AA13" si="8">AA4+X5</f>
        <v>-517615</v>
      </c>
      <c r="AB5" s="44">
        <f>AA5/(I4+I5)</f>
        <v>-0.33367606768734892</v>
      </c>
    </row>
    <row r="6" spans="1:28" x14ac:dyDescent="0.35">
      <c r="A6" s="5" t="s">
        <v>2</v>
      </c>
      <c r="B6" s="2">
        <f t="shared" ref="B6:B13" si="9">B5+(B5*C6)</f>
        <v>112200</v>
      </c>
      <c r="C6" s="27">
        <v>0.2</v>
      </c>
      <c r="D6" s="28">
        <f>D5+B6</f>
        <v>290700</v>
      </c>
      <c r="E6" s="12">
        <v>25</v>
      </c>
      <c r="F6" s="14">
        <f t="shared" ref="F6:F13" si="10">B6*G6</f>
        <v>44880</v>
      </c>
      <c r="G6" s="27">
        <v>0.4</v>
      </c>
      <c r="H6" s="11">
        <f>H5+F6</f>
        <v>89930</v>
      </c>
      <c r="I6" s="13">
        <f t="shared" si="0"/>
        <v>2248250</v>
      </c>
      <c r="J6" s="13">
        <f t="shared" si="1"/>
        <v>968000</v>
      </c>
      <c r="K6" s="13">
        <f t="shared" si="1"/>
        <v>43560</v>
      </c>
      <c r="L6" s="13">
        <f t="shared" si="1"/>
        <v>181500</v>
      </c>
      <c r="M6" s="13">
        <f t="shared" si="1"/>
        <v>43560</v>
      </c>
      <c r="N6" s="13">
        <f t="shared" si="1"/>
        <v>54450</v>
      </c>
      <c r="O6" s="37">
        <v>10000</v>
      </c>
      <c r="P6" s="13">
        <f t="shared" si="2"/>
        <v>1301070</v>
      </c>
      <c r="R6" s="37">
        <f t="shared" si="3"/>
        <v>947180</v>
      </c>
      <c r="S6" s="44">
        <f t="shared" si="4"/>
        <v>0.42129656399421772</v>
      </c>
      <c r="T6" s="49"/>
      <c r="U6" s="37">
        <f t="shared" si="5"/>
        <v>284154</v>
      </c>
      <c r="V6" s="38">
        <v>0.3</v>
      </c>
      <c r="W6" s="53"/>
      <c r="X6" s="13">
        <f t="shared" si="6"/>
        <v>663026</v>
      </c>
      <c r="Y6" s="45">
        <f t="shared" si="7"/>
        <v>0.29490759479595241</v>
      </c>
      <c r="Z6" s="54"/>
      <c r="AA6" s="13">
        <f t="shared" si="8"/>
        <v>145411</v>
      </c>
      <c r="AB6" s="44">
        <f>AA6/(I4+I5+I6)</f>
        <v>3.827108830109225E-2</v>
      </c>
    </row>
    <row r="7" spans="1:28" x14ac:dyDescent="0.35">
      <c r="A7" s="5" t="s">
        <v>3</v>
      </c>
      <c r="B7" s="2">
        <f t="shared" si="9"/>
        <v>134640</v>
      </c>
      <c r="C7" s="27">
        <v>0.2</v>
      </c>
      <c r="D7" s="28">
        <f t="shared" ref="D7:D13" si="11">D6+B7</f>
        <v>425340</v>
      </c>
      <c r="E7" s="12">
        <v>25</v>
      </c>
      <c r="F7" s="14">
        <f t="shared" si="10"/>
        <v>67320</v>
      </c>
      <c r="G7" s="27">
        <v>0.5</v>
      </c>
      <c r="H7" s="11">
        <f t="shared" ref="H7:H13" si="12">H6+F7</f>
        <v>157250</v>
      </c>
      <c r="I7" s="13">
        <f t="shared" si="0"/>
        <v>3931250</v>
      </c>
      <c r="J7" s="13">
        <f t="shared" si="1"/>
        <v>1064800</v>
      </c>
      <c r="K7" s="13">
        <f t="shared" si="1"/>
        <v>47916</v>
      </c>
      <c r="L7" s="13">
        <f t="shared" si="1"/>
        <v>199650</v>
      </c>
      <c r="M7" s="13">
        <f t="shared" si="1"/>
        <v>47916</v>
      </c>
      <c r="N7" s="13">
        <f t="shared" si="1"/>
        <v>59895</v>
      </c>
      <c r="O7" s="37">
        <v>10000</v>
      </c>
      <c r="P7" s="13">
        <f t="shared" si="2"/>
        <v>1430177</v>
      </c>
      <c r="R7" s="37">
        <f t="shared" si="3"/>
        <v>2501073</v>
      </c>
      <c r="S7" s="44">
        <f t="shared" si="4"/>
        <v>0.63620298887122417</v>
      </c>
      <c r="T7" s="49"/>
      <c r="U7" s="37">
        <f t="shared" si="5"/>
        <v>750321.9</v>
      </c>
      <c r="V7" s="38">
        <v>0.3</v>
      </c>
      <c r="W7" s="53"/>
      <c r="X7" s="13">
        <f t="shared" si="6"/>
        <v>1750751.1</v>
      </c>
      <c r="Y7" s="45">
        <f t="shared" si="7"/>
        <v>0.44534209220985693</v>
      </c>
      <c r="Z7" s="54"/>
      <c r="AA7" s="13">
        <f t="shared" si="8"/>
        <v>1896162.1</v>
      </c>
      <c r="AB7" s="44">
        <f>AA7/(I4+I5+I6+I7)</f>
        <v>0.24527530964007374</v>
      </c>
    </row>
    <row r="8" spans="1:28" x14ac:dyDescent="0.35">
      <c r="A8" s="5" t="s">
        <v>4</v>
      </c>
      <c r="B8" s="2">
        <f t="shared" si="9"/>
        <v>168300</v>
      </c>
      <c r="C8" s="27">
        <v>0.25</v>
      </c>
      <c r="D8" s="28">
        <f t="shared" si="11"/>
        <v>593640</v>
      </c>
      <c r="E8" s="12">
        <v>25</v>
      </c>
      <c r="F8" s="14">
        <f t="shared" si="10"/>
        <v>84150</v>
      </c>
      <c r="G8" s="27">
        <v>0.5</v>
      </c>
      <c r="H8" s="11">
        <f t="shared" si="12"/>
        <v>241400</v>
      </c>
      <c r="I8" s="13">
        <f t="shared" si="0"/>
        <v>6035000</v>
      </c>
      <c r="J8" s="13">
        <f t="shared" si="1"/>
        <v>1171280</v>
      </c>
      <c r="K8" s="13">
        <f t="shared" si="1"/>
        <v>52707.6</v>
      </c>
      <c r="L8" s="13">
        <f t="shared" si="1"/>
        <v>219615</v>
      </c>
      <c r="M8" s="13">
        <f t="shared" si="1"/>
        <v>52707.6</v>
      </c>
      <c r="N8" s="13">
        <f t="shared" si="1"/>
        <v>65884.5</v>
      </c>
      <c r="O8" s="37">
        <v>10000</v>
      </c>
      <c r="P8" s="13">
        <f t="shared" si="2"/>
        <v>1572194.7000000002</v>
      </c>
      <c r="R8" s="37">
        <f t="shared" si="3"/>
        <v>4462805.3</v>
      </c>
      <c r="S8" s="44">
        <f t="shared" si="4"/>
        <v>0.7394872079536039</v>
      </c>
      <c r="T8" s="49"/>
      <c r="U8" s="37">
        <f t="shared" si="5"/>
        <v>1338841.5899999999</v>
      </c>
      <c r="V8" s="38">
        <v>0.3</v>
      </c>
      <c r="W8" s="53"/>
      <c r="X8" s="13">
        <f t="shared" si="6"/>
        <v>3123963.71</v>
      </c>
      <c r="Y8" s="45">
        <f t="shared" si="7"/>
        <v>0.51764104556752277</v>
      </c>
      <c r="Z8" s="54"/>
      <c r="AA8" s="13">
        <f t="shared" si="8"/>
        <v>5020125.8100000005</v>
      </c>
      <c r="AB8" s="44">
        <f>AA8/(I4+I5+I6+I7+I8)</f>
        <v>0.36468233187439847</v>
      </c>
    </row>
    <row r="9" spans="1:28" x14ac:dyDescent="0.35">
      <c r="A9" s="5" t="s">
        <v>23</v>
      </c>
      <c r="B9" s="2">
        <f t="shared" si="9"/>
        <v>210375</v>
      </c>
      <c r="C9" s="27">
        <v>0.25</v>
      </c>
      <c r="D9" s="28">
        <f t="shared" si="11"/>
        <v>804015</v>
      </c>
      <c r="E9" s="12">
        <v>25</v>
      </c>
      <c r="F9" s="14">
        <f t="shared" si="10"/>
        <v>105187.5</v>
      </c>
      <c r="G9" s="27">
        <v>0.5</v>
      </c>
      <c r="H9" s="11">
        <f t="shared" si="12"/>
        <v>346587.5</v>
      </c>
      <c r="I9" s="13">
        <f t="shared" si="0"/>
        <v>8664687.5</v>
      </c>
      <c r="J9" s="13">
        <f t="shared" si="1"/>
        <v>1288408</v>
      </c>
      <c r="K9" s="13">
        <f t="shared" si="1"/>
        <v>57978.36</v>
      </c>
      <c r="L9" s="13">
        <f t="shared" si="1"/>
        <v>241576.5</v>
      </c>
      <c r="M9" s="13">
        <f t="shared" si="1"/>
        <v>57978.36</v>
      </c>
      <c r="N9" s="13">
        <f t="shared" si="1"/>
        <v>72472.95</v>
      </c>
      <c r="O9" s="37">
        <v>10000</v>
      </c>
      <c r="P9" s="13">
        <f t="shared" si="2"/>
        <v>1728414.1700000002</v>
      </c>
      <c r="R9" s="37">
        <f t="shared" si="3"/>
        <v>6936273.3300000001</v>
      </c>
      <c r="S9" s="44">
        <f t="shared" si="4"/>
        <v>0.80052204190860898</v>
      </c>
      <c r="T9" s="49"/>
      <c r="U9" s="37">
        <f t="shared" si="5"/>
        <v>2080881.9989999998</v>
      </c>
      <c r="V9" s="38">
        <v>0.3</v>
      </c>
      <c r="W9" s="53"/>
      <c r="X9" s="13">
        <f t="shared" si="6"/>
        <v>4855391.3310000002</v>
      </c>
      <c r="Y9" s="45">
        <f t="shared" si="7"/>
        <v>0.56036542933602629</v>
      </c>
      <c r="Z9" s="54"/>
      <c r="AA9" s="13">
        <f t="shared" si="8"/>
        <v>9875517.1410000008</v>
      </c>
      <c r="AB9" s="44">
        <f>AA9/(I4+I5+I6+I7+I8+I9)</f>
        <v>0.44027305044763398</v>
      </c>
    </row>
    <row r="10" spans="1:28" x14ac:dyDescent="0.35">
      <c r="A10" s="15" t="s">
        <v>24</v>
      </c>
      <c r="B10" s="2">
        <f t="shared" si="9"/>
        <v>262968.75</v>
      </c>
      <c r="C10" s="27">
        <v>0.25</v>
      </c>
      <c r="D10" s="28">
        <f t="shared" si="11"/>
        <v>1066983.75</v>
      </c>
      <c r="E10" s="12">
        <v>25</v>
      </c>
      <c r="F10" s="14">
        <f t="shared" si="10"/>
        <v>131484.375</v>
      </c>
      <c r="G10" s="27">
        <v>0.5</v>
      </c>
      <c r="H10" s="11">
        <f t="shared" si="12"/>
        <v>478071.875</v>
      </c>
      <c r="I10" s="13">
        <f t="shared" si="0"/>
        <v>11951796.875</v>
      </c>
      <c r="J10" s="13">
        <f t="shared" si="1"/>
        <v>1417248.8</v>
      </c>
      <c r="K10" s="13">
        <f t="shared" si="1"/>
        <v>63776.196000000004</v>
      </c>
      <c r="L10" s="13">
        <f t="shared" si="1"/>
        <v>265734.15000000002</v>
      </c>
      <c r="M10" s="13">
        <f t="shared" si="1"/>
        <v>63776.196000000004</v>
      </c>
      <c r="N10" s="13">
        <f t="shared" si="1"/>
        <v>79720.244999999995</v>
      </c>
      <c r="O10" s="37">
        <v>10000</v>
      </c>
      <c r="P10" s="13">
        <f t="shared" si="2"/>
        <v>1900255.5870000003</v>
      </c>
      <c r="R10" s="37">
        <f t="shared" si="3"/>
        <v>10051541.287999999</v>
      </c>
      <c r="S10" s="44">
        <f t="shared" si="4"/>
        <v>0.84100670327029792</v>
      </c>
      <c r="T10" s="49"/>
      <c r="U10" s="37">
        <f t="shared" si="5"/>
        <v>3015462.3863999997</v>
      </c>
      <c r="V10" s="38">
        <v>0.3</v>
      </c>
      <c r="W10" s="53"/>
      <c r="X10" s="13">
        <f t="shared" si="6"/>
        <v>7036078.9015999995</v>
      </c>
      <c r="Y10" s="45">
        <f t="shared" si="7"/>
        <v>0.58870469228920852</v>
      </c>
      <c r="Z10" s="54"/>
      <c r="AA10" s="13">
        <f t="shared" si="8"/>
        <v>16911596.042599998</v>
      </c>
      <c r="AB10" s="44">
        <f>AA10/(I4+I5+I6+I7+I8+I9+I10)</f>
        <v>0.49187018674088129</v>
      </c>
    </row>
    <row r="11" spans="1:28" x14ac:dyDescent="0.35">
      <c r="A11" s="15" t="s">
        <v>25</v>
      </c>
      <c r="B11" s="2">
        <f t="shared" si="9"/>
        <v>328710.9375</v>
      </c>
      <c r="C11" s="27">
        <v>0.25</v>
      </c>
      <c r="D11" s="28">
        <f t="shared" si="11"/>
        <v>1395694.6875</v>
      </c>
      <c r="E11" s="12">
        <v>25</v>
      </c>
      <c r="F11" s="14">
        <f t="shared" si="10"/>
        <v>164355.46875</v>
      </c>
      <c r="G11" s="27">
        <v>0.5</v>
      </c>
      <c r="H11" s="11">
        <f t="shared" si="12"/>
        <v>642427.34375</v>
      </c>
      <c r="I11" s="13">
        <f t="shared" si="0"/>
        <v>16060683.59375</v>
      </c>
      <c r="J11" s="13">
        <f t="shared" si="1"/>
        <v>1558973.6800000002</v>
      </c>
      <c r="K11" s="13">
        <f t="shared" si="1"/>
        <v>70153.815600000002</v>
      </c>
      <c r="L11" s="13">
        <f t="shared" si="1"/>
        <v>292307.565</v>
      </c>
      <c r="M11" s="13">
        <f t="shared" si="1"/>
        <v>70153.815600000002</v>
      </c>
      <c r="N11" s="13">
        <f t="shared" si="1"/>
        <v>87692.269499999995</v>
      </c>
      <c r="O11" s="37">
        <v>10000</v>
      </c>
      <c r="P11" s="13">
        <f t="shared" si="2"/>
        <v>2089281.1457000002</v>
      </c>
      <c r="R11" s="37">
        <f t="shared" si="3"/>
        <v>13971402.44805</v>
      </c>
      <c r="S11" s="44">
        <f t="shared" si="4"/>
        <v>0.86991331137903483</v>
      </c>
      <c r="T11" s="49"/>
      <c r="U11" s="37">
        <f t="shared" si="5"/>
        <v>4191420.7344149998</v>
      </c>
      <c r="V11" s="38">
        <v>0.3</v>
      </c>
      <c r="W11" s="53"/>
      <c r="X11" s="13">
        <f t="shared" si="6"/>
        <v>9779981.7136349995</v>
      </c>
      <c r="Y11" s="45">
        <f t="shared" si="7"/>
        <v>0.6089393179653243</v>
      </c>
      <c r="Z11" s="54"/>
      <c r="AA11" s="13">
        <f t="shared" si="8"/>
        <v>26691577.756234996</v>
      </c>
      <c r="AB11" s="44">
        <f>AA11/(I4+I5+I6+I7+I8+I9+I10+I11)</f>
        <v>0.52914420559038144</v>
      </c>
    </row>
    <row r="12" spans="1:28" x14ac:dyDescent="0.35">
      <c r="A12" s="15" t="s">
        <v>26</v>
      </c>
      <c r="B12" s="2">
        <f t="shared" si="9"/>
        <v>427324.21875</v>
      </c>
      <c r="C12" s="27">
        <v>0.3</v>
      </c>
      <c r="D12" s="28">
        <f t="shared" si="11"/>
        <v>1823018.90625</v>
      </c>
      <c r="E12" s="12">
        <v>25</v>
      </c>
      <c r="F12" s="14">
        <f t="shared" si="10"/>
        <v>213662.109375</v>
      </c>
      <c r="G12" s="27">
        <v>0.5</v>
      </c>
      <c r="H12" s="11">
        <f t="shared" si="12"/>
        <v>856089.453125</v>
      </c>
      <c r="I12" s="13">
        <f t="shared" si="0"/>
        <v>21402236.328125</v>
      </c>
      <c r="J12" s="13">
        <f t="shared" si="1"/>
        <v>1714871.0480000002</v>
      </c>
      <c r="K12" s="13">
        <f t="shared" si="1"/>
        <v>77169.197159999996</v>
      </c>
      <c r="L12" s="13">
        <f t="shared" si="1"/>
        <v>321538.32150000002</v>
      </c>
      <c r="M12" s="13">
        <f t="shared" si="1"/>
        <v>77169.197159999996</v>
      </c>
      <c r="N12" s="13">
        <f t="shared" si="1"/>
        <v>96461.496449999991</v>
      </c>
      <c r="O12" s="37">
        <v>10000</v>
      </c>
      <c r="P12" s="13">
        <f t="shared" si="2"/>
        <v>2297209.26027</v>
      </c>
      <c r="R12" s="37">
        <f t="shared" si="3"/>
        <v>19105027.067855</v>
      </c>
      <c r="S12" s="44">
        <f t="shared" si="4"/>
        <v>0.89266498953423845</v>
      </c>
      <c r="T12" s="49"/>
      <c r="U12" s="37">
        <f t="shared" si="5"/>
        <v>5731508.1203565001</v>
      </c>
      <c r="V12" s="38">
        <v>0.3</v>
      </c>
      <c r="W12" s="53"/>
      <c r="X12" s="13">
        <f t="shared" si="6"/>
        <v>13373518.9474985</v>
      </c>
      <c r="Y12" s="45">
        <f t="shared" si="7"/>
        <v>0.62486549267396685</v>
      </c>
      <c r="Z12" s="54"/>
      <c r="AA12" s="13">
        <f t="shared" si="8"/>
        <v>40065096.703733496</v>
      </c>
      <c r="AB12" s="44">
        <f>AA12/(I4+I5+I6+I7+I8+I9+I10+I11+I12)</f>
        <v>0.55765899726763035</v>
      </c>
    </row>
    <row r="13" spans="1:28" x14ac:dyDescent="0.35">
      <c r="A13" s="15" t="s">
        <v>27</v>
      </c>
      <c r="B13" s="2">
        <f t="shared" si="9"/>
        <v>555521.484375</v>
      </c>
      <c r="C13" s="27">
        <v>0.3</v>
      </c>
      <c r="D13" s="28">
        <f t="shared" si="11"/>
        <v>2378540.390625</v>
      </c>
      <c r="E13" s="12">
        <v>25</v>
      </c>
      <c r="F13" s="14">
        <f t="shared" si="10"/>
        <v>277760.7421875</v>
      </c>
      <c r="G13" s="27">
        <v>0.5</v>
      </c>
      <c r="H13" s="11">
        <f t="shared" si="12"/>
        <v>1133850.1953125</v>
      </c>
      <c r="I13" s="13">
        <f>H13*E13</f>
        <v>28346254.8828125</v>
      </c>
      <c r="J13" s="13">
        <f t="shared" si="1"/>
        <v>1886358.1528000003</v>
      </c>
      <c r="K13" s="13">
        <f t="shared" si="1"/>
        <v>84886.116876</v>
      </c>
      <c r="L13" s="13">
        <f t="shared" si="1"/>
        <v>353692.15364999999</v>
      </c>
      <c r="M13" s="13">
        <f t="shared" si="1"/>
        <v>84886.116876</v>
      </c>
      <c r="N13" s="13">
        <f t="shared" si="1"/>
        <v>106107.64609499999</v>
      </c>
      <c r="O13" s="37">
        <v>10000</v>
      </c>
      <c r="P13" s="13">
        <f t="shared" si="2"/>
        <v>2525930.1862970009</v>
      </c>
      <c r="R13" s="37">
        <f t="shared" si="3"/>
        <v>25820324.696515501</v>
      </c>
      <c r="S13" s="44">
        <f t="shared" si="4"/>
        <v>0.9108901617959918</v>
      </c>
      <c r="T13" s="49"/>
      <c r="U13" s="37">
        <f t="shared" si="5"/>
        <v>7746097.4089546502</v>
      </c>
      <c r="V13" s="38">
        <v>0.3</v>
      </c>
      <c r="W13" s="53"/>
      <c r="X13" s="13">
        <f t="shared" si="6"/>
        <v>18074227.28756085</v>
      </c>
      <c r="Y13" s="45">
        <f t="shared" si="7"/>
        <v>0.63762311325719423</v>
      </c>
      <c r="Z13" s="54"/>
      <c r="AA13" s="13">
        <f t="shared" si="8"/>
        <v>58139323.991294347</v>
      </c>
      <c r="AB13" s="44">
        <f>AA13/(I4+I5+I6+I7+I8+I9+I10+I11+I12+I13)</f>
        <v>0.58028252589026696</v>
      </c>
    </row>
    <row r="14" spans="1:28" ht="15" thickBot="1" x14ac:dyDescent="0.4">
      <c r="C14" s="31"/>
      <c r="D14" s="24"/>
    </row>
    <row r="15" spans="1:28" s="17" customFormat="1" ht="16" thickBot="1" x14ac:dyDescent="0.4">
      <c r="F15" s="111" t="s">
        <v>35</v>
      </c>
      <c r="G15" s="112"/>
      <c r="H15" s="113"/>
      <c r="I15" s="18">
        <f>I4+I5+I6+I7+I8+I9+I10+I11+I12+I13</f>
        <v>100191409.1796875</v>
      </c>
      <c r="L15" s="114" t="s">
        <v>28</v>
      </c>
      <c r="M15" s="115"/>
      <c r="N15" s="116"/>
      <c r="O15" s="25"/>
      <c r="P15" s="18">
        <f>P4+P5+P6+P7+P8+P9+P10+P11+P12+P13</f>
        <v>17135232.049267001</v>
      </c>
      <c r="R15" s="41"/>
      <c r="S15" s="41"/>
      <c r="T15" s="50"/>
      <c r="U15" s="41"/>
      <c r="W15" s="55"/>
      <c r="Z15" s="55"/>
      <c r="AB15" s="41"/>
    </row>
    <row r="17" spans="1:28" x14ac:dyDescent="0.35">
      <c r="A17" s="16" t="s">
        <v>34</v>
      </c>
      <c r="B17" s="16"/>
      <c r="C17" s="16"/>
      <c r="D17" s="16"/>
      <c r="E17" s="16"/>
      <c r="F17" s="16"/>
      <c r="G17" s="16"/>
      <c r="Q17" s="21"/>
      <c r="R17" s="42"/>
      <c r="S17" s="42"/>
      <c r="U17" s="42"/>
      <c r="V17" s="21"/>
    </row>
    <row r="18" spans="1:28" ht="15" thickBot="1" x14ac:dyDescent="0.4">
      <c r="Q18" s="21"/>
      <c r="R18" s="42"/>
      <c r="S18" s="42"/>
      <c r="U18" s="42"/>
      <c r="V18" s="21"/>
    </row>
    <row r="19" spans="1:28" s="22" customFormat="1" ht="73" thickBot="1" x14ac:dyDescent="0.4">
      <c r="A19" s="19"/>
      <c r="B19" s="20"/>
      <c r="C19" s="20"/>
      <c r="D19" s="20" t="s">
        <v>29</v>
      </c>
      <c r="E19" s="20" t="s">
        <v>30</v>
      </c>
      <c r="F19" s="20"/>
      <c r="G19" s="20"/>
      <c r="H19" s="20" t="s">
        <v>31</v>
      </c>
      <c r="I19" s="20" t="s">
        <v>32</v>
      </c>
      <c r="J19" s="20" t="s">
        <v>33</v>
      </c>
      <c r="K19" s="20" t="s">
        <v>33</v>
      </c>
      <c r="L19" s="20" t="s">
        <v>33</v>
      </c>
      <c r="M19" s="20" t="s">
        <v>33</v>
      </c>
      <c r="N19" s="20" t="s">
        <v>33</v>
      </c>
      <c r="O19" s="20"/>
      <c r="P19" s="23" t="s">
        <v>33</v>
      </c>
      <c r="R19" s="43"/>
      <c r="S19" s="43"/>
      <c r="T19" s="47"/>
      <c r="U19" s="43"/>
      <c r="W19" s="52"/>
      <c r="Z19" s="52"/>
      <c r="AB19" s="43"/>
    </row>
    <row r="20" spans="1:28" x14ac:dyDescent="0.35">
      <c r="Q20" s="21"/>
      <c r="R20" s="42"/>
      <c r="S20" s="42"/>
      <c r="U20" s="42"/>
      <c r="V20" s="21"/>
    </row>
    <row r="21" spans="1:28" ht="15" thickBot="1" x14ac:dyDescent="0.4">
      <c r="Q21" s="21"/>
      <c r="R21" s="42"/>
      <c r="S21" s="42"/>
      <c r="U21" s="42"/>
      <c r="V21" s="21"/>
    </row>
    <row r="22" spans="1:28" ht="15" thickBot="1" x14ac:dyDescent="0.4">
      <c r="B22" s="34" t="s">
        <v>36</v>
      </c>
      <c r="C22" s="35"/>
      <c r="D22" s="36">
        <v>2800000</v>
      </c>
    </row>
    <row r="24" spans="1:28" x14ac:dyDescent="0.35">
      <c r="B24" s="101" t="s">
        <v>36</v>
      </c>
      <c r="C24" s="102"/>
      <c r="D24" s="103"/>
      <c r="F24" s="32"/>
      <c r="H24" s="33"/>
      <c r="I24" s="33"/>
      <c r="J24" s="33"/>
      <c r="K24" s="33"/>
    </row>
    <row r="25" spans="1:28" x14ac:dyDescent="0.35">
      <c r="B25" s="81" t="s">
        <v>63</v>
      </c>
      <c r="C25" s="81"/>
      <c r="D25" s="125">
        <v>820000</v>
      </c>
      <c r="H25" s="21"/>
      <c r="I25" s="21"/>
      <c r="J25" s="21"/>
      <c r="K25" s="21"/>
    </row>
    <row r="26" spans="1:28" ht="15.5" customHeight="1" x14ac:dyDescent="0.35">
      <c r="B26" s="60" t="s">
        <v>75</v>
      </c>
      <c r="C26" s="60"/>
      <c r="D26" s="80" t="s">
        <v>79</v>
      </c>
      <c r="F26" s="92" t="s">
        <v>56</v>
      </c>
      <c r="G26" s="93"/>
      <c r="H26" s="93"/>
      <c r="I26" s="94"/>
    </row>
    <row r="27" spans="1:28" x14ac:dyDescent="0.35">
      <c r="F27" s="95"/>
      <c r="G27" s="96"/>
      <c r="H27" s="96"/>
      <c r="I27" s="97"/>
    </row>
    <row r="28" spans="1:28" ht="15.5" x14ac:dyDescent="0.35">
      <c r="F28" s="98" t="s">
        <v>51</v>
      </c>
      <c r="G28" s="99"/>
      <c r="H28" s="100"/>
      <c r="I28" s="56">
        <f>I15</f>
        <v>100191409.1796875</v>
      </c>
    </row>
    <row r="29" spans="1:28" ht="15.5" x14ac:dyDescent="0.35">
      <c r="F29" s="98" t="s">
        <v>52</v>
      </c>
      <c r="G29" s="99"/>
      <c r="H29" s="100"/>
      <c r="I29" s="56">
        <f>P15</f>
        <v>17135232.049267001</v>
      </c>
      <c r="L29">
        <v>1</v>
      </c>
    </row>
    <row r="30" spans="1:28" ht="15.5" x14ac:dyDescent="0.35">
      <c r="F30" s="117" t="s">
        <v>53</v>
      </c>
      <c r="G30" s="117"/>
      <c r="H30" s="117"/>
      <c r="I30" s="56">
        <f>I28-I29</f>
        <v>83056177.130420506</v>
      </c>
    </row>
    <row r="31" spans="1:28" ht="15.5" x14ac:dyDescent="0.35">
      <c r="F31" s="98" t="s">
        <v>54</v>
      </c>
      <c r="G31" s="99"/>
      <c r="H31" s="100"/>
      <c r="I31" s="57">
        <v>0.3</v>
      </c>
    </row>
    <row r="32" spans="1:28" ht="15.5" x14ac:dyDescent="0.35">
      <c r="F32" s="117" t="s">
        <v>55</v>
      </c>
      <c r="G32" s="117"/>
      <c r="H32" s="117"/>
      <c r="I32" s="56">
        <f>AA13</f>
        <v>58139323.991294347</v>
      </c>
    </row>
    <row r="39" spans="2:11" x14ac:dyDescent="0.35">
      <c r="B39" s="104" t="s">
        <v>65</v>
      </c>
      <c r="C39" s="63" t="s">
        <v>80</v>
      </c>
      <c r="D39" s="71"/>
      <c r="E39" s="71"/>
      <c r="F39" s="71"/>
      <c r="G39" s="71"/>
      <c r="H39" s="71"/>
    </row>
    <row r="40" spans="2:11" x14ac:dyDescent="0.35">
      <c r="B40" s="104"/>
      <c r="C40" s="62" t="s">
        <v>81</v>
      </c>
      <c r="D40" s="65"/>
      <c r="E40" s="65"/>
      <c r="F40" s="65"/>
      <c r="G40" s="65"/>
      <c r="H40" s="83"/>
    </row>
    <row r="41" spans="2:11" x14ac:dyDescent="0.35">
      <c r="B41" s="104"/>
      <c r="C41" s="105" t="s">
        <v>82</v>
      </c>
      <c r="D41" s="105"/>
      <c r="E41" s="105"/>
      <c r="F41" s="105"/>
      <c r="G41" s="105"/>
      <c r="H41" s="105"/>
      <c r="I41" s="105"/>
      <c r="J41" s="105"/>
      <c r="K41" s="105"/>
    </row>
  </sheetData>
  <mergeCells count="18">
    <mergeCell ref="B24:D24"/>
    <mergeCell ref="B39:B41"/>
    <mergeCell ref="C41:K41"/>
    <mergeCell ref="D2:D3"/>
    <mergeCell ref="E2:I2"/>
    <mergeCell ref="J2:P2"/>
    <mergeCell ref="F15:H15"/>
    <mergeCell ref="L15:N15"/>
    <mergeCell ref="F29:H29"/>
    <mergeCell ref="F30:H30"/>
    <mergeCell ref="F31:H31"/>
    <mergeCell ref="F32:H32"/>
    <mergeCell ref="U2:V2"/>
    <mergeCell ref="X2:Y2"/>
    <mergeCell ref="AA2:AB2"/>
    <mergeCell ref="F26:I27"/>
    <mergeCell ref="F28:H28"/>
    <mergeCell ref="R2:S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8E97-6447-4CBC-A94A-03420E9CCEA1}">
  <dimension ref="A2:AB41"/>
  <sheetViews>
    <sheetView zoomScale="55" zoomScaleNormal="55" workbookViewId="0">
      <selection activeCell="G23" sqref="G23"/>
    </sheetView>
  </sheetViews>
  <sheetFormatPr defaultRowHeight="14.5" x14ac:dyDescent="0.35"/>
  <cols>
    <col min="1" max="1" width="8.6328125" bestFit="1" customWidth="1"/>
    <col min="2" max="2" width="16.81640625" bestFit="1" customWidth="1"/>
    <col min="3" max="3" width="16.81640625" customWidth="1"/>
    <col min="4" max="4" width="20.453125" customWidth="1"/>
    <col min="5" max="5" width="19.36328125" customWidth="1"/>
    <col min="6" max="6" width="31.81640625" bestFit="1" customWidth="1"/>
    <col min="7" max="7" width="18.7265625" bestFit="1" customWidth="1"/>
    <col min="8" max="8" width="28.81640625" bestFit="1" customWidth="1"/>
    <col min="9" max="9" width="32.453125" bestFit="1" customWidth="1"/>
    <col min="10" max="10" width="13.6328125" bestFit="1" customWidth="1"/>
    <col min="11" max="11" width="11.81640625" bestFit="1" customWidth="1"/>
    <col min="12" max="12" width="14.90625" customWidth="1"/>
    <col min="13" max="13" width="11.81640625" bestFit="1" customWidth="1"/>
    <col min="14" max="14" width="12.36328125" bestFit="1" customWidth="1"/>
    <col min="15" max="15" width="17.08984375" bestFit="1" customWidth="1"/>
    <col min="16" max="16" width="18" bestFit="1" customWidth="1"/>
    <col min="18" max="18" width="15.6328125" style="40" bestFit="1" customWidth="1"/>
    <col min="19" max="19" width="15.6328125" style="40" customWidth="1"/>
    <col min="20" max="20" width="3.90625" style="46" customWidth="1"/>
    <col min="21" max="21" width="15.6328125" style="40" bestFit="1" customWidth="1"/>
    <col min="22" max="22" width="12.6328125" customWidth="1"/>
    <col min="23" max="23" width="4" style="51" customWidth="1"/>
    <col min="24" max="24" width="15.6328125" bestFit="1" customWidth="1"/>
    <col min="25" max="25" width="15.6328125" customWidth="1"/>
    <col min="26" max="26" width="3.36328125" style="51" customWidth="1"/>
    <col min="27" max="27" width="15.6328125" customWidth="1"/>
    <col min="28" max="28" width="34" style="40" bestFit="1" customWidth="1"/>
  </cols>
  <sheetData>
    <row r="2" spans="1:28" x14ac:dyDescent="0.35">
      <c r="A2" s="8" t="s">
        <v>6</v>
      </c>
      <c r="B2" s="8" t="s">
        <v>16</v>
      </c>
      <c r="C2" s="29" t="s">
        <v>38</v>
      </c>
      <c r="D2" s="106" t="s">
        <v>17</v>
      </c>
      <c r="E2" s="108" t="s">
        <v>18</v>
      </c>
      <c r="F2" s="109"/>
      <c r="G2" s="109"/>
      <c r="H2" s="109"/>
      <c r="I2" s="110"/>
      <c r="J2" s="108" t="s">
        <v>14</v>
      </c>
      <c r="K2" s="109"/>
      <c r="L2" s="109"/>
      <c r="M2" s="109"/>
      <c r="N2" s="109"/>
      <c r="O2" s="109"/>
      <c r="P2" s="110"/>
      <c r="R2" s="90" t="s">
        <v>40</v>
      </c>
      <c r="S2" s="91"/>
      <c r="T2" s="48"/>
      <c r="U2" s="90" t="s">
        <v>42</v>
      </c>
      <c r="V2" s="91"/>
      <c r="W2" s="48"/>
      <c r="X2" s="90" t="s">
        <v>41</v>
      </c>
      <c r="Y2" s="91"/>
      <c r="Z2" s="48"/>
      <c r="AA2" s="90" t="s">
        <v>43</v>
      </c>
      <c r="AB2" s="91"/>
    </row>
    <row r="3" spans="1:28" x14ac:dyDescent="0.35">
      <c r="A3" s="9"/>
      <c r="B3" s="9"/>
      <c r="C3" s="30"/>
      <c r="D3" s="107"/>
      <c r="E3" s="10" t="s">
        <v>15</v>
      </c>
      <c r="F3" s="10" t="s">
        <v>20</v>
      </c>
      <c r="G3" s="10" t="s">
        <v>37</v>
      </c>
      <c r="H3" s="10" t="s">
        <v>19</v>
      </c>
      <c r="I3" s="10" t="s">
        <v>50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39</v>
      </c>
      <c r="P3" s="10" t="s">
        <v>22</v>
      </c>
      <c r="R3" s="39" t="s">
        <v>45</v>
      </c>
      <c r="S3" s="39" t="s">
        <v>47</v>
      </c>
      <c r="U3" s="39" t="s">
        <v>44</v>
      </c>
      <c r="V3" s="5" t="s">
        <v>46</v>
      </c>
      <c r="X3" s="39" t="s">
        <v>45</v>
      </c>
      <c r="Y3" s="39" t="s">
        <v>48</v>
      </c>
      <c r="Z3" s="46"/>
      <c r="AA3" s="39" t="s">
        <v>45</v>
      </c>
      <c r="AB3" s="39" t="s">
        <v>49</v>
      </c>
    </row>
    <row r="4" spans="1:28" x14ac:dyDescent="0.35">
      <c r="A4" s="5" t="s">
        <v>0</v>
      </c>
      <c r="B4" s="2">
        <v>75000</v>
      </c>
      <c r="C4" s="27"/>
      <c r="D4" s="2">
        <v>75000</v>
      </c>
      <c r="E4" s="12">
        <v>25</v>
      </c>
      <c r="F4" s="14">
        <f>B4*G4</f>
        <v>15000</v>
      </c>
      <c r="G4" s="27">
        <v>0.2</v>
      </c>
      <c r="H4" s="11">
        <f>F4</f>
        <v>15000</v>
      </c>
      <c r="I4" s="13">
        <f>H4*E4</f>
        <v>375000</v>
      </c>
      <c r="J4" s="13">
        <v>800000</v>
      </c>
      <c r="K4" s="13">
        <v>36000</v>
      </c>
      <c r="L4" s="13">
        <v>150000</v>
      </c>
      <c r="M4" s="13">
        <v>36000</v>
      </c>
      <c r="N4" s="13">
        <v>45000</v>
      </c>
      <c r="O4" s="13">
        <v>40000</v>
      </c>
      <c r="P4" s="13">
        <f>J4+K4+L4+M4+N4+O4</f>
        <v>1107000</v>
      </c>
      <c r="R4" s="37">
        <f>I4-P4</f>
        <v>-732000</v>
      </c>
      <c r="S4" s="44">
        <f>R4/I4</f>
        <v>-1.952</v>
      </c>
      <c r="T4" s="49"/>
      <c r="U4" s="37">
        <f>R4*V4</f>
        <v>-175680</v>
      </c>
      <c r="V4" s="38">
        <v>0.24</v>
      </c>
      <c r="W4" s="53"/>
      <c r="X4" s="13">
        <f>R4-U4</f>
        <v>-556320</v>
      </c>
      <c r="Y4" s="45">
        <f>X4/I4</f>
        <v>-1.4835199999999999</v>
      </c>
      <c r="Z4" s="54"/>
      <c r="AA4" s="13">
        <f>X4</f>
        <v>-556320</v>
      </c>
      <c r="AB4" s="44">
        <f>X4/I4</f>
        <v>-1.4835199999999999</v>
      </c>
    </row>
    <row r="5" spans="1:28" x14ac:dyDescent="0.35">
      <c r="A5" s="5" t="s">
        <v>1</v>
      </c>
      <c r="B5" s="2">
        <f>B4+(B4*C5)</f>
        <v>82500</v>
      </c>
      <c r="C5" s="27">
        <v>0.1</v>
      </c>
      <c r="D5" s="28">
        <f>D4+B5</f>
        <v>157500</v>
      </c>
      <c r="E5" s="12">
        <v>25</v>
      </c>
      <c r="F5" s="14">
        <f>B5*G5</f>
        <v>24750</v>
      </c>
      <c r="G5" s="27">
        <v>0.3</v>
      </c>
      <c r="H5" s="11">
        <f>H4+F5</f>
        <v>39750</v>
      </c>
      <c r="I5" s="13">
        <f t="shared" ref="I5:I12" si="0">H5*E5</f>
        <v>993750</v>
      </c>
      <c r="J5" s="13">
        <f t="shared" ref="J5:N13" si="1">J4+(J4*0.1)</f>
        <v>880000</v>
      </c>
      <c r="K5" s="13">
        <f t="shared" si="1"/>
        <v>39600</v>
      </c>
      <c r="L5" s="13">
        <f t="shared" si="1"/>
        <v>165000</v>
      </c>
      <c r="M5" s="13">
        <f t="shared" si="1"/>
        <v>39600</v>
      </c>
      <c r="N5" s="13">
        <f t="shared" si="1"/>
        <v>49500</v>
      </c>
      <c r="O5" s="37">
        <v>10000</v>
      </c>
      <c r="P5" s="13">
        <f t="shared" ref="P5:P13" si="2">J5+K5+L5+M5+N5+O5</f>
        <v>1183700</v>
      </c>
      <c r="R5" s="37">
        <f t="shared" ref="R5:R13" si="3">I5-P5</f>
        <v>-189950</v>
      </c>
      <c r="S5" s="44">
        <f t="shared" ref="S5:S13" si="4">R5/I5</f>
        <v>-0.19114465408805031</v>
      </c>
      <c r="T5" s="49"/>
      <c r="U5" s="37">
        <f t="shared" ref="U5:U13" si="5">R5*V5</f>
        <v>-45588</v>
      </c>
      <c r="V5" s="38">
        <v>0.24</v>
      </c>
      <c r="W5" s="53"/>
      <c r="X5" s="13">
        <f t="shared" ref="X5:X13" si="6">R5-U5</f>
        <v>-144362</v>
      </c>
      <c r="Y5" s="45">
        <f t="shared" ref="Y5:Y13" si="7">X5/I5</f>
        <v>-0.14526993710691824</v>
      </c>
      <c r="Z5" s="54"/>
      <c r="AA5" s="13">
        <f t="shared" ref="AA5:AA13" si="8">AA4+X5</f>
        <v>-700682</v>
      </c>
      <c r="AB5" s="44">
        <f>AA5/(I4+I5)</f>
        <v>-0.51191378995433789</v>
      </c>
    </row>
    <row r="6" spans="1:28" x14ac:dyDescent="0.35">
      <c r="A6" s="5" t="s">
        <v>2</v>
      </c>
      <c r="B6" s="2">
        <f t="shared" ref="B6:B13" si="9">B5+(B5*C6)</f>
        <v>99000</v>
      </c>
      <c r="C6" s="27">
        <v>0.2</v>
      </c>
      <c r="D6" s="28">
        <f>D5+B6</f>
        <v>256500</v>
      </c>
      <c r="E6" s="12">
        <v>25</v>
      </c>
      <c r="F6" s="14">
        <f t="shared" ref="F6:F13" si="10">B6*G6</f>
        <v>39600</v>
      </c>
      <c r="G6" s="27">
        <v>0.4</v>
      </c>
      <c r="H6" s="11">
        <f>H5+F6</f>
        <v>79350</v>
      </c>
      <c r="I6" s="13">
        <f t="shared" si="0"/>
        <v>1983750</v>
      </c>
      <c r="J6" s="13">
        <f t="shared" si="1"/>
        <v>968000</v>
      </c>
      <c r="K6" s="13">
        <f t="shared" si="1"/>
        <v>43560</v>
      </c>
      <c r="L6" s="13">
        <f t="shared" si="1"/>
        <v>181500</v>
      </c>
      <c r="M6" s="13">
        <f t="shared" si="1"/>
        <v>43560</v>
      </c>
      <c r="N6" s="13">
        <f t="shared" si="1"/>
        <v>54450</v>
      </c>
      <c r="O6" s="37">
        <v>10000</v>
      </c>
      <c r="P6" s="13">
        <f t="shared" si="2"/>
        <v>1301070</v>
      </c>
      <c r="R6" s="37">
        <f t="shared" si="3"/>
        <v>682680</v>
      </c>
      <c r="S6" s="44">
        <f t="shared" si="4"/>
        <v>0.34413610586011339</v>
      </c>
      <c r="T6" s="49"/>
      <c r="U6" s="37">
        <f t="shared" si="5"/>
        <v>163843.19999999998</v>
      </c>
      <c r="V6" s="38">
        <v>0.24</v>
      </c>
      <c r="W6" s="53"/>
      <c r="X6" s="13">
        <f t="shared" si="6"/>
        <v>518836.80000000005</v>
      </c>
      <c r="Y6" s="45">
        <f t="shared" si="7"/>
        <v>0.26154344045368622</v>
      </c>
      <c r="Z6" s="54"/>
      <c r="AA6" s="13">
        <f t="shared" si="8"/>
        <v>-181845.19999999995</v>
      </c>
      <c r="AB6" s="44">
        <f>AA6/(I4+I5+I6)</f>
        <v>-5.4241670395227426E-2</v>
      </c>
    </row>
    <row r="7" spans="1:28" x14ac:dyDescent="0.35">
      <c r="A7" s="5" t="s">
        <v>3</v>
      </c>
      <c r="B7" s="2">
        <f t="shared" si="9"/>
        <v>118800</v>
      </c>
      <c r="C7" s="27">
        <v>0.2</v>
      </c>
      <c r="D7" s="28">
        <f t="shared" ref="D7:D13" si="11">D6+B7</f>
        <v>375300</v>
      </c>
      <c r="E7" s="12">
        <v>25</v>
      </c>
      <c r="F7" s="14">
        <f t="shared" si="10"/>
        <v>59400</v>
      </c>
      <c r="G7" s="27">
        <v>0.5</v>
      </c>
      <c r="H7" s="11">
        <f t="shared" ref="H7:H13" si="12">H6+F7</f>
        <v>138750</v>
      </c>
      <c r="I7" s="13">
        <f t="shared" si="0"/>
        <v>3468750</v>
      </c>
      <c r="J7" s="13">
        <f t="shared" si="1"/>
        <v>1064800</v>
      </c>
      <c r="K7" s="13">
        <f t="shared" si="1"/>
        <v>47916</v>
      </c>
      <c r="L7" s="13">
        <f t="shared" si="1"/>
        <v>199650</v>
      </c>
      <c r="M7" s="13">
        <f t="shared" si="1"/>
        <v>47916</v>
      </c>
      <c r="N7" s="13">
        <f t="shared" si="1"/>
        <v>59895</v>
      </c>
      <c r="O7" s="37">
        <v>10000</v>
      </c>
      <c r="P7" s="13">
        <f t="shared" si="2"/>
        <v>1430177</v>
      </c>
      <c r="R7" s="37">
        <f t="shared" si="3"/>
        <v>2038573</v>
      </c>
      <c r="S7" s="44">
        <f t="shared" si="4"/>
        <v>0.58769672072072077</v>
      </c>
      <c r="T7" s="49"/>
      <c r="U7" s="37">
        <f t="shared" si="5"/>
        <v>489257.51999999996</v>
      </c>
      <c r="V7" s="38">
        <v>0.24</v>
      </c>
      <c r="W7" s="53"/>
      <c r="X7" s="13">
        <f t="shared" si="6"/>
        <v>1549315.48</v>
      </c>
      <c r="Y7" s="45">
        <f t="shared" si="7"/>
        <v>0.44664950774774775</v>
      </c>
      <c r="Z7" s="54"/>
      <c r="AA7" s="13">
        <f t="shared" si="8"/>
        <v>1367470.28</v>
      </c>
      <c r="AB7" s="44">
        <f>AA7/(I4+I5+I6+I7)</f>
        <v>0.20047209529045262</v>
      </c>
    </row>
    <row r="8" spans="1:28" x14ac:dyDescent="0.35">
      <c r="A8" s="5" t="s">
        <v>4</v>
      </c>
      <c r="B8" s="2">
        <f t="shared" si="9"/>
        <v>148500</v>
      </c>
      <c r="C8" s="27">
        <v>0.25</v>
      </c>
      <c r="D8" s="28">
        <f t="shared" si="11"/>
        <v>523800</v>
      </c>
      <c r="E8" s="12">
        <v>25</v>
      </c>
      <c r="F8" s="14">
        <f t="shared" si="10"/>
        <v>74250</v>
      </c>
      <c r="G8" s="27">
        <v>0.5</v>
      </c>
      <c r="H8" s="11">
        <f t="shared" si="12"/>
        <v>213000</v>
      </c>
      <c r="I8" s="13">
        <f t="shared" si="0"/>
        <v>5325000</v>
      </c>
      <c r="J8" s="13">
        <f t="shared" si="1"/>
        <v>1171280</v>
      </c>
      <c r="K8" s="13">
        <f t="shared" si="1"/>
        <v>52707.6</v>
      </c>
      <c r="L8" s="13">
        <f t="shared" si="1"/>
        <v>219615</v>
      </c>
      <c r="M8" s="13">
        <f t="shared" si="1"/>
        <v>52707.6</v>
      </c>
      <c r="N8" s="13">
        <f t="shared" si="1"/>
        <v>65884.5</v>
      </c>
      <c r="O8" s="37">
        <v>10000</v>
      </c>
      <c r="P8" s="13">
        <f t="shared" si="2"/>
        <v>1572194.7000000002</v>
      </c>
      <c r="R8" s="37">
        <f t="shared" si="3"/>
        <v>3752805.3</v>
      </c>
      <c r="S8" s="44">
        <f t="shared" si="4"/>
        <v>0.70475216901408444</v>
      </c>
      <c r="T8" s="49"/>
      <c r="U8" s="37">
        <f t="shared" si="5"/>
        <v>900673.27199999988</v>
      </c>
      <c r="V8" s="38">
        <v>0.24</v>
      </c>
      <c r="W8" s="53"/>
      <c r="X8" s="13">
        <f t="shared" si="6"/>
        <v>2852132.0279999999</v>
      </c>
      <c r="Y8" s="45">
        <f t="shared" si="7"/>
        <v>0.53561164845070419</v>
      </c>
      <c r="Z8" s="54"/>
      <c r="AA8" s="13">
        <f t="shared" si="8"/>
        <v>4219602.3080000002</v>
      </c>
      <c r="AB8" s="44">
        <f>AA8/(I4+I5+I6+I7+I8)</f>
        <v>0.34739959312545027</v>
      </c>
    </row>
    <row r="9" spans="1:28" x14ac:dyDescent="0.35">
      <c r="A9" s="5" t="s">
        <v>23</v>
      </c>
      <c r="B9" s="2">
        <f t="shared" si="9"/>
        <v>185625</v>
      </c>
      <c r="C9" s="27">
        <v>0.25</v>
      </c>
      <c r="D9" s="28">
        <f t="shared" si="11"/>
        <v>709425</v>
      </c>
      <c r="E9" s="12">
        <v>25</v>
      </c>
      <c r="F9" s="14">
        <f t="shared" si="10"/>
        <v>92812.5</v>
      </c>
      <c r="G9" s="27">
        <v>0.5</v>
      </c>
      <c r="H9" s="11">
        <f t="shared" si="12"/>
        <v>305812.5</v>
      </c>
      <c r="I9" s="13">
        <f t="shared" si="0"/>
        <v>7645312.5</v>
      </c>
      <c r="J9" s="13">
        <f t="shared" si="1"/>
        <v>1288408</v>
      </c>
      <c r="K9" s="13">
        <f t="shared" si="1"/>
        <v>57978.36</v>
      </c>
      <c r="L9" s="13">
        <f t="shared" si="1"/>
        <v>241576.5</v>
      </c>
      <c r="M9" s="13">
        <f t="shared" si="1"/>
        <v>57978.36</v>
      </c>
      <c r="N9" s="13">
        <f t="shared" si="1"/>
        <v>72472.95</v>
      </c>
      <c r="O9" s="37">
        <v>10000</v>
      </c>
      <c r="P9" s="13">
        <f t="shared" si="2"/>
        <v>1728414.1700000002</v>
      </c>
      <c r="R9" s="37">
        <f t="shared" si="3"/>
        <v>5916898.3300000001</v>
      </c>
      <c r="S9" s="44">
        <f t="shared" si="4"/>
        <v>0.7739249808297568</v>
      </c>
      <c r="T9" s="49"/>
      <c r="U9" s="37">
        <f t="shared" si="5"/>
        <v>1420055.5992000001</v>
      </c>
      <c r="V9" s="38">
        <v>0.24</v>
      </c>
      <c r="W9" s="53"/>
      <c r="X9" s="13">
        <f t="shared" si="6"/>
        <v>4496842.7308</v>
      </c>
      <c r="Y9" s="45">
        <f t="shared" si="7"/>
        <v>0.5881829854306152</v>
      </c>
      <c r="Z9" s="54"/>
      <c r="AA9" s="13">
        <f t="shared" si="8"/>
        <v>8716445.0388000011</v>
      </c>
      <c r="AB9" s="44">
        <f>AA9/(I4+I5+I6+I7+I8+I9)</f>
        <v>0.44041217255080295</v>
      </c>
    </row>
    <row r="10" spans="1:28" x14ac:dyDescent="0.35">
      <c r="A10" s="15" t="s">
        <v>24</v>
      </c>
      <c r="B10" s="2">
        <f t="shared" si="9"/>
        <v>232031.25</v>
      </c>
      <c r="C10" s="27">
        <v>0.25</v>
      </c>
      <c r="D10" s="28">
        <f t="shared" si="11"/>
        <v>941456.25</v>
      </c>
      <c r="E10" s="12">
        <v>25</v>
      </c>
      <c r="F10" s="14">
        <f t="shared" si="10"/>
        <v>116015.625</v>
      </c>
      <c r="G10" s="27">
        <v>0.5</v>
      </c>
      <c r="H10" s="11">
        <f t="shared" si="12"/>
        <v>421828.125</v>
      </c>
      <c r="I10" s="13">
        <f t="shared" si="0"/>
        <v>10545703.125</v>
      </c>
      <c r="J10" s="13">
        <f t="shared" si="1"/>
        <v>1417248.8</v>
      </c>
      <c r="K10" s="13">
        <f t="shared" si="1"/>
        <v>63776.196000000004</v>
      </c>
      <c r="L10" s="13">
        <f t="shared" si="1"/>
        <v>265734.15000000002</v>
      </c>
      <c r="M10" s="13">
        <f t="shared" si="1"/>
        <v>63776.196000000004</v>
      </c>
      <c r="N10" s="13">
        <f t="shared" si="1"/>
        <v>79720.244999999995</v>
      </c>
      <c r="O10" s="37">
        <v>10000</v>
      </c>
      <c r="P10" s="13">
        <f t="shared" si="2"/>
        <v>1900255.5870000003</v>
      </c>
      <c r="R10" s="37">
        <f t="shared" si="3"/>
        <v>8645447.5379999988</v>
      </c>
      <c r="S10" s="44">
        <f t="shared" si="4"/>
        <v>0.81980759703967099</v>
      </c>
      <c r="T10" s="49"/>
      <c r="U10" s="37">
        <f t="shared" si="5"/>
        <v>2074907.4091199997</v>
      </c>
      <c r="V10" s="38">
        <v>0.24</v>
      </c>
      <c r="W10" s="53"/>
      <c r="X10" s="13">
        <f t="shared" si="6"/>
        <v>6570540.1288799988</v>
      </c>
      <c r="Y10" s="45">
        <f t="shared" si="7"/>
        <v>0.62305377375014992</v>
      </c>
      <c r="Z10" s="54"/>
      <c r="AA10" s="13">
        <f t="shared" si="8"/>
        <v>15286985.167679999</v>
      </c>
      <c r="AB10" s="44">
        <f>AA10/(I4+I5+I6+I7+I8+I9+I10)</f>
        <v>0.50390122025639872</v>
      </c>
    </row>
    <row r="11" spans="1:28" x14ac:dyDescent="0.35">
      <c r="A11" s="15" t="s">
        <v>25</v>
      </c>
      <c r="B11" s="2">
        <f t="shared" si="9"/>
        <v>290039.0625</v>
      </c>
      <c r="C11" s="27">
        <v>0.25</v>
      </c>
      <c r="D11" s="28">
        <f t="shared" si="11"/>
        <v>1231495.3125</v>
      </c>
      <c r="E11" s="12">
        <v>25</v>
      </c>
      <c r="F11" s="14">
        <f t="shared" si="10"/>
        <v>145019.53125</v>
      </c>
      <c r="G11" s="27">
        <v>0.5</v>
      </c>
      <c r="H11" s="11">
        <f t="shared" si="12"/>
        <v>566847.65625</v>
      </c>
      <c r="I11" s="13">
        <f t="shared" si="0"/>
        <v>14171191.40625</v>
      </c>
      <c r="J11" s="13">
        <f t="shared" si="1"/>
        <v>1558973.6800000002</v>
      </c>
      <c r="K11" s="13">
        <f t="shared" si="1"/>
        <v>70153.815600000002</v>
      </c>
      <c r="L11" s="13">
        <f t="shared" si="1"/>
        <v>292307.565</v>
      </c>
      <c r="M11" s="13">
        <f t="shared" si="1"/>
        <v>70153.815600000002</v>
      </c>
      <c r="N11" s="13">
        <f t="shared" si="1"/>
        <v>87692.269499999995</v>
      </c>
      <c r="O11" s="37">
        <v>10000</v>
      </c>
      <c r="P11" s="13">
        <f t="shared" si="2"/>
        <v>2089281.1457000002</v>
      </c>
      <c r="R11" s="37">
        <f t="shared" si="3"/>
        <v>12081910.26055</v>
      </c>
      <c r="S11" s="44">
        <f t="shared" si="4"/>
        <v>0.85256841956290619</v>
      </c>
      <c r="T11" s="49"/>
      <c r="U11" s="37">
        <f t="shared" si="5"/>
        <v>2899658.4625319997</v>
      </c>
      <c r="V11" s="38">
        <v>0.24</v>
      </c>
      <c r="W11" s="53"/>
      <c r="X11" s="13">
        <f t="shared" si="6"/>
        <v>9182251.798018001</v>
      </c>
      <c r="Y11" s="45">
        <f t="shared" si="7"/>
        <v>0.64795199886780874</v>
      </c>
      <c r="Z11" s="54"/>
      <c r="AA11" s="13">
        <f t="shared" si="8"/>
        <v>24469236.965698</v>
      </c>
      <c r="AB11" s="44">
        <f>AA11/(I4+I5+I6+I7+I8+I9+I10+I11)</f>
        <v>0.54976601297406946</v>
      </c>
    </row>
    <row r="12" spans="1:28" x14ac:dyDescent="0.35">
      <c r="A12" s="15" t="s">
        <v>26</v>
      </c>
      <c r="B12" s="2">
        <f t="shared" si="9"/>
        <v>377050.78125</v>
      </c>
      <c r="C12" s="27">
        <v>0.3</v>
      </c>
      <c r="D12" s="28">
        <f t="shared" si="11"/>
        <v>1608546.09375</v>
      </c>
      <c r="E12" s="12">
        <v>25</v>
      </c>
      <c r="F12" s="14">
        <f t="shared" si="10"/>
        <v>188525.390625</v>
      </c>
      <c r="G12" s="27">
        <v>0.5</v>
      </c>
      <c r="H12" s="11">
        <f t="shared" si="12"/>
        <v>755373.046875</v>
      </c>
      <c r="I12" s="13">
        <f t="shared" si="0"/>
        <v>18884326.171875</v>
      </c>
      <c r="J12" s="13">
        <f t="shared" si="1"/>
        <v>1714871.0480000002</v>
      </c>
      <c r="K12" s="13">
        <f t="shared" si="1"/>
        <v>77169.197159999996</v>
      </c>
      <c r="L12" s="13">
        <f t="shared" si="1"/>
        <v>321538.32150000002</v>
      </c>
      <c r="M12" s="13">
        <f t="shared" si="1"/>
        <v>77169.197159999996</v>
      </c>
      <c r="N12" s="13">
        <f t="shared" si="1"/>
        <v>96461.496449999991</v>
      </c>
      <c r="O12" s="37">
        <v>10000</v>
      </c>
      <c r="P12" s="13">
        <f t="shared" si="2"/>
        <v>2297209.26027</v>
      </c>
      <c r="R12" s="37">
        <f t="shared" si="3"/>
        <v>16587116.911605</v>
      </c>
      <c r="S12" s="44">
        <f t="shared" si="4"/>
        <v>0.87835365480547023</v>
      </c>
      <c r="T12" s="49"/>
      <c r="U12" s="37">
        <f t="shared" si="5"/>
        <v>3980908.0587852001</v>
      </c>
      <c r="V12" s="38">
        <v>0.24</v>
      </c>
      <c r="W12" s="53"/>
      <c r="X12" s="13">
        <f t="shared" si="6"/>
        <v>12606208.8528198</v>
      </c>
      <c r="Y12" s="45">
        <f t="shared" si="7"/>
        <v>0.66754877765215737</v>
      </c>
      <c r="Z12" s="54"/>
      <c r="AA12" s="13">
        <f t="shared" si="8"/>
        <v>37075445.818517804</v>
      </c>
      <c r="AB12" s="44">
        <f>AA12/(I4+I5+I6+I7+I8+I9+I10+I11+I12)</f>
        <v>0.58485278520931294</v>
      </c>
    </row>
    <row r="13" spans="1:28" x14ac:dyDescent="0.35">
      <c r="A13" s="15" t="s">
        <v>27</v>
      </c>
      <c r="B13" s="2">
        <f t="shared" si="9"/>
        <v>490166.015625</v>
      </c>
      <c r="C13" s="27">
        <v>0.3</v>
      </c>
      <c r="D13" s="28">
        <f t="shared" si="11"/>
        <v>2098712.109375</v>
      </c>
      <c r="E13" s="12">
        <v>25</v>
      </c>
      <c r="F13" s="14">
        <f t="shared" si="10"/>
        <v>245083.0078125</v>
      </c>
      <c r="G13" s="27">
        <v>0.5</v>
      </c>
      <c r="H13" s="11">
        <f t="shared" si="12"/>
        <v>1000456.0546875</v>
      </c>
      <c r="I13" s="13">
        <f>H13*E13</f>
        <v>25011401.3671875</v>
      </c>
      <c r="J13" s="13">
        <f t="shared" si="1"/>
        <v>1886358.1528000003</v>
      </c>
      <c r="K13" s="13">
        <f t="shared" si="1"/>
        <v>84886.116876</v>
      </c>
      <c r="L13" s="13">
        <f t="shared" si="1"/>
        <v>353692.15364999999</v>
      </c>
      <c r="M13" s="13">
        <f t="shared" si="1"/>
        <v>84886.116876</v>
      </c>
      <c r="N13" s="13">
        <f t="shared" si="1"/>
        <v>106107.64609499999</v>
      </c>
      <c r="O13" s="37">
        <v>10000</v>
      </c>
      <c r="P13" s="13">
        <f t="shared" si="2"/>
        <v>2525930.1862970009</v>
      </c>
      <c r="R13" s="37">
        <f t="shared" si="3"/>
        <v>22485471.180890501</v>
      </c>
      <c r="S13" s="44">
        <f t="shared" si="4"/>
        <v>0.89900885003545739</v>
      </c>
      <c r="T13" s="49"/>
      <c r="U13" s="37">
        <f t="shared" si="5"/>
        <v>5396513.0834137201</v>
      </c>
      <c r="V13" s="38">
        <v>0.24</v>
      </c>
      <c r="W13" s="53"/>
      <c r="X13" s="13">
        <f t="shared" si="6"/>
        <v>17088958.09747678</v>
      </c>
      <c r="Y13" s="45">
        <f t="shared" si="7"/>
        <v>0.68324672602694758</v>
      </c>
      <c r="Z13" s="54"/>
      <c r="AA13" s="13">
        <f t="shared" si="8"/>
        <v>54164403.915994585</v>
      </c>
      <c r="AB13" s="44">
        <f>AA13/(I4+I5+I6+I7+I8+I9+I10+I11+I12+I13)</f>
        <v>0.61269049852402391</v>
      </c>
    </row>
    <row r="14" spans="1:28" ht="15" thickBot="1" x14ac:dyDescent="0.4">
      <c r="C14" s="31"/>
      <c r="D14" s="24"/>
    </row>
    <row r="15" spans="1:28" s="17" customFormat="1" ht="16" thickBot="1" x14ac:dyDescent="0.4">
      <c r="F15" s="111" t="s">
        <v>35</v>
      </c>
      <c r="G15" s="112"/>
      <c r="H15" s="113"/>
      <c r="I15" s="18">
        <f>I4+I5+I6+I7+I8+I9+I10+I11+I12+I13</f>
        <v>88404184.5703125</v>
      </c>
      <c r="L15" s="114" t="s">
        <v>28</v>
      </c>
      <c r="M15" s="115"/>
      <c r="N15" s="116"/>
      <c r="O15" s="26"/>
      <c r="P15" s="18">
        <f>P4+P5+P6+P7+P8+P9+P10+P11+P12+P13</f>
        <v>17135232.049267001</v>
      </c>
      <c r="R15" s="41"/>
      <c r="S15" s="41"/>
      <c r="T15" s="50"/>
      <c r="U15" s="41"/>
      <c r="W15" s="55"/>
      <c r="Z15" s="55"/>
      <c r="AB15" s="41"/>
    </row>
    <row r="17" spans="1:28" x14ac:dyDescent="0.35">
      <c r="A17" s="16" t="s">
        <v>34</v>
      </c>
      <c r="B17" s="16"/>
      <c r="C17" s="16"/>
      <c r="D17" s="16"/>
      <c r="E17" s="16"/>
      <c r="F17" s="16"/>
      <c r="G17" s="16"/>
      <c r="Q17" s="21"/>
      <c r="R17" s="42"/>
      <c r="S17" s="42"/>
      <c r="U17" s="42"/>
      <c r="V17" s="21"/>
    </row>
    <row r="18" spans="1:28" ht="15" thickBot="1" x14ac:dyDescent="0.4">
      <c r="Q18" s="21"/>
      <c r="R18" s="42"/>
      <c r="S18" s="42"/>
      <c r="U18" s="42"/>
      <c r="V18" s="21"/>
    </row>
    <row r="19" spans="1:28" s="22" customFormat="1" ht="73" thickBot="1" x14ac:dyDescent="0.4">
      <c r="A19" s="19"/>
      <c r="B19" s="20"/>
      <c r="C19" s="20"/>
      <c r="D19" s="20" t="s">
        <v>29</v>
      </c>
      <c r="E19" s="20" t="s">
        <v>30</v>
      </c>
      <c r="F19" s="20"/>
      <c r="G19" s="20"/>
      <c r="H19" s="20" t="s">
        <v>31</v>
      </c>
      <c r="I19" s="20" t="s">
        <v>32</v>
      </c>
      <c r="J19" s="20" t="s">
        <v>33</v>
      </c>
      <c r="K19" s="20" t="s">
        <v>33</v>
      </c>
      <c r="L19" s="20" t="s">
        <v>33</v>
      </c>
      <c r="M19" s="20" t="s">
        <v>33</v>
      </c>
      <c r="N19" s="20" t="s">
        <v>33</v>
      </c>
      <c r="O19" s="20"/>
      <c r="P19" s="23" t="s">
        <v>33</v>
      </c>
      <c r="R19" s="43"/>
      <c r="S19" s="43"/>
      <c r="T19" s="47"/>
      <c r="U19" s="43"/>
      <c r="W19" s="52"/>
      <c r="Z19" s="52"/>
      <c r="AB19" s="43"/>
    </row>
    <row r="20" spans="1:28" x14ac:dyDescent="0.35">
      <c r="Q20" s="21"/>
      <c r="R20" s="42"/>
      <c r="S20" s="42"/>
      <c r="U20" s="42"/>
      <c r="V20" s="21"/>
    </row>
    <row r="21" spans="1:28" ht="15" thickBot="1" x14ac:dyDescent="0.4">
      <c r="Q21" s="21"/>
      <c r="R21" s="42"/>
      <c r="S21" s="42"/>
      <c r="U21" s="42"/>
      <c r="V21" s="21"/>
    </row>
    <row r="22" spans="1:28" ht="15" thickBot="1" x14ac:dyDescent="0.4">
      <c r="B22" s="34" t="s">
        <v>57</v>
      </c>
      <c r="C22" s="35"/>
      <c r="D22" s="36">
        <v>2700000</v>
      </c>
    </row>
    <row r="23" spans="1:28" x14ac:dyDescent="0.35">
      <c r="I23" s="21"/>
      <c r="J23" s="21"/>
      <c r="K23" s="21"/>
      <c r="L23" s="21"/>
      <c r="M23" s="21"/>
    </row>
    <row r="24" spans="1:28" x14ac:dyDescent="0.35">
      <c r="B24" s="101" t="s">
        <v>36</v>
      </c>
      <c r="C24" s="102"/>
      <c r="D24" s="103"/>
      <c r="I24" s="21"/>
      <c r="J24" s="21"/>
      <c r="K24" s="21"/>
      <c r="L24" s="21"/>
      <c r="M24" s="21"/>
    </row>
    <row r="25" spans="1:28" x14ac:dyDescent="0.35">
      <c r="B25" s="59" t="s">
        <v>63</v>
      </c>
      <c r="C25" s="59"/>
      <c r="D25" s="59" t="s">
        <v>58</v>
      </c>
      <c r="F25" s="32"/>
      <c r="H25" s="33"/>
      <c r="I25" s="33"/>
      <c r="J25" s="33"/>
      <c r="L25" s="21"/>
    </row>
    <row r="26" spans="1:28" x14ac:dyDescent="0.35">
      <c r="B26" s="60" t="s">
        <v>59</v>
      </c>
      <c r="C26" s="60"/>
      <c r="D26" s="60" t="s">
        <v>60</v>
      </c>
      <c r="H26" s="33"/>
      <c r="I26" s="33"/>
      <c r="J26" s="33"/>
      <c r="K26" s="33"/>
      <c r="L26" s="21"/>
      <c r="M26" s="21"/>
    </row>
    <row r="27" spans="1:28" ht="15.5" customHeight="1" x14ac:dyDescent="0.35">
      <c r="B27" s="59" t="s">
        <v>61</v>
      </c>
      <c r="C27" s="59"/>
      <c r="D27" s="59" t="s">
        <v>62</v>
      </c>
      <c r="F27" s="92" t="s">
        <v>56</v>
      </c>
      <c r="G27" s="93"/>
      <c r="H27" s="93"/>
      <c r="I27" s="94"/>
    </row>
    <row r="28" spans="1:28" x14ac:dyDescent="0.35">
      <c r="F28" s="95"/>
      <c r="G28" s="96"/>
      <c r="H28" s="96"/>
      <c r="I28" s="97"/>
    </row>
    <row r="29" spans="1:28" ht="15.5" x14ac:dyDescent="0.35">
      <c r="C29" s="58"/>
      <c r="F29" s="98" t="s">
        <v>51</v>
      </c>
      <c r="G29" s="99"/>
      <c r="H29" s="100"/>
      <c r="I29" s="56">
        <f>I15</f>
        <v>88404184.5703125</v>
      </c>
    </row>
    <row r="30" spans="1:28" ht="15.5" x14ac:dyDescent="0.35">
      <c r="F30" s="98" t="s">
        <v>52</v>
      </c>
      <c r="G30" s="99"/>
      <c r="H30" s="100"/>
      <c r="I30" s="56">
        <f>P15</f>
        <v>17135232.049267001</v>
      </c>
      <c r="L30">
        <v>1</v>
      </c>
    </row>
    <row r="31" spans="1:28" ht="15.5" x14ac:dyDescent="0.35">
      <c r="F31" s="117" t="s">
        <v>53</v>
      </c>
      <c r="G31" s="117"/>
      <c r="H31" s="117"/>
      <c r="I31" s="56">
        <f>I29-I30</f>
        <v>71268952.521045506</v>
      </c>
    </row>
    <row r="32" spans="1:28" ht="15.5" x14ac:dyDescent="0.35">
      <c r="F32" s="98" t="s">
        <v>54</v>
      </c>
      <c r="G32" s="99"/>
      <c r="H32" s="100"/>
      <c r="I32" s="57">
        <v>0.24</v>
      </c>
    </row>
    <row r="33" spans="2:9" ht="15.5" x14ac:dyDescent="0.35">
      <c r="F33" s="117" t="s">
        <v>55</v>
      </c>
      <c r="G33" s="117"/>
      <c r="H33" s="117"/>
      <c r="I33" s="56">
        <f>AA13</f>
        <v>54164403.915994585</v>
      </c>
    </row>
    <row r="39" spans="2:9" x14ac:dyDescent="0.35">
      <c r="B39" s="104" t="s">
        <v>65</v>
      </c>
      <c r="C39" s="105" t="s">
        <v>64</v>
      </c>
      <c r="D39" s="105"/>
      <c r="E39" s="105"/>
      <c r="F39" s="105"/>
      <c r="G39" s="105"/>
      <c r="H39" s="105"/>
    </row>
    <row r="40" spans="2:9" x14ac:dyDescent="0.35">
      <c r="B40" s="104"/>
      <c r="C40" s="63" t="s">
        <v>66</v>
      </c>
      <c r="D40" s="64"/>
      <c r="E40" s="64"/>
      <c r="F40" s="64"/>
      <c r="G40" s="64"/>
      <c r="H40" s="64"/>
    </row>
    <row r="41" spans="2:9" x14ac:dyDescent="0.35">
      <c r="B41" s="104"/>
      <c r="C41" s="105" t="s">
        <v>67</v>
      </c>
      <c r="D41" s="105"/>
      <c r="E41" s="105"/>
      <c r="F41" s="105"/>
      <c r="G41" s="105"/>
      <c r="H41" s="105"/>
    </row>
  </sheetData>
  <mergeCells count="19">
    <mergeCell ref="F30:H30"/>
    <mergeCell ref="F31:H31"/>
    <mergeCell ref="F32:H32"/>
    <mergeCell ref="F33:H33"/>
    <mergeCell ref="B39:B41"/>
    <mergeCell ref="C39:H39"/>
    <mergeCell ref="C41:H41"/>
    <mergeCell ref="AA2:AB2"/>
    <mergeCell ref="F15:H15"/>
    <mergeCell ref="L15:N15"/>
    <mergeCell ref="B24:D24"/>
    <mergeCell ref="F27:I28"/>
    <mergeCell ref="U2:V2"/>
    <mergeCell ref="X2:Y2"/>
    <mergeCell ref="F29:H29"/>
    <mergeCell ref="D2:D3"/>
    <mergeCell ref="E2:I2"/>
    <mergeCell ref="J2:P2"/>
    <mergeCell ref="R2:S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ED0B-455A-467F-AD7C-3600EBC02562}">
  <dimension ref="A2:AB40"/>
  <sheetViews>
    <sheetView zoomScale="55" zoomScaleNormal="55" workbookViewId="0">
      <selection activeCell="D28" sqref="D28"/>
    </sheetView>
  </sheetViews>
  <sheetFormatPr defaultRowHeight="14.5" x14ac:dyDescent="0.35"/>
  <cols>
    <col min="1" max="1" width="8.6328125" bestFit="1" customWidth="1"/>
    <col min="2" max="2" width="16.81640625" bestFit="1" customWidth="1"/>
    <col min="3" max="3" width="16.81640625" customWidth="1"/>
    <col min="4" max="4" width="20.453125" customWidth="1"/>
    <col min="5" max="5" width="19.36328125" customWidth="1"/>
    <col min="6" max="6" width="31.81640625" bestFit="1" customWidth="1"/>
    <col min="7" max="7" width="18.7265625" bestFit="1" customWidth="1"/>
    <col min="8" max="8" width="28.81640625" bestFit="1" customWidth="1"/>
    <col min="9" max="9" width="32.453125" bestFit="1" customWidth="1"/>
    <col min="10" max="10" width="13.6328125" bestFit="1" customWidth="1"/>
    <col min="11" max="11" width="11.81640625" bestFit="1" customWidth="1"/>
    <col min="12" max="12" width="14.90625" customWidth="1"/>
    <col min="13" max="13" width="11.81640625" bestFit="1" customWidth="1"/>
    <col min="14" max="14" width="12.36328125" bestFit="1" customWidth="1"/>
    <col min="15" max="15" width="17.08984375" bestFit="1" customWidth="1"/>
    <col min="16" max="16" width="18" bestFit="1" customWidth="1"/>
    <col min="18" max="18" width="15.6328125" style="40" bestFit="1" customWidth="1"/>
    <col min="19" max="19" width="15.6328125" style="40" customWidth="1"/>
    <col min="20" max="20" width="3.90625" style="46" customWidth="1"/>
    <col min="21" max="21" width="15.6328125" style="40" bestFit="1" customWidth="1"/>
    <col min="22" max="22" width="12.6328125" customWidth="1"/>
    <col min="23" max="23" width="4" style="51" customWidth="1"/>
    <col min="24" max="24" width="15.6328125" bestFit="1" customWidth="1"/>
    <col min="25" max="25" width="15.6328125" customWidth="1"/>
    <col min="26" max="26" width="3.36328125" style="51" customWidth="1"/>
    <col min="27" max="27" width="15.6328125" customWidth="1"/>
    <col min="28" max="28" width="34" style="40" bestFit="1" customWidth="1"/>
  </cols>
  <sheetData>
    <row r="2" spans="1:28" x14ac:dyDescent="0.35">
      <c r="A2" s="8" t="s">
        <v>6</v>
      </c>
      <c r="B2" s="8" t="s">
        <v>16</v>
      </c>
      <c r="C2" s="29" t="s">
        <v>38</v>
      </c>
      <c r="D2" s="106" t="s">
        <v>17</v>
      </c>
      <c r="E2" s="108" t="s">
        <v>18</v>
      </c>
      <c r="F2" s="109"/>
      <c r="G2" s="109"/>
      <c r="H2" s="109"/>
      <c r="I2" s="110"/>
      <c r="J2" s="108" t="s">
        <v>14</v>
      </c>
      <c r="K2" s="109"/>
      <c r="L2" s="109"/>
      <c r="M2" s="109"/>
      <c r="N2" s="109"/>
      <c r="O2" s="109"/>
      <c r="P2" s="110"/>
      <c r="R2" s="90" t="s">
        <v>40</v>
      </c>
      <c r="S2" s="91"/>
      <c r="T2" s="48"/>
      <c r="U2" s="90" t="s">
        <v>42</v>
      </c>
      <c r="V2" s="91"/>
      <c r="W2" s="48"/>
      <c r="X2" s="90" t="s">
        <v>41</v>
      </c>
      <c r="Y2" s="91"/>
      <c r="Z2" s="48"/>
      <c r="AA2" s="90" t="s">
        <v>43</v>
      </c>
      <c r="AB2" s="91"/>
    </row>
    <row r="3" spans="1:28" x14ac:dyDescent="0.35">
      <c r="A3" s="9"/>
      <c r="B3" s="9"/>
      <c r="C3" s="30"/>
      <c r="D3" s="107"/>
      <c r="E3" s="10" t="s">
        <v>15</v>
      </c>
      <c r="F3" s="10" t="s">
        <v>20</v>
      </c>
      <c r="G3" s="10" t="s">
        <v>37</v>
      </c>
      <c r="H3" s="10" t="s">
        <v>19</v>
      </c>
      <c r="I3" s="10" t="s">
        <v>50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39</v>
      </c>
      <c r="P3" s="10" t="s">
        <v>22</v>
      </c>
      <c r="R3" s="39" t="s">
        <v>45</v>
      </c>
      <c r="S3" s="39" t="s">
        <v>47</v>
      </c>
      <c r="U3" s="39" t="s">
        <v>44</v>
      </c>
      <c r="V3" s="5" t="s">
        <v>46</v>
      </c>
      <c r="X3" s="39" t="s">
        <v>45</v>
      </c>
      <c r="Y3" s="39" t="s">
        <v>48</v>
      </c>
      <c r="Z3" s="46"/>
      <c r="AA3" s="39" t="s">
        <v>45</v>
      </c>
      <c r="AB3" s="39" t="s">
        <v>49</v>
      </c>
    </row>
    <row r="4" spans="1:28" x14ac:dyDescent="0.35">
      <c r="A4" s="5" t="s">
        <v>0</v>
      </c>
      <c r="B4" s="2">
        <v>125000</v>
      </c>
      <c r="C4" s="27"/>
      <c r="D4" s="2">
        <v>125000</v>
      </c>
      <c r="E4" s="12">
        <v>25</v>
      </c>
      <c r="F4" s="14">
        <f>B4*G4</f>
        <v>25000</v>
      </c>
      <c r="G4" s="27">
        <v>0.2</v>
      </c>
      <c r="H4" s="11">
        <f>F4</f>
        <v>25000</v>
      </c>
      <c r="I4" s="13">
        <f>H4*E4</f>
        <v>625000</v>
      </c>
      <c r="J4" s="13">
        <v>800000</v>
      </c>
      <c r="K4" s="13">
        <v>36000</v>
      </c>
      <c r="L4" s="13">
        <v>150000</v>
      </c>
      <c r="M4" s="13">
        <v>36000</v>
      </c>
      <c r="N4" s="13">
        <v>45000</v>
      </c>
      <c r="O4" s="13">
        <v>40000</v>
      </c>
      <c r="P4" s="13">
        <f>J4+K4+L4+M4+N4+O4</f>
        <v>1107000</v>
      </c>
      <c r="R4" s="37">
        <f>I4-P4</f>
        <v>-482000</v>
      </c>
      <c r="S4" s="44">
        <f>R4/I4</f>
        <v>-0.7712</v>
      </c>
      <c r="T4" s="49"/>
      <c r="U4" s="37">
        <f>R4*V4</f>
        <v>-149420</v>
      </c>
      <c r="V4" s="38">
        <v>0.31</v>
      </c>
      <c r="W4" s="53"/>
      <c r="X4" s="13">
        <f>R4-U4</f>
        <v>-332580</v>
      </c>
      <c r="Y4" s="45">
        <f>X4/I4</f>
        <v>-0.53212800000000005</v>
      </c>
      <c r="Z4" s="54"/>
      <c r="AA4" s="13">
        <f>X4</f>
        <v>-332580</v>
      </c>
      <c r="AB4" s="44">
        <f>X4/I4</f>
        <v>-0.53212800000000005</v>
      </c>
    </row>
    <row r="5" spans="1:28" x14ac:dyDescent="0.35">
      <c r="A5" s="5" t="s">
        <v>1</v>
      </c>
      <c r="B5" s="2">
        <f>B4+(B4*C5)</f>
        <v>137500</v>
      </c>
      <c r="C5" s="27">
        <v>0.1</v>
      </c>
      <c r="D5" s="28">
        <f>D4+B5</f>
        <v>262500</v>
      </c>
      <c r="E5" s="12">
        <v>25</v>
      </c>
      <c r="F5" s="14">
        <f>B5*G5</f>
        <v>41250</v>
      </c>
      <c r="G5" s="27">
        <v>0.3</v>
      </c>
      <c r="H5" s="11">
        <f>H4+F5</f>
        <v>66250</v>
      </c>
      <c r="I5" s="13">
        <f t="shared" ref="I5:I12" si="0">H5*E5</f>
        <v>1656250</v>
      </c>
      <c r="J5" s="13">
        <f t="shared" ref="J5:N13" si="1">J4+(J4*0.1)</f>
        <v>880000</v>
      </c>
      <c r="K5" s="13">
        <f t="shared" si="1"/>
        <v>39600</v>
      </c>
      <c r="L5" s="13">
        <f t="shared" si="1"/>
        <v>165000</v>
      </c>
      <c r="M5" s="13">
        <f t="shared" si="1"/>
        <v>39600</v>
      </c>
      <c r="N5" s="13">
        <f t="shared" si="1"/>
        <v>49500</v>
      </c>
      <c r="O5" s="37">
        <v>10000</v>
      </c>
      <c r="P5" s="13">
        <f t="shared" ref="P5:P13" si="2">J5+K5+L5+M5+N5+O5</f>
        <v>1183700</v>
      </c>
      <c r="R5" s="37">
        <f t="shared" ref="R5:R13" si="3">I5-P5</f>
        <v>472550</v>
      </c>
      <c r="S5" s="44">
        <f t="shared" ref="S5:S13" si="4">R5/I5</f>
        <v>0.28531320754716982</v>
      </c>
      <c r="T5" s="49"/>
      <c r="U5" s="37">
        <f t="shared" ref="U5:U13" si="5">R5*V5</f>
        <v>146490.5</v>
      </c>
      <c r="V5" s="38">
        <v>0.31</v>
      </c>
      <c r="W5" s="53"/>
      <c r="X5" s="13">
        <f t="shared" ref="X5:X13" si="6">R5-U5</f>
        <v>326059.5</v>
      </c>
      <c r="Y5" s="45">
        <f t="shared" ref="Y5:Y13" si="7">X5/I5</f>
        <v>0.19686611320754718</v>
      </c>
      <c r="Z5" s="54"/>
      <c r="AA5" s="13">
        <f t="shared" ref="AA5:AA13" si="8">AA4+X5</f>
        <v>-6520.5</v>
      </c>
      <c r="AB5" s="44">
        <f>AA5/(I4+I5)</f>
        <v>-2.8583013698630136E-3</v>
      </c>
    </row>
    <row r="6" spans="1:28" x14ac:dyDescent="0.35">
      <c r="A6" s="5" t="s">
        <v>2</v>
      </c>
      <c r="B6" s="2">
        <f t="shared" ref="B6:B13" si="9">B5+(B5*C6)</f>
        <v>165000</v>
      </c>
      <c r="C6" s="27">
        <v>0.2</v>
      </c>
      <c r="D6" s="28">
        <f>D5+B6</f>
        <v>427500</v>
      </c>
      <c r="E6" s="12">
        <v>25</v>
      </c>
      <c r="F6" s="14">
        <f t="shared" ref="F6:F13" si="10">B6*G6</f>
        <v>66000</v>
      </c>
      <c r="G6" s="27">
        <v>0.4</v>
      </c>
      <c r="H6" s="11">
        <f>H5+F6</f>
        <v>132250</v>
      </c>
      <c r="I6" s="13">
        <f t="shared" si="0"/>
        <v>3306250</v>
      </c>
      <c r="J6" s="13">
        <f t="shared" si="1"/>
        <v>968000</v>
      </c>
      <c r="K6" s="13">
        <f t="shared" si="1"/>
        <v>43560</v>
      </c>
      <c r="L6" s="13">
        <f t="shared" si="1"/>
        <v>181500</v>
      </c>
      <c r="M6" s="13">
        <f t="shared" si="1"/>
        <v>43560</v>
      </c>
      <c r="N6" s="13">
        <f t="shared" si="1"/>
        <v>54450</v>
      </c>
      <c r="O6" s="37">
        <v>10000</v>
      </c>
      <c r="P6" s="13">
        <f t="shared" si="2"/>
        <v>1301070</v>
      </c>
      <c r="R6" s="37">
        <f t="shared" si="3"/>
        <v>2005180</v>
      </c>
      <c r="S6" s="44">
        <f t="shared" si="4"/>
        <v>0.60648166351606803</v>
      </c>
      <c r="T6" s="49"/>
      <c r="U6" s="37">
        <f t="shared" si="5"/>
        <v>621605.80000000005</v>
      </c>
      <c r="V6" s="38">
        <v>0.31</v>
      </c>
      <c r="W6" s="53"/>
      <c r="X6" s="13">
        <f t="shared" si="6"/>
        <v>1383574.2</v>
      </c>
      <c r="Y6" s="45">
        <f t="shared" si="7"/>
        <v>0.41847234782608694</v>
      </c>
      <c r="Z6" s="54"/>
      <c r="AA6" s="13">
        <f t="shared" si="8"/>
        <v>1377053.7</v>
      </c>
      <c r="AB6" s="44">
        <f>AA6/(I4+I5+I6)</f>
        <v>0.24645256375838925</v>
      </c>
    </row>
    <row r="7" spans="1:28" x14ac:dyDescent="0.35">
      <c r="A7" s="5" t="s">
        <v>3</v>
      </c>
      <c r="B7" s="2">
        <f t="shared" si="9"/>
        <v>198000</v>
      </c>
      <c r="C7" s="27">
        <v>0.2</v>
      </c>
      <c r="D7" s="28">
        <f t="shared" ref="D7:D13" si="11">D6+B7</f>
        <v>625500</v>
      </c>
      <c r="E7" s="12">
        <v>25</v>
      </c>
      <c r="F7" s="14">
        <f t="shared" si="10"/>
        <v>99000</v>
      </c>
      <c r="G7" s="27">
        <v>0.5</v>
      </c>
      <c r="H7" s="11">
        <f t="shared" ref="H7:H13" si="12">H6+F7</f>
        <v>231250</v>
      </c>
      <c r="I7" s="13">
        <f t="shared" si="0"/>
        <v>5781250</v>
      </c>
      <c r="J7" s="13">
        <f t="shared" si="1"/>
        <v>1064800</v>
      </c>
      <c r="K7" s="13">
        <f t="shared" si="1"/>
        <v>47916</v>
      </c>
      <c r="L7" s="13">
        <f t="shared" si="1"/>
        <v>199650</v>
      </c>
      <c r="M7" s="13">
        <f t="shared" si="1"/>
        <v>47916</v>
      </c>
      <c r="N7" s="13">
        <f t="shared" si="1"/>
        <v>59895</v>
      </c>
      <c r="O7" s="37">
        <v>10000</v>
      </c>
      <c r="P7" s="13">
        <f t="shared" si="2"/>
        <v>1430177</v>
      </c>
      <c r="R7" s="37">
        <f t="shared" si="3"/>
        <v>4351073</v>
      </c>
      <c r="S7" s="44">
        <f t="shared" si="4"/>
        <v>0.75261803243243242</v>
      </c>
      <c r="T7" s="49"/>
      <c r="U7" s="37">
        <f t="shared" si="5"/>
        <v>1348832.63</v>
      </c>
      <c r="V7" s="38">
        <v>0.31</v>
      </c>
      <c r="W7" s="53"/>
      <c r="X7" s="13">
        <f t="shared" si="6"/>
        <v>3002240.37</v>
      </c>
      <c r="Y7" s="45">
        <f t="shared" si="7"/>
        <v>0.51930644237837842</v>
      </c>
      <c r="Z7" s="54"/>
      <c r="AA7" s="13">
        <f t="shared" si="8"/>
        <v>4379294.07</v>
      </c>
      <c r="AB7" s="44">
        <f>AA7/(I4+I5+I6+I7)</f>
        <v>0.38520453611874661</v>
      </c>
    </row>
    <row r="8" spans="1:28" x14ac:dyDescent="0.35">
      <c r="A8" s="5" t="s">
        <v>4</v>
      </c>
      <c r="B8" s="2">
        <f t="shared" si="9"/>
        <v>247500</v>
      </c>
      <c r="C8" s="27">
        <v>0.25</v>
      </c>
      <c r="D8" s="28">
        <f t="shared" si="11"/>
        <v>873000</v>
      </c>
      <c r="E8" s="12">
        <v>25</v>
      </c>
      <c r="F8" s="14">
        <f t="shared" si="10"/>
        <v>123750</v>
      </c>
      <c r="G8" s="27">
        <v>0.5</v>
      </c>
      <c r="H8" s="11">
        <f t="shared" si="12"/>
        <v>355000</v>
      </c>
      <c r="I8" s="13">
        <f t="shared" si="0"/>
        <v>8875000</v>
      </c>
      <c r="J8" s="13">
        <f t="shared" si="1"/>
        <v>1171280</v>
      </c>
      <c r="K8" s="13">
        <f t="shared" si="1"/>
        <v>52707.6</v>
      </c>
      <c r="L8" s="13">
        <f t="shared" si="1"/>
        <v>219615</v>
      </c>
      <c r="M8" s="13">
        <f t="shared" si="1"/>
        <v>52707.6</v>
      </c>
      <c r="N8" s="13">
        <f t="shared" si="1"/>
        <v>65884.5</v>
      </c>
      <c r="O8" s="37">
        <v>10000</v>
      </c>
      <c r="P8" s="13">
        <f t="shared" si="2"/>
        <v>1572194.7000000002</v>
      </c>
      <c r="R8" s="37">
        <f t="shared" si="3"/>
        <v>7302805.2999999998</v>
      </c>
      <c r="S8" s="44">
        <f t="shared" si="4"/>
        <v>0.82285130140845064</v>
      </c>
      <c r="T8" s="49"/>
      <c r="U8" s="37">
        <f t="shared" si="5"/>
        <v>2263869.6430000002</v>
      </c>
      <c r="V8" s="38">
        <v>0.31</v>
      </c>
      <c r="W8" s="53"/>
      <c r="X8" s="13">
        <f t="shared" si="6"/>
        <v>5038935.6569999997</v>
      </c>
      <c r="Y8" s="45">
        <f t="shared" si="7"/>
        <v>0.56776739797183096</v>
      </c>
      <c r="Z8" s="54"/>
      <c r="AA8" s="13">
        <f t="shared" si="8"/>
        <v>9418229.727</v>
      </c>
      <c r="AB8" s="44">
        <f>AA8/(I4+I5+I6+I7+I8)</f>
        <v>0.46524135730781108</v>
      </c>
    </row>
    <row r="9" spans="1:28" x14ac:dyDescent="0.35">
      <c r="A9" s="5" t="s">
        <v>23</v>
      </c>
      <c r="B9" s="2">
        <f t="shared" si="9"/>
        <v>309375</v>
      </c>
      <c r="C9" s="27">
        <v>0.25</v>
      </c>
      <c r="D9" s="28">
        <f t="shared" si="11"/>
        <v>1182375</v>
      </c>
      <c r="E9" s="12">
        <v>25</v>
      </c>
      <c r="F9" s="14">
        <f t="shared" si="10"/>
        <v>154687.5</v>
      </c>
      <c r="G9" s="27">
        <v>0.5</v>
      </c>
      <c r="H9" s="11">
        <f t="shared" si="12"/>
        <v>509687.5</v>
      </c>
      <c r="I9" s="13">
        <f t="shared" si="0"/>
        <v>12742187.5</v>
      </c>
      <c r="J9" s="13">
        <f t="shared" si="1"/>
        <v>1288408</v>
      </c>
      <c r="K9" s="13">
        <f t="shared" si="1"/>
        <v>57978.36</v>
      </c>
      <c r="L9" s="13">
        <f t="shared" si="1"/>
        <v>241576.5</v>
      </c>
      <c r="M9" s="13">
        <f t="shared" si="1"/>
        <v>57978.36</v>
      </c>
      <c r="N9" s="13">
        <f t="shared" si="1"/>
        <v>72472.95</v>
      </c>
      <c r="O9" s="37">
        <v>10000</v>
      </c>
      <c r="P9" s="13">
        <f t="shared" si="2"/>
        <v>1728414.1700000002</v>
      </c>
      <c r="R9" s="37">
        <f t="shared" si="3"/>
        <v>11013773.33</v>
      </c>
      <c r="S9" s="44">
        <f t="shared" si="4"/>
        <v>0.86435498849785408</v>
      </c>
      <c r="T9" s="49"/>
      <c r="U9" s="37">
        <f t="shared" si="5"/>
        <v>3414269.7322999998</v>
      </c>
      <c r="V9" s="38">
        <v>0.31</v>
      </c>
      <c r="W9" s="53"/>
      <c r="X9" s="13">
        <f t="shared" si="6"/>
        <v>7599503.5976999998</v>
      </c>
      <c r="Y9" s="45">
        <f t="shared" si="7"/>
        <v>0.59640494206351935</v>
      </c>
      <c r="Z9" s="54"/>
      <c r="AA9" s="13">
        <f t="shared" si="8"/>
        <v>17017733.324699998</v>
      </c>
      <c r="AB9" s="44">
        <f>AA9/(I4+I5+I6+I7+I8+I9)</f>
        <v>0.51590873610004262</v>
      </c>
    </row>
    <row r="10" spans="1:28" x14ac:dyDescent="0.35">
      <c r="A10" s="15" t="s">
        <v>24</v>
      </c>
      <c r="B10" s="2">
        <f t="shared" si="9"/>
        <v>386718.75</v>
      </c>
      <c r="C10" s="27">
        <v>0.25</v>
      </c>
      <c r="D10" s="28">
        <f t="shared" si="11"/>
        <v>1569093.75</v>
      </c>
      <c r="E10" s="12">
        <v>25</v>
      </c>
      <c r="F10" s="14">
        <f t="shared" si="10"/>
        <v>193359.375</v>
      </c>
      <c r="G10" s="27">
        <v>0.5</v>
      </c>
      <c r="H10" s="11">
        <f t="shared" si="12"/>
        <v>703046.875</v>
      </c>
      <c r="I10" s="13">
        <f t="shared" si="0"/>
        <v>17576171.875</v>
      </c>
      <c r="J10" s="13">
        <f t="shared" si="1"/>
        <v>1417248.8</v>
      </c>
      <c r="K10" s="13">
        <f t="shared" si="1"/>
        <v>63776.196000000004</v>
      </c>
      <c r="L10" s="13">
        <f t="shared" si="1"/>
        <v>265734.15000000002</v>
      </c>
      <c r="M10" s="13">
        <f t="shared" si="1"/>
        <v>63776.196000000004</v>
      </c>
      <c r="N10" s="13">
        <f t="shared" si="1"/>
        <v>79720.244999999995</v>
      </c>
      <c r="O10" s="37">
        <v>10000</v>
      </c>
      <c r="P10" s="13">
        <f t="shared" si="2"/>
        <v>1900255.5870000003</v>
      </c>
      <c r="R10" s="37">
        <f t="shared" si="3"/>
        <v>15675916.287999999</v>
      </c>
      <c r="S10" s="44">
        <f t="shared" si="4"/>
        <v>0.89188455822380253</v>
      </c>
      <c r="T10" s="49"/>
      <c r="U10" s="37">
        <f t="shared" si="5"/>
        <v>4859534.0492799999</v>
      </c>
      <c r="V10" s="38">
        <v>0.31</v>
      </c>
      <c r="W10" s="53"/>
      <c r="X10" s="13">
        <f t="shared" si="6"/>
        <v>10816382.23872</v>
      </c>
      <c r="Y10" s="45">
        <f t="shared" si="7"/>
        <v>0.61540034517442377</v>
      </c>
      <c r="Z10" s="54"/>
      <c r="AA10" s="13">
        <f t="shared" si="8"/>
        <v>27834115.563419998</v>
      </c>
      <c r="AB10" s="44">
        <f>AA10/(I4+I5+I6+I7+I8+I9+I10)</f>
        <v>0.5504935594554593</v>
      </c>
    </row>
    <row r="11" spans="1:28" x14ac:dyDescent="0.35">
      <c r="A11" s="15" t="s">
        <v>25</v>
      </c>
      <c r="B11" s="2">
        <f t="shared" si="9"/>
        <v>483398.4375</v>
      </c>
      <c r="C11" s="27">
        <v>0.25</v>
      </c>
      <c r="D11" s="28">
        <f t="shared" si="11"/>
        <v>2052492.1875</v>
      </c>
      <c r="E11" s="12">
        <v>25</v>
      </c>
      <c r="F11" s="14">
        <f t="shared" si="10"/>
        <v>241699.21875</v>
      </c>
      <c r="G11" s="27">
        <v>0.5</v>
      </c>
      <c r="H11" s="11">
        <f t="shared" si="12"/>
        <v>944746.09375</v>
      </c>
      <c r="I11" s="13">
        <f t="shared" si="0"/>
        <v>23618652.34375</v>
      </c>
      <c r="J11" s="13">
        <f t="shared" si="1"/>
        <v>1558973.6800000002</v>
      </c>
      <c r="K11" s="13">
        <f t="shared" si="1"/>
        <v>70153.815600000002</v>
      </c>
      <c r="L11" s="13">
        <f t="shared" si="1"/>
        <v>292307.565</v>
      </c>
      <c r="M11" s="13">
        <f t="shared" si="1"/>
        <v>70153.815600000002</v>
      </c>
      <c r="N11" s="13">
        <f t="shared" si="1"/>
        <v>87692.269499999995</v>
      </c>
      <c r="O11" s="37">
        <v>10000</v>
      </c>
      <c r="P11" s="13">
        <f t="shared" si="2"/>
        <v>2089281.1457000002</v>
      </c>
      <c r="R11" s="37">
        <f t="shared" si="3"/>
        <v>21529371.19805</v>
      </c>
      <c r="S11" s="44">
        <f t="shared" si="4"/>
        <v>0.91154105173774369</v>
      </c>
      <c r="T11" s="49"/>
      <c r="U11" s="37">
        <f t="shared" si="5"/>
        <v>6674105.0713954996</v>
      </c>
      <c r="V11" s="38">
        <v>0.31</v>
      </c>
      <c r="W11" s="53"/>
      <c r="X11" s="13">
        <f t="shared" si="6"/>
        <v>14855266.1266545</v>
      </c>
      <c r="Y11" s="45">
        <f t="shared" si="7"/>
        <v>0.62896332569904312</v>
      </c>
      <c r="Z11" s="54"/>
      <c r="AA11" s="13">
        <f t="shared" si="8"/>
        <v>42689381.690074496</v>
      </c>
      <c r="AB11" s="44">
        <f>AA11/(I4+I5+I6+I7+I8+I9+I10+I11)</f>
        <v>0.57547780180429564</v>
      </c>
    </row>
    <row r="12" spans="1:28" x14ac:dyDescent="0.35">
      <c r="A12" s="15" t="s">
        <v>26</v>
      </c>
      <c r="B12" s="2">
        <f t="shared" si="9"/>
        <v>628417.96875</v>
      </c>
      <c r="C12" s="27">
        <v>0.3</v>
      </c>
      <c r="D12" s="28">
        <f t="shared" si="11"/>
        <v>2680910.15625</v>
      </c>
      <c r="E12" s="12">
        <v>25</v>
      </c>
      <c r="F12" s="14">
        <f t="shared" si="10"/>
        <v>314208.984375</v>
      </c>
      <c r="G12" s="27">
        <v>0.5</v>
      </c>
      <c r="H12" s="11">
        <f t="shared" si="12"/>
        <v>1258955.078125</v>
      </c>
      <c r="I12" s="13">
        <f t="shared" si="0"/>
        <v>31473876.953125</v>
      </c>
      <c r="J12" s="13">
        <f t="shared" si="1"/>
        <v>1714871.0480000002</v>
      </c>
      <c r="K12" s="13">
        <f t="shared" si="1"/>
        <v>77169.197159999996</v>
      </c>
      <c r="L12" s="13">
        <f t="shared" si="1"/>
        <v>321538.32150000002</v>
      </c>
      <c r="M12" s="13">
        <f t="shared" si="1"/>
        <v>77169.197159999996</v>
      </c>
      <c r="N12" s="13">
        <f t="shared" si="1"/>
        <v>96461.496449999991</v>
      </c>
      <c r="O12" s="37">
        <v>10000</v>
      </c>
      <c r="P12" s="13">
        <f t="shared" si="2"/>
        <v>2297209.26027</v>
      </c>
      <c r="R12" s="37">
        <f t="shared" si="3"/>
        <v>29176667.692855</v>
      </c>
      <c r="S12" s="44">
        <f t="shared" si="4"/>
        <v>0.92701219288328218</v>
      </c>
      <c r="T12" s="49"/>
      <c r="U12" s="37">
        <f t="shared" si="5"/>
        <v>9044766.9847850502</v>
      </c>
      <c r="V12" s="38">
        <v>0.31</v>
      </c>
      <c r="W12" s="53"/>
      <c r="X12" s="13">
        <f t="shared" si="6"/>
        <v>20131900.70806995</v>
      </c>
      <c r="Y12" s="45">
        <f t="shared" si="7"/>
        <v>0.63963841308946467</v>
      </c>
      <c r="Z12" s="54"/>
      <c r="AA12" s="13">
        <f t="shared" si="8"/>
        <v>62821282.398144446</v>
      </c>
      <c r="AB12" s="44">
        <f>AA12/(I4+I5+I6+I7+I8+I9+I10+I11+I12)</f>
        <v>0.59459085931138878</v>
      </c>
    </row>
    <row r="13" spans="1:28" x14ac:dyDescent="0.35">
      <c r="A13" s="15" t="s">
        <v>27</v>
      </c>
      <c r="B13" s="2">
        <f t="shared" si="9"/>
        <v>816943.359375</v>
      </c>
      <c r="C13" s="27">
        <v>0.3</v>
      </c>
      <c r="D13" s="28">
        <f t="shared" si="11"/>
        <v>3497853.515625</v>
      </c>
      <c r="E13" s="12">
        <v>25</v>
      </c>
      <c r="F13" s="14">
        <f t="shared" si="10"/>
        <v>408471.6796875</v>
      </c>
      <c r="G13" s="27">
        <v>0.5</v>
      </c>
      <c r="H13" s="11">
        <f t="shared" si="12"/>
        <v>1667426.7578125</v>
      </c>
      <c r="I13" s="13">
        <f>H13*E13</f>
        <v>41685668.9453125</v>
      </c>
      <c r="J13" s="13">
        <f t="shared" si="1"/>
        <v>1886358.1528000003</v>
      </c>
      <c r="K13" s="13">
        <f t="shared" si="1"/>
        <v>84886.116876</v>
      </c>
      <c r="L13" s="13">
        <f t="shared" si="1"/>
        <v>353692.15364999999</v>
      </c>
      <c r="M13" s="13">
        <f t="shared" si="1"/>
        <v>84886.116876</v>
      </c>
      <c r="N13" s="13">
        <f t="shared" si="1"/>
        <v>106107.64609499999</v>
      </c>
      <c r="O13" s="37">
        <v>10000</v>
      </c>
      <c r="P13" s="13">
        <f t="shared" si="2"/>
        <v>2525930.1862970009</v>
      </c>
      <c r="R13" s="37">
        <f t="shared" si="3"/>
        <v>39159738.759015501</v>
      </c>
      <c r="S13" s="44">
        <f t="shared" si="4"/>
        <v>0.93940531002127448</v>
      </c>
      <c r="T13" s="49"/>
      <c r="U13" s="37">
        <f t="shared" si="5"/>
        <v>12139519.015294805</v>
      </c>
      <c r="V13" s="38">
        <v>0.31</v>
      </c>
      <c r="W13" s="53"/>
      <c r="X13" s="13">
        <f t="shared" si="6"/>
        <v>27020219.743720695</v>
      </c>
      <c r="Y13" s="45">
        <f t="shared" si="7"/>
        <v>0.64818966391467936</v>
      </c>
      <c r="Z13" s="54"/>
      <c r="AA13" s="13">
        <f t="shared" si="8"/>
        <v>89841502.141865134</v>
      </c>
      <c r="AB13" s="44">
        <f>AA13/(I4+I5+I6+I7+I8+I9+I10+I11+I12+I13)</f>
        <v>0.60975508735387607</v>
      </c>
    </row>
    <row r="14" spans="1:28" ht="15" thickBot="1" x14ac:dyDescent="0.4">
      <c r="C14" s="31"/>
      <c r="D14" s="24"/>
    </row>
    <row r="15" spans="1:28" s="17" customFormat="1" ht="16" thickBot="1" x14ac:dyDescent="0.4">
      <c r="F15" s="111" t="s">
        <v>35</v>
      </c>
      <c r="G15" s="112"/>
      <c r="H15" s="113"/>
      <c r="I15" s="18">
        <f>I4+I5+I6+I7+I8+I9+I10+I11+I12+I13</f>
        <v>147340307.6171875</v>
      </c>
      <c r="L15" s="114" t="s">
        <v>28</v>
      </c>
      <c r="M15" s="115"/>
      <c r="N15" s="116"/>
      <c r="O15" s="26"/>
      <c r="P15" s="18">
        <f>P4+P5+P6+P7+P8+P9+P10+P11+P12+P13</f>
        <v>17135232.049267001</v>
      </c>
      <c r="R15" s="41"/>
      <c r="S15" s="41"/>
      <c r="T15" s="50"/>
      <c r="U15" s="41"/>
      <c r="W15" s="55"/>
      <c r="Z15" s="55"/>
      <c r="AB15" s="41"/>
    </row>
    <row r="17" spans="1:28" x14ac:dyDescent="0.35">
      <c r="A17" s="16" t="s">
        <v>34</v>
      </c>
      <c r="B17" s="16"/>
      <c r="C17" s="16"/>
      <c r="D17" s="16"/>
      <c r="E17" s="16"/>
      <c r="F17" s="16"/>
      <c r="G17" s="16"/>
      <c r="Q17" s="21"/>
      <c r="R17" s="42"/>
      <c r="S17" s="42"/>
      <c r="U17" s="42"/>
      <c r="V17" s="21"/>
    </row>
    <row r="18" spans="1:28" ht="15" thickBot="1" x14ac:dyDescent="0.4">
      <c r="Q18" s="21"/>
      <c r="R18" s="42"/>
      <c r="S18" s="42"/>
      <c r="U18" s="42"/>
      <c r="V18" s="21"/>
    </row>
    <row r="19" spans="1:28" s="22" customFormat="1" ht="73" thickBot="1" x14ac:dyDescent="0.4">
      <c r="A19" s="19"/>
      <c r="B19" s="20"/>
      <c r="C19" s="20"/>
      <c r="D19" s="20" t="s">
        <v>29</v>
      </c>
      <c r="E19" s="20" t="s">
        <v>30</v>
      </c>
      <c r="F19" s="20"/>
      <c r="G19" s="20"/>
      <c r="H19" s="20" t="s">
        <v>31</v>
      </c>
      <c r="I19" s="20" t="s">
        <v>32</v>
      </c>
      <c r="J19" s="20" t="s">
        <v>33</v>
      </c>
      <c r="K19" s="20" t="s">
        <v>33</v>
      </c>
      <c r="L19" s="20" t="s">
        <v>33</v>
      </c>
      <c r="M19" s="20" t="s">
        <v>33</v>
      </c>
      <c r="N19" s="20" t="s">
        <v>33</v>
      </c>
      <c r="O19" s="20"/>
      <c r="P19" s="23" t="s">
        <v>33</v>
      </c>
      <c r="R19" s="43"/>
      <c r="S19" s="43"/>
      <c r="T19" s="47"/>
      <c r="U19" s="43"/>
      <c r="W19" s="52"/>
      <c r="Z19" s="52"/>
      <c r="AB19" s="43"/>
    </row>
    <row r="20" spans="1:28" x14ac:dyDescent="0.35">
      <c r="Q20" s="21"/>
      <c r="R20" s="42"/>
      <c r="S20" s="42"/>
      <c r="U20" s="42"/>
      <c r="V20" s="21"/>
    </row>
    <row r="21" spans="1:28" ht="15" thickBot="1" x14ac:dyDescent="0.4">
      <c r="Q21" s="21"/>
      <c r="R21" s="42"/>
      <c r="S21" s="42"/>
      <c r="U21" s="42"/>
      <c r="V21" s="21"/>
    </row>
    <row r="22" spans="1:28" ht="15" thickBot="1" x14ac:dyDescent="0.4">
      <c r="B22" s="34" t="s">
        <v>83</v>
      </c>
      <c r="C22" s="35"/>
      <c r="D22" s="36">
        <v>5000000</v>
      </c>
    </row>
    <row r="23" spans="1:28" x14ac:dyDescent="0.35">
      <c r="I23" s="21"/>
      <c r="J23" s="21"/>
      <c r="K23" s="21"/>
      <c r="L23" s="21"/>
      <c r="M23" s="21"/>
    </row>
    <row r="24" spans="1:28" x14ac:dyDescent="0.35">
      <c r="B24" s="101" t="s">
        <v>36</v>
      </c>
      <c r="C24" s="102"/>
      <c r="D24" s="103"/>
      <c r="I24" s="21"/>
      <c r="J24" s="21"/>
      <c r="K24" s="21"/>
      <c r="L24" s="21"/>
      <c r="M24" s="21"/>
    </row>
    <row r="25" spans="1:28" x14ac:dyDescent="0.35">
      <c r="B25" s="60" t="s">
        <v>63</v>
      </c>
      <c r="C25" s="60"/>
      <c r="D25" s="118" t="s">
        <v>70</v>
      </c>
      <c r="F25" s="32"/>
      <c r="H25" s="33"/>
      <c r="I25" s="33"/>
      <c r="J25" s="33"/>
      <c r="L25" s="21"/>
    </row>
    <row r="26" spans="1:28" x14ac:dyDescent="0.35">
      <c r="B26" s="60" t="s">
        <v>59</v>
      </c>
      <c r="C26" s="60"/>
      <c r="D26" s="119"/>
      <c r="H26" s="33"/>
      <c r="I26" s="33"/>
      <c r="J26" s="33"/>
      <c r="K26" s="33"/>
      <c r="L26" s="21"/>
      <c r="M26" s="21"/>
    </row>
    <row r="27" spans="1:28" ht="15.5" customHeight="1" x14ac:dyDescent="0.35">
      <c r="B27" s="59" t="s">
        <v>71</v>
      </c>
      <c r="C27" s="59"/>
      <c r="D27" s="59" t="s">
        <v>72</v>
      </c>
      <c r="F27" s="92" t="s">
        <v>56</v>
      </c>
      <c r="G27" s="93"/>
      <c r="H27" s="93"/>
      <c r="I27" s="94"/>
    </row>
    <row r="28" spans="1:28" x14ac:dyDescent="0.35">
      <c r="F28" s="95"/>
      <c r="G28" s="96"/>
      <c r="H28" s="96"/>
      <c r="I28" s="97"/>
    </row>
    <row r="29" spans="1:28" ht="15.5" x14ac:dyDescent="0.35">
      <c r="C29" s="58"/>
      <c r="F29" s="98" t="s">
        <v>51</v>
      </c>
      <c r="G29" s="99"/>
      <c r="H29" s="100"/>
      <c r="I29" s="56">
        <f>I15</f>
        <v>147340307.6171875</v>
      </c>
    </row>
    <row r="30" spans="1:28" ht="15.5" x14ac:dyDescent="0.35">
      <c r="F30" s="98" t="s">
        <v>52</v>
      </c>
      <c r="G30" s="99"/>
      <c r="H30" s="100"/>
      <c r="I30" s="56">
        <f>P15</f>
        <v>17135232.049267001</v>
      </c>
      <c r="L30">
        <v>1</v>
      </c>
    </row>
    <row r="31" spans="1:28" ht="15.5" x14ac:dyDescent="0.35">
      <c r="F31" s="117" t="s">
        <v>53</v>
      </c>
      <c r="G31" s="117"/>
      <c r="H31" s="117"/>
      <c r="I31" s="56">
        <f>I29-I30</f>
        <v>130205075.56792051</v>
      </c>
    </row>
    <row r="32" spans="1:28" ht="15.5" x14ac:dyDescent="0.35">
      <c r="F32" s="98" t="s">
        <v>54</v>
      </c>
      <c r="G32" s="99"/>
      <c r="H32" s="100"/>
      <c r="I32" s="57">
        <v>0.31</v>
      </c>
    </row>
    <row r="33" spans="2:16" ht="15.5" x14ac:dyDescent="0.35">
      <c r="F33" s="117" t="s">
        <v>55</v>
      </c>
      <c r="G33" s="117"/>
      <c r="H33" s="117"/>
      <c r="I33" s="56">
        <f>AA13</f>
        <v>89841502.141865134</v>
      </c>
    </row>
    <row r="38" spans="2:16" x14ac:dyDescent="0.35">
      <c r="C38" s="61"/>
    </row>
    <row r="39" spans="2:16" x14ac:dyDescent="0.35">
      <c r="B39" s="104" t="s">
        <v>65</v>
      </c>
      <c r="C39" s="105" t="s">
        <v>68</v>
      </c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</row>
    <row r="40" spans="2:16" x14ac:dyDescent="0.35">
      <c r="B40" s="104"/>
      <c r="C40" s="105" t="s">
        <v>69</v>
      </c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</row>
  </sheetData>
  <mergeCells count="20">
    <mergeCell ref="F30:H30"/>
    <mergeCell ref="F31:H31"/>
    <mergeCell ref="F32:H32"/>
    <mergeCell ref="F33:H33"/>
    <mergeCell ref="B39:B40"/>
    <mergeCell ref="C39:P39"/>
    <mergeCell ref="C40:P40"/>
    <mergeCell ref="AA2:AB2"/>
    <mergeCell ref="F15:H15"/>
    <mergeCell ref="L15:N15"/>
    <mergeCell ref="B24:D24"/>
    <mergeCell ref="D25:D26"/>
    <mergeCell ref="F27:I28"/>
    <mergeCell ref="D2:D3"/>
    <mergeCell ref="E2:I2"/>
    <mergeCell ref="J2:P2"/>
    <mergeCell ref="R2:S2"/>
    <mergeCell ref="U2:V2"/>
    <mergeCell ref="X2:Y2"/>
    <mergeCell ref="F29:H2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2F9C-C61C-4962-8C9F-2A5CACAF6074}">
  <dimension ref="A2:AB38"/>
  <sheetViews>
    <sheetView zoomScale="55" zoomScaleNormal="55" workbookViewId="0">
      <selection activeCell="G23" sqref="G23"/>
    </sheetView>
  </sheetViews>
  <sheetFormatPr defaultRowHeight="14.5" x14ac:dyDescent="0.35"/>
  <cols>
    <col min="1" max="1" width="8.6328125" bestFit="1" customWidth="1"/>
    <col min="2" max="2" width="16.81640625" bestFit="1" customWidth="1"/>
    <col min="3" max="3" width="16.81640625" customWidth="1"/>
    <col min="4" max="4" width="20.453125" customWidth="1"/>
    <col min="5" max="5" width="19.36328125" customWidth="1"/>
    <col min="6" max="6" width="31.81640625" bestFit="1" customWidth="1"/>
    <col min="7" max="7" width="18.7265625" bestFit="1" customWidth="1"/>
    <col min="8" max="8" width="28.81640625" bestFit="1" customWidth="1"/>
    <col min="9" max="9" width="32.453125" bestFit="1" customWidth="1"/>
    <col min="10" max="10" width="14.6328125" bestFit="1" customWidth="1"/>
    <col min="11" max="11" width="11.81640625" bestFit="1" customWidth="1"/>
    <col min="12" max="12" width="14.90625" customWidth="1"/>
    <col min="13" max="13" width="11.81640625" bestFit="1" customWidth="1"/>
    <col min="14" max="14" width="12.90625" bestFit="1" customWidth="1"/>
    <col min="15" max="15" width="17.08984375" bestFit="1" customWidth="1"/>
    <col min="16" max="16" width="18" bestFit="1" customWidth="1"/>
    <col min="18" max="18" width="15.6328125" style="40" bestFit="1" customWidth="1"/>
    <col min="19" max="19" width="15.6328125" style="40" customWidth="1"/>
    <col min="20" max="20" width="3.90625" style="46" customWidth="1"/>
    <col min="21" max="21" width="15.6328125" style="40" bestFit="1" customWidth="1"/>
    <col min="22" max="22" width="12.6328125" customWidth="1"/>
    <col min="23" max="23" width="4" style="51" customWidth="1"/>
    <col min="24" max="24" width="15.6328125" bestFit="1" customWidth="1"/>
    <col min="25" max="25" width="15.6328125" customWidth="1"/>
    <col min="26" max="26" width="3.36328125" style="51" customWidth="1"/>
    <col min="27" max="27" width="15.6328125" customWidth="1"/>
    <col min="28" max="28" width="34" style="40" bestFit="1" customWidth="1"/>
  </cols>
  <sheetData>
    <row r="2" spans="1:28" x14ac:dyDescent="0.35">
      <c r="A2" s="8" t="s">
        <v>6</v>
      </c>
      <c r="B2" s="8" t="s">
        <v>16</v>
      </c>
      <c r="C2" s="29" t="s">
        <v>38</v>
      </c>
      <c r="D2" s="106" t="s">
        <v>17</v>
      </c>
      <c r="E2" s="108" t="s">
        <v>18</v>
      </c>
      <c r="F2" s="109"/>
      <c r="G2" s="109"/>
      <c r="H2" s="109"/>
      <c r="I2" s="110"/>
      <c r="J2" s="108" t="s">
        <v>14</v>
      </c>
      <c r="K2" s="109"/>
      <c r="L2" s="109"/>
      <c r="M2" s="109"/>
      <c r="N2" s="109"/>
      <c r="O2" s="109"/>
      <c r="P2" s="110"/>
      <c r="R2" s="90" t="s">
        <v>40</v>
      </c>
      <c r="S2" s="91"/>
      <c r="T2" s="48"/>
      <c r="U2" s="90" t="s">
        <v>42</v>
      </c>
      <c r="V2" s="91"/>
      <c r="W2" s="48"/>
      <c r="X2" s="90" t="s">
        <v>41</v>
      </c>
      <c r="Y2" s="91"/>
      <c r="Z2" s="48"/>
      <c r="AA2" s="90" t="s">
        <v>43</v>
      </c>
      <c r="AB2" s="91"/>
    </row>
    <row r="3" spans="1:28" x14ac:dyDescent="0.35">
      <c r="A3" s="9"/>
      <c r="B3" s="9"/>
      <c r="C3" s="30"/>
      <c r="D3" s="107"/>
      <c r="E3" s="10" t="s">
        <v>15</v>
      </c>
      <c r="F3" s="10" t="s">
        <v>20</v>
      </c>
      <c r="G3" s="10" t="s">
        <v>37</v>
      </c>
      <c r="H3" s="10" t="s">
        <v>19</v>
      </c>
      <c r="I3" s="10" t="s">
        <v>50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39</v>
      </c>
      <c r="P3" s="10" t="s">
        <v>22</v>
      </c>
      <c r="R3" s="39" t="s">
        <v>45</v>
      </c>
      <c r="S3" s="39" t="s">
        <v>47</v>
      </c>
      <c r="U3" s="39" t="s">
        <v>44</v>
      </c>
      <c r="V3" s="5" t="s">
        <v>46</v>
      </c>
      <c r="X3" s="39" t="s">
        <v>45</v>
      </c>
      <c r="Y3" s="39" t="s">
        <v>48</v>
      </c>
      <c r="Z3" s="46"/>
      <c r="AA3" s="39" t="s">
        <v>45</v>
      </c>
      <c r="AB3" s="39" t="s">
        <v>49</v>
      </c>
    </row>
    <row r="4" spans="1:28" x14ac:dyDescent="0.35">
      <c r="A4" s="5" t="s">
        <v>0</v>
      </c>
      <c r="B4" s="2">
        <v>18000</v>
      </c>
      <c r="C4" s="27"/>
      <c r="D4" s="2">
        <v>18000</v>
      </c>
      <c r="E4" s="12">
        <v>25</v>
      </c>
      <c r="F4" s="14">
        <f>B4*G4</f>
        <v>3600</v>
      </c>
      <c r="G4" s="27">
        <v>0.2</v>
      </c>
      <c r="H4" s="11">
        <f>F4</f>
        <v>3600</v>
      </c>
      <c r="I4" s="13">
        <f>H4*E4</f>
        <v>90000</v>
      </c>
      <c r="J4" s="13">
        <v>400000</v>
      </c>
      <c r="K4" s="13">
        <v>36000</v>
      </c>
      <c r="L4" s="13">
        <v>100000</v>
      </c>
      <c r="M4" s="13">
        <v>36000</v>
      </c>
      <c r="N4" s="13">
        <v>45000</v>
      </c>
      <c r="O4" s="13">
        <v>40000</v>
      </c>
      <c r="P4" s="13">
        <f>J4+K4+L4+M4+N4+O4</f>
        <v>657000</v>
      </c>
      <c r="R4" s="37">
        <f>I4-P4</f>
        <v>-567000</v>
      </c>
      <c r="S4" s="44">
        <f>R4/I4</f>
        <v>-6.3</v>
      </c>
      <c r="T4" s="49"/>
      <c r="U4" s="37">
        <f>R4*V4</f>
        <v>-124740</v>
      </c>
      <c r="V4" s="38">
        <v>0.22</v>
      </c>
      <c r="W4" s="53"/>
      <c r="X4" s="13">
        <f>R4-U4</f>
        <v>-442260</v>
      </c>
      <c r="Y4" s="45">
        <f>X4/I4</f>
        <v>-4.9139999999999997</v>
      </c>
      <c r="Z4" s="54"/>
      <c r="AA4" s="13">
        <f>X4</f>
        <v>-442260</v>
      </c>
      <c r="AB4" s="44">
        <f>X4/I4</f>
        <v>-4.9139999999999997</v>
      </c>
    </row>
    <row r="5" spans="1:28" x14ac:dyDescent="0.35">
      <c r="A5" s="5" t="s">
        <v>1</v>
      </c>
      <c r="B5" s="2">
        <f>B4+(B4*C5)</f>
        <v>19800</v>
      </c>
      <c r="C5" s="27">
        <v>0.1</v>
      </c>
      <c r="D5" s="28">
        <f>D4+B5</f>
        <v>37800</v>
      </c>
      <c r="E5" s="12">
        <v>25</v>
      </c>
      <c r="F5" s="14">
        <f>B5*G5</f>
        <v>5940</v>
      </c>
      <c r="G5" s="27">
        <v>0.3</v>
      </c>
      <c r="H5" s="11">
        <f>H4+F5</f>
        <v>9540</v>
      </c>
      <c r="I5" s="13">
        <f t="shared" ref="I5:I12" si="0">H5*E5</f>
        <v>238500</v>
      </c>
      <c r="J5" s="13">
        <f t="shared" ref="J5:N13" si="1">J4+(J4*0.1)</f>
        <v>440000</v>
      </c>
      <c r="K5" s="13">
        <f t="shared" si="1"/>
        <v>39600</v>
      </c>
      <c r="L5" s="13">
        <f t="shared" si="1"/>
        <v>110000</v>
      </c>
      <c r="M5" s="13">
        <f t="shared" si="1"/>
        <v>39600</v>
      </c>
      <c r="N5" s="13">
        <f t="shared" si="1"/>
        <v>49500</v>
      </c>
      <c r="O5" s="37">
        <v>10000</v>
      </c>
      <c r="P5" s="13">
        <f t="shared" ref="P5:P13" si="2">J5+K5+L5+M5+N5+O5</f>
        <v>688700</v>
      </c>
      <c r="R5" s="37">
        <f t="shared" ref="R5:R13" si="3">I5-P5</f>
        <v>-450200</v>
      </c>
      <c r="S5" s="44">
        <f t="shared" ref="S5:S13" si="4">R5/I5</f>
        <v>-1.8876310272536687</v>
      </c>
      <c r="T5" s="49"/>
      <c r="U5" s="37">
        <f t="shared" ref="U5:U13" si="5">R5*V5</f>
        <v>-99044</v>
      </c>
      <c r="V5" s="38">
        <v>0.22</v>
      </c>
      <c r="W5" s="53"/>
      <c r="X5" s="13">
        <f t="shared" ref="X5:X13" si="6">R5-U5</f>
        <v>-351156</v>
      </c>
      <c r="Y5" s="45">
        <f t="shared" ref="Y5:Y13" si="7">X5/I5</f>
        <v>-1.4723522012578616</v>
      </c>
      <c r="Z5" s="54"/>
      <c r="AA5" s="13">
        <f t="shared" ref="AA5:AA13" si="8">AA4+X5</f>
        <v>-793416</v>
      </c>
      <c r="AB5" s="44">
        <f>AA5/(I4+I5)</f>
        <v>-2.4152694063926941</v>
      </c>
    </row>
    <row r="6" spans="1:28" x14ac:dyDescent="0.35">
      <c r="A6" s="5" t="s">
        <v>2</v>
      </c>
      <c r="B6" s="2">
        <f t="shared" ref="B6:B13" si="9">B5+(B5*C6)</f>
        <v>23760</v>
      </c>
      <c r="C6" s="27">
        <v>0.2</v>
      </c>
      <c r="D6" s="28">
        <f>D5+B6</f>
        <v>61560</v>
      </c>
      <c r="E6" s="12">
        <v>25</v>
      </c>
      <c r="F6" s="14">
        <f t="shared" ref="F6:F13" si="10">B6*G6</f>
        <v>9504</v>
      </c>
      <c r="G6" s="27">
        <v>0.4</v>
      </c>
      <c r="H6" s="11">
        <f>H5+F6</f>
        <v>19044</v>
      </c>
      <c r="I6" s="13">
        <f t="shared" si="0"/>
        <v>476100</v>
      </c>
      <c r="J6" s="13">
        <f t="shared" si="1"/>
        <v>484000</v>
      </c>
      <c r="K6" s="13">
        <f t="shared" si="1"/>
        <v>43560</v>
      </c>
      <c r="L6" s="13">
        <f t="shared" si="1"/>
        <v>121000</v>
      </c>
      <c r="M6" s="13">
        <f t="shared" si="1"/>
        <v>43560</v>
      </c>
      <c r="N6" s="13">
        <f t="shared" si="1"/>
        <v>54450</v>
      </c>
      <c r="O6" s="37">
        <v>10000</v>
      </c>
      <c r="P6" s="13">
        <f t="shared" si="2"/>
        <v>756570</v>
      </c>
      <c r="R6" s="37">
        <f t="shared" si="3"/>
        <v>-280470</v>
      </c>
      <c r="S6" s="44">
        <f t="shared" si="4"/>
        <v>-0.5890989287964713</v>
      </c>
      <c r="T6" s="49"/>
      <c r="U6" s="37">
        <f t="shared" si="5"/>
        <v>-61703.4</v>
      </c>
      <c r="V6" s="38">
        <v>0.22</v>
      </c>
      <c r="W6" s="53"/>
      <c r="X6" s="13">
        <f t="shared" si="6"/>
        <v>-218766.6</v>
      </c>
      <c r="Y6" s="45">
        <f t="shared" si="7"/>
        <v>-0.45949716446124766</v>
      </c>
      <c r="Z6" s="54"/>
      <c r="AA6" s="13">
        <f t="shared" si="8"/>
        <v>-1012182.6</v>
      </c>
      <c r="AB6" s="44">
        <f>AA6/(I4+I5+I6)</f>
        <v>-1.2579947800149143</v>
      </c>
    </row>
    <row r="7" spans="1:28" x14ac:dyDescent="0.35">
      <c r="A7" s="5" t="s">
        <v>3</v>
      </c>
      <c r="B7" s="2">
        <f t="shared" si="9"/>
        <v>28512</v>
      </c>
      <c r="C7" s="27">
        <v>0.2</v>
      </c>
      <c r="D7" s="28">
        <f t="shared" ref="D7:D13" si="11">D6+B7</f>
        <v>90072</v>
      </c>
      <c r="E7" s="12">
        <v>25</v>
      </c>
      <c r="F7" s="14">
        <f t="shared" si="10"/>
        <v>14256</v>
      </c>
      <c r="G7" s="27">
        <v>0.5</v>
      </c>
      <c r="H7" s="11">
        <f t="shared" ref="H7:H13" si="12">H6+F7</f>
        <v>33300</v>
      </c>
      <c r="I7" s="13">
        <f t="shared" si="0"/>
        <v>832500</v>
      </c>
      <c r="J7" s="13">
        <f t="shared" si="1"/>
        <v>532400</v>
      </c>
      <c r="K7" s="13">
        <f t="shared" si="1"/>
        <v>47916</v>
      </c>
      <c r="L7" s="13">
        <f t="shared" si="1"/>
        <v>133100</v>
      </c>
      <c r="M7" s="13">
        <f t="shared" si="1"/>
        <v>47916</v>
      </c>
      <c r="N7" s="13">
        <f t="shared" si="1"/>
        <v>59895</v>
      </c>
      <c r="O7" s="37">
        <v>10000</v>
      </c>
      <c r="P7" s="13">
        <f t="shared" si="2"/>
        <v>831227</v>
      </c>
      <c r="R7" s="37">
        <f t="shared" si="3"/>
        <v>1273</v>
      </c>
      <c r="S7" s="44">
        <f t="shared" si="4"/>
        <v>1.5291291291291292E-3</v>
      </c>
      <c r="T7" s="49"/>
      <c r="U7" s="37">
        <f t="shared" si="5"/>
        <v>280.06</v>
      </c>
      <c r="V7" s="38">
        <v>0.22</v>
      </c>
      <c r="W7" s="53"/>
      <c r="X7" s="13">
        <f t="shared" si="6"/>
        <v>992.94</v>
      </c>
      <c r="Y7" s="45">
        <f t="shared" si="7"/>
        <v>1.1927207207207207E-3</v>
      </c>
      <c r="Z7" s="54"/>
      <c r="AA7" s="13">
        <f t="shared" si="8"/>
        <v>-1011189.66</v>
      </c>
      <c r="AB7" s="44">
        <f>AA7/(I4+I5+I6+I7)</f>
        <v>-0.61767128458860177</v>
      </c>
    </row>
    <row r="8" spans="1:28" x14ac:dyDescent="0.35">
      <c r="A8" s="5" t="s">
        <v>4</v>
      </c>
      <c r="B8" s="2">
        <f t="shared" si="9"/>
        <v>35640</v>
      </c>
      <c r="C8" s="27">
        <v>0.25</v>
      </c>
      <c r="D8" s="28">
        <f t="shared" si="11"/>
        <v>125712</v>
      </c>
      <c r="E8" s="12">
        <v>25</v>
      </c>
      <c r="F8" s="14">
        <f t="shared" si="10"/>
        <v>17820</v>
      </c>
      <c r="G8" s="27">
        <v>0.5</v>
      </c>
      <c r="H8" s="11">
        <f t="shared" si="12"/>
        <v>51120</v>
      </c>
      <c r="I8" s="13">
        <f t="shared" si="0"/>
        <v>1278000</v>
      </c>
      <c r="J8" s="13">
        <f t="shared" si="1"/>
        <v>585640</v>
      </c>
      <c r="K8" s="13">
        <f t="shared" si="1"/>
        <v>52707.6</v>
      </c>
      <c r="L8" s="13">
        <f t="shared" si="1"/>
        <v>146410</v>
      </c>
      <c r="M8" s="13">
        <f t="shared" si="1"/>
        <v>52707.6</v>
      </c>
      <c r="N8" s="13">
        <f t="shared" si="1"/>
        <v>65884.5</v>
      </c>
      <c r="O8" s="37">
        <v>10000</v>
      </c>
      <c r="P8" s="13">
        <f t="shared" si="2"/>
        <v>913349.7</v>
      </c>
      <c r="R8" s="37">
        <f t="shared" si="3"/>
        <v>364650.30000000005</v>
      </c>
      <c r="S8" s="44">
        <f t="shared" si="4"/>
        <v>0.28532887323943668</v>
      </c>
      <c r="T8" s="49"/>
      <c r="U8" s="37">
        <f t="shared" si="5"/>
        <v>80223.066000000006</v>
      </c>
      <c r="V8" s="38">
        <v>0.22</v>
      </c>
      <c r="W8" s="53"/>
      <c r="X8" s="13">
        <f t="shared" si="6"/>
        <v>284427.23400000005</v>
      </c>
      <c r="Y8" s="45">
        <f t="shared" si="7"/>
        <v>0.22255652112676061</v>
      </c>
      <c r="Z8" s="54"/>
      <c r="AA8" s="13">
        <f t="shared" si="8"/>
        <v>-726762.42599999998</v>
      </c>
      <c r="AB8" s="44">
        <f>AA8/(I4+I5+I6+I7+I8)</f>
        <v>-0.24930960378717709</v>
      </c>
    </row>
    <row r="9" spans="1:28" x14ac:dyDescent="0.35">
      <c r="A9" s="5" t="s">
        <v>23</v>
      </c>
      <c r="B9" s="2">
        <f t="shared" si="9"/>
        <v>44550</v>
      </c>
      <c r="C9" s="27">
        <v>0.25</v>
      </c>
      <c r="D9" s="28">
        <f t="shared" si="11"/>
        <v>170262</v>
      </c>
      <c r="E9" s="12">
        <v>25</v>
      </c>
      <c r="F9" s="14">
        <f t="shared" si="10"/>
        <v>22275</v>
      </c>
      <c r="G9" s="27">
        <v>0.5</v>
      </c>
      <c r="H9" s="11">
        <f t="shared" si="12"/>
        <v>73395</v>
      </c>
      <c r="I9" s="13">
        <f t="shared" si="0"/>
        <v>1834875</v>
      </c>
      <c r="J9" s="13">
        <f t="shared" si="1"/>
        <v>644204</v>
      </c>
      <c r="K9" s="13">
        <f t="shared" si="1"/>
        <v>57978.36</v>
      </c>
      <c r="L9" s="13">
        <f t="shared" si="1"/>
        <v>161051</v>
      </c>
      <c r="M9" s="13">
        <f t="shared" si="1"/>
        <v>57978.36</v>
      </c>
      <c r="N9" s="13">
        <f t="shared" si="1"/>
        <v>72472.95</v>
      </c>
      <c r="O9" s="37">
        <v>10000</v>
      </c>
      <c r="P9" s="13">
        <f t="shared" si="2"/>
        <v>1003684.6699999999</v>
      </c>
      <c r="R9" s="37">
        <f t="shared" si="3"/>
        <v>831190.33000000007</v>
      </c>
      <c r="S9" s="44">
        <f t="shared" si="4"/>
        <v>0.45299561550514345</v>
      </c>
      <c r="T9" s="49"/>
      <c r="U9" s="37">
        <f t="shared" si="5"/>
        <v>182861.87260000003</v>
      </c>
      <c r="V9" s="38">
        <v>0.22</v>
      </c>
      <c r="W9" s="53"/>
      <c r="X9" s="13">
        <f t="shared" si="6"/>
        <v>648328.45740000007</v>
      </c>
      <c r="Y9" s="45">
        <f t="shared" si="7"/>
        <v>0.35333658009401192</v>
      </c>
      <c r="Z9" s="54"/>
      <c r="AA9" s="13">
        <f t="shared" si="8"/>
        <v>-78433.968599999906</v>
      </c>
      <c r="AB9" s="44">
        <f>AA9/(I4+I5+I6+I7+I8+I9)</f>
        <v>-1.6512501350007085E-2</v>
      </c>
    </row>
    <row r="10" spans="1:28" x14ac:dyDescent="0.35">
      <c r="A10" s="15" t="s">
        <v>24</v>
      </c>
      <c r="B10" s="2">
        <f t="shared" si="9"/>
        <v>55687.5</v>
      </c>
      <c r="C10" s="27">
        <v>0.25</v>
      </c>
      <c r="D10" s="28">
        <f t="shared" si="11"/>
        <v>225949.5</v>
      </c>
      <c r="E10" s="12">
        <v>25</v>
      </c>
      <c r="F10" s="14">
        <f t="shared" si="10"/>
        <v>27843.75</v>
      </c>
      <c r="G10" s="27">
        <v>0.5</v>
      </c>
      <c r="H10" s="11">
        <f t="shared" si="12"/>
        <v>101238.75</v>
      </c>
      <c r="I10" s="13">
        <f t="shared" si="0"/>
        <v>2530968.75</v>
      </c>
      <c r="J10" s="13">
        <f t="shared" si="1"/>
        <v>708624.4</v>
      </c>
      <c r="K10" s="13">
        <f t="shared" si="1"/>
        <v>63776.196000000004</v>
      </c>
      <c r="L10" s="13">
        <f t="shared" si="1"/>
        <v>177156.1</v>
      </c>
      <c r="M10" s="13">
        <f t="shared" si="1"/>
        <v>63776.196000000004</v>
      </c>
      <c r="N10" s="13">
        <f t="shared" si="1"/>
        <v>79720.244999999995</v>
      </c>
      <c r="O10" s="37">
        <v>10000</v>
      </c>
      <c r="P10" s="13">
        <f t="shared" si="2"/>
        <v>1103053.1370000001</v>
      </c>
      <c r="R10" s="37">
        <f t="shared" si="3"/>
        <v>1427915.6129999999</v>
      </c>
      <c r="S10" s="44">
        <f t="shared" si="4"/>
        <v>0.56417749646256987</v>
      </c>
      <c r="T10" s="49"/>
      <c r="U10" s="37">
        <f t="shared" si="5"/>
        <v>314141.43485999998</v>
      </c>
      <c r="V10" s="38">
        <v>0.22</v>
      </c>
      <c r="W10" s="53"/>
      <c r="X10" s="13">
        <f t="shared" si="6"/>
        <v>1113774.17814</v>
      </c>
      <c r="Y10" s="45">
        <f t="shared" si="7"/>
        <v>0.44005844724080451</v>
      </c>
      <c r="Z10" s="54"/>
      <c r="AA10" s="13">
        <f t="shared" si="8"/>
        <v>1035340.2095400001</v>
      </c>
      <c r="AB10" s="44">
        <f>AA10/(I4+I5+I6+I7+I8+I9+I10)</f>
        <v>0.14219862769026337</v>
      </c>
    </row>
    <row r="11" spans="1:28" x14ac:dyDescent="0.35">
      <c r="A11" s="15" t="s">
        <v>25</v>
      </c>
      <c r="B11" s="2">
        <f t="shared" si="9"/>
        <v>69609.375</v>
      </c>
      <c r="C11" s="27">
        <v>0.25</v>
      </c>
      <c r="D11" s="28">
        <f t="shared" si="11"/>
        <v>295558.875</v>
      </c>
      <c r="E11" s="12">
        <v>25</v>
      </c>
      <c r="F11" s="14">
        <f t="shared" si="10"/>
        <v>34804.6875</v>
      </c>
      <c r="G11" s="27">
        <v>0.5</v>
      </c>
      <c r="H11" s="11">
        <f t="shared" si="12"/>
        <v>136043.4375</v>
      </c>
      <c r="I11" s="13">
        <f t="shared" si="0"/>
        <v>3401085.9375</v>
      </c>
      <c r="J11" s="13">
        <f t="shared" si="1"/>
        <v>779486.84000000008</v>
      </c>
      <c r="K11" s="13">
        <f t="shared" si="1"/>
        <v>70153.815600000002</v>
      </c>
      <c r="L11" s="13">
        <f t="shared" si="1"/>
        <v>194871.71000000002</v>
      </c>
      <c r="M11" s="13">
        <f t="shared" si="1"/>
        <v>70153.815600000002</v>
      </c>
      <c r="N11" s="13">
        <f t="shared" si="1"/>
        <v>87692.269499999995</v>
      </c>
      <c r="O11" s="37">
        <v>10000</v>
      </c>
      <c r="P11" s="13">
        <f t="shared" si="2"/>
        <v>1212358.4507000002</v>
      </c>
      <c r="R11" s="37">
        <f t="shared" si="3"/>
        <v>2188727.4868000001</v>
      </c>
      <c r="S11" s="44">
        <f t="shared" si="4"/>
        <v>0.64353783674423837</v>
      </c>
      <c r="T11" s="49"/>
      <c r="U11" s="37">
        <f t="shared" si="5"/>
        <v>481520.04709599999</v>
      </c>
      <c r="V11" s="38">
        <v>0.22</v>
      </c>
      <c r="W11" s="53"/>
      <c r="X11" s="13">
        <f t="shared" si="6"/>
        <v>1707207.439704</v>
      </c>
      <c r="Y11" s="45">
        <f t="shared" si="7"/>
        <v>0.50195951266050598</v>
      </c>
      <c r="Z11" s="54"/>
      <c r="AA11" s="13">
        <f t="shared" si="8"/>
        <v>2742547.6492440002</v>
      </c>
      <c r="AB11" s="44">
        <f>AA11/(I4+I5+I6+I7+I8+I9+I10+I11)</f>
        <v>0.25674405796243954</v>
      </c>
    </row>
    <row r="12" spans="1:28" x14ac:dyDescent="0.35">
      <c r="A12" s="15" t="s">
        <v>26</v>
      </c>
      <c r="B12" s="2">
        <f t="shared" si="9"/>
        <v>90492.1875</v>
      </c>
      <c r="C12" s="27">
        <v>0.3</v>
      </c>
      <c r="D12" s="28">
        <f t="shared" si="11"/>
        <v>386051.0625</v>
      </c>
      <c r="E12" s="12">
        <v>25</v>
      </c>
      <c r="F12" s="14">
        <f t="shared" si="10"/>
        <v>45246.09375</v>
      </c>
      <c r="G12" s="27">
        <v>0.5</v>
      </c>
      <c r="H12" s="11">
        <f t="shared" si="12"/>
        <v>181289.53125</v>
      </c>
      <c r="I12" s="13">
        <f t="shared" si="0"/>
        <v>4532238.28125</v>
      </c>
      <c r="J12" s="13">
        <f t="shared" si="1"/>
        <v>857435.52400000009</v>
      </c>
      <c r="K12" s="13">
        <f t="shared" si="1"/>
        <v>77169.197159999996</v>
      </c>
      <c r="L12" s="13">
        <f t="shared" si="1"/>
        <v>214358.88100000002</v>
      </c>
      <c r="M12" s="13">
        <f t="shared" si="1"/>
        <v>77169.197159999996</v>
      </c>
      <c r="N12" s="13">
        <f t="shared" si="1"/>
        <v>96461.496449999991</v>
      </c>
      <c r="O12" s="37">
        <v>10000</v>
      </c>
      <c r="P12" s="13">
        <f t="shared" si="2"/>
        <v>1332594.29577</v>
      </c>
      <c r="R12" s="37">
        <f t="shared" si="3"/>
        <v>3199643.9854800003</v>
      </c>
      <c r="S12" s="44">
        <f t="shared" si="4"/>
        <v>0.70597435238941852</v>
      </c>
      <c r="T12" s="49"/>
      <c r="U12" s="37">
        <f t="shared" si="5"/>
        <v>703921.67680560006</v>
      </c>
      <c r="V12" s="38">
        <v>0.22</v>
      </c>
      <c r="W12" s="53"/>
      <c r="X12" s="13">
        <f t="shared" si="6"/>
        <v>2495722.3086744002</v>
      </c>
      <c r="Y12" s="45">
        <f t="shared" si="7"/>
        <v>0.5506599948637465</v>
      </c>
      <c r="Z12" s="54"/>
      <c r="AA12" s="13">
        <f t="shared" si="8"/>
        <v>5238269.9579183999</v>
      </c>
      <c r="AB12" s="44">
        <f>AA12/(I4+I5+I6+I7+I8+I9+I10+I11+I12)</f>
        <v>0.34429983543590592</v>
      </c>
    </row>
    <row r="13" spans="1:28" x14ac:dyDescent="0.35">
      <c r="A13" s="15" t="s">
        <v>27</v>
      </c>
      <c r="B13" s="2">
        <f t="shared" si="9"/>
        <v>117639.84375</v>
      </c>
      <c r="C13" s="27">
        <v>0.3</v>
      </c>
      <c r="D13" s="28">
        <f t="shared" si="11"/>
        <v>503690.90625</v>
      </c>
      <c r="E13" s="12">
        <v>25</v>
      </c>
      <c r="F13" s="14">
        <f t="shared" si="10"/>
        <v>58819.921875</v>
      </c>
      <c r="G13" s="27">
        <v>0.5</v>
      </c>
      <c r="H13" s="11">
        <f t="shared" si="12"/>
        <v>240109.453125</v>
      </c>
      <c r="I13" s="13">
        <f>H13*E13</f>
        <v>6002736.328125</v>
      </c>
      <c r="J13" s="13">
        <f t="shared" si="1"/>
        <v>943179.07640000014</v>
      </c>
      <c r="K13" s="13">
        <f t="shared" si="1"/>
        <v>84886.116876</v>
      </c>
      <c r="L13" s="13">
        <f t="shared" si="1"/>
        <v>235794.76910000003</v>
      </c>
      <c r="M13" s="13">
        <f t="shared" si="1"/>
        <v>84886.116876</v>
      </c>
      <c r="N13" s="13">
        <f t="shared" si="1"/>
        <v>106107.64609499999</v>
      </c>
      <c r="O13" s="37">
        <v>10000</v>
      </c>
      <c r="P13" s="13">
        <f t="shared" si="2"/>
        <v>1464853.7253470002</v>
      </c>
      <c r="R13" s="37">
        <f t="shared" si="3"/>
        <v>4537882.6027779998</v>
      </c>
      <c r="S13" s="44">
        <f t="shared" si="4"/>
        <v>0.75596900392182342</v>
      </c>
      <c r="T13" s="49"/>
      <c r="U13" s="37">
        <f t="shared" si="5"/>
        <v>998334.17261115997</v>
      </c>
      <c r="V13" s="38">
        <v>0.22</v>
      </c>
      <c r="W13" s="53"/>
      <c r="X13" s="13">
        <f t="shared" si="6"/>
        <v>3539548.4301668396</v>
      </c>
      <c r="Y13" s="45">
        <f t="shared" si="7"/>
        <v>0.5896558230590222</v>
      </c>
      <c r="Z13" s="54"/>
      <c r="AA13" s="13">
        <f t="shared" si="8"/>
        <v>8777818.3880852386</v>
      </c>
      <c r="AB13" s="44">
        <f>AA13/(I4+I5+I6+I7+I8+I9+I10+I11+I12+I13)</f>
        <v>0.41371619976426655</v>
      </c>
    </row>
    <row r="14" spans="1:28" ht="15" thickBot="1" x14ac:dyDescent="0.4">
      <c r="C14" s="31"/>
      <c r="D14" s="24"/>
    </row>
    <row r="15" spans="1:28" s="17" customFormat="1" ht="16" thickBot="1" x14ac:dyDescent="0.4">
      <c r="F15" s="111" t="s">
        <v>35</v>
      </c>
      <c r="G15" s="112"/>
      <c r="H15" s="113"/>
      <c r="I15" s="18">
        <f>I4+I5+I6+I7+I8+I9+I10+I11+I12+I13</f>
        <v>21217004.296875</v>
      </c>
      <c r="L15" s="114" t="s">
        <v>28</v>
      </c>
      <c r="M15" s="115"/>
      <c r="N15" s="116"/>
      <c r="O15" s="26"/>
      <c r="P15" s="18">
        <f>P4+P5+P6+P7+P8+P9+P10+P11+P12+P13</f>
        <v>9963390.978817001</v>
      </c>
      <c r="R15" s="41"/>
      <c r="S15" s="41"/>
      <c r="T15" s="50"/>
      <c r="U15" s="41"/>
      <c r="W15" s="55"/>
      <c r="Z15" s="55"/>
      <c r="AB15" s="41"/>
    </row>
    <row r="17" spans="1:28" x14ac:dyDescent="0.35">
      <c r="A17" s="16" t="s">
        <v>34</v>
      </c>
      <c r="B17" s="16"/>
      <c r="C17" s="16"/>
      <c r="D17" s="16"/>
      <c r="E17" s="16"/>
      <c r="F17" s="16"/>
      <c r="G17" s="16"/>
      <c r="Q17" s="21"/>
      <c r="R17" s="42"/>
      <c r="S17" s="42"/>
      <c r="U17" s="42"/>
      <c r="V17" s="21"/>
    </row>
    <row r="18" spans="1:28" ht="15" thickBot="1" x14ac:dyDescent="0.4">
      <c r="Q18" s="21"/>
      <c r="R18" s="42"/>
      <c r="S18" s="42"/>
      <c r="U18" s="42"/>
      <c r="V18" s="21"/>
    </row>
    <row r="19" spans="1:28" s="22" customFormat="1" ht="73" thickBot="1" x14ac:dyDescent="0.4">
      <c r="A19" s="19"/>
      <c r="B19" s="20"/>
      <c r="C19" s="20"/>
      <c r="D19" s="20" t="s">
        <v>29</v>
      </c>
      <c r="E19" s="20" t="s">
        <v>30</v>
      </c>
      <c r="F19" s="20"/>
      <c r="G19" s="20"/>
      <c r="H19" s="20" t="s">
        <v>31</v>
      </c>
      <c r="I19" s="20" t="s">
        <v>32</v>
      </c>
      <c r="J19" s="20" t="s">
        <v>33</v>
      </c>
      <c r="K19" s="20" t="s">
        <v>33</v>
      </c>
      <c r="L19" s="20" t="s">
        <v>33</v>
      </c>
      <c r="M19" s="20" t="s">
        <v>33</v>
      </c>
      <c r="N19" s="20" t="s">
        <v>33</v>
      </c>
      <c r="O19" s="20"/>
      <c r="P19" s="23" t="s">
        <v>33</v>
      </c>
      <c r="R19" s="43"/>
      <c r="S19" s="43"/>
      <c r="T19" s="47"/>
      <c r="U19" s="43"/>
      <c r="W19" s="52"/>
      <c r="Z19" s="52"/>
      <c r="AB19" s="43"/>
    </row>
    <row r="20" spans="1:28" x14ac:dyDescent="0.35">
      <c r="Q20" s="21"/>
      <c r="R20" s="42"/>
      <c r="S20" s="42"/>
      <c r="U20" s="42"/>
      <c r="V20" s="21"/>
    </row>
    <row r="21" spans="1:28" ht="15" thickBot="1" x14ac:dyDescent="0.4">
      <c r="Q21" s="21"/>
      <c r="R21" s="42"/>
      <c r="S21" s="42"/>
      <c r="U21" s="42"/>
      <c r="V21" s="21"/>
    </row>
    <row r="22" spans="1:28" ht="15" thickBot="1" x14ac:dyDescent="0.4">
      <c r="B22" s="34" t="s">
        <v>57</v>
      </c>
      <c r="C22" s="35"/>
      <c r="D22" s="36">
        <v>636250</v>
      </c>
    </row>
    <row r="23" spans="1:28" x14ac:dyDescent="0.35">
      <c r="I23" s="21"/>
      <c r="J23" s="21"/>
      <c r="K23" s="21"/>
      <c r="L23" s="21"/>
      <c r="M23" s="21"/>
    </row>
    <row r="24" spans="1:28" x14ac:dyDescent="0.35">
      <c r="B24" s="121" t="s">
        <v>36</v>
      </c>
      <c r="C24" s="122"/>
      <c r="D24" s="123"/>
      <c r="I24" s="21"/>
      <c r="J24" s="21"/>
      <c r="K24" s="21"/>
      <c r="L24" s="21"/>
      <c r="M24" s="21"/>
    </row>
    <row r="25" spans="1:28" x14ac:dyDescent="0.35">
      <c r="B25" s="66" t="s">
        <v>73</v>
      </c>
      <c r="C25" s="67"/>
      <c r="D25" s="70">
        <v>636250</v>
      </c>
      <c r="H25" s="33"/>
      <c r="I25" s="33"/>
      <c r="J25" s="33"/>
      <c r="K25" s="33"/>
      <c r="L25" s="21"/>
      <c r="M25" s="21"/>
    </row>
    <row r="26" spans="1:28" ht="15.5" customHeight="1" x14ac:dyDescent="0.35">
      <c r="B26" s="68"/>
      <c r="C26" s="68"/>
      <c r="D26" s="69"/>
      <c r="F26" s="92" t="s">
        <v>56</v>
      </c>
      <c r="G26" s="93"/>
      <c r="H26" s="93"/>
      <c r="I26" s="94"/>
    </row>
    <row r="27" spans="1:28" x14ac:dyDescent="0.35">
      <c r="B27" s="21"/>
      <c r="C27" s="21"/>
      <c r="D27" s="21"/>
      <c r="F27" s="95"/>
      <c r="G27" s="96"/>
      <c r="H27" s="96"/>
      <c r="I27" s="97"/>
    </row>
    <row r="28" spans="1:28" ht="15.5" x14ac:dyDescent="0.35">
      <c r="C28" s="58"/>
      <c r="F28" s="98" t="s">
        <v>51</v>
      </c>
      <c r="G28" s="99"/>
      <c r="H28" s="100"/>
      <c r="I28" s="56">
        <f>I15</f>
        <v>21217004.296875</v>
      </c>
    </row>
    <row r="29" spans="1:28" ht="15.5" x14ac:dyDescent="0.35">
      <c r="F29" s="98" t="s">
        <v>52</v>
      </c>
      <c r="G29" s="99"/>
      <c r="H29" s="100"/>
      <c r="I29" s="56">
        <f>P15</f>
        <v>9963390.978817001</v>
      </c>
      <c r="L29">
        <v>1</v>
      </c>
    </row>
    <row r="30" spans="1:28" ht="15.5" x14ac:dyDescent="0.35">
      <c r="F30" s="117" t="s">
        <v>53</v>
      </c>
      <c r="G30" s="117"/>
      <c r="H30" s="117"/>
      <c r="I30" s="56">
        <f>I28-I29</f>
        <v>11253613.318057999</v>
      </c>
    </row>
    <row r="31" spans="1:28" ht="15.5" x14ac:dyDescent="0.35">
      <c r="F31" s="98" t="s">
        <v>54</v>
      </c>
      <c r="G31" s="99"/>
      <c r="H31" s="100"/>
      <c r="I31" s="57">
        <v>0.22</v>
      </c>
    </row>
    <row r="32" spans="1:28" ht="15.5" x14ac:dyDescent="0.35">
      <c r="F32" s="117" t="s">
        <v>55</v>
      </c>
      <c r="G32" s="117"/>
      <c r="H32" s="117"/>
      <c r="I32" s="56">
        <f>AA13</f>
        <v>8777818.3880852386</v>
      </c>
    </row>
    <row r="36" spans="2:28" x14ac:dyDescent="0.35">
      <c r="I36" s="21"/>
      <c r="J36" s="21"/>
      <c r="K36" s="21"/>
      <c r="L36" s="21"/>
      <c r="M36" s="21"/>
      <c r="N36" s="21"/>
      <c r="O36" s="21"/>
      <c r="P36" s="21"/>
    </row>
    <row r="37" spans="2:28" s="73" customFormat="1" x14ac:dyDescent="0.35">
      <c r="B37" s="77" t="s">
        <v>65</v>
      </c>
      <c r="C37" s="120" t="s">
        <v>74</v>
      </c>
      <c r="D37" s="120"/>
      <c r="E37" s="120"/>
      <c r="F37" s="120"/>
      <c r="G37" s="120"/>
      <c r="H37" s="120"/>
      <c r="I37" s="78"/>
      <c r="J37" s="78"/>
      <c r="K37" s="78"/>
      <c r="L37" s="78"/>
      <c r="M37" s="78"/>
      <c r="N37" s="78"/>
      <c r="O37" s="78"/>
      <c r="P37" s="78"/>
      <c r="R37" s="74"/>
      <c r="S37" s="74"/>
      <c r="T37" s="75"/>
      <c r="U37" s="74"/>
      <c r="W37" s="76"/>
      <c r="Z37" s="76"/>
      <c r="AB37" s="74"/>
    </row>
    <row r="38" spans="2:28" x14ac:dyDescent="0.35">
      <c r="I38" s="21"/>
      <c r="J38" s="21"/>
      <c r="K38" s="21"/>
      <c r="L38" s="21"/>
      <c r="M38" s="21"/>
      <c r="N38" s="21"/>
      <c r="O38" s="21"/>
      <c r="P38" s="21"/>
    </row>
  </sheetData>
  <mergeCells count="17">
    <mergeCell ref="C37:H37"/>
    <mergeCell ref="B24:D24"/>
    <mergeCell ref="F30:H30"/>
    <mergeCell ref="F31:H31"/>
    <mergeCell ref="F32:H32"/>
    <mergeCell ref="F29:H29"/>
    <mergeCell ref="AA2:AB2"/>
    <mergeCell ref="F15:H15"/>
    <mergeCell ref="L15:N15"/>
    <mergeCell ref="F26:I27"/>
    <mergeCell ref="F28:H28"/>
    <mergeCell ref="X2:Y2"/>
    <mergeCell ref="D2:D3"/>
    <mergeCell ref="E2:I2"/>
    <mergeCell ref="J2:P2"/>
    <mergeCell ref="R2:S2"/>
    <mergeCell ref="U2:V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1EDF-AB07-416D-A2EA-C0F0933904D9}">
  <dimension ref="A2:AB42"/>
  <sheetViews>
    <sheetView tabSelected="1" zoomScale="55" zoomScaleNormal="55" workbookViewId="0">
      <selection activeCell="I22" sqref="I22"/>
    </sheetView>
  </sheetViews>
  <sheetFormatPr defaultRowHeight="14.5" x14ac:dyDescent="0.35"/>
  <cols>
    <col min="1" max="1" width="8.6328125" bestFit="1" customWidth="1"/>
    <col min="2" max="2" width="16.81640625" bestFit="1" customWidth="1"/>
    <col min="3" max="3" width="16.81640625" customWidth="1"/>
    <col min="4" max="4" width="20.453125" customWidth="1"/>
    <col min="5" max="5" width="19.36328125" customWidth="1"/>
    <col min="6" max="6" width="31.81640625" bestFit="1" customWidth="1"/>
    <col min="7" max="7" width="18.7265625" bestFit="1" customWidth="1"/>
    <col min="8" max="8" width="28.81640625" bestFit="1" customWidth="1"/>
    <col min="9" max="9" width="32.453125" bestFit="1" customWidth="1"/>
    <col min="10" max="10" width="13.6328125" bestFit="1" customWidth="1"/>
    <col min="11" max="11" width="11.81640625" bestFit="1" customWidth="1"/>
    <col min="12" max="12" width="14.90625" customWidth="1"/>
    <col min="13" max="14" width="11.81640625" bestFit="1" customWidth="1"/>
    <col min="15" max="15" width="17.08984375" bestFit="1" customWidth="1"/>
    <col min="16" max="16" width="18" bestFit="1" customWidth="1"/>
    <col min="18" max="18" width="15.6328125" style="40" bestFit="1" customWidth="1"/>
    <col min="19" max="19" width="15.6328125" style="40" customWidth="1"/>
    <col min="20" max="20" width="3.90625" style="46" customWidth="1"/>
    <col min="21" max="21" width="15.6328125" style="40" bestFit="1" customWidth="1"/>
    <col min="22" max="22" width="12.6328125" customWidth="1"/>
    <col min="23" max="23" width="4" style="51" customWidth="1"/>
    <col min="24" max="24" width="15.6328125" bestFit="1" customWidth="1"/>
    <col min="25" max="25" width="15.6328125" customWidth="1"/>
    <col min="26" max="26" width="3.36328125" style="51" customWidth="1"/>
    <col min="27" max="27" width="15.6328125" customWidth="1"/>
    <col min="28" max="28" width="34" style="40" bestFit="1" customWidth="1"/>
  </cols>
  <sheetData>
    <row r="2" spans="1:28" x14ac:dyDescent="0.35">
      <c r="A2" s="8" t="s">
        <v>6</v>
      </c>
      <c r="B2" s="8" t="s">
        <v>16</v>
      </c>
      <c r="C2" s="29" t="s">
        <v>38</v>
      </c>
      <c r="D2" s="106" t="s">
        <v>17</v>
      </c>
      <c r="E2" s="108" t="s">
        <v>18</v>
      </c>
      <c r="F2" s="109"/>
      <c r="G2" s="109"/>
      <c r="H2" s="109"/>
      <c r="I2" s="110"/>
      <c r="J2" s="108" t="s">
        <v>14</v>
      </c>
      <c r="K2" s="109"/>
      <c r="L2" s="109"/>
      <c r="M2" s="109"/>
      <c r="N2" s="109"/>
      <c r="O2" s="109"/>
      <c r="P2" s="110"/>
      <c r="R2" s="90" t="s">
        <v>40</v>
      </c>
      <c r="S2" s="91"/>
      <c r="T2" s="48"/>
      <c r="U2" s="90" t="s">
        <v>42</v>
      </c>
      <c r="V2" s="91"/>
      <c r="W2" s="48"/>
      <c r="X2" s="90" t="s">
        <v>41</v>
      </c>
      <c r="Y2" s="91"/>
      <c r="Z2" s="48"/>
      <c r="AA2" s="90" t="s">
        <v>43</v>
      </c>
      <c r="AB2" s="91"/>
    </row>
    <row r="3" spans="1:28" x14ac:dyDescent="0.35">
      <c r="A3" s="9"/>
      <c r="B3" s="9"/>
      <c r="C3" s="30"/>
      <c r="D3" s="107"/>
      <c r="E3" s="10" t="s">
        <v>15</v>
      </c>
      <c r="F3" s="10" t="s">
        <v>20</v>
      </c>
      <c r="G3" s="10" t="s">
        <v>37</v>
      </c>
      <c r="H3" s="10" t="s">
        <v>19</v>
      </c>
      <c r="I3" s="10" t="s">
        <v>50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39</v>
      </c>
      <c r="P3" s="10" t="s">
        <v>22</v>
      </c>
      <c r="R3" s="39" t="s">
        <v>45</v>
      </c>
      <c r="S3" s="39" t="s">
        <v>47</v>
      </c>
      <c r="U3" s="39" t="s">
        <v>44</v>
      </c>
      <c r="V3" s="5" t="s">
        <v>46</v>
      </c>
      <c r="X3" s="39" t="s">
        <v>45</v>
      </c>
      <c r="Y3" s="39" t="s">
        <v>48</v>
      </c>
      <c r="Z3" s="46"/>
      <c r="AA3" s="39" t="s">
        <v>45</v>
      </c>
      <c r="AB3" s="39" t="s">
        <v>49</v>
      </c>
    </row>
    <row r="4" spans="1:28" x14ac:dyDescent="0.35">
      <c r="A4" s="5" t="s">
        <v>0</v>
      </c>
      <c r="B4" s="2">
        <v>85000</v>
      </c>
      <c r="C4" s="27"/>
      <c r="D4" s="2">
        <v>85000</v>
      </c>
      <c r="E4" s="12">
        <v>15</v>
      </c>
      <c r="F4" s="14">
        <f>B4*G4</f>
        <v>17000</v>
      </c>
      <c r="G4" s="27">
        <v>0.2</v>
      </c>
      <c r="H4" s="11">
        <f>F4</f>
        <v>17000</v>
      </c>
      <c r="I4" s="13">
        <f>H4*E4</f>
        <v>255000</v>
      </c>
      <c r="J4" s="13">
        <v>350000</v>
      </c>
      <c r="K4" s="13">
        <v>24000</v>
      </c>
      <c r="L4" s="13">
        <v>100000</v>
      </c>
      <c r="M4" s="13">
        <v>24000</v>
      </c>
      <c r="N4" s="13">
        <v>30000</v>
      </c>
      <c r="O4" s="13">
        <v>40000</v>
      </c>
      <c r="P4" s="13">
        <f>J4+K4+L4+M4+N4+O4</f>
        <v>568000</v>
      </c>
      <c r="R4" s="37">
        <f>I4-P4</f>
        <v>-313000</v>
      </c>
      <c r="S4" s="44">
        <f>R4/I4</f>
        <v>-1.2274509803921569</v>
      </c>
      <c r="T4" s="49"/>
      <c r="U4" s="37">
        <f>R4*V4</f>
        <v>-78250</v>
      </c>
      <c r="V4" s="38">
        <v>0.25</v>
      </c>
      <c r="W4" s="53"/>
      <c r="X4" s="13">
        <f>R4-U4</f>
        <v>-234750</v>
      </c>
      <c r="Y4" s="45">
        <f>X4/I4</f>
        <v>-0.9205882352941176</v>
      </c>
      <c r="Z4" s="54"/>
      <c r="AA4" s="13">
        <f>X4</f>
        <v>-234750</v>
      </c>
      <c r="AB4" s="44">
        <f>X4/I4</f>
        <v>-0.9205882352941176</v>
      </c>
    </row>
    <row r="5" spans="1:28" x14ac:dyDescent="0.35">
      <c r="A5" s="5" t="s">
        <v>1</v>
      </c>
      <c r="B5" s="2">
        <f>B4+(B4*C5)</f>
        <v>93500</v>
      </c>
      <c r="C5" s="27">
        <v>0.1</v>
      </c>
      <c r="D5" s="28">
        <f>D4+B5</f>
        <v>178500</v>
      </c>
      <c r="E5" s="12">
        <v>15</v>
      </c>
      <c r="F5" s="14">
        <f>B5*G5</f>
        <v>28050</v>
      </c>
      <c r="G5" s="27">
        <v>0.3</v>
      </c>
      <c r="H5" s="11">
        <f>H4+F5</f>
        <v>45050</v>
      </c>
      <c r="I5" s="13">
        <f t="shared" ref="I5:I12" si="0">H5*E5</f>
        <v>675750</v>
      </c>
      <c r="J5" s="13">
        <f t="shared" ref="J5:N13" si="1">J4+(J4*0.1)</f>
        <v>385000</v>
      </c>
      <c r="K5" s="13">
        <f t="shared" si="1"/>
        <v>26400</v>
      </c>
      <c r="L5" s="13">
        <f t="shared" si="1"/>
        <v>110000</v>
      </c>
      <c r="M5" s="13">
        <f t="shared" si="1"/>
        <v>26400</v>
      </c>
      <c r="N5" s="13">
        <f t="shared" si="1"/>
        <v>33000</v>
      </c>
      <c r="O5" s="37">
        <v>10000</v>
      </c>
      <c r="P5" s="13">
        <f t="shared" ref="P5:P13" si="2">J5+K5+L5+M5+N5+O5</f>
        <v>590800</v>
      </c>
      <c r="R5" s="37">
        <f t="shared" ref="R5:R13" si="3">I5-P5</f>
        <v>84950</v>
      </c>
      <c r="S5" s="44">
        <f t="shared" ref="S5:S13" si="4">R5/I5</f>
        <v>0.12571217166111728</v>
      </c>
      <c r="T5" s="49"/>
      <c r="U5" s="37">
        <f t="shared" ref="U5:U13" si="5">R5*V5</f>
        <v>21237.5</v>
      </c>
      <c r="V5" s="38">
        <v>0.25</v>
      </c>
      <c r="W5" s="53"/>
      <c r="X5" s="13">
        <f t="shared" ref="X5:X13" si="6">R5-U5</f>
        <v>63712.5</v>
      </c>
      <c r="Y5" s="45">
        <f t="shared" ref="Y5:Y13" si="7">X5/I5</f>
        <v>9.4284128745837956E-2</v>
      </c>
      <c r="Z5" s="54"/>
      <c r="AA5" s="13">
        <f t="shared" ref="AA5:AA13" si="8">AA4+X5</f>
        <v>-171037.5</v>
      </c>
      <c r="AB5" s="44">
        <f>AA5/(I4+I5)</f>
        <v>-0.18376309427880741</v>
      </c>
    </row>
    <row r="6" spans="1:28" x14ac:dyDescent="0.35">
      <c r="A6" s="5" t="s">
        <v>2</v>
      </c>
      <c r="B6" s="2">
        <f t="shared" ref="B6:B13" si="9">B5+(B5*C6)</f>
        <v>112200</v>
      </c>
      <c r="C6" s="27">
        <v>0.2</v>
      </c>
      <c r="D6" s="28">
        <f>D5+B6</f>
        <v>290700</v>
      </c>
      <c r="E6" s="12">
        <v>15</v>
      </c>
      <c r="F6" s="14">
        <f t="shared" ref="F6:F13" si="10">B6*G6</f>
        <v>44880</v>
      </c>
      <c r="G6" s="27">
        <v>0.4</v>
      </c>
      <c r="H6" s="11">
        <f>H5+F6</f>
        <v>89930</v>
      </c>
      <c r="I6" s="13">
        <f t="shared" si="0"/>
        <v>1348950</v>
      </c>
      <c r="J6" s="13">
        <f t="shared" si="1"/>
        <v>423500</v>
      </c>
      <c r="K6" s="13">
        <f t="shared" si="1"/>
        <v>29040</v>
      </c>
      <c r="L6" s="13">
        <f t="shared" si="1"/>
        <v>121000</v>
      </c>
      <c r="M6" s="13">
        <f t="shared" si="1"/>
        <v>29040</v>
      </c>
      <c r="N6" s="13">
        <f t="shared" si="1"/>
        <v>36300</v>
      </c>
      <c r="O6" s="37">
        <v>10000</v>
      </c>
      <c r="P6" s="13">
        <f t="shared" si="2"/>
        <v>648880</v>
      </c>
      <c r="R6" s="37">
        <f t="shared" si="3"/>
        <v>700070</v>
      </c>
      <c r="S6" s="44">
        <f t="shared" si="4"/>
        <v>0.51897401682790323</v>
      </c>
      <c r="T6" s="49"/>
      <c r="U6" s="37">
        <f t="shared" si="5"/>
        <v>175017.5</v>
      </c>
      <c r="V6" s="38">
        <v>0.25</v>
      </c>
      <c r="W6" s="53"/>
      <c r="X6" s="13">
        <f t="shared" si="6"/>
        <v>525052.5</v>
      </c>
      <c r="Y6" s="45">
        <f t="shared" si="7"/>
        <v>0.38923051262092739</v>
      </c>
      <c r="Z6" s="54"/>
      <c r="AA6" s="13">
        <f t="shared" si="8"/>
        <v>354015</v>
      </c>
      <c r="AB6" s="44">
        <f>AA6/(I4+I5+I6)</f>
        <v>0.15529016975917884</v>
      </c>
    </row>
    <row r="7" spans="1:28" x14ac:dyDescent="0.35">
      <c r="A7" s="5" t="s">
        <v>3</v>
      </c>
      <c r="B7" s="2">
        <f t="shared" si="9"/>
        <v>134640</v>
      </c>
      <c r="C7" s="27">
        <v>0.2</v>
      </c>
      <c r="D7" s="28">
        <f t="shared" ref="D7:D13" si="11">D6+B7</f>
        <v>425340</v>
      </c>
      <c r="E7" s="12">
        <v>15</v>
      </c>
      <c r="F7" s="14">
        <f t="shared" si="10"/>
        <v>67320</v>
      </c>
      <c r="G7" s="27">
        <v>0.5</v>
      </c>
      <c r="H7" s="11">
        <f t="shared" ref="H7:H13" si="12">H6+F7</f>
        <v>157250</v>
      </c>
      <c r="I7" s="13">
        <f t="shared" si="0"/>
        <v>2358750</v>
      </c>
      <c r="J7" s="13">
        <f t="shared" si="1"/>
        <v>465850</v>
      </c>
      <c r="K7" s="13">
        <f t="shared" si="1"/>
        <v>31944</v>
      </c>
      <c r="L7" s="13">
        <f t="shared" si="1"/>
        <v>133100</v>
      </c>
      <c r="M7" s="13">
        <f t="shared" si="1"/>
        <v>31944</v>
      </c>
      <c r="N7" s="13">
        <f t="shared" si="1"/>
        <v>39930</v>
      </c>
      <c r="O7" s="37">
        <v>10000</v>
      </c>
      <c r="P7" s="13">
        <f t="shared" si="2"/>
        <v>712768</v>
      </c>
      <c r="R7" s="37">
        <f t="shared" si="3"/>
        <v>1645982</v>
      </c>
      <c r="S7" s="44">
        <f t="shared" si="4"/>
        <v>0.69781960784313724</v>
      </c>
      <c r="T7" s="49"/>
      <c r="U7" s="37">
        <f t="shared" si="5"/>
        <v>411495.5</v>
      </c>
      <c r="V7" s="38">
        <v>0.25</v>
      </c>
      <c r="W7" s="53"/>
      <c r="X7" s="13">
        <f t="shared" si="6"/>
        <v>1234486.5</v>
      </c>
      <c r="Y7" s="45">
        <f t="shared" si="7"/>
        <v>0.52336470588235295</v>
      </c>
      <c r="Z7" s="54"/>
      <c r="AA7" s="13">
        <f t="shared" si="8"/>
        <v>1588501.5</v>
      </c>
      <c r="AB7" s="44">
        <f>AA7/(I4+I5+I6+I7)</f>
        <v>0.34246386185040262</v>
      </c>
    </row>
    <row r="8" spans="1:28" x14ac:dyDescent="0.35">
      <c r="A8" s="5" t="s">
        <v>4</v>
      </c>
      <c r="B8" s="2">
        <f t="shared" si="9"/>
        <v>168300</v>
      </c>
      <c r="C8" s="27">
        <v>0.25</v>
      </c>
      <c r="D8" s="28">
        <f t="shared" si="11"/>
        <v>593640</v>
      </c>
      <c r="E8" s="12">
        <v>15</v>
      </c>
      <c r="F8" s="14">
        <f t="shared" si="10"/>
        <v>84150</v>
      </c>
      <c r="G8" s="27">
        <v>0.5</v>
      </c>
      <c r="H8" s="11">
        <f t="shared" si="12"/>
        <v>241400</v>
      </c>
      <c r="I8" s="13">
        <f t="shared" si="0"/>
        <v>3621000</v>
      </c>
      <c r="J8" s="13">
        <f t="shared" si="1"/>
        <v>512435</v>
      </c>
      <c r="K8" s="13">
        <f t="shared" si="1"/>
        <v>35138.400000000001</v>
      </c>
      <c r="L8" s="13">
        <f t="shared" si="1"/>
        <v>146410</v>
      </c>
      <c r="M8" s="13">
        <f t="shared" si="1"/>
        <v>35138.400000000001</v>
      </c>
      <c r="N8" s="13">
        <f t="shared" si="1"/>
        <v>43923</v>
      </c>
      <c r="O8" s="37">
        <v>10000</v>
      </c>
      <c r="P8" s="13">
        <f t="shared" si="2"/>
        <v>783044.8</v>
      </c>
      <c r="R8" s="37">
        <f t="shared" si="3"/>
        <v>2837955.2</v>
      </c>
      <c r="S8" s="44">
        <f t="shared" si="4"/>
        <v>0.78374901960784316</v>
      </c>
      <c r="T8" s="49"/>
      <c r="U8" s="37">
        <f t="shared" si="5"/>
        <v>709488.8</v>
      </c>
      <c r="V8" s="38">
        <v>0.25</v>
      </c>
      <c r="W8" s="53"/>
      <c r="X8" s="13">
        <f t="shared" si="6"/>
        <v>2128466.4000000004</v>
      </c>
      <c r="Y8" s="45">
        <f t="shared" si="7"/>
        <v>0.58781176470588248</v>
      </c>
      <c r="Z8" s="54"/>
      <c r="AA8" s="13">
        <f t="shared" si="8"/>
        <v>3716967.9000000004</v>
      </c>
      <c r="AB8" s="44">
        <f>AA8/(I4+I5+I6+I7+I8)</f>
        <v>0.45002607921834992</v>
      </c>
    </row>
    <row r="9" spans="1:28" x14ac:dyDescent="0.35">
      <c r="A9" s="5" t="s">
        <v>23</v>
      </c>
      <c r="B9" s="2">
        <f t="shared" si="9"/>
        <v>210375</v>
      </c>
      <c r="C9" s="27">
        <v>0.25</v>
      </c>
      <c r="D9" s="28">
        <f t="shared" si="11"/>
        <v>804015</v>
      </c>
      <c r="E9" s="12">
        <v>15</v>
      </c>
      <c r="F9" s="14">
        <f t="shared" si="10"/>
        <v>105187.5</v>
      </c>
      <c r="G9" s="27">
        <v>0.5</v>
      </c>
      <c r="H9" s="11">
        <f t="shared" si="12"/>
        <v>346587.5</v>
      </c>
      <c r="I9" s="13">
        <f t="shared" si="0"/>
        <v>5198812.5</v>
      </c>
      <c r="J9" s="13">
        <f t="shared" si="1"/>
        <v>563678.5</v>
      </c>
      <c r="K9" s="13">
        <f t="shared" si="1"/>
        <v>38652.240000000005</v>
      </c>
      <c r="L9" s="13">
        <f t="shared" si="1"/>
        <v>161051</v>
      </c>
      <c r="M9" s="13">
        <f t="shared" si="1"/>
        <v>38652.240000000005</v>
      </c>
      <c r="N9" s="13">
        <f t="shared" si="1"/>
        <v>48315.3</v>
      </c>
      <c r="O9" s="37">
        <v>10000</v>
      </c>
      <c r="P9" s="13">
        <f t="shared" si="2"/>
        <v>860349.28</v>
      </c>
      <c r="R9" s="37">
        <f t="shared" si="3"/>
        <v>4338463.22</v>
      </c>
      <c r="S9" s="44">
        <f t="shared" si="4"/>
        <v>0.834510423293781</v>
      </c>
      <c r="T9" s="49"/>
      <c r="U9" s="37">
        <f t="shared" si="5"/>
        <v>1084615.8049999999</v>
      </c>
      <c r="V9" s="38">
        <v>0.25</v>
      </c>
      <c r="W9" s="53"/>
      <c r="X9" s="13">
        <f t="shared" si="6"/>
        <v>3253847.415</v>
      </c>
      <c r="Y9" s="45">
        <f t="shared" si="7"/>
        <v>0.62588281747033581</v>
      </c>
      <c r="Z9" s="54"/>
      <c r="AA9" s="13">
        <f t="shared" si="8"/>
        <v>6970815.3150000004</v>
      </c>
      <c r="AB9" s="44">
        <f>AA9/(I4+I5+I6+I7+I8+I9)</f>
        <v>0.5179580436181862</v>
      </c>
    </row>
    <row r="10" spans="1:28" x14ac:dyDescent="0.35">
      <c r="A10" s="15" t="s">
        <v>24</v>
      </c>
      <c r="B10" s="2">
        <f t="shared" si="9"/>
        <v>262968.75</v>
      </c>
      <c r="C10" s="27">
        <v>0.25</v>
      </c>
      <c r="D10" s="28">
        <f t="shared" si="11"/>
        <v>1066983.75</v>
      </c>
      <c r="E10" s="12">
        <v>15</v>
      </c>
      <c r="F10" s="14">
        <f t="shared" si="10"/>
        <v>131484.375</v>
      </c>
      <c r="G10" s="27">
        <v>0.5</v>
      </c>
      <c r="H10" s="11">
        <f t="shared" si="12"/>
        <v>478071.875</v>
      </c>
      <c r="I10" s="13">
        <f t="shared" si="0"/>
        <v>7171078.125</v>
      </c>
      <c r="J10" s="13">
        <f t="shared" si="1"/>
        <v>620046.35</v>
      </c>
      <c r="K10" s="13">
        <f t="shared" si="1"/>
        <v>42517.464000000007</v>
      </c>
      <c r="L10" s="13">
        <f t="shared" si="1"/>
        <v>177156.1</v>
      </c>
      <c r="M10" s="13">
        <f t="shared" si="1"/>
        <v>42517.464000000007</v>
      </c>
      <c r="N10" s="13">
        <f t="shared" si="1"/>
        <v>53146.83</v>
      </c>
      <c r="O10" s="37">
        <v>10000</v>
      </c>
      <c r="P10" s="13">
        <f t="shared" si="2"/>
        <v>945384.20799999998</v>
      </c>
      <c r="R10" s="37">
        <f t="shared" si="3"/>
        <v>6225693.9170000004</v>
      </c>
      <c r="S10" s="44">
        <f t="shared" si="4"/>
        <v>0.86816707452897823</v>
      </c>
      <c r="T10" s="49"/>
      <c r="U10" s="37">
        <f t="shared" si="5"/>
        <v>1556423.4792500001</v>
      </c>
      <c r="V10" s="38">
        <v>0.25</v>
      </c>
      <c r="W10" s="53"/>
      <c r="X10" s="13">
        <f t="shared" si="6"/>
        <v>4669270.4377500005</v>
      </c>
      <c r="Y10" s="45">
        <f t="shared" si="7"/>
        <v>0.65112530589673367</v>
      </c>
      <c r="Z10" s="54"/>
      <c r="AA10" s="13">
        <f t="shared" si="8"/>
        <v>11640085.752750002</v>
      </c>
      <c r="AB10" s="44">
        <f>AA10/(I4+I5+I6+I7+I8+I9+I10)</f>
        <v>0.56424904529637632</v>
      </c>
    </row>
    <row r="11" spans="1:28" x14ac:dyDescent="0.35">
      <c r="A11" s="15" t="s">
        <v>25</v>
      </c>
      <c r="B11" s="2">
        <f t="shared" si="9"/>
        <v>328710.9375</v>
      </c>
      <c r="C11" s="27">
        <v>0.25</v>
      </c>
      <c r="D11" s="28">
        <f t="shared" si="11"/>
        <v>1395694.6875</v>
      </c>
      <c r="E11" s="12">
        <v>15</v>
      </c>
      <c r="F11" s="14">
        <f t="shared" si="10"/>
        <v>164355.46875</v>
      </c>
      <c r="G11" s="27">
        <v>0.5</v>
      </c>
      <c r="H11" s="11">
        <f t="shared" si="12"/>
        <v>642427.34375</v>
      </c>
      <c r="I11" s="13">
        <f t="shared" si="0"/>
        <v>9636410.15625</v>
      </c>
      <c r="J11" s="13">
        <f t="shared" si="1"/>
        <v>682050.98499999999</v>
      </c>
      <c r="K11" s="13">
        <f t="shared" si="1"/>
        <v>46769.210400000011</v>
      </c>
      <c r="L11" s="13">
        <f t="shared" si="1"/>
        <v>194871.71000000002</v>
      </c>
      <c r="M11" s="13">
        <f t="shared" si="1"/>
        <v>46769.210400000011</v>
      </c>
      <c r="N11" s="13">
        <f t="shared" si="1"/>
        <v>58461.513000000006</v>
      </c>
      <c r="O11" s="37">
        <v>10000</v>
      </c>
      <c r="P11" s="13">
        <f t="shared" si="2"/>
        <v>1038922.6288000001</v>
      </c>
      <c r="R11" s="37">
        <f t="shared" si="3"/>
        <v>8597487.527449999</v>
      </c>
      <c r="S11" s="44">
        <f t="shared" si="4"/>
        <v>0.8921877948370458</v>
      </c>
      <c r="T11" s="49"/>
      <c r="U11" s="37">
        <f t="shared" si="5"/>
        <v>2149371.8818624998</v>
      </c>
      <c r="V11" s="38">
        <v>0.25</v>
      </c>
      <c r="W11" s="53"/>
      <c r="X11" s="13">
        <f t="shared" si="6"/>
        <v>6448115.6455874993</v>
      </c>
      <c r="Y11" s="45">
        <f t="shared" si="7"/>
        <v>0.66914084612778435</v>
      </c>
      <c r="Z11" s="54"/>
      <c r="AA11" s="13">
        <f t="shared" si="8"/>
        <v>18088201.398337502</v>
      </c>
      <c r="AB11" s="44">
        <f>AA11/(I4+I5+I6+I7+I8+I9+I10+I11)</f>
        <v>0.59764588458659229</v>
      </c>
    </row>
    <row r="12" spans="1:28" x14ac:dyDescent="0.35">
      <c r="A12" s="15" t="s">
        <v>26</v>
      </c>
      <c r="B12" s="2">
        <f t="shared" si="9"/>
        <v>427324.21875</v>
      </c>
      <c r="C12" s="27">
        <v>0.3</v>
      </c>
      <c r="D12" s="28">
        <f t="shared" si="11"/>
        <v>1823018.90625</v>
      </c>
      <c r="E12" s="12">
        <v>15</v>
      </c>
      <c r="F12" s="14">
        <f t="shared" si="10"/>
        <v>213662.109375</v>
      </c>
      <c r="G12" s="27">
        <v>0.5</v>
      </c>
      <c r="H12" s="11">
        <f t="shared" si="12"/>
        <v>856089.453125</v>
      </c>
      <c r="I12" s="13">
        <f t="shared" si="0"/>
        <v>12841341.796875</v>
      </c>
      <c r="J12" s="13">
        <f t="shared" si="1"/>
        <v>750256.08349999995</v>
      </c>
      <c r="K12" s="13">
        <f t="shared" si="1"/>
        <v>51446.131440000012</v>
      </c>
      <c r="L12" s="13">
        <f t="shared" si="1"/>
        <v>214358.88100000002</v>
      </c>
      <c r="M12" s="13">
        <f t="shared" si="1"/>
        <v>51446.131440000012</v>
      </c>
      <c r="N12" s="13">
        <f t="shared" si="1"/>
        <v>64307.664300000004</v>
      </c>
      <c r="O12" s="37">
        <v>10000</v>
      </c>
      <c r="P12" s="13">
        <f t="shared" si="2"/>
        <v>1141814.8916800001</v>
      </c>
      <c r="R12" s="37">
        <f t="shared" si="3"/>
        <v>11699526.905195</v>
      </c>
      <c r="S12" s="44">
        <f t="shared" si="4"/>
        <v>0.91108289852094226</v>
      </c>
      <c r="T12" s="49"/>
      <c r="U12" s="37">
        <f t="shared" si="5"/>
        <v>2924881.7262987499</v>
      </c>
      <c r="V12" s="38">
        <v>0.25</v>
      </c>
      <c r="W12" s="53"/>
      <c r="X12" s="13">
        <f t="shared" si="6"/>
        <v>8774645.1788962502</v>
      </c>
      <c r="Y12" s="45">
        <f t="shared" si="7"/>
        <v>0.68331217389070675</v>
      </c>
      <c r="Z12" s="54"/>
      <c r="AA12" s="13">
        <f t="shared" si="8"/>
        <v>26862846.577233754</v>
      </c>
      <c r="AB12" s="44">
        <f>AA12/(I4+I5+I6+I7+I8+I9+I10+I11+I12)</f>
        <v>0.62316535332437373</v>
      </c>
    </row>
    <row r="13" spans="1:28" x14ac:dyDescent="0.35">
      <c r="A13" s="15" t="s">
        <v>27</v>
      </c>
      <c r="B13" s="2">
        <f t="shared" si="9"/>
        <v>555521.484375</v>
      </c>
      <c r="C13" s="27">
        <v>0.3</v>
      </c>
      <c r="D13" s="28">
        <f t="shared" si="11"/>
        <v>2378540.390625</v>
      </c>
      <c r="E13" s="12">
        <v>15</v>
      </c>
      <c r="F13" s="14">
        <f t="shared" si="10"/>
        <v>277760.7421875</v>
      </c>
      <c r="G13" s="27">
        <v>0.5</v>
      </c>
      <c r="H13" s="11">
        <f t="shared" si="12"/>
        <v>1133850.1953125</v>
      </c>
      <c r="I13" s="13">
        <f>H13*E13</f>
        <v>17007752.9296875</v>
      </c>
      <c r="J13" s="13">
        <f t="shared" si="1"/>
        <v>825281.69184999994</v>
      </c>
      <c r="K13" s="13">
        <f t="shared" si="1"/>
        <v>56590.744584000015</v>
      </c>
      <c r="L13" s="13">
        <f t="shared" si="1"/>
        <v>235794.76910000003</v>
      </c>
      <c r="M13" s="13">
        <f t="shared" si="1"/>
        <v>56590.744584000015</v>
      </c>
      <c r="N13" s="13">
        <f t="shared" si="1"/>
        <v>70738.430730000007</v>
      </c>
      <c r="O13" s="37">
        <v>10000</v>
      </c>
      <c r="P13" s="13">
        <f t="shared" si="2"/>
        <v>1254996.3808479998</v>
      </c>
      <c r="R13" s="37">
        <f t="shared" si="3"/>
        <v>15752756.5488395</v>
      </c>
      <c r="S13" s="44">
        <f t="shared" si="4"/>
        <v>0.92621033560186727</v>
      </c>
      <c r="T13" s="49"/>
      <c r="U13" s="37">
        <f t="shared" si="5"/>
        <v>3938189.137209875</v>
      </c>
      <c r="V13" s="38">
        <v>0.25</v>
      </c>
      <c r="W13" s="53"/>
      <c r="X13" s="13">
        <f t="shared" si="6"/>
        <v>11814567.411629625</v>
      </c>
      <c r="Y13" s="45">
        <f t="shared" si="7"/>
        <v>0.69465775170140043</v>
      </c>
      <c r="Z13" s="54"/>
      <c r="AA13" s="13">
        <f t="shared" si="8"/>
        <v>38677413.988863379</v>
      </c>
      <c r="AB13" s="44">
        <f>AA13/(I4+I5+I6+I7+I8+I9+I10+I11+I12+I13)</f>
        <v>0.64339205502635577</v>
      </c>
    </row>
    <row r="14" spans="1:28" ht="15" thickBot="1" x14ac:dyDescent="0.4">
      <c r="C14" s="31"/>
      <c r="D14" s="24"/>
    </row>
    <row r="15" spans="1:28" s="17" customFormat="1" ht="16" thickBot="1" x14ac:dyDescent="0.4">
      <c r="F15" s="111" t="s">
        <v>35</v>
      </c>
      <c r="G15" s="112"/>
      <c r="H15" s="113"/>
      <c r="I15" s="18">
        <f>I4+I5+I6+I7+I8+I9+I10+I11+I12+I13</f>
        <v>60114845.5078125</v>
      </c>
      <c r="L15" s="114" t="s">
        <v>28</v>
      </c>
      <c r="M15" s="115"/>
      <c r="N15" s="116"/>
      <c r="O15" s="26"/>
      <c r="P15" s="18">
        <f>P4+P5+P6+P7+P8+P9+P10+P11+P12+P13</f>
        <v>8544960.1893279999</v>
      </c>
      <c r="R15" s="41"/>
      <c r="S15" s="41"/>
      <c r="T15" s="50"/>
      <c r="U15" s="41"/>
      <c r="W15" s="55"/>
      <c r="Z15" s="55"/>
      <c r="AB15" s="41"/>
    </row>
    <row r="17" spans="1:28" x14ac:dyDescent="0.35">
      <c r="A17" s="16" t="s">
        <v>34</v>
      </c>
      <c r="B17" s="16"/>
      <c r="C17" s="16"/>
      <c r="D17" s="16"/>
      <c r="E17" s="16"/>
      <c r="F17" s="16"/>
      <c r="G17" s="16"/>
      <c r="Q17" s="21"/>
      <c r="R17" s="42"/>
      <c r="S17" s="42"/>
      <c r="U17" s="42"/>
      <c r="V17" s="21"/>
    </row>
    <row r="18" spans="1:28" ht="15" thickBot="1" x14ac:dyDescent="0.4">
      <c r="Q18" s="21"/>
      <c r="R18" s="42"/>
      <c r="S18" s="42"/>
      <c r="U18" s="42"/>
      <c r="V18" s="21"/>
    </row>
    <row r="19" spans="1:28" s="22" customFormat="1" ht="73" thickBot="1" x14ac:dyDescent="0.4">
      <c r="A19" s="19"/>
      <c r="B19" s="20"/>
      <c r="C19" s="20"/>
      <c r="D19" s="20" t="s">
        <v>29</v>
      </c>
      <c r="E19" s="20" t="s">
        <v>30</v>
      </c>
      <c r="F19" s="20"/>
      <c r="G19" s="20"/>
      <c r="H19" s="20" t="s">
        <v>31</v>
      </c>
      <c r="I19" s="20" t="s">
        <v>32</v>
      </c>
      <c r="J19" s="20" t="s">
        <v>33</v>
      </c>
      <c r="K19" s="20" t="s">
        <v>33</v>
      </c>
      <c r="L19" s="20" t="s">
        <v>33</v>
      </c>
      <c r="M19" s="20" t="s">
        <v>33</v>
      </c>
      <c r="N19" s="20" t="s">
        <v>33</v>
      </c>
      <c r="O19" s="20"/>
      <c r="P19" s="23" t="s">
        <v>33</v>
      </c>
      <c r="R19" s="43"/>
      <c r="S19" s="43"/>
      <c r="T19" s="47"/>
      <c r="U19" s="43"/>
      <c r="W19" s="52"/>
      <c r="Z19" s="52"/>
      <c r="AB19" s="43"/>
    </row>
    <row r="20" spans="1:28" x14ac:dyDescent="0.35">
      <c r="Q20" s="21"/>
      <c r="R20" s="42"/>
      <c r="S20" s="42"/>
      <c r="U20" s="42"/>
      <c r="V20" s="21"/>
    </row>
    <row r="21" spans="1:28" ht="15" thickBot="1" x14ac:dyDescent="0.4">
      <c r="Q21" s="21"/>
      <c r="R21" s="42"/>
      <c r="S21" s="42"/>
      <c r="U21" s="42"/>
      <c r="V21" s="21"/>
    </row>
    <row r="22" spans="1:28" ht="15" thickBot="1" x14ac:dyDescent="0.4">
      <c r="B22" s="34" t="s">
        <v>57</v>
      </c>
      <c r="C22" s="35"/>
      <c r="D22" s="36">
        <v>3000000</v>
      </c>
    </row>
    <row r="23" spans="1:28" x14ac:dyDescent="0.35">
      <c r="I23" s="21"/>
      <c r="J23" s="21"/>
      <c r="K23" s="21"/>
      <c r="L23" s="21"/>
      <c r="M23" s="21"/>
    </row>
    <row r="24" spans="1:28" x14ac:dyDescent="0.35">
      <c r="B24" s="101" t="s">
        <v>36</v>
      </c>
      <c r="C24" s="102"/>
      <c r="D24" s="103"/>
      <c r="I24" s="21"/>
      <c r="J24" s="21"/>
      <c r="K24" s="21"/>
      <c r="L24" s="21"/>
      <c r="M24" s="21"/>
    </row>
    <row r="25" spans="1:28" x14ac:dyDescent="0.35">
      <c r="B25" s="81" t="s">
        <v>63</v>
      </c>
      <c r="C25" s="81"/>
      <c r="D25" s="82" t="s">
        <v>62</v>
      </c>
      <c r="F25" s="32"/>
      <c r="H25" s="33"/>
      <c r="I25" s="33"/>
      <c r="J25" s="33"/>
      <c r="L25" s="21"/>
    </row>
    <row r="26" spans="1:28" x14ac:dyDescent="0.35">
      <c r="B26" s="60" t="s">
        <v>75</v>
      </c>
      <c r="C26" s="60"/>
      <c r="D26" s="72" t="s">
        <v>76</v>
      </c>
      <c r="H26" s="33"/>
      <c r="I26" s="33"/>
      <c r="J26" s="33"/>
      <c r="K26" s="33"/>
      <c r="L26" s="21"/>
      <c r="M26" s="21"/>
    </row>
    <row r="27" spans="1:28" ht="15.5" customHeight="1" x14ac:dyDescent="0.35">
      <c r="B27" s="68"/>
      <c r="C27" s="68"/>
      <c r="D27" s="68"/>
      <c r="F27" s="92" t="s">
        <v>56</v>
      </c>
      <c r="G27" s="93"/>
      <c r="H27" s="93"/>
      <c r="I27" s="94"/>
    </row>
    <row r="28" spans="1:28" x14ac:dyDescent="0.35">
      <c r="F28" s="95"/>
      <c r="G28" s="96"/>
      <c r="H28" s="96"/>
      <c r="I28" s="97"/>
    </row>
    <row r="29" spans="1:28" ht="15.5" x14ac:dyDescent="0.35">
      <c r="C29" s="58"/>
      <c r="F29" s="98" t="s">
        <v>51</v>
      </c>
      <c r="G29" s="99"/>
      <c r="H29" s="100"/>
      <c r="I29" s="56">
        <f>I15</f>
        <v>60114845.5078125</v>
      </c>
    </row>
    <row r="30" spans="1:28" ht="15.5" x14ac:dyDescent="0.35">
      <c r="F30" s="98" t="s">
        <v>52</v>
      </c>
      <c r="G30" s="99"/>
      <c r="H30" s="100"/>
      <c r="I30" s="56">
        <f>P15</f>
        <v>8544960.1893279999</v>
      </c>
      <c r="L30">
        <v>1</v>
      </c>
    </row>
    <row r="31" spans="1:28" ht="15.5" x14ac:dyDescent="0.35">
      <c r="F31" s="117" t="s">
        <v>53</v>
      </c>
      <c r="G31" s="117"/>
      <c r="H31" s="117"/>
      <c r="I31" s="56">
        <f>I29-I30</f>
        <v>51569885.3184845</v>
      </c>
    </row>
    <row r="32" spans="1:28" ht="15.5" x14ac:dyDescent="0.35">
      <c r="F32" s="98" t="s">
        <v>54</v>
      </c>
      <c r="G32" s="99"/>
      <c r="H32" s="100"/>
      <c r="I32" s="57">
        <v>0.25</v>
      </c>
    </row>
    <row r="33" spans="2:28" ht="15.5" x14ac:dyDescent="0.35">
      <c r="F33" s="117" t="s">
        <v>55</v>
      </c>
      <c r="G33" s="117"/>
      <c r="H33" s="117"/>
      <c r="I33" s="56">
        <f>AA13</f>
        <v>38677413.988863379</v>
      </c>
    </row>
    <row r="39" spans="2:28" s="73" customFormat="1" x14ac:dyDescent="0.35">
      <c r="B39" s="124" t="s">
        <v>65</v>
      </c>
      <c r="C39" s="63" t="s">
        <v>77</v>
      </c>
      <c r="D39" s="71"/>
      <c r="E39" s="71"/>
      <c r="F39" s="71"/>
      <c r="G39" s="71"/>
      <c r="H39" s="71"/>
      <c r="I39" s="79"/>
      <c r="J39" s="79"/>
      <c r="K39" s="79"/>
      <c r="L39" s="79"/>
      <c r="M39" s="79"/>
      <c r="N39" s="79"/>
      <c r="O39" s="79"/>
      <c r="P39" s="79"/>
      <c r="R39" s="74"/>
      <c r="S39" s="74"/>
      <c r="T39" s="75"/>
      <c r="U39" s="74"/>
      <c r="W39" s="76"/>
      <c r="Z39" s="76"/>
      <c r="AB39" s="74"/>
    </row>
    <row r="40" spans="2:28" s="73" customFormat="1" x14ac:dyDescent="0.35">
      <c r="B40" s="124"/>
      <c r="C40" s="63" t="s">
        <v>78</v>
      </c>
      <c r="D40" s="71"/>
      <c r="E40" s="71"/>
      <c r="F40" s="71"/>
      <c r="G40" s="71"/>
      <c r="H40" s="71"/>
      <c r="I40" s="79"/>
      <c r="J40" s="79"/>
      <c r="K40" s="79"/>
      <c r="L40" s="79"/>
      <c r="M40" s="79"/>
      <c r="N40" s="79"/>
      <c r="O40" s="79"/>
      <c r="P40" s="79"/>
      <c r="R40" s="74"/>
      <c r="S40" s="74"/>
      <c r="T40" s="75"/>
      <c r="U40" s="74"/>
      <c r="W40" s="76"/>
      <c r="Z40" s="76"/>
      <c r="AB40" s="74"/>
    </row>
    <row r="41" spans="2:28" x14ac:dyDescent="0.35">
      <c r="I41" s="76"/>
      <c r="J41" s="76"/>
      <c r="K41" s="76"/>
      <c r="L41" s="76"/>
      <c r="M41" s="76"/>
      <c r="N41" s="76"/>
      <c r="O41" s="76"/>
      <c r="P41" s="76"/>
    </row>
    <row r="42" spans="2:28" x14ac:dyDescent="0.35">
      <c r="I42" s="76"/>
      <c r="J42" s="76"/>
      <c r="K42" s="76"/>
      <c r="L42" s="76"/>
      <c r="M42" s="76"/>
      <c r="N42" s="76"/>
      <c r="O42" s="76"/>
      <c r="P42" s="76"/>
    </row>
  </sheetData>
  <mergeCells count="17">
    <mergeCell ref="F33:H33"/>
    <mergeCell ref="B39:B40"/>
    <mergeCell ref="AA2:AB2"/>
    <mergeCell ref="F15:H15"/>
    <mergeCell ref="L15:N15"/>
    <mergeCell ref="B24:D24"/>
    <mergeCell ref="F27:I28"/>
    <mergeCell ref="D2:D3"/>
    <mergeCell ref="E2:I2"/>
    <mergeCell ref="J2:P2"/>
    <mergeCell ref="R2:S2"/>
    <mergeCell ref="U2:V2"/>
    <mergeCell ref="X2:Y2"/>
    <mergeCell ref="F29:H29"/>
    <mergeCell ref="F30:H30"/>
    <mergeCell ref="F31:H31"/>
    <mergeCell ref="F32:H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Year ONE</vt:lpstr>
      <vt:lpstr>CS_Germany</vt:lpstr>
      <vt:lpstr>CS_Italy</vt:lpstr>
      <vt:lpstr>CS_France</vt:lpstr>
      <vt:lpstr>CS_Norway </vt:lpstr>
      <vt:lpstr>CS_Spain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Prahlad Kakkattu</dc:creator>
  <cp:lastModifiedBy>Prahlad Kakkattu</cp:lastModifiedBy>
  <cp:lastPrinted>2020-08-27T17:27:22Z</cp:lastPrinted>
  <dcterms:created xsi:type="dcterms:W3CDTF">2020-08-27T13:07:36Z</dcterms:created>
  <dcterms:modified xsi:type="dcterms:W3CDTF">2020-09-24T10:52:19Z</dcterms:modified>
</cp:coreProperties>
</file>